
<file path=[Content_Types].xml><?xml version="1.0" encoding="utf-8"?>
<Types xmlns="http://schemas.openxmlformats.org/package/2006/content-type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35.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tables/table36.xml" ContentType="application/vnd.openxmlformats-officedocument.spreadsheetml.table+xml"/>
  <Override PartName="/xl/comments3.xml" ContentType="application/vnd.openxmlformats-officedocument.spreadsheetml.comment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DieseArbeitsmappe" defaultThemeVersion="124226"/>
  <mc:AlternateContent xmlns:mc="http://schemas.openxmlformats.org/markup-compatibility/2006">
    <mc:Choice Requires="x15">
      <x15ac:absPath xmlns:x15ac="http://schemas.microsoft.com/office/spreadsheetml/2010/11/ac" url="C:\Users\Markus Hörl\Desktop\"/>
    </mc:Choice>
  </mc:AlternateContent>
  <xr:revisionPtr revIDLastSave="0" documentId="13_ncr:1_{8D6B2A80-79FB-4C49-9731-289464D676E9}" xr6:coauthVersionLast="47" xr6:coauthVersionMax="47" xr10:uidLastSave="{00000000-0000-0000-0000-000000000000}"/>
  <bookViews>
    <workbookView xWindow="0" yWindow="0" windowWidth="19170" windowHeight="10200" xr2:uid="{00000000-000D-0000-FFFF-FFFF00000000}"/>
  </bookViews>
  <sheets>
    <sheet name="Podcasts" sheetId="1" r:id="rId1"/>
    <sheet name="kurz" sheetId="4" r:id="rId2"/>
    <sheet name="Synopsis" sheetId="2" r:id="rId3"/>
    <sheet name="SSP-Abstimmungen" sheetId="3" r:id="rId4"/>
  </sheets>
  <definedNames>
    <definedName name="_01._FragezeichenPod_seit_2011">Podcasts!$C$7</definedName>
    <definedName name="_02._OhrCast_seit_2011">Podcasts!$C$110</definedName>
    <definedName name="_03._TalkerLounge_seit_2012">Podcasts!$C$241</definedName>
    <definedName name="_04._Haschimitenfürst_seit_2013">Podcasts!$C$302</definedName>
    <definedName name="_05._WasHoerstDuSo_seit_2016">Podcasts!$C$476</definedName>
    <definedName name="_06._Schrottcast_seit_2016">Podcasts!$C$491</definedName>
    <definedName name="_07._KellerKanal_seit_2016">Podcasts!$C$521</definedName>
    <definedName name="_08._SSP_seit_2017">Podcasts!$C$535</definedName>
    <definedName name="_09._RundA_seit_2018">Podcasts!$C$912</definedName>
    <definedName name="_10._DiE_2WO_seit_2018">Podcasts!$C$984</definedName>
    <definedName name="_11._Die_Zentrale_seit_2019">Podcasts!$C$998</definedName>
    <definedName name="_12._Gebrauchtwaren_seit_2019">Podcasts!$C$1254</definedName>
    <definedName name="_13._Retroabteil_seit_2019">Podcasts!$C$1270</definedName>
    <definedName name="_14._Schrottplatz_seit_2020">Podcasts!$C$1286</definedName>
    <definedName name="_15._Abfahrt_seit_2020">Podcasts!$C$1298</definedName>
    <definedName name="_16._Taschenlampen_seit_2020">Podcasts!$C$1359</definedName>
    <definedName name="_17._Anführungszeichen_seit_2020">Podcasts!$C$1367</definedName>
    <definedName name="_18._Fanatiker_seit_2020">Podcasts!$C$1422</definedName>
    <definedName name="_19._Kaffeeklatsch_seit_2020">Podcasts!$C$1449</definedName>
    <definedName name="_20._Kirschkuchen_seit_2020">Podcasts!$C$1577</definedName>
    <definedName name="_21._Verstärker_seit_2021">Podcasts!$C$1708</definedName>
    <definedName name="_22._Rose_seit_2021">Podcasts!$C$1836</definedName>
    <definedName name="_23._Die_Zw3i_seit_2021">Podcasts!$C$1858</definedName>
    <definedName name="_24._RockyBeachWeekly_seit_2022">Podcasts!$C$1997</definedName>
    <definedName name="_25._Doppelpunkt_seit_2022">Podcasts!$C$2060</definedName>
    <definedName name="_26._beachcast_seit_2022">Podcasts!$C$2074</definedName>
    <definedName name="_27._DGdB_seit_2022">Podcasts!$C$2095</definedName>
    <definedName name="_28._RBP_seit_2023">Podcasts!$C$2117</definedName>
    <definedName name="_xlnm._FilterDatabase" localSheetId="0" hidden="1">Podcasts!$B$986:$F$986</definedName>
    <definedName name="_xlnm._FilterDatabase" localSheetId="3" hidden="1">'SSP-Abstimmungen'!$B$5:$N$134</definedName>
    <definedName name="_xlnm._FilterDatabase" localSheetId="2" hidden="1">Synopsis!$B$43:$AN$273</definedName>
    <definedName name="_Kurzübersicht">kurz!$B$2</definedName>
    <definedName name="_Sonstige_DDF_Podcasts">Podcasts!$B$2129</definedName>
    <definedName name="DDF_Podcasts">Podcasts!$B$2</definedName>
    <definedName name="DDF_Spielzeitsumme">Podcasts!$F$2126</definedName>
    <definedName name="DDF_Synopsis">Synopsis!$B$4</definedName>
    <definedName name="SSP_Abstimmungen">'SSP-Abstimmungen'!$B$2</definedName>
    <definedName name="SSP_OF_Positionen">'SSP-Abstimmungen'!$AS$3</definedName>
    <definedName name="Veröffentlichungsentwicklung">Synopsis!$M$6:$X$35</definedName>
    <definedName name="Veröffentlichungsgeschichte">Synopsis!$B$371</definedName>
    <definedName name="Veröffentlichungslücken">Synopsis!$AP$42:$BM$273</definedName>
    <definedName name="Veröffentlichungsmatrix">Synopsis!$B$42:$AN$273</definedName>
    <definedName name="Veröffentlichungsquartale">Synopsis!$B$320:$AF$367</definedName>
    <definedName name="Veröffentlichungszeiten">Synopsis!$B$4:$I$29</definedName>
  </definedNames>
  <calcPr calcId="191029" calcMode="manual"/>
</workbook>
</file>

<file path=xl/calcChain.xml><?xml version="1.0" encoding="utf-8"?>
<calcChain xmlns="http://schemas.openxmlformats.org/spreadsheetml/2006/main">
  <c r="O1082" i="1" l="1"/>
  <c r="O1083" i="1" s="1"/>
  <c r="P1082" i="1"/>
  <c r="P1083" i="1" s="1"/>
  <c r="Q1082" i="1"/>
  <c r="Q1083" i="1" s="1"/>
  <c r="K36" i="2"/>
  <c r="E24" i="4"/>
  <c r="C191" i="2"/>
  <c r="G26" i="2"/>
  <c r="F26" i="2"/>
  <c r="E26" i="2"/>
  <c r="D26" i="2"/>
  <c r="AL13" i="2"/>
  <c r="AL34" i="2"/>
  <c r="D34" i="2"/>
  <c r="G34" i="2"/>
  <c r="F34" i="2"/>
  <c r="E34" i="2"/>
  <c r="D33" i="2"/>
  <c r="E32" i="4"/>
  <c r="D32" i="4"/>
  <c r="D31" i="2"/>
  <c r="F2427" i="1"/>
  <c r="D30" i="2"/>
  <c r="E5" i="4"/>
  <c r="C67" i="2"/>
  <c r="C53" i="2"/>
  <c r="E10" i="4"/>
  <c r="D10" i="4"/>
  <c r="G12" i="2"/>
  <c r="F12" i="2"/>
  <c r="E12" i="2"/>
  <c r="D12" i="2"/>
  <c r="F35" i="2"/>
  <c r="I35" i="2"/>
  <c r="AL30" i="2"/>
  <c r="AE366" i="2"/>
  <c r="AE367" i="2"/>
  <c r="AD366" i="2"/>
  <c r="AD367" i="2"/>
  <c r="AB366" i="2"/>
  <c r="AB367" i="2"/>
  <c r="AB365" i="2"/>
  <c r="BF323" i="2" l="1"/>
  <c r="BF324" i="2"/>
  <c r="BF325" i="2"/>
  <c r="BF326" i="2"/>
  <c r="BF327" i="2"/>
  <c r="BF328" i="2"/>
  <c r="BF329" i="2"/>
  <c r="BF330" i="2"/>
  <c r="BF331" i="2"/>
  <c r="BF332" i="2"/>
  <c r="BF333" i="2"/>
  <c r="BF334" i="2"/>
  <c r="BF335" i="2"/>
  <c r="BF336" i="2"/>
  <c r="BF337" i="2"/>
  <c r="BF338" i="2"/>
  <c r="BF339" i="2"/>
  <c r="BF340" i="2"/>
  <c r="BF341" i="2"/>
  <c r="BF342" i="2"/>
  <c r="BF343" i="2"/>
  <c r="BF344" i="2"/>
  <c r="BF345" i="2"/>
  <c r="BF346" i="2"/>
  <c r="BF347" i="2"/>
  <c r="BF348" i="2"/>
  <c r="BF349" i="2"/>
  <c r="BF350" i="2"/>
  <c r="BF351" i="2"/>
  <c r="BF352" i="2"/>
  <c r="BF353" i="2"/>
  <c r="BF354" i="2"/>
  <c r="BF355" i="2"/>
  <c r="BF356" i="2"/>
  <c r="BF357" i="2"/>
  <c r="BF358" i="2"/>
  <c r="BF359" i="2"/>
  <c r="BF360" i="2"/>
  <c r="BF361" i="2"/>
  <c r="BF362" i="2"/>
  <c r="BF363" i="2"/>
  <c r="BF364" i="2"/>
  <c r="BF365" i="2"/>
  <c r="BF366" i="2"/>
  <c r="BF367" i="2"/>
  <c r="BF322" i="2"/>
  <c r="G30" i="2"/>
  <c r="F30" i="2"/>
  <c r="E30" i="2"/>
  <c r="E28" i="4"/>
  <c r="D28" i="4"/>
  <c r="D29" i="2"/>
  <c r="D32" i="2"/>
  <c r="D28" i="2"/>
  <c r="F2369" i="1"/>
  <c r="F2367" i="1"/>
  <c r="BG323" i="2"/>
  <c r="BG324" i="2"/>
  <c r="BG325" i="2"/>
  <c r="BG326" i="2"/>
  <c r="BG327" i="2"/>
  <c r="BG328" i="2"/>
  <c r="BG329" i="2"/>
  <c r="BG330" i="2"/>
  <c r="BG331" i="2"/>
  <c r="BG332" i="2"/>
  <c r="BG333" i="2"/>
  <c r="BG334" i="2"/>
  <c r="BG335" i="2"/>
  <c r="BG336" i="2"/>
  <c r="BG337" i="2"/>
  <c r="BG338" i="2"/>
  <c r="BG339" i="2"/>
  <c r="BG340" i="2"/>
  <c r="BG341" i="2"/>
  <c r="BG342" i="2"/>
  <c r="BG343" i="2"/>
  <c r="BG344" i="2"/>
  <c r="BG345" i="2"/>
  <c r="BG346" i="2"/>
  <c r="BG347" i="2"/>
  <c r="BG348" i="2"/>
  <c r="BG349" i="2"/>
  <c r="BG350" i="2"/>
  <c r="BG351" i="2"/>
  <c r="BG352" i="2"/>
  <c r="BG353" i="2"/>
  <c r="BG354" i="2"/>
  <c r="BG355" i="2"/>
  <c r="BG356" i="2"/>
  <c r="BG357" i="2"/>
  <c r="BG358" i="2"/>
  <c r="BG359" i="2"/>
  <c r="BG360" i="2"/>
  <c r="BG361" i="2"/>
  <c r="BG362" i="2"/>
  <c r="BG363" i="2"/>
  <c r="BG364" i="2"/>
  <c r="BG365" i="2"/>
  <c r="BG366" i="2"/>
  <c r="BG367" i="2"/>
  <c r="BG322" i="2"/>
  <c r="AC365" i="2"/>
  <c r="AL31" i="2"/>
  <c r="AC367" i="2"/>
  <c r="AC366" i="2"/>
  <c r="G31" i="2"/>
  <c r="F31" i="2"/>
  <c r="E31" i="2"/>
  <c r="E29" i="4"/>
  <c r="D29" i="4"/>
  <c r="F2458" i="1" l="1"/>
  <c r="C44" i="2"/>
  <c r="G29" i="2"/>
  <c r="E15" i="4"/>
  <c r="E27" i="4"/>
  <c r="D27" i="2"/>
  <c r="AL7" i="2" l="1"/>
  <c r="AL32" i="2"/>
  <c r="AL33" i="2"/>
  <c r="AL28" i="2"/>
  <c r="AL21" i="2"/>
  <c r="AW323" i="2"/>
  <c r="AW324" i="2"/>
  <c r="AW325" i="2"/>
  <c r="AW326" i="2"/>
  <c r="AW327" i="2"/>
  <c r="AW328" i="2"/>
  <c r="AW329" i="2"/>
  <c r="AW330" i="2"/>
  <c r="AW331" i="2"/>
  <c r="AW332" i="2"/>
  <c r="AW333" i="2"/>
  <c r="AW334" i="2"/>
  <c r="AW335" i="2"/>
  <c r="AW336" i="2"/>
  <c r="AW337" i="2"/>
  <c r="AW338" i="2"/>
  <c r="AW339" i="2"/>
  <c r="AW340" i="2"/>
  <c r="AW341" i="2"/>
  <c r="AW342" i="2"/>
  <c r="AW343" i="2"/>
  <c r="AW344" i="2"/>
  <c r="AW345" i="2"/>
  <c r="AW346" i="2"/>
  <c r="AW347" i="2"/>
  <c r="AW348" i="2"/>
  <c r="AW349" i="2"/>
  <c r="AW350" i="2"/>
  <c r="AW351" i="2"/>
  <c r="AW352" i="2"/>
  <c r="AW353" i="2"/>
  <c r="AW354" i="2"/>
  <c r="AW355" i="2"/>
  <c r="AW356" i="2"/>
  <c r="AW357" i="2"/>
  <c r="AW358" i="2"/>
  <c r="AW359" i="2"/>
  <c r="AW360" i="2"/>
  <c r="AW361" i="2"/>
  <c r="AW362" i="2"/>
  <c r="AW363" i="2"/>
  <c r="AW364" i="2"/>
  <c r="AW365" i="2"/>
  <c r="AW366" i="2"/>
  <c r="AW367" i="2"/>
  <c r="AW322" i="2"/>
  <c r="S359" i="2"/>
  <c r="S360" i="2"/>
  <c r="S361" i="2"/>
  <c r="S362" i="2"/>
  <c r="S363" i="2"/>
  <c r="S364" i="2"/>
  <c r="S365" i="2"/>
  <c r="S366" i="2"/>
  <c r="S367" i="2"/>
  <c r="S358" i="2"/>
  <c r="S357" i="2"/>
  <c r="S356" i="2"/>
  <c r="R356" i="2"/>
  <c r="R357" i="2"/>
  <c r="R358" i="2"/>
  <c r="R359" i="2"/>
  <c r="R360" i="2"/>
  <c r="R361" i="2"/>
  <c r="R362" i="2"/>
  <c r="R363" i="2"/>
  <c r="R364" i="2"/>
  <c r="R365" i="2"/>
  <c r="R366" i="2"/>
  <c r="R367" i="2"/>
  <c r="C133" i="2"/>
  <c r="C143" i="2"/>
  <c r="C48" i="2"/>
  <c r="C47" i="2"/>
  <c r="C46" i="2"/>
  <c r="C45" i="2"/>
  <c r="G33" i="2"/>
  <c r="F33" i="2"/>
  <c r="E33" i="2"/>
  <c r="G32" i="2"/>
  <c r="F32" i="2"/>
  <c r="E32" i="2"/>
  <c r="D21" i="2"/>
  <c r="E31" i="4"/>
  <c r="E30" i="4"/>
  <c r="D31" i="4"/>
  <c r="D30" i="4"/>
  <c r="E19" i="4"/>
  <c r="D19" i="4"/>
  <c r="G21" i="2"/>
  <c r="F21" i="2"/>
  <c r="E21" i="2"/>
  <c r="BH5" i="3"/>
  <c r="BG5" i="3"/>
  <c r="W367" i="2"/>
  <c r="J367" i="2"/>
  <c r="Q358" i="2"/>
  <c r="C132" i="2"/>
  <c r="E23" i="4"/>
  <c r="H415" i="2"/>
  <c r="H414" i="2"/>
  <c r="H413" i="2"/>
  <c r="H412" i="2"/>
  <c r="H411" i="2"/>
  <c r="H410" i="2"/>
  <c r="H409" i="2"/>
  <c r="H408" i="2"/>
  <c r="H407" i="2"/>
  <c r="H406" i="2"/>
  <c r="H405" i="2"/>
  <c r="H404" i="2"/>
  <c r="H403" i="2"/>
  <c r="H402" i="2"/>
  <c r="H401" i="2"/>
  <c r="H400" i="2"/>
  <c r="H399" i="2"/>
  <c r="H398" i="2"/>
  <c r="H397" i="2"/>
  <c r="H396" i="2"/>
  <c r="O367" i="2"/>
  <c r="O363" i="2"/>
  <c r="O359" i="2"/>
  <c r="O355" i="2"/>
  <c r="L367" i="2"/>
  <c r="L363" i="2"/>
  <c r="L359" i="2"/>
  <c r="L355" i="2"/>
  <c r="L351" i="2"/>
  <c r="L347" i="2"/>
  <c r="D25" i="2"/>
  <c r="J366" i="2"/>
  <c r="J365" i="2"/>
  <c r="ER385" i="2"/>
  <c r="C187" i="2"/>
  <c r="D23" i="2"/>
  <c r="J7" i="3"/>
  <c r="M7" i="3"/>
  <c r="K7" i="3"/>
  <c r="DY385" i="2"/>
  <c r="O366" i="2"/>
  <c r="O365" i="2"/>
  <c r="C168" i="2"/>
  <c r="X367" i="2"/>
  <c r="X366" i="2"/>
  <c r="X365" i="2"/>
  <c r="AW385" i="2"/>
  <c r="C88" i="2"/>
  <c r="O377" i="2"/>
  <c r="N385" i="2"/>
  <c r="H381" i="2"/>
  <c r="G998" i="1"/>
  <c r="F998" i="1" s="1"/>
  <c r="C243" i="2"/>
  <c r="C235" i="2"/>
  <c r="C219" i="2"/>
  <c r="C203" i="2"/>
  <c r="C193" i="2"/>
  <c r="C167" i="2"/>
  <c r="C153" i="2"/>
  <c r="C72" i="2"/>
  <c r="C69" i="2"/>
  <c r="C56" i="2"/>
  <c r="C55" i="2"/>
  <c r="C54" i="2"/>
  <c r="C49" i="2"/>
  <c r="C50" i="2"/>
  <c r="C51" i="2"/>
  <c r="C52" i="2"/>
  <c r="C57" i="2"/>
  <c r="C58" i="2"/>
  <c r="C59" i="2"/>
  <c r="C60" i="2"/>
  <c r="C61" i="2"/>
  <c r="C62" i="2"/>
  <c r="C63" i="2"/>
  <c r="C64" i="2"/>
  <c r="C65" i="2"/>
  <c r="C66" i="2"/>
  <c r="C68" i="2"/>
  <c r="C70" i="2"/>
  <c r="C71" i="2"/>
  <c r="C73" i="2"/>
  <c r="C74" i="2"/>
  <c r="C75" i="2"/>
  <c r="C76" i="2"/>
  <c r="C77" i="2"/>
  <c r="C78" i="2"/>
  <c r="C79" i="2"/>
  <c r="C80" i="2"/>
  <c r="C81" i="2"/>
  <c r="C82" i="2"/>
  <c r="C83" i="2"/>
  <c r="C84" i="2"/>
  <c r="C85" i="2"/>
  <c r="C86" i="2"/>
  <c r="C87"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4" i="2"/>
  <c r="C135" i="2"/>
  <c r="C136" i="2"/>
  <c r="C137" i="2"/>
  <c r="C138" i="2"/>
  <c r="C139" i="2"/>
  <c r="C140" i="2"/>
  <c r="C141" i="2"/>
  <c r="C142" i="2"/>
  <c r="C144" i="2"/>
  <c r="C145" i="2"/>
  <c r="C146" i="2"/>
  <c r="C147" i="2"/>
  <c r="C148" i="2"/>
  <c r="C149" i="2"/>
  <c r="C150" i="2"/>
  <c r="C151" i="2"/>
  <c r="C152" i="2"/>
  <c r="C154" i="2"/>
  <c r="C155" i="2"/>
  <c r="C156" i="2"/>
  <c r="C157" i="2"/>
  <c r="C158" i="2"/>
  <c r="C159" i="2"/>
  <c r="C160" i="2"/>
  <c r="C161" i="2"/>
  <c r="C162" i="2"/>
  <c r="C163" i="2"/>
  <c r="C164" i="2"/>
  <c r="C165" i="2"/>
  <c r="C166" i="2"/>
  <c r="C169" i="2"/>
  <c r="C170" i="2"/>
  <c r="C171" i="2"/>
  <c r="C172" i="2"/>
  <c r="C173" i="2"/>
  <c r="C174" i="2"/>
  <c r="C175" i="2"/>
  <c r="C176" i="2"/>
  <c r="C177" i="2"/>
  <c r="C178" i="2"/>
  <c r="C179" i="2"/>
  <c r="C180" i="2"/>
  <c r="C181" i="2"/>
  <c r="C182" i="2"/>
  <c r="C183" i="2"/>
  <c r="C184" i="2"/>
  <c r="C185" i="2"/>
  <c r="C186" i="2"/>
  <c r="C188" i="2"/>
  <c r="C189" i="2"/>
  <c r="C190" i="2"/>
  <c r="C192" i="2"/>
  <c r="C194" i="2"/>
  <c r="C195" i="2"/>
  <c r="C196" i="2"/>
  <c r="C197" i="2"/>
  <c r="C198" i="2"/>
  <c r="C199" i="2"/>
  <c r="C200" i="2"/>
  <c r="C201" i="2"/>
  <c r="C202" i="2"/>
  <c r="C204" i="2"/>
  <c r="C205" i="2"/>
  <c r="C206" i="2"/>
  <c r="C207" i="2"/>
  <c r="C208" i="2"/>
  <c r="C209" i="2"/>
  <c r="C210" i="2"/>
  <c r="C211" i="2"/>
  <c r="C212" i="2"/>
  <c r="C213" i="2"/>
  <c r="C214" i="2"/>
  <c r="C215" i="2"/>
  <c r="C216" i="2"/>
  <c r="C217" i="2"/>
  <c r="C218" i="2"/>
  <c r="C220" i="2"/>
  <c r="C221" i="2"/>
  <c r="C222" i="2"/>
  <c r="C223" i="2"/>
  <c r="C224" i="2"/>
  <c r="C225" i="2"/>
  <c r="C226" i="2"/>
  <c r="C227" i="2"/>
  <c r="C228" i="2"/>
  <c r="C229" i="2"/>
  <c r="C230" i="2"/>
  <c r="C231" i="2"/>
  <c r="C232" i="2"/>
  <c r="C233" i="2"/>
  <c r="C234" i="2"/>
  <c r="C236" i="2"/>
  <c r="C237" i="2"/>
  <c r="C238" i="2"/>
  <c r="C239" i="2"/>
  <c r="C240" i="2"/>
  <c r="C241" i="2"/>
  <c r="C242"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EX383" i="2"/>
  <c r="EV383" i="2"/>
  <c r="GV384" i="2"/>
  <c r="GV383" i="2"/>
  <c r="GV382" i="2"/>
  <c r="DX383" i="2"/>
  <c r="DJ382" i="2"/>
  <c r="CZ381" i="2"/>
  <c r="J382" i="2"/>
  <c r="F374" i="2"/>
  <c r="G374" i="2"/>
  <c r="H374" i="2"/>
  <c r="I374" i="2"/>
  <c r="J374" i="2"/>
  <c r="K374" i="2"/>
  <c r="L374" i="2"/>
  <c r="M374" i="2"/>
  <c r="N374" i="2"/>
  <c r="O374" i="2"/>
  <c r="P374" i="2"/>
  <c r="AH374" i="2"/>
  <c r="AI374" i="2"/>
  <c r="AJ374" i="2"/>
  <c r="AK374" i="2"/>
  <c r="AL374" i="2"/>
  <c r="AM374" i="2"/>
  <c r="AN374" i="2"/>
  <c r="AO374" i="2"/>
  <c r="AP374" i="2"/>
  <c r="AQ374" i="2"/>
  <c r="AR374" i="2"/>
  <c r="AS374" i="2"/>
  <c r="AT374" i="2"/>
  <c r="AU374" i="2"/>
  <c r="AV374" i="2"/>
  <c r="AW374" i="2"/>
  <c r="AX374" i="2"/>
  <c r="AY374" i="2"/>
  <c r="AZ374" i="2"/>
  <c r="BA374" i="2"/>
  <c r="BB374" i="2"/>
  <c r="BC374" i="2"/>
  <c r="BD374" i="2"/>
  <c r="BE374" i="2"/>
  <c r="BF374" i="2"/>
  <c r="BG374" i="2"/>
  <c r="BH374" i="2"/>
  <c r="BI374" i="2"/>
  <c r="BJ374" i="2"/>
  <c r="BK374" i="2"/>
  <c r="BL374" i="2"/>
  <c r="BM374" i="2"/>
  <c r="BN374" i="2"/>
  <c r="BO374" i="2"/>
  <c r="BP374" i="2"/>
  <c r="BQ374" i="2"/>
  <c r="BR374" i="2"/>
  <c r="BS374" i="2"/>
  <c r="BT374" i="2"/>
  <c r="BU374" i="2"/>
  <c r="BV374" i="2"/>
  <c r="BW374" i="2"/>
  <c r="BX374" i="2"/>
  <c r="BY374" i="2"/>
  <c r="BZ374" i="2"/>
  <c r="CA374" i="2"/>
  <c r="CB374" i="2"/>
  <c r="CC374" i="2"/>
  <c r="CD374" i="2"/>
  <c r="CE374" i="2"/>
  <c r="CF374" i="2"/>
  <c r="CG374" i="2"/>
  <c r="CH374" i="2"/>
  <c r="CI374" i="2"/>
  <c r="CJ374" i="2"/>
  <c r="CK374" i="2"/>
  <c r="CL374" i="2"/>
  <c r="CM374" i="2"/>
  <c r="CN374" i="2"/>
  <c r="CO374" i="2"/>
  <c r="CP374" i="2"/>
  <c r="CQ374" i="2"/>
  <c r="CR374" i="2"/>
  <c r="CS374" i="2"/>
  <c r="CT374" i="2"/>
  <c r="CU374" i="2"/>
  <c r="CV374" i="2"/>
  <c r="CW374" i="2"/>
  <c r="CX374" i="2"/>
  <c r="CY374" i="2"/>
  <c r="CZ374" i="2"/>
  <c r="DA374" i="2"/>
  <c r="DB374" i="2"/>
  <c r="DC374" i="2"/>
  <c r="DD374" i="2"/>
  <c r="DE374" i="2"/>
  <c r="DF374" i="2"/>
  <c r="DG374" i="2"/>
  <c r="DH374" i="2"/>
  <c r="DI374" i="2"/>
  <c r="DJ374" i="2"/>
  <c r="DK374" i="2"/>
  <c r="DL374" i="2"/>
  <c r="DM374" i="2"/>
  <c r="DN374" i="2"/>
  <c r="DO374" i="2"/>
  <c r="DP374" i="2"/>
  <c r="DQ374" i="2"/>
  <c r="DR374" i="2"/>
  <c r="DS374" i="2"/>
  <c r="DT374" i="2"/>
  <c r="DU374" i="2"/>
  <c r="DV374" i="2"/>
  <c r="DW374" i="2"/>
  <c r="DX374" i="2"/>
  <c r="DY374" i="2"/>
  <c r="DZ374" i="2"/>
  <c r="EA374" i="2"/>
  <c r="EB374" i="2"/>
  <c r="EC374" i="2"/>
  <c r="ED374" i="2"/>
  <c r="EE374" i="2"/>
  <c r="EF374" i="2"/>
  <c r="EG374" i="2"/>
  <c r="EH374" i="2"/>
  <c r="EI374" i="2"/>
  <c r="EJ374" i="2"/>
  <c r="EK374" i="2"/>
  <c r="EL374" i="2"/>
  <c r="EM374" i="2"/>
  <c r="EN374" i="2"/>
  <c r="EO374" i="2"/>
  <c r="EP374" i="2"/>
  <c r="EQ374" i="2"/>
  <c r="ER374" i="2"/>
  <c r="ES374" i="2"/>
  <c r="ET374" i="2"/>
  <c r="EU374" i="2"/>
  <c r="EV374" i="2"/>
  <c r="EW374" i="2"/>
  <c r="EX374" i="2"/>
  <c r="EY374" i="2"/>
  <c r="EZ374" i="2"/>
  <c r="FA374" i="2"/>
  <c r="FB374" i="2"/>
  <c r="FC374" i="2"/>
  <c r="FD374" i="2"/>
  <c r="FE374" i="2"/>
  <c r="FF374" i="2"/>
  <c r="FG374" i="2"/>
  <c r="FH374" i="2"/>
  <c r="FI374" i="2"/>
  <c r="FJ374" i="2"/>
  <c r="FK374" i="2"/>
  <c r="FL374" i="2"/>
  <c r="FM374" i="2"/>
  <c r="FN374" i="2"/>
  <c r="FO374" i="2"/>
  <c r="FP374" i="2"/>
  <c r="FQ374" i="2"/>
  <c r="FR374" i="2"/>
  <c r="FS374" i="2"/>
  <c r="FT374" i="2"/>
  <c r="FU374" i="2"/>
  <c r="FV374" i="2"/>
  <c r="FW374" i="2"/>
  <c r="FX374" i="2"/>
  <c r="FY374" i="2"/>
  <c r="FZ374" i="2"/>
  <c r="GA374" i="2"/>
  <c r="GB374" i="2"/>
  <c r="GC374" i="2"/>
  <c r="GD374" i="2"/>
  <c r="GE374" i="2"/>
  <c r="GF374" i="2"/>
  <c r="GG374" i="2"/>
  <c r="GH374" i="2"/>
  <c r="GI374" i="2"/>
  <c r="GJ374" i="2"/>
  <c r="GK374" i="2"/>
  <c r="GL374" i="2"/>
  <c r="GM374" i="2"/>
  <c r="GN374" i="2"/>
  <c r="GO374" i="2"/>
  <c r="GP374" i="2"/>
  <c r="GQ374" i="2"/>
  <c r="GR374" i="2"/>
  <c r="GS374" i="2"/>
  <c r="GT374" i="2"/>
  <c r="GU374" i="2"/>
  <c r="GV374" i="2"/>
  <c r="GW374" i="2"/>
  <c r="GX374" i="2"/>
  <c r="GY374" i="2"/>
  <c r="GZ374" i="2"/>
  <c r="HA374" i="2"/>
  <c r="HB374" i="2"/>
  <c r="HC374" i="2"/>
  <c r="HD374" i="2"/>
  <c r="HE374" i="2"/>
  <c r="HF374" i="2"/>
  <c r="HG374" i="2"/>
  <c r="HH374" i="2"/>
  <c r="HI374" i="2"/>
  <c r="HJ374" i="2"/>
  <c r="HK374" i="2"/>
  <c r="HL374" i="2"/>
  <c r="HM374" i="2"/>
  <c r="HN374" i="2"/>
  <c r="HO374" i="2"/>
  <c r="HP374" i="2"/>
  <c r="HQ374" i="2"/>
  <c r="HR374" i="2"/>
  <c r="HS374" i="2"/>
  <c r="HT374" i="2"/>
  <c r="HU374" i="2"/>
  <c r="HV374" i="2"/>
  <c r="HW374" i="2"/>
  <c r="HX374" i="2"/>
  <c r="HY374" i="2"/>
  <c r="HZ374" i="2"/>
  <c r="F375" i="2"/>
  <c r="G375" i="2"/>
  <c r="H375" i="2"/>
  <c r="I375" i="2"/>
  <c r="J375" i="2"/>
  <c r="K375" i="2"/>
  <c r="L375" i="2"/>
  <c r="M375" i="2"/>
  <c r="N375" i="2"/>
  <c r="O375" i="2"/>
  <c r="P375" i="2"/>
  <c r="AH375" i="2"/>
  <c r="AI375" i="2"/>
  <c r="AJ375" i="2"/>
  <c r="AK375" i="2"/>
  <c r="AL375" i="2"/>
  <c r="AM375" i="2"/>
  <c r="AN375" i="2"/>
  <c r="AO375" i="2"/>
  <c r="AP375" i="2"/>
  <c r="AQ375" i="2"/>
  <c r="AR375" i="2"/>
  <c r="AS375" i="2"/>
  <c r="AT375" i="2"/>
  <c r="AU375" i="2"/>
  <c r="AV375" i="2"/>
  <c r="AW375" i="2"/>
  <c r="AX375" i="2"/>
  <c r="AY375" i="2"/>
  <c r="AZ375" i="2"/>
  <c r="BA375" i="2"/>
  <c r="BB375" i="2"/>
  <c r="BC375" i="2"/>
  <c r="BD375" i="2"/>
  <c r="BE375" i="2"/>
  <c r="BF375" i="2"/>
  <c r="BG375" i="2"/>
  <c r="BH375" i="2"/>
  <c r="BI375" i="2"/>
  <c r="BJ375" i="2"/>
  <c r="BK375" i="2"/>
  <c r="BL375" i="2"/>
  <c r="BM375" i="2"/>
  <c r="BN375" i="2"/>
  <c r="BO375" i="2"/>
  <c r="BP375" i="2"/>
  <c r="BQ375" i="2"/>
  <c r="BR375" i="2"/>
  <c r="BS375" i="2"/>
  <c r="BT375" i="2"/>
  <c r="BU375" i="2"/>
  <c r="BV375" i="2"/>
  <c r="BW375" i="2"/>
  <c r="BX375" i="2"/>
  <c r="BY375" i="2"/>
  <c r="BZ375" i="2"/>
  <c r="CA375" i="2"/>
  <c r="CB375" i="2"/>
  <c r="CC375" i="2"/>
  <c r="CD375" i="2"/>
  <c r="CE375" i="2"/>
  <c r="CF375" i="2"/>
  <c r="CG375" i="2"/>
  <c r="CH375" i="2"/>
  <c r="CI375" i="2"/>
  <c r="CJ375" i="2"/>
  <c r="CK375" i="2"/>
  <c r="CL375" i="2"/>
  <c r="CM375" i="2"/>
  <c r="CN375" i="2"/>
  <c r="CO375" i="2"/>
  <c r="CP375" i="2"/>
  <c r="CQ375" i="2"/>
  <c r="CR375" i="2"/>
  <c r="CS375" i="2"/>
  <c r="CT375" i="2"/>
  <c r="CU375" i="2"/>
  <c r="CV375" i="2"/>
  <c r="CW375" i="2"/>
  <c r="CX375" i="2"/>
  <c r="CY375" i="2"/>
  <c r="CZ375" i="2"/>
  <c r="DA375" i="2"/>
  <c r="DB375" i="2"/>
  <c r="DC375" i="2"/>
  <c r="DD375" i="2"/>
  <c r="DE375" i="2"/>
  <c r="DF375" i="2"/>
  <c r="DG375" i="2"/>
  <c r="DH375" i="2"/>
  <c r="DI375" i="2"/>
  <c r="DJ375" i="2"/>
  <c r="DK375" i="2"/>
  <c r="DL375" i="2"/>
  <c r="DM375" i="2"/>
  <c r="DN375" i="2"/>
  <c r="DO375" i="2"/>
  <c r="DP375" i="2"/>
  <c r="DQ375" i="2"/>
  <c r="DR375" i="2"/>
  <c r="DS375" i="2"/>
  <c r="DT375" i="2"/>
  <c r="DU375" i="2"/>
  <c r="DV375" i="2"/>
  <c r="DW375" i="2"/>
  <c r="DX375" i="2"/>
  <c r="DY375" i="2"/>
  <c r="DZ375" i="2"/>
  <c r="EA375" i="2"/>
  <c r="EB375" i="2"/>
  <c r="EC375" i="2"/>
  <c r="ED375" i="2"/>
  <c r="EE375" i="2"/>
  <c r="EF375" i="2"/>
  <c r="EG375" i="2"/>
  <c r="EH375" i="2"/>
  <c r="EI375" i="2"/>
  <c r="EJ375" i="2"/>
  <c r="EK375" i="2"/>
  <c r="EL375" i="2"/>
  <c r="EM375" i="2"/>
  <c r="EN375" i="2"/>
  <c r="EO375" i="2"/>
  <c r="EP375" i="2"/>
  <c r="EQ375" i="2"/>
  <c r="ER375" i="2"/>
  <c r="ES375" i="2"/>
  <c r="ET375" i="2"/>
  <c r="EU375" i="2"/>
  <c r="EV375" i="2"/>
  <c r="EW375" i="2"/>
  <c r="EX375" i="2"/>
  <c r="EY375" i="2"/>
  <c r="EZ375" i="2"/>
  <c r="FA375" i="2"/>
  <c r="FB375" i="2"/>
  <c r="FC375" i="2"/>
  <c r="FD375" i="2"/>
  <c r="FE375" i="2"/>
  <c r="FF375" i="2"/>
  <c r="FG375" i="2"/>
  <c r="FH375" i="2"/>
  <c r="FI375" i="2"/>
  <c r="FJ375" i="2"/>
  <c r="FK375" i="2"/>
  <c r="FL375" i="2"/>
  <c r="FM375" i="2"/>
  <c r="FN375" i="2"/>
  <c r="FO375" i="2"/>
  <c r="FP375" i="2"/>
  <c r="FQ375" i="2"/>
  <c r="FR375" i="2"/>
  <c r="FS375" i="2"/>
  <c r="FT375" i="2"/>
  <c r="FU375" i="2"/>
  <c r="FV375" i="2"/>
  <c r="FW375" i="2"/>
  <c r="FX375" i="2"/>
  <c r="FY375" i="2"/>
  <c r="FZ375" i="2"/>
  <c r="GA375" i="2"/>
  <c r="GB375" i="2"/>
  <c r="GC375" i="2"/>
  <c r="GD375" i="2"/>
  <c r="GE375" i="2"/>
  <c r="GF375" i="2"/>
  <c r="GG375" i="2"/>
  <c r="GH375" i="2"/>
  <c r="GI375" i="2"/>
  <c r="GJ375" i="2"/>
  <c r="GK375" i="2"/>
  <c r="GL375" i="2"/>
  <c r="GM375" i="2"/>
  <c r="GN375" i="2"/>
  <c r="GO375" i="2"/>
  <c r="GP375" i="2"/>
  <c r="GQ375" i="2"/>
  <c r="GR375" i="2"/>
  <c r="GS375" i="2"/>
  <c r="GT375" i="2"/>
  <c r="GU375" i="2"/>
  <c r="GV375" i="2"/>
  <c r="GW375" i="2"/>
  <c r="GX375" i="2"/>
  <c r="GY375" i="2"/>
  <c r="GZ375" i="2"/>
  <c r="HA375" i="2"/>
  <c r="HB375" i="2"/>
  <c r="HC375" i="2"/>
  <c r="HD375" i="2"/>
  <c r="HE375" i="2"/>
  <c r="HF375" i="2"/>
  <c r="HG375" i="2"/>
  <c r="HH375" i="2"/>
  <c r="HI375" i="2"/>
  <c r="HJ375" i="2"/>
  <c r="HK375" i="2"/>
  <c r="HL375" i="2"/>
  <c r="HM375" i="2"/>
  <c r="HN375" i="2"/>
  <c r="HO375" i="2"/>
  <c r="HP375" i="2"/>
  <c r="HQ375" i="2"/>
  <c r="HR375" i="2"/>
  <c r="HS375" i="2"/>
  <c r="HT375" i="2"/>
  <c r="HU375" i="2"/>
  <c r="HV375" i="2"/>
  <c r="HW375" i="2"/>
  <c r="HX375" i="2"/>
  <c r="HY375" i="2"/>
  <c r="HZ375" i="2"/>
  <c r="F376" i="2"/>
  <c r="G376" i="2"/>
  <c r="H376" i="2"/>
  <c r="I376" i="2"/>
  <c r="J376" i="2"/>
  <c r="K376" i="2"/>
  <c r="L376" i="2"/>
  <c r="M376" i="2"/>
  <c r="N376" i="2"/>
  <c r="O376" i="2"/>
  <c r="P376" i="2"/>
  <c r="AH376" i="2"/>
  <c r="AI376" i="2"/>
  <c r="AJ376" i="2"/>
  <c r="AK376" i="2"/>
  <c r="AL376" i="2"/>
  <c r="AM376" i="2"/>
  <c r="AN376" i="2"/>
  <c r="AO376" i="2"/>
  <c r="AP376" i="2"/>
  <c r="AQ376" i="2"/>
  <c r="AR376" i="2"/>
  <c r="AS376" i="2"/>
  <c r="AT376" i="2"/>
  <c r="AU376" i="2"/>
  <c r="AV376" i="2"/>
  <c r="AW376" i="2"/>
  <c r="AX376" i="2"/>
  <c r="AY376" i="2"/>
  <c r="AZ376" i="2"/>
  <c r="BA376" i="2"/>
  <c r="BB376" i="2"/>
  <c r="BC376" i="2"/>
  <c r="BD376" i="2"/>
  <c r="BE376" i="2"/>
  <c r="BF376" i="2"/>
  <c r="BG376" i="2"/>
  <c r="BH376" i="2"/>
  <c r="BI376" i="2"/>
  <c r="BJ376" i="2"/>
  <c r="BK376" i="2"/>
  <c r="BL376" i="2"/>
  <c r="BM376" i="2"/>
  <c r="BN376" i="2"/>
  <c r="BO376" i="2"/>
  <c r="BP376" i="2"/>
  <c r="BQ376" i="2"/>
  <c r="BR376" i="2"/>
  <c r="BS376" i="2"/>
  <c r="BT376" i="2"/>
  <c r="BU376" i="2"/>
  <c r="BV376" i="2"/>
  <c r="BW376" i="2"/>
  <c r="BX376" i="2"/>
  <c r="BY376" i="2"/>
  <c r="BZ376" i="2"/>
  <c r="CA376" i="2"/>
  <c r="CB376" i="2"/>
  <c r="CC376" i="2"/>
  <c r="CD376" i="2"/>
  <c r="CE376" i="2"/>
  <c r="CF376" i="2"/>
  <c r="CG376" i="2"/>
  <c r="CH376" i="2"/>
  <c r="CI376" i="2"/>
  <c r="CJ376" i="2"/>
  <c r="CK376" i="2"/>
  <c r="CL376" i="2"/>
  <c r="CM376" i="2"/>
  <c r="CN376" i="2"/>
  <c r="CO376" i="2"/>
  <c r="CP376" i="2"/>
  <c r="CQ376" i="2"/>
  <c r="CR376" i="2"/>
  <c r="CS376" i="2"/>
  <c r="CT376" i="2"/>
  <c r="CU376" i="2"/>
  <c r="CV376" i="2"/>
  <c r="CW376" i="2"/>
  <c r="CX376" i="2"/>
  <c r="CY376" i="2"/>
  <c r="CZ376" i="2"/>
  <c r="DA376" i="2"/>
  <c r="DB376" i="2"/>
  <c r="DC376" i="2"/>
  <c r="DD376" i="2"/>
  <c r="DE376" i="2"/>
  <c r="DF376" i="2"/>
  <c r="DG376" i="2"/>
  <c r="DH376" i="2"/>
  <c r="DI376" i="2"/>
  <c r="DJ376" i="2"/>
  <c r="DK376" i="2"/>
  <c r="DL376" i="2"/>
  <c r="DM376" i="2"/>
  <c r="DN376" i="2"/>
  <c r="DO376" i="2"/>
  <c r="DP376" i="2"/>
  <c r="DQ376" i="2"/>
  <c r="DR376" i="2"/>
  <c r="DS376" i="2"/>
  <c r="DT376" i="2"/>
  <c r="DU376" i="2"/>
  <c r="DV376" i="2"/>
  <c r="DW376" i="2"/>
  <c r="DX376" i="2"/>
  <c r="DY376" i="2"/>
  <c r="DZ376" i="2"/>
  <c r="EA376" i="2"/>
  <c r="EB376" i="2"/>
  <c r="EC376" i="2"/>
  <c r="ED376" i="2"/>
  <c r="EE376" i="2"/>
  <c r="EF376" i="2"/>
  <c r="EG376" i="2"/>
  <c r="EH376" i="2"/>
  <c r="EI376" i="2"/>
  <c r="EJ376" i="2"/>
  <c r="EK376" i="2"/>
  <c r="EL376" i="2"/>
  <c r="EM376" i="2"/>
  <c r="EN376" i="2"/>
  <c r="EO376" i="2"/>
  <c r="EP376" i="2"/>
  <c r="EQ376" i="2"/>
  <c r="ER376" i="2"/>
  <c r="ES376" i="2"/>
  <c r="ET376" i="2"/>
  <c r="EU376" i="2"/>
  <c r="EV376" i="2"/>
  <c r="EW376" i="2"/>
  <c r="EX376" i="2"/>
  <c r="EY376" i="2"/>
  <c r="EZ376" i="2"/>
  <c r="FA376" i="2"/>
  <c r="FB376" i="2"/>
  <c r="FC376" i="2"/>
  <c r="FD376" i="2"/>
  <c r="FE376" i="2"/>
  <c r="FF376" i="2"/>
  <c r="FG376" i="2"/>
  <c r="FH376" i="2"/>
  <c r="FI376" i="2"/>
  <c r="FJ376" i="2"/>
  <c r="FK376" i="2"/>
  <c r="FL376" i="2"/>
  <c r="FM376" i="2"/>
  <c r="FN376" i="2"/>
  <c r="FO376" i="2"/>
  <c r="FP376" i="2"/>
  <c r="FQ376" i="2"/>
  <c r="FR376" i="2"/>
  <c r="FS376" i="2"/>
  <c r="FT376" i="2"/>
  <c r="FU376" i="2"/>
  <c r="FV376" i="2"/>
  <c r="FW376" i="2"/>
  <c r="FX376" i="2"/>
  <c r="FY376" i="2"/>
  <c r="FZ376" i="2"/>
  <c r="GA376" i="2"/>
  <c r="GB376" i="2"/>
  <c r="GC376" i="2"/>
  <c r="GD376" i="2"/>
  <c r="GE376" i="2"/>
  <c r="GF376" i="2"/>
  <c r="GG376" i="2"/>
  <c r="GH376" i="2"/>
  <c r="GI376" i="2"/>
  <c r="GJ376" i="2"/>
  <c r="GK376" i="2"/>
  <c r="GL376" i="2"/>
  <c r="GM376" i="2"/>
  <c r="GN376" i="2"/>
  <c r="GO376" i="2"/>
  <c r="GP376" i="2"/>
  <c r="GQ376" i="2"/>
  <c r="GR376" i="2"/>
  <c r="GS376" i="2"/>
  <c r="GT376" i="2"/>
  <c r="GU376" i="2"/>
  <c r="GV376" i="2"/>
  <c r="GW376" i="2"/>
  <c r="GX376" i="2"/>
  <c r="GY376" i="2"/>
  <c r="GZ376" i="2"/>
  <c r="HA376" i="2"/>
  <c r="HB376" i="2"/>
  <c r="HC376" i="2"/>
  <c r="HD376" i="2"/>
  <c r="HE376" i="2"/>
  <c r="HF376" i="2"/>
  <c r="HG376" i="2"/>
  <c r="HH376" i="2"/>
  <c r="HI376" i="2"/>
  <c r="HJ376" i="2"/>
  <c r="HK376" i="2"/>
  <c r="HL376" i="2"/>
  <c r="HM376" i="2"/>
  <c r="HN376" i="2"/>
  <c r="HO376" i="2"/>
  <c r="HP376" i="2"/>
  <c r="HQ376" i="2"/>
  <c r="HR376" i="2"/>
  <c r="HS376" i="2"/>
  <c r="HT376" i="2"/>
  <c r="HU376" i="2"/>
  <c r="HV376" i="2"/>
  <c r="HW376" i="2"/>
  <c r="HX376" i="2"/>
  <c r="HY376" i="2"/>
  <c r="HZ376" i="2"/>
  <c r="F377" i="2"/>
  <c r="G377" i="2"/>
  <c r="H377" i="2"/>
  <c r="I377" i="2"/>
  <c r="J377" i="2"/>
  <c r="K377" i="2"/>
  <c r="L377" i="2"/>
  <c r="M377" i="2"/>
  <c r="N377" i="2"/>
  <c r="P377" i="2"/>
  <c r="AH377" i="2"/>
  <c r="AI377" i="2"/>
  <c r="AJ377" i="2"/>
  <c r="AK377" i="2"/>
  <c r="AL377" i="2"/>
  <c r="AM377" i="2"/>
  <c r="AN377" i="2"/>
  <c r="AO377" i="2"/>
  <c r="AP377" i="2"/>
  <c r="AQ377" i="2"/>
  <c r="AR377" i="2"/>
  <c r="AS377" i="2"/>
  <c r="AT377" i="2"/>
  <c r="AU377" i="2"/>
  <c r="AV377" i="2"/>
  <c r="AW377" i="2"/>
  <c r="AX377" i="2"/>
  <c r="AY377" i="2"/>
  <c r="AZ377" i="2"/>
  <c r="BA377" i="2"/>
  <c r="BB377" i="2"/>
  <c r="BC377" i="2"/>
  <c r="BD377" i="2"/>
  <c r="BE377" i="2"/>
  <c r="BF377" i="2"/>
  <c r="BG377" i="2"/>
  <c r="BH377" i="2"/>
  <c r="BI377" i="2"/>
  <c r="BJ377" i="2"/>
  <c r="BK377" i="2"/>
  <c r="BL377" i="2"/>
  <c r="BM377" i="2"/>
  <c r="BN377" i="2"/>
  <c r="BO377" i="2"/>
  <c r="BP377" i="2"/>
  <c r="BQ377" i="2"/>
  <c r="BR377" i="2"/>
  <c r="BS377" i="2"/>
  <c r="BT377" i="2"/>
  <c r="BU377" i="2"/>
  <c r="BV377" i="2"/>
  <c r="BW377" i="2"/>
  <c r="BX377" i="2"/>
  <c r="BY377" i="2"/>
  <c r="BZ377" i="2"/>
  <c r="CA377" i="2"/>
  <c r="CB377" i="2"/>
  <c r="CC377" i="2"/>
  <c r="CD377" i="2"/>
  <c r="CE377" i="2"/>
  <c r="CF377" i="2"/>
  <c r="CG377" i="2"/>
  <c r="CH377" i="2"/>
  <c r="CI377" i="2"/>
  <c r="CJ377" i="2"/>
  <c r="CK377" i="2"/>
  <c r="CL377" i="2"/>
  <c r="CM377" i="2"/>
  <c r="CN377" i="2"/>
  <c r="CO377" i="2"/>
  <c r="CP377" i="2"/>
  <c r="CQ377" i="2"/>
  <c r="CR377" i="2"/>
  <c r="CS377" i="2"/>
  <c r="CT377" i="2"/>
  <c r="CU377" i="2"/>
  <c r="CV377" i="2"/>
  <c r="CW377" i="2"/>
  <c r="CX377" i="2"/>
  <c r="CY377" i="2"/>
  <c r="CZ377" i="2"/>
  <c r="DA377" i="2"/>
  <c r="DB377" i="2"/>
  <c r="DC377" i="2"/>
  <c r="DD377" i="2"/>
  <c r="DE377" i="2"/>
  <c r="DF377" i="2"/>
  <c r="DG377" i="2"/>
  <c r="DH377" i="2"/>
  <c r="DI377" i="2"/>
  <c r="DJ377" i="2"/>
  <c r="DK377" i="2"/>
  <c r="DL377" i="2"/>
  <c r="DM377" i="2"/>
  <c r="DN377" i="2"/>
  <c r="DO377" i="2"/>
  <c r="DP377" i="2"/>
  <c r="DQ377" i="2"/>
  <c r="DR377" i="2"/>
  <c r="DS377" i="2"/>
  <c r="DT377" i="2"/>
  <c r="DU377" i="2"/>
  <c r="DV377" i="2"/>
  <c r="DW377" i="2"/>
  <c r="DX377" i="2"/>
  <c r="DY377" i="2"/>
  <c r="DZ377" i="2"/>
  <c r="EA377" i="2"/>
  <c r="EB377" i="2"/>
  <c r="EC377" i="2"/>
  <c r="ED377" i="2"/>
  <c r="EE377" i="2"/>
  <c r="EF377" i="2"/>
  <c r="EG377" i="2"/>
  <c r="EH377" i="2"/>
  <c r="EI377" i="2"/>
  <c r="EJ377" i="2"/>
  <c r="EK377" i="2"/>
  <c r="EL377" i="2"/>
  <c r="EM377" i="2"/>
  <c r="EN377" i="2"/>
  <c r="EO377" i="2"/>
  <c r="EP377" i="2"/>
  <c r="EQ377" i="2"/>
  <c r="ER377" i="2"/>
  <c r="ES377" i="2"/>
  <c r="ET377" i="2"/>
  <c r="EU377" i="2"/>
  <c r="EV377" i="2"/>
  <c r="EW377" i="2"/>
  <c r="EX377" i="2"/>
  <c r="EY377" i="2"/>
  <c r="EZ377" i="2"/>
  <c r="FA377" i="2"/>
  <c r="FB377" i="2"/>
  <c r="FC377" i="2"/>
  <c r="FD377" i="2"/>
  <c r="FE377" i="2"/>
  <c r="FF377" i="2"/>
  <c r="FG377" i="2"/>
  <c r="FH377" i="2"/>
  <c r="FI377" i="2"/>
  <c r="FJ377" i="2"/>
  <c r="FK377" i="2"/>
  <c r="FL377" i="2"/>
  <c r="FM377" i="2"/>
  <c r="FN377" i="2"/>
  <c r="FO377" i="2"/>
  <c r="FP377" i="2"/>
  <c r="FQ377" i="2"/>
  <c r="FR377" i="2"/>
  <c r="FS377" i="2"/>
  <c r="FT377" i="2"/>
  <c r="FU377" i="2"/>
  <c r="FV377" i="2"/>
  <c r="FW377" i="2"/>
  <c r="FX377" i="2"/>
  <c r="FY377" i="2"/>
  <c r="FZ377" i="2"/>
  <c r="GA377" i="2"/>
  <c r="GB377" i="2"/>
  <c r="GC377" i="2"/>
  <c r="GD377" i="2"/>
  <c r="GE377" i="2"/>
  <c r="GF377" i="2"/>
  <c r="GG377" i="2"/>
  <c r="GH377" i="2"/>
  <c r="GI377" i="2"/>
  <c r="GJ377" i="2"/>
  <c r="GK377" i="2"/>
  <c r="GL377" i="2"/>
  <c r="GM377" i="2"/>
  <c r="GN377" i="2"/>
  <c r="GO377" i="2"/>
  <c r="GP377" i="2"/>
  <c r="GQ377" i="2"/>
  <c r="GR377" i="2"/>
  <c r="GS377" i="2"/>
  <c r="GT377" i="2"/>
  <c r="GU377" i="2"/>
  <c r="GV377" i="2"/>
  <c r="GW377" i="2"/>
  <c r="GX377" i="2"/>
  <c r="GY377" i="2"/>
  <c r="GZ377" i="2"/>
  <c r="HA377" i="2"/>
  <c r="HB377" i="2"/>
  <c r="HC377" i="2"/>
  <c r="HD377" i="2"/>
  <c r="HE377" i="2"/>
  <c r="HF377" i="2"/>
  <c r="HG377" i="2"/>
  <c r="HH377" i="2"/>
  <c r="HI377" i="2"/>
  <c r="HJ377" i="2"/>
  <c r="HK377" i="2"/>
  <c r="HL377" i="2"/>
  <c r="HM377" i="2"/>
  <c r="HN377" i="2"/>
  <c r="HO377" i="2"/>
  <c r="HP377" i="2"/>
  <c r="HQ377" i="2"/>
  <c r="HR377" i="2"/>
  <c r="HS377" i="2"/>
  <c r="HT377" i="2"/>
  <c r="HU377" i="2"/>
  <c r="HV377" i="2"/>
  <c r="HW377" i="2"/>
  <c r="HX377" i="2"/>
  <c r="HY377" i="2"/>
  <c r="HZ377" i="2"/>
  <c r="F378" i="2"/>
  <c r="G378" i="2"/>
  <c r="H378" i="2"/>
  <c r="I378" i="2"/>
  <c r="J378" i="2"/>
  <c r="K378" i="2"/>
  <c r="L378" i="2"/>
  <c r="M378" i="2"/>
  <c r="N378" i="2"/>
  <c r="O378" i="2"/>
  <c r="P378" i="2"/>
  <c r="AH378" i="2"/>
  <c r="AI378" i="2"/>
  <c r="AJ378" i="2"/>
  <c r="AK378" i="2"/>
  <c r="AL378" i="2"/>
  <c r="AM378" i="2"/>
  <c r="AN378" i="2"/>
  <c r="AO378" i="2"/>
  <c r="AP378" i="2"/>
  <c r="AQ378" i="2"/>
  <c r="AR378" i="2"/>
  <c r="AS378" i="2"/>
  <c r="AT378" i="2"/>
  <c r="AU378" i="2"/>
  <c r="AV378" i="2"/>
  <c r="AW378" i="2"/>
  <c r="AX378" i="2"/>
  <c r="AY378" i="2"/>
  <c r="AZ378" i="2"/>
  <c r="BA378" i="2"/>
  <c r="BB378" i="2"/>
  <c r="BC378" i="2"/>
  <c r="BD378" i="2"/>
  <c r="BE378" i="2"/>
  <c r="BF378" i="2"/>
  <c r="BG378" i="2"/>
  <c r="BH378" i="2"/>
  <c r="BI378" i="2"/>
  <c r="BJ378" i="2"/>
  <c r="BK378" i="2"/>
  <c r="BL378" i="2"/>
  <c r="BM378" i="2"/>
  <c r="BN378" i="2"/>
  <c r="BO378" i="2"/>
  <c r="BP378" i="2"/>
  <c r="BQ378" i="2"/>
  <c r="BR378" i="2"/>
  <c r="BS378" i="2"/>
  <c r="BT378" i="2"/>
  <c r="BU378" i="2"/>
  <c r="BV378" i="2"/>
  <c r="BW378" i="2"/>
  <c r="BX378" i="2"/>
  <c r="BY378" i="2"/>
  <c r="BZ378" i="2"/>
  <c r="CA378" i="2"/>
  <c r="CB378" i="2"/>
  <c r="CC378" i="2"/>
  <c r="CD378" i="2"/>
  <c r="CE378" i="2"/>
  <c r="CF378" i="2"/>
  <c r="CG378" i="2"/>
  <c r="CH378" i="2"/>
  <c r="CI378" i="2"/>
  <c r="CJ378" i="2"/>
  <c r="CK378" i="2"/>
  <c r="CL378" i="2"/>
  <c r="CM378" i="2"/>
  <c r="CN378" i="2"/>
  <c r="CO378" i="2"/>
  <c r="CP378" i="2"/>
  <c r="CQ378" i="2"/>
  <c r="CR378" i="2"/>
  <c r="CS378" i="2"/>
  <c r="CT378" i="2"/>
  <c r="CU378" i="2"/>
  <c r="CV378" i="2"/>
  <c r="CW378" i="2"/>
  <c r="CX378" i="2"/>
  <c r="CY378" i="2"/>
  <c r="CZ378" i="2"/>
  <c r="DA378" i="2"/>
  <c r="DB378" i="2"/>
  <c r="DC378" i="2"/>
  <c r="DD378" i="2"/>
  <c r="DE378" i="2"/>
  <c r="DF378" i="2"/>
  <c r="DG378" i="2"/>
  <c r="DH378" i="2"/>
  <c r="DI378" i="2"/>
  <c r="DJ378" i="2"/>
  <c r="DK378" i="2"/>
  <c r="DL378" i="2"/>
  <c r="DM378" i="2"/>
  <c r="DN378" i="2"/>
  <c r="DO378" i="2"/>
  <c r="DP378" i="2"/>
  <c r="DQ378" i="2"/>
  <c r="DR378" i="2"/>
  <c r="DS378" i="2"/>
  <c r="DT378" i="2"/>
  <c r="DU378" i="2"/>
  <c r="DV378" i="2"/>
  <c r="DW378" i="2"/>
  <c r="DX378" i="2"/>
  <c r="DY378" i="2"/>
  <c r="DZ378" i="2"/>
  <c r="EA378" i="2"/>
  <c r="EB378" i="2"/>
  <c r="EC378" i="2"/>
  <c r="ED378" i="2"/>
  <c r="EE378" i="2"/>
  <c r="EF378" i="2"/>
  <c r="EG378" i="2"/>
  <c r="EH378" i="2"/>
  <c r="EI378" i="2"/>
  <c r="EJ378" i="2"/>
  <c r="EK378" i="2"/>
  <c r="EL378" i="2"/>
  <c r="EM378" i="2"/>
  <c r="EN378" i="2"/>
  <c r="EO378" i="2"/>
  <c r="EP378" i="2"/>
  <c r="EQ378" i="2"/>
  <c r="ER378" i="2"/>
  <c r="ES378" i="2"/>
  <c r="ET378" i="2"/>
  <c r="EU378" i="2"/>
  <c r="EV378" i="2"/>
  <c r="EW378" i="2"/>
  <c r="EX378" i="2"/>
  <c r="EY378" i="2"/>
  <c r="EZ378" i="2"/>
  <c r="FA378" i="2"/>
  <c r="FB378" i="2"/>
  <c r="FC378" i="2"/>
  <c r="FD378" i="2"/>
  <c r="FE378" i="2"/>
  <c r="FF378" i="2"/>
  <c r="FG378" i="2"/>
  <c r="FH378" i="2"/>
  <c r="FI378" i="2"/>
  <c r="FJ378" i="2"/>
  <c r="FK378" i="2"/>
  <c r="FL378" i="2"/>
  <c r="FM378" i="2"/>
  <c r="FN378" i="2"/>
  <c r="FO378" i="2"/>
  <c r="FP378" i="2"/>
  <c r="FQ378" i="2"/>
  <c r="FR378" i="2"/>
  <c r="FS378" i="2"/>
  <c r="FT378" i="2"/>
  <c r="FU378" i="2"/>
  <c r="FV378" i="2"/>
  <c r="FW378" i="2"/>
  <c r="FX378" i="2"/>
  <c r="FY378" i="2"/>
  <c r="FZ378" i="2"/>
  <c r="GA378" i="2"/>
  <c r="GB378" i="2"/>
  <c r="GC378" i="2"/>
  <c r="GD378" i="2"/>
  <c r="GE378" i="2"/>
  <c r="GF378" i="2"/>
  <c r="GG378" i="2"/>
  <c r="GH378" i="2"/>
  <c r="GI378" i="2"/>
  <c r="GJ378" i="2"/>
  <c r="GK378" i="2"/>
  <c r="GL378" i="2"/>
  <c r="GM378" i="2"/>
  <c r="GN378" i="2"/>
  <c r="GO378" i="2"/>
  <c r="GP378" i="2"/>
  <c r="GQ378" i="2"/>
  <c r="GR378" i="2"/>
  <c r="GS378" i="2"/>
  <c r="GT378" i="2"/>
  <c r="GU378" i="2"/>
  <c r="GV378" i="2"/>
  <c r="GW378" i="2"/>
  <c r="GX378" i="2"/>
  <c r="GY378" i="2"/>
  <c r="GZ378" i="2"/>
  <c r="HA378" i="2"/>
  <c r="HB378" i="2"/>
  <c r="HC378" i="2"/>
  <c r="HD378" i="2"/>
  <c r="HE378" i="2"/>
  <c r="HF378" i="2"/>
  <c r="HG378" i="2"/>
  <c r="HH378" i="2"/>
  <c r="HI378" i="2"/>
  <c r="HJ378" i="2"/>
  <c r="HK378" i="2"/>
  <c r="HL378" i="2"/>
  <c r="HM378" i="2"/>
  <c r="HN378" i="2"/>
  <c r="HO378" i="2"/>
  <c r="HP378" i="2"/>
  <c r="HQ378" i="2"/>
  <c r="HR378" i="2"/>
  <c r="HS378" i="2"/>
  <c r="HT378" i="2"/>
  <c r="HU378" i="2"/>
  <c r="HV378" i="2"/>
  <c r="HW378" i="2"/>
  <c r="HX378" i="2"/>
  <c r="HY378" i="2"/>
  <c r="HZ378" i="2"/>
  <c r="F379" i="2"/>
  <c r="G379" i="2"/>
  <c r="H379" i="2"/>
  <c r="I379" i="2"/>
  <c r="J379" i="2"/>
  <c r="K379" i="2"/>
  <c r="L379" i="2"/>
  <c r="M379" i="2"/>
  <c r="N379" i="2"/>
  <c r="O379" i="2"/>
  <c r="P379" i="2"/>
  <c r="AH379" i="2"/>
  <c r="AI379" i="2"/>
  <c r="AJ379" i="2"/>
  <c r="AK379" i="2"/>
  <c r="AL379" i="2"/>
  <c r="AM379" i="2"/>
  <c r="AN379" i="2"/>
  <c r="AO379" i="2"/>
  <c r="AP379" i="2"/>
  <c r="AQ379" i="2"/>
  <c r="AR379" i="2"/>
  <c r="AS379" i="2"/>
  <c r="AT379" i="2"/>
  <c r="AU379" i="2"/>
  <c r="AV379" i="2"/>
  <c r="AW379" i="2"/>
  <c r="AX379" i="2"/>
  <c r="AY379" i="2"/>
  <c r="AZ379" i="2"/>
  <c r="BA379" i="2"/>
  <c r="BB379" i="2"/>
  <c r="BC379" i="2"/>
  <c r="BD379" i="2"/>
  <c r="BE379" i="2"/>
  <c r="BF379" i="2"/>
  <c r="BG379" i="2"/>
  <c r="BH379" i="2"/>
  <c r="BI379" i="2"/>
  <c r="BJ379" i="2"/>
  <c r="BK379" i="2"/>
  <c r="BL379" i="2"/>
  <c r="BM379" i="2"/>
  <c r="BN379" i="2"/>
  <c r="BO379" i="2"/>
  <c r="BP379" i="2"/>
  <c r="BQ379" i="2"/>
  <c r="BR379" i="2"/>
  <c r="BS379" i="2"/>
  <c r="BT379" i="2"/>
  <c r="BU379" i="2"/>
  <c r="BV379" i="2"/>
  <c r="BW379" i="2"/>
  <c r="BX379" i="2"/>
  <c r="BY379" i="2"/>
  <c r="BZ379" i="2"/>
  <c r="CA379" i="2"/>
  <c r="CB379" i="2"/>
  <c r="CC379" i="2"/>
  <c r="CD379" i="2"/>
  <c r="CE379" i="2"/>
  <c r="CF379" i="2"/>
  <c r="CG379" i="2"/>
  <c r="CH379" i="2"/>
  <c r="CI379" i="2"/>
  <c r="CJ379" i="2"/>
  <c r="CK379" i="2"/>
  <c r="CL379" i="2"/>
  <c r="CM379" i="2"/>
  <c r="CN379" i="2"/>
  <c r="CO379" i="2"/>
  <c r="CP379" i="2"/>
  <c r="CQ379" i="2"/>
  <c r="CR379" i="2"/>
  <c r="CS379" i="2"/>
  <c r="CT379" i="2"/>
  <c r="CU379" i="2"/>
  <c r="CV379" i="2"/>
  <c r="CW379" i="2"/>
  <c r="CX379" i="2"/>
  <c r="CY379" i="2"/>
  <c r="CZ379" i="2"/>
  <c r="DA379" i="2"/>
  <c r="DB379" i="2"/>
  <c r="DC379" i="2"/>
  <c r="DD379" i="2"/>
  <c r="DE379" i="2"/>
  <c r="DF379" i="2"/>
  <c r="DG379" i="2"/>
  <c r="DH379" i="2"/>
  <c r="DI379" i="2"/>
  <c r="DJ379" i="2"/>
  <c r="DK379" i="2"/>
  <c r="DL379" i="2"/>
  <c r="DM379" i="2"/>
  <c r="DN379" i="2"/>
  <c r="DO379" i="2"/>
  <c r="DP379" i="2"/>
  <c r="DQ379" i="2"/>
  <c r="DR379" i="2"/>
  <c r="DS379" i="2"/>
  <c r="DT379" i="2"/>
  <c r="DU379" i="2"/>
  <c r="DV379" i="2"/>
  <c r="DW379" i="2"/>
  <c r="DX379" i="2"/>
  <c r="DY379" i="2"/>
  <c r="DZ379" i="2"/>
  <c r="EA379" i="2"/>
  <c r="EB379" i="2"/>
  <c r="EC379" i="2"/>
  <c r="ED379" i="2"/>
  <c r="EE379" i="2"/>
  <c r="EF379" i="2"/>
  <c r="EG379" i="2"/>
  <c r="EH379" i="2"/>
  <c r="EI379" i="2"/>
  <c r="EJ379" i="2"/>
  <c r="EK379" i="2"/>
  <c r="EL379" i="2"/>
  <c r="EM379" i="2"/>
  <c r="EN379" i="2"/>
  <c r="EO379" i="2"/>
  <c r="EP379" i="2"/>
  <c r="EQ379" i="2"/>
  <c r="ER379" i="2"/>
  <c r="ES379" i="2"/>
  <c r="ET379" i="2"/>
  <c r="EU379" i="2"/>
  <c r="EV379" i="2"/>
  <c r="EW379" i="2"/>
  <c r="EX379" i="2"/>
  <c r="EY379" i="2"/>
  <c r="EZ379" i="2"/>
  <c r="FA379" i="2"/>
  <c r="FB379" i="2"/>
  <c r="FC379" i="2"/>
  <c r="FD379" i="2"/>
  <c r="FE379" i="2"/>
  <c r="FF379" i="2"/>
  <c r="FG379" i="2"/>
  <c r="FH379" i="2"/>
  <c r="FI379" i="2"/>
  <c r="FJ379" i="2"/>
  <c r="FK379" i="2"/>
  <c r="FL379" i="2"/>
  <c r="FM379" i="2"/>
  <c r="FN379" i="2"/>
  <c r="FO379" i="2"/>
  <c r="FP379" i="2"/>
  <c r="FQ379" i="2"/>
  <c r="FR379" i="2"/>
  <c r="FS379" i="2"/>
  <c r="FT379" i="2"/>
  <c r="FU379" i="2"/>
  <c r="FV379" i="2"/>
  <c r="FW379" i="2"/>
  <c r="FX379" i="2"/>
  <c r="FY379" i="2"/>
  <c r="FZ379" i="2"/>
  <c r="GA379" i="2"/>
  <c r="GB379" i="2"/>
  <c r="GC379" i="2"/>
  <c r="GD379" i="2"/>
  <c r="GE379" i="2"/>
  <c r="GF379" i="2"/>
  <c r="GG379" i="2"/>
  <c r="GH379" i="2"/>
  <c r="GI379" i="2"/>
  <c r="GJ379" i="2"/>
  <c r="GK379" i="2"/>
  <c r="GL379" i="2"/>
  <c r="GM379" i="2"/>
  <c r="GN379" i="2"/>
  <c r="GO379" i="2"/>
  <c r="GP379" i="2"/>
  <c r="GQ379" i="2"/>
  <c r="GR379" i="2"/>
  <c r="GS379" i="2"/>
  <c r="GT379" i="2"/>
  <c r="GU379" i="2"/>
  <c r="GV379" i="2"/>
  <c r="GW379" i="2"/>
  <c r="GX379" i="2"/>
  <c r="GY379" i="2"/>
  <c r="GZ379" i="2"/>
  <c r="HA379" i="2"/>
  <c r="HB379" i="2"/>
  <c r="HC379" i="2"/>
  <c r="HD379" i="2"/>
  <c r="HE379" i="2"/>
  <c r="HF379" i="2"/>
  <c r="HG379" i="2"/>
  <c r="HH379" i="2"/>
  <c r="HI379" i="2"/>
  <c r="HJ379" i="2"/>
  <c r="HK379" i="2"/>
  <c r="HL379" i="2"/>
  <c r="HM379" i="2"/>
  <c r="HN379" i="2"/>
  <c r="HO379" i="2"/>
  <c r="HP379" i="2"/>
  <c r="HQ379" i="2"/>
  <c r="HR379" i="2"/>
  <c r="HS379" i="2"/>
  <c r="HT379" i="2"/>
  <c r="HU379" i="2"/>
  <c r="HV379" i="2"/>
  <c r="HW379" i="2"/>
  <c r="HX379" i="2"/>
  <c r="HY379" i="2"/>
  <c r="HZ379" i="2"/>
  <c r="F380" i="2"/>
  <c r="G380" i="2"/>
  <c r="H380" i="2"/>
  <c r="I380" i="2"/>
  <c r="J380" i="2"/>
  <c r="K380" i="2"/>
  <c r="L380" i="2"/>
  <c r="M380" i="2"/>
  <c r="N380" i="2"/>
  <c r="O380" i="2"/>
  <c r="P380" i="2"/>
  <c r="AH380" i="2"/>
  <c r="AI380" i="2"/>
  <c r="AJ380" i="2"/>
  <c r="AK380" i="2"/>
  <c r="AL380" i="2"/>
  <c r="AM380" i="2"/>
  <c r="AN380" i="2"/>
  <c r="AO380" i="2"/>
  <c r="AP380" i="2"/>
  <c r="AQ380" i="2"/>
  <c r="AR380" i="2"/>
  <c r="AS380" i="2"/>
  <c r="AT380" i="2"/>
  <c r="AU380" i="2"/>
  <c r="AV380" i="2"/>
  <c r="AW380" i="2"/>
  <c r="AX380" i="2"/>
  <c r="AY380" i="2"/>
  <c r="AZ380" i="2"/>
  <c r="BA380" i="2"/>
  <c r="BB380" i="2"/>
  <c r="BC380" i="2"/>
  <c r="BD380" i="2"/>
  <c r="BE380" i="2"/>
  <c r="BF380" i="2"/>
  <c r="BG380" i="2"/>
  <c r="BH380" i="2"/>
  <c r="BI380" i="2"/>
  <c r="BJ380" i="2"/>
  <c r="BK380" i="2"/>
  <c r="BL380" i="2"/>
  <c r="BM380" i="2"/>
  <c r="BN380" i="2"/>
  <c r="BO380" i="2"/>
  <c r="BP380" i="2"/>
  <c r="BQ380" i="2"/>
  <c r="BR380" i="2"/>
  <c r="BS380" i="2"/>
  <c r="BT380" i="2"/>
  <c r="BU380" i="2"/>
  <c r="BV380" i="2"/>
  <c r="BW380" i="2"/>
  <c r="BX380" i="2"/>
  <c r="BY380" i="2"/>
  <c r="BZ380" i="2"/>
  <c r="CA380" i="2"/>
  <c r="CB380" i="2"/>
  <c r="CC380" i="2"/>
  <c r="CD380" i="2"/>
  <c r="CE380" i="2"/>
  <c r="CF380" i="2"/>
  <c r="CG380" i="2"/>
  <c r="CH380" i="2"/>
  <c r="CI380" i="2"/>
  <c r="CJ380" i="2"/>
  <c r="CK380" i="2"/>
  <c r="CL380" i="2"/>
  <c r="CM380" i="2"/>
  <c r="CN380" i="2"/>
  <c r="CO380" i="2"/>
  <c r="CP380" i="2"/>
  <c r="CQ380" i="2"/>
  <c r="CR380" i="2"/>
  <c r="CS380" i="2"/>
  <c r="CT380" i="2"/>
  <c r="CU380" i="2"/>
  <c r="CV380" i="2"/>
  <c r="CW380" i="2"/>
  <c r="CX380" i="2"/>
  <c r="CY380" i="2"/>
  <c r="CZ380" i="2"/>
  <c r="DA380" i="2"/>
  <c r="DB380" i="2"/>
  <c r="DC380" i="2"/>
  <c r="DD380" i="2"/>
  <c r="DE380" i="2"/>
  <c r="DF380" i="2"/>
  <c r="DG380" i="2"/>
  <c r="DH380" i="2"/>
  <c r="DI380" i="2"/>
  <c r="DJ380" i="2"/>
  <c r="DK380" i="2"/>
  <c r="DL380" i="2"/>
  <c r="DM380" i="2"/>
  <c r="DN380" i="2"/>
  <c r="DO380" i="2"/>
  <c r="DP380" i="2"/>
  <c r="DQ380" i="2"/>
  <c r="DR380" i="2"/>
  <c r="DS380" i="2"/>
  <c r="DT380" i="2"/>
  <c r="DU380" i="2"/>
  <c r="DV380" i="2"/>
  <c r="DW380" i="2"/>
  <c r="DX380" i="2"/>
  <c r="DY380" i="2"/>
  <c r="DZ380" i="2"/>
  <c r="EA380" i="2"/>
  <c r="EB380" i="2"/>
  <c r="EC380" i="2"/>
  <c r="ED380" i="2"/>
  <c r="EE380" i="2"/>
  <c r="EF380" i="2"/>
  <c r="EG380" i="2"/>
  <c r="EH380" i="2"/>
  <c r="EI380" i="2"/>
  <c r="EJ380" i="2"/>
  <c r="EK380" i="2"/>
  <c r="EL380" i="2"/>
  <c r="EM380" i="2"/>
  <c r="EN380" i="2"/>
  <c r="EO380" i="2"/>
  <c r="EP380" i="2"/>
  <c r="EQ380" i="2"/>
  <c r="ER380" i="2"/>
  <c r="ES380" i="2"/>
  <c r="ET380" i="2"/>
  <c r="EU380" i="2"/>
  <c r="EV380" i="2"/>
  <c r="EW380" i="2"/>
  <c r="EX380" i="2"/>
  <c r="EY380" i="2"/>
  <c r="EZ380" i="2"/>
  <c r="FA380" i="2"/>
  <c r="FB380" i="2"/>
  <c r="FC380" i="2"/>
  <c r="FD380" i="2"/>
  <c r="FE380" i="2"/>
  <c r="FF380" i="2"/>
  <c r="FG380" i="2"/>
  <c r="FH380" i="2"/>
  <c r="FI380" i="2"/>
  <c r="FJ380" i="2"/>
  <c r="FK380" i="2"/>
  <c r="FL380" i="2"/>
  <c r="FM380" i="2"/>
  <c r="FN380" i="2"/>
  <c r="FO380" i="2"/>
  <c r="FP380" i="2"/>
  <c r="FQ380" i="2"/>
  <c r="FR380" i="2"/>
  <c r="FS380" i="2"/>
  <c r="FT380" i="2"/>
  <c r="FU380" i="2"/>
  <c r="FV380" i="2"/>
  <c r="FW380" i="2"/>
  <c r="FX380" i="2"/>
  <c r="FY380" i="2"/>
  <c r="FZ380" i="2"/>
  <c r="GA380" i="2"/>
  <c r="GB380" i="2"/>
  <c r="GC380" i="2"/>
  <c r="GD380" i="2"/>
  <c r="GE380" i="2"/>
  <c r="GF380" i="2"/>
  <c r="GG380" i="2"/>
  <c r="GH380" i="2"/>
  <c r="GI380" i="2"/>
  <c r="GJ380" i="2"/>
  <c r="GK380" i="2"/>
  <c r="GL380" i="2"/>
  <c r="GM380" i="2"/>
  <c r="GN380" i="2"/>
  <c r="GO380" i="2"/>
  <c r="GP380" i="2"/>
  <c r="GQ380" i="2"/>
  <c r="GR380" i="2"/>
  <c r="GS380" i="2"/>
  <c r="GT380" i="2"/>
  <c r="GU380" i="2"/>
  <c r="GV380" i="2"/>
  <c r="GW380" i="2"/>
  <c r="GX380" i="2"/>
  <c r="GY380" i="2"/>
  <c r="GZ380" i="2"/>
  <c r="HA380" i="2"/>
  <c r="HB380" i="2"/>
  <c r="HC380" i="2"/>
  <c r="HD380" i="2"/>
  <c r="HE380" i="2"/>
  <c r="HF380" i="2"/>
  <c r="HG380" i="2"/>
  <c r="HH380" i="2"/>
  <c r="HI380" i="2"/>
  <c r="HJ380" i="2"/>
  <c r="HK380" i="2"/>
  <c r="HL380" i="2"/>
  <c r="HM380" i="2"/>
  <c r="HN380" i="2"/>
  <c r="HO380" i="2"/>
  <c r="HP380" i="2"/>
  <c r="HQ380" i="2"/>
  <c r="HR380" i="2"/>
  <c r="HS380" i="2"/>
  <c r="HT380" i="2"/>
  <c r="HU380" i="2"/>
  <c r="HV380" i="2"/>
  <c r="HW380" i="2"/>
  <c r="HX380" i="2"/>
  <c r="HY380" i="2"/>
  <c r="HZ380" i="2"/>
  <c r="F381" i="2"/>
  <c r="G381" i="2"/>
  <c r="I381" i="2"/>
  <c r="J381" i="2"/>
  <c r="K381" i="2"/>
  <c r="L381" i="2"/>
  <c r="M381" i="2"/>
  <c r="N381" i="2"/>
  <c r="O381" i="2"/>
  <c r="P381" i="2"/>
  <c r="AH381" i="2"/>
  <c r="AI381" i="2"/>
  <c r="AJ381" i="2"/>
  <c r="AK381" i="2"/>
  <c r="AL381" i="2"/>
  <c r="AM381" i="2"/>
  <c r="AN381" i="2"/>
  <c r="AO381" i="2"/>
  <c r="AP381" i="2"/>
  <c r="AQ381" i="2"/>
  <c r="AR381" i="2"/>
  <c r="AS381" i="2"/>
  <c r="AT381" i="2"/>
  <c r="AU381" i="2"/>
  <c r="AV381" i="2"/>
  <c r="AW381" i="2"/>
  <c r="AX381" i="2"/>
  <c r="AY381" i="2"/>
  <c r="AZ381" i="2"/>
  <c r="BA381" i="2"/>
  <c r="BB381" i="2"/>
  <c r="BC381" i="2"/>
  <c r="BD381" i="2"/>
  <c r="BE381" i="2"/>
  <c r="BF381" i="2"/>
  <c r="BG381" i="2"/>
  <c r="BH381" i="2"/>
  <c r="BI381" i="2"/>
  <c r="BJ381" i="2"/>
  <c r="BK381" i="2"/>
  <c r="BL381" i="2"/>
  <c r="BM381" i="2"/>
  <c r="BN381" i="2"/>
  <c r="BO381" i="2"/>
  <c r="BP381" i="2"/>
  <c r="BQ381" i="2"/>
  <c r="BR381" i="2"/>
  <c r="BS381" i="2"/>
  <c r="BT381" i="2"/>
  <c r="BU381" i="2"/>
  <c r="BV381" i="2"/>
  <c r="BW381" i="2"/>
  <c r="BX381" i="2"/>
  <c r="BY381" i="2"/>
  <c r="BZ381" i="2"/>
  <c r="CA381" i="2"/>
  <c r="CB381" i="2"/>
  <c r="CC381" i="2"/>
  <c r="CD381" i="2"/>
  <c r="CE381" i="2"/>
  <c r="CF381" i="2"/>
  <c r="CG381" i="2"/>
  <c r="CH381" i="2"/>
  <c r="CI381" i="2"/>
  <c r="CJ381" i="2"/>
  <c r="CK381" i="2"/>
  <c r="CL381" i="2"/>
  <c r="CM381" i="2"/>
  <c r="CN381" i="2"/>
  <c r="CO381" i="2"/>
  <c r="CP381" i="2"/>
  <c r="CQ381" i="2"/>
  <c r="CR381" i="2"/>
  <c r="CS381" i="2"/>
  <c r="CT381" i="2"/>
  <c r="CU381" i="2"/>
  <c r="CV381" i="2"/>
  <c r="CW381" i="2"/>
  <c r="CX381" i="2"/>
  <c r="CY381" i="2"/>
  <c r="DA381" i="2"/>
  <c r="DB381" i="2"/>
  <c r="DC381" i="2"/>
  <c r="DD381" i="2"/>
  <c r="DE381" i="2"/>
  <c r="DF381" i="2"/>
  <c r="DG381" i="2"/>
  <c r="DH381" i="2"/>
  <c r="DI381" i="2"/>
  <c r="DJ381" i="2"/>
  <c r="DK381" i="2"/>
  <c r="DL381" i="2"/>
  <c r="DM381" i="2"/>
  <c r="DN381" i="2"/>
  <c r="DO381" i="2"/>
  <c r="DP381" i="2"/>
  <c r="DQ381" i="2"/>
  <c r="DR381" i="2"/>
  <c r="DS381" i="2"/>
  <c r="DT381" i="2"/>
  <c r="DU381" i="2"/>
  <c r="DV381" i="2"/>
  <c r="DW381" i="2"/>
  <c r="DX381" i="2"/>
  <c r="DY381" i="2"/>
  <c r="DZ381" i="2"/>
  <c r="EA381" i="2"/>
  <c r="EB381" i="2"/>
  <c r="EC381" i="2"/>
  <c r="ED381" i="2"/>
  <c r="EE381" i="2"/>
  <c r="EF381" i="2"/>
  <c r="EG381" i="2"/>
  <c r="EH381" i="2"/>
  <c r="EI381" i="2"/>
  <c r="EJ381" i="2"/>
  <c r="EK381" i="2"/>
  <c r="EL381" i="2"/>
  <c r="EM381" i="2"/>
  <c r="EN381" i="2"/>
  <c r="EO381" i="2"/>
  <c r="EP381" i="2"/>
  <c r="EQ381" i="2"/>
  <c r="ER381" i="2"/>
  <c r="ES381" i="2"/>
  <c r="ET381" i="2"/>
  <c r="EU381" i="2"/>
  <c r="EV381" i="2"/>
  <c r="EW381" i="2"/>
  <c r="EX381" i="2"/>
  <c r="EY381" i="2"/>
  <c r="EZ381" i="2"/>
  <c r="FA381" i="2"/>
  <c r="FB381" i="2"/>
  <c r="FC381" i="2"/>
  <c r="FD381" i="2"/>
  <c r="FE381" i="2"/>
  <c r="FF381" i="2"/>
  <c r="FG381" i="2"/>
  <c r="FH381" i="2"/>
  <c r="FI381" i="2"/>
  <c r="FJ381" i="2"/>
  <c r="FK381" i="2"/>
  <c r="FL381" i="2"/>
  <c r="FM381" i="2"/>
  <c r="FN381" i="2"/>
  <c r="FO381" i="2"/>
  <c r="FP381" i="2"/>
  <c r="FQ381" i="2"/>
  <c r="FR381" i="2"/>
  <c r="FS381" i="2"/>
  <c r="FT381" i="2"/>
  <c r="FU381" i="2"/>
  <c r="FV381" i="2"/>
  <c r="FW381" i="2"/>
  <c r="FX381" i="2"/>
  <c r="FY381" i="2"/>
  <c r="FZ381" i="2"/>
  <c r="GA381" i="2"/>
  <c r="GB381" i="2"/>
  <c r="GC381" i="2"/>
  <c r="GD381" i="2"/>
  <c r="GE381" i="2"/>
  <c r="GF381" i="2"/>
  <c r="GG381" i="2"/>
  <c r="GH381" i="2"/>
  <c r="GI381" i="2"/>
  <c r="GJ381" i="2"/>
  <c r="GK381" i="2"/>
  <c r="GL381" i="2"/>
  <c r="GM381" i="2"/>
  <c r="GN381" i="2"/>
  <c r="GO381" i="2"/>
  <c r="GP381" i="2"/>
  <c r="GQ381" i="2"/>
  <c r="GR381" i="2"/>
  <c r="GS381" i="2"/>
  <c r="GT381" i="2"/>
  <c r="GU381" i="2"/>
  <c r="GV381" i="2"/>
  <c r="GW381" i="2"/>
  <c r="GX381" i="2"/>
  <c r="GY381" i="2"/>
  <c r="GZ381" i="2"/>
  <c r="HA381" i="2"/>
  <c r="HB381" i="2"/>
  <c r="HC381" i="2"/>
  <c r="HD381" i="2"/>
  <c r="HE381" i="2"/>
  <c r="HF381" i="2"/>
  <c r="HG381" i="2"/>
  <c r="HH381" i="2"/>
  <c r="HI381" i="2"/>
  <c r="HJ381" i="2"/>
  <c r="HK381" i="2"/>
  <c r="HL381" i="2"/>
  <c r="HM381" i="2"/>
  <c r="HN381" i="2"/>
  <c r="HO381" i="2"/>
  <c r="HP381" i="2"/>
  <c r="HQ381" i="2"/>
  <c r="HR381" i="2"/>
  <c r="HS381" i="2"/>
  <c r="HT381" i="2"/>
  <c r="HU381" i="2"/>
  <c r="HV381" i="2"/>
  <c r="HW381" i="2"/>
  <c r="HX381" i="2"/>
  <c r="HY381" i="2"/>
  <c r="HZ381" i="2"/>
  <c r="F382" i="2"/>
  <c r="G382" i="2"/>
  <c r="H382" i="2"/>
  <c r="I382" i="2"/>
  <c r="K382" i="2"/>
  <c r="L382" i="2"/>
  <c r="M382" i="2"/>
  <c r="N382" i="2"/>
  <c r="O382" i="2"/>
  <c r="P382" i="2"/>
  <c r="AH382" i="2"/>
  <c r="AI382" i="2"/>
  <c r="AJ382" i="2"/>
  <c r="AK382" i="2"/>
  <c r="AL382" i="2"/>
  <c r="AM382" i="2"/>
  <c r="AN382" i="2"/>
  <c r="AO382" i="2"/>
  <c r="AP382" i="2"/>
  <c r="AQ382" i="2"/>
  <c r="AR382" i="2"/>
  <c r="AS382" i="2"/>
  <c r="AT382" i="2"/>
  <c r="AU382" i="2"/>
  <c r="AV382" i="2"/>
  <c r="AW382" i="2"/>
  <c r="AX382" i="2"/>
  <c r="AY382" i="2"/>
  <c r="AZ382" i="2"/>
  <c r="BA382" i="2"/>
  <c r="BB382" i="2"/>
  <c r="BC382" i="2"/>
  <c r="BD382" i="2"/>
  <c r="BE382" i="2"/>
  <c r="BF382" i="2"/>
  <c r="BG382" i="2"/>
  <c r="BH382" i="2"/>
  <c r="BI382" i="2"/>
  <c r="BJ382" i="2"/>
  <c r="BK382" i="2"/>
  <c r="BL382" i="2"/>
  <c r="BM382" i="2"/>
  <c r="BN382" i="2"/>
  <c r="BO382" i="2"/>
  <c r="BP382" i="2"/>
  <c r="BQ382" i="2"/>
  <c r="BR382" i="2"/>
  <c r="BS382" i="2"/>
  <c r="BT382" i="2"/>
  <c r="BU382" i="2"/>
  <c r="BV382" i="2"/>
  <c r="BW382" i="2"/>
  <c r="BX382" i="2"/>
  <c r="BY382" i="2"/>
  <c r="BZ382" i="2"/>
  <c r="CA382" i="2"/>
  <c r="CB382" i="2"/>
  <c r="CC382" i="2"/>
  <c r="CD382" i="2"/>
  <c r="CE382" i="2"/>
  <c r="CF382" i="2"/>
  <c r="CG382" i="2"/>
  <c r="CH382" i="2"/>
  <c r="CI382" i="2"/>
  <c r="CJ382" i="2"/>
  <c r="CK382" i="2"/>
  <c r="CL382" i="2"/>
  <c r="CM382" i="2"/>
  <c r="CN382" i="2"/>
  <c r="CO382" i="2"/>
  <c r="CP382" i="2"/>
  <c r="CQ382" i="2"/>
  <c r="CR382" i="2"/>
  <c r="CS382" i="2"/>
  <c r="CT382" i="2"/>
  <c r="CU382" i="2"/>
  <c r="CV382" i="2"/>
  <c r="CW382" i="2"/>
  <c r="CX382" i="2"/>
  <c r="CY382" i="2"/>
  <c r="CZ382" i="2"/>
  <c r="DA382" i="2"/>
  <c r="DB382" i="2"/>
  <c r="DC382" i="2"/>
  <c r="DD382" i="2"/>
  <c r="DE382" i="2"/>
  <c r="DF382" i="2"/>
  <c r="DG382" i="2"/>
  <c r="DH382" i="2"/>
  <c r="DI382" i="2"/>
  <c r="DK382" i="2"/>
  <c r="DL382" i="2"/>
  <c r="DM382" i="2"/>
  <c r="DN382" i="2"/>
  <c r="DO382" i="2"/>
  <c r="DP382" i="2"/>
  <c r="DQ382" i="2"/>
  <c r="DR382" i="2"/>
  <c r="DS382" i="2"/>
  <c r="DT382" i="2"/>
  <c r="DU382" i="2"/>
  <c r="DV382" i="2"/>
  <c r="DW382" i="2"/>
  <c r="DX382" i="2"/>
  <c r="DY382" i="2"/>
  <c r="DZ382" i="2"/>
  <c r="EA382" i="2"/>
  <c r="EB382" i="2"/>
  <c r="EC382" i="2"/>
  <c r="ED382" i="2"/>
  <c r="EE382" i="2"/>
  <c r="EF382" i="2"/>
  <c r="EG382" i="2"/>
  <c r="EH382" i="2"/>
  <c r="EI382" i="2"/>
  <c r="EJ382" i="2"/>
  <c r="EK382" i="2"/>
  <c r="EL382" i="2"/>
  <c r="EM382" i="2"/>
  <c r="EN382" i="2"/>
  <c r="EO382" i="2"/>
  <c r="EP382" i="2"/>
  <c r="EQ382" i="2"/>
  <c r="ER382" i="2"/>
  <c r="ES382" i="2"/>
  <c r="ET382" i="2"/>
  <c r="EU382" i="2"/>
  <c r="EV382" i="2"/>
  <c r="EW382" i="2"/>
  <c r="EX382" i="2"/>
  <c r="EY382" i="2"/>
  <c r="EZ382" i="2"/>
  <c r="FA382" i="2"/>
  <c r="FB382" i="2"/>
  <c r="FC382" i="2"/>
  <c r="FD382" i="2"/>
  <c r="FE382" i="2"/>
  <c r="FF382" i="2"/>
  <c r="FG382" i="2"/>
  <c r="FH382" i="2"/>
  <c r="FI382" i="2"/>
  <c r="FJ382" i="2"/>
  <c r="FK382" i="2"/>
  <c r="FL382" i="2"/>
  <c r="FM382" i="2"/>
  <c r="FN382" i="2"/>
  <c r="FO382" i="2"/>
  <c r="FP382" i="2"/>
  <c r="FQ382" i="2"/>
  <c r="FR382" i="2"/>
  <c r="FS382" i="2"/>
  <c r="FT382" i="2"/>
  <c r="FU382" i="2"/>
  <c r="FV382" i="2"/>
  <c r="FW382" i="2"/>
  <c r="FX382" i="2"/>
  <c r="FY382" i="2"/>
  <c r="FZ382" i="2"/>
  <c r="GA382" i="2"/>
  <c r="GB382" i="2"/>
  <c r="GC382" i="2"/>
  <c r="GD382" i="2"/>
  <c r="GE382" i="2"/>
  <c r="GF382" i="2"/>
  <c r="GG382" i="2"/>
  <c r="GH382" i="2"/>
  <c r="GI382" i="2"/>
  <c r="GJ382" i="2"/>
  <c r="GK382" i="2"/>
  <c r="GL382" i="2"/>
  <c r="GM382" i="2"/>
  <c r="GN382" i="2"/>
  <c r="GO382" i="2"/>
  <c r="GP382" i="2"/>
  <c r="GQ382" i="2"/>
  <c r="GR382" i="2"/>
  <c r="GS382" i="2"/>
  <c r="GT382" i="2"/>
  <c r="GU382" i="2"/>
  <c r="GW382" i="2"/>
  <c r="GX382" i="2"/>
  <c r="GY382" i="2"/>
  <c r="GZ382" i="2"/>
  <c r="HA382" i="2"/>
  <c r="HB382" i="2"/>
  <c r="HC382" i="2"/>
  <c r="HD382" i="2"/>
  <c r="HE382" i="2"/>
  <c r="HF382" i="2"/>
  <c r="HG382" i="2"/>
  <c r="HH382" i="2"/>
  <c r="HI382" i="2"/>
  <c r="HJ382" i="2"/>
  <c r="HK382" i="2"/>
  <c r="HL382" i="2"/>
  <c r="HM382" i="2"/>
  <c r="HN382" i="2"/>
  <c r="HO382" i="2"/>
  <c r="HP382" i="2"/>
  <c r="HQ382" i="2"/>
  <c r="HR382" i="2"/>
  <c r="HS382" i="2"/>
  <c r="HT382" i="2"/>
  <c r="HU382" i="2"/>
  <c r="HV382" i="2"/>
  <c r="HW382" i="2"/>
  <c r="HX382" i="2"/>
  <c r="HY382" i="2"/>
  <c r="HZ382" i="2"/>
  <c r="F383" i="2"/>
  <c r="G383" i="2"/>
  <c r="H383" i="2"/>
  <c r="I383" i="2"/>
  <c r="J383" i="2"/>
  <c r="K383" i="2"/>
  <c r="L383" i="2"/>
  <c r="M383" i="2"/>
  <c r="N383" i="2"/>
  <c r="O383" i="2"/>
  <c r="P383" i="2"/>
  <c r="AH383" i="2"/>
  <c r="AI383" i="2"/>
  <c r="AJ383" i="2"/>
  <c r="AK383" i="2"/>
  <c r="AL383" i="2"/>
  <c r="AM383" i="2"/>
  <c r="AN383" i="2"/>
  <c r="AO383" i="2"/>
  <c r="AP383" i="2"/>
  <c r="AQ383" i="2"/>
  <c r="AR383" i="2"/>
  <c r="AS383" i="2"/>
  <c r="AT383" i="2"/>
  <c r="AU383" i="2"/>
  <c r="AV383" i="2"/>
  <c r="AW383" i="2"/>
  <c r="AX383" i="2"/>
  <c r="AY383" i="2"/>
  <c r="AZ383" i="2"/>
  <c r="BA383" i="2"/>
  <c r="BB383" i="2"/>
  <c r="BC383" i="2"/>
  <c r="BD383" i="2"/>
  <c r="BE383" i="2"/>
  <c r="BF383" i="2"/>
  <c r="BG383" i="2"/>
  <c r="BH383" i="2"/>
  <c r="BI383" i="2"/>
  <c r="BJ383" i="2"/>
  <c r="BK383" i="2"/>
  <c r="BL383" i="2"/>
  <c r="BM383" i="2"/>
  <c r="BN383" i="2"/>
  <c r="BO383" i="2"/>
  <c r="BP383" i="2"/>
  <c r="BQ383" i="2"/>
  <c r="BR383" i="2"/>
  <c r="BS383" i="2"/>
  <c r="BT383" i="2"/>
  <c r="BU383" i="2"/>
  <c r="BV383" i="2"/>
  <c r="BW383" i="2"/>
  <c r="BX383" i="2"/>
  <c r="BY383" i="2"/>
  <c r="BZ383" i="2"/>
  <c r="CA383" i="2"/>
  <c r="CB383" i="2"/>
  <c r="CC383" i="2"/>
  <c r="CD383" i="2"/>
  <c r="CE383" i="2"/>
  <c r="CF383" i="2"/>
  <c r="CG383" i="2"/>
  <c r="CH383" i="2"/>
  <c r="CI383" i="2"/>
  <c r="CJ383" i="2"/>
  <c r="CK383" i="2"/>
  <c r="CL383" i="2"/>
  <c r="CM383" i="2"/>
  <c r="CN383" i="2"/>
  <c r="CO383" i="2"/>
  <c r="CP383" i="2"/>
  <c r="CQ383" i="2"/>
  <c r="CR383" i="2"/>
  <c r="CS383" i="2"/>
  <c r="CT383" i="2"/>
  <c r="CU383" i="2"/>
  <c r="CV383" i="2"/>
  <c r="CW383" i="2"/>
  <c r="CX383" i="2"/>
  <c r="CY383" i="2"/>
  <c r="CZ383" i="2"/>
  <c r="DA383" i="2"/>
  <c r="DB383" i="2"/>
  <c r="DC383" i="2"/>
  <c r="DD383" i="2"/>
  <c r="DE383" i="2"/>
  <c r="DF383" i="2"/>
  <c r="DG383" i="2"/>
  <c r="DH383" i="2"/>
  <c r="DI383" i="2"/>
  <c r="DJ383" i="2"/>
  <c r="DK383" i="2"/>
  <c r="DL383" i="2"/>
  <c r="DM383" i="2"/>
  <c r="DN383" i="2"/>
  <c r="DO383" i="2"/>
  <c r="DP383" i="2"/>
  <c r="DQ383" i="2"/>
  <c r="DR383" i="2"/>
  <c r="DS383" i="2"/>
  <c r="DT383" i="2"/>
  <c r="DU383" i="2"/>
  <c r="DV383" i="2"/>
  <c r="DW383" i="2"/>
  <c r="DY383" i="2"/>
  <c r="DZ383" i="2"/>
  <c r="EA383" i="2"/>
  <c r="EB383" i="2"/>
  <c r="EC383" i="2"/>
  <c r="ED383" i="2"/>
  <c r="EE383" i="2"/>
  <c r="EF383" i="2"/>
  <c r="EG383" i="2"/>
  <c r="EH383" i="2"/>
  <c r="EI383" i="2"/>
  <c r="EJ383" i="2"/>
  <c r="EK383" i="2"/>
  <c r="EL383" i="2"/>
  <c r="EM383" i="2"/>
  <c r="EN383" i="2"/>
  <c r="EO383" i="2"/>
  <c r="EP383" i="2"/>
  <c r="EQ383" i="2"/>
  <c r="ER383" i="2"/>
  <c r="ES383" i="2"/>
  <c r="ET383" i="2"/>
  <c r="EU383" i="2"/>
  <c r="EW383" i="2"/>
  <c r="EY383" i="2"/>
  <c r="EZ383" i="2"/>
  <c r="FA383" i="2"/>
  <c r="FB383" i="2"/>
  <c r="FC383" i="2"/>
  <c r="FD383" i="2"/>
  <c r="FE383" i="2"/>
  <c r="FF383" i="2"/>
  <c r="FG383" i="2"/>
  <c r="FH383" i="2"/>
  <c r="FI383" i="2"/>
  <c r="FJ383" i="2"/>
  <c r="FK383" i="2"/>
  <c r="FL383" i="2"/>
  <c r="FM383" i="2"/>
  <c r="FN383" i="2"/>
  <c r="FO383" i="2"/>
  <c r="FP383" i="2"/>
  <c r="FQ383" i="2"/>
  <c r="FR383" i="2"/>
  <c r="FS383" i="2"/>
  <c r="FT383" i="2"/>
  <c r="FU383" i="2"/>
  <c r="FV383" i="2"/>
  <c r="FW383" i="2"/>
  <c r="FX383" i="2"/>
  <c r="FY383" i="2"/>
  <c r="FZ383" i="2"/>
  <c r="GA383" i="2"/>
  <c r="GB383" i="2"/>
  <c r="GC383" i="2"/>
  <c r="GD383" i="2"/>
  <c r="GE383" i="2"/>
  <c r="GF383" i="2"/>
  <c r="GG383" i="2"/>
  <c r="GH383" i="2"/>
  <c r="GI383" i="2"/>
  <c r="GJ383" i="2"/>
  <c r="GK383" i="2"/>
  <c r="GL383" i="2"/>
  <c r="GM383" i="2"/>
  <c r="GN383" i="2"/>
  <c r="GO383" i="2"/>
  <c r="GP383" i="2"/>
  <c r="GQ383" i="2"/>
  <c r="GR383" i="2"/>
  <c r="GS383" i="2"/>
  <c r="GT383" i="2"/>
  <c r="GU383" i="2"/>
  <c r="GW383" i="2"/>
  <c r="GX383" i="2"/>
  <c r="GY383" i="2"/>
  <c r="GZ383" i="2"/>
  <c r="HA383" i="2"/>
  <c r="HB383" i="2"/>
  <c r="HC383" i="2"/>
  <c r="HD383" i="2"/>
  <c r="HE383" i="2"/>
  <c r="HF383" i="2"/>
  <c r="HG383" i="2"/>
  <c r="HH383" i="2"/>
  <c r="HI383" i="2"/>
  <c r="HJ383" i="2"/>
  <c r="HK383" i="2"/>
  <c r="HL383" i="2"/>
  <c r="HM383" i="2"/>
  <c r="HN383" i="2"/>
  <c r="HO383" i="2"/>
  <c r="HP383" i="2"/>
  <c r="HQ383" i="2"/>
  <c r="HR383" i="2"/>
  <c r="HS383" i="2"/>
  <c r="HT383" i="2"/>
  <c r="HU383" i="2"/>
  <c r="HV383" i="2"/>
  <c r="HW383" i="2"/>
  <c r="HX383" i="2"/>
  <c r="HY383" i="2"/>
  <c r="HZ383" i="2"/>
  <c r="F384" i="2"/>
  <c r="G384" i="2"/>
  <c r="H384" i="2"/>
  <c r="I384" i="2"/>
  <c r="J384" i="2"/>
  <c r="K384" i="2"/>
  <c r="L384" i="2"/>
  <c r="M384" i="2"/>
  <c r="N384" i="2"/>
  <c r="O384" i="2"/>
  <c r="P384" i="2"/>
  <c r="AH384" i="2"/>
  <c r="AI384" i="2"/>
  <c r="AJ384" i="2"/>
  <c r="AK384" i="2"/>
  <c r="AL384" i="2"/>
  <c r="AM384" i="2"/>
  <c r="AN384" i="2"/>
  <c r="AO384" i="2"/>
  <c r="AP384" i="2"/>
  <c r="AQ384" i="2"/>
  <c r="AR384" i="2"/>
  <c r="AS384" i="2"/>
  <c r="AT384" i="2"/>
  <c r="AU384" i="2"/>
  <c r="AV384" i="2"/>
  <c r="AW384" i="2"/>
  <c r="AX384" i="2"/>
  <c r="AY384" i="2"/>
  <c r="AZ384" i="2"/>
  <c r="BA384" i="2"/>
  <c r="BB384" i="2"/>
  <c r="BC384" i="2"/>
  <c r="BD384" i="2"/>
  <c r="BE384" i="2"/>
  <c r="BF384" i="2"/>
  <c r="BG384" i="2"/>
  <c r="BH384" i="2"/>
  <c r="BI384" i="2"/>
  <c r="BJ384" i="2"/>
  <c r="BK384" i="2"/>
  <c r="BL384" i="2"/>
  <c r="BM384" i="2"/>
  <c r="BN384" i="2"/>
  <c r="BO384" i="2"/>
  <c r="BP384" i="2"/>
  <c r="BQ384" i="2"/>
  <c r="BR384" i="2"/>
  <c r="BS384" i="2"/>
  <c r="BT384" i="2"/>
  <c r="BU384" i="2"/>
  <c r="BV384" i="2"/>
  <c r="BW384" i="2"/>
  <c r="BX384" i="2"/>
  <c r="BY384" i="2"/>
  <c r="BZ384" i="2"/>
  <c r="CA384" i="2"/>
  <c r="CB384" i="2"/>
  <c r="CC384" i="2"/>
  <c r="CD384" i="2"/>
  <c r="CE384" i="2"/>
  <c r="CF384" i="2"/>
  <c r="CG384" i="2"/>
  <c r="CH384" i="2"/>
  <c r="CI384" i="2"/>
  <c r="CJ384" i="2"/>
  <c r="CK384" i="2"/>
  <c r="CL384" i="2"/>
  <c r="CM384" i="2"/>
  <c r="CN384" i="2"/>
  <c r="CO384" i="2"/>
  <c r="CP384" i="2"/>
  <c r="CQ384" i="2"/>
  <c r="CR384" i="2"/>
  <c r="CS384" i="2"/>
  <c r="CT384" i="2"/>
  <c r="CU384" i="2"/>
  <c r="CV384" i="2"/>
  <c r="CW384" i="2"/>
  <c r="CX384" i="2"/>
  <c r="CY384" i="2"/>
  <c r="CZ384" i="2"/>
  <c r="DA384" i="2"/>
  <c r="DB384" i="2"/>
  <c r="DC384" i="2"/>
  <c r="DD384" i="2"/>
  <c r="DE384" i="2"/>
  <c r="DF384" i="2"/>
  <c r="DG384" i="2"/>
  <c r="DH384" i="2"/>
  <c r="DI384" i="2"/>
  <c r="DJ384" i="2"/>
  <c r="DK384" i="2"/>
  <c r="DL384" i="2"/>
  <c r="DM384" i="2"/>
  <c r="DN384" i="2"/>
  <c r="DO384" i="2"/>
  <c r="DP384" i="2"/>
  <c r="DQ384" i="2"/>
  <c r="DR384" i="2"/>
  <c r="DS384" i="2"/>
  <c r="DT384" i="2"/>
  <c r="DU384" i="2"/>
  <c r="DV384" i="2"/>
  <c r="DW384" i="2"/>
  <c r="DX384" i="2"/>
  <c r="DY384" i="2"/>
  <c r="DZ384" i="2"/>
  <c r="EA384" i="2"/>
  <c r="EB384" i="2"/>
  <c r="EC384" i="2"/>
  <c r="ED384" i="2"/>
  <c r="EE384" i="2"/>
  <c r="EF384" i="2"/>
  <c r="EG384" i="2"/>
  <c r="EH384" i="2"/>
  <c r="EI384" i="2"/>
  <c r="EJ384" i="2"/>
  <c r="EK384" i="2"/>
  <c r="EL384" i="2"/>
  <c r="EM384" i="2"/>
  <c r="EN384" i="2"/>
  <c r="EO384" i="2"/>
  <c r="EP384" i="2"/>
  <c r="EQ384" i="2"/>
  <c r="ER384" i="2"/>
  <c r="ES384" i="2"/>
  <c r="ET384" i="2"/>
  <c r="EU384" i="2"/>
  <c r="EV384" i="2"/>
  <c r="EW384" i="2"/>
  <c r="EX384" i="2"/>
  <c r="EY384" i="2"/>
  <c r="EZ384" i="2"/>
  <c r="FA384" i="2"/>
  <c r="FB384" i="2"/>
  <c r="FC384" i="2"/>
  <c r="FD384" i="2"/>
  <c r="FE384" i="2"/>
  <c r="FF384" i="2"/>
  <c r="FG384" i="2"/>
  <c r="FH384" i="2"/>
  <c r="FI384" i="2"/>
  <c r="FJ384" i="2"/>
  <c r="FK384" i="2"/>
  <c r="FL384" i="2"/>
  <c r="FM384" i="2"/>
  <c r="FN384" i="2"/>
  <c r="FO384" i="2"/>
  <c r="FP384" i="2"/>
  <c r="FQ384" i="2"/>
  <c r="FR384" i="2"/>
  <c r="FS384" i="2"/>
  <c r="FT384" i="2"/>
  <c r="FU384" i="2"/>
  <c r="FV384" i="2"/>
  <c r="FW384" i="2"/>
  <c r="FX384" i="2"/>
  <c r="FY384" i="2"/>
  <c r="FZ384" i="2"/>
  <c r="GA384" i="2"/>
  <c r="GB384" i="2"/>
  <c r="GC384" i="2"/>
  <c r="GD384" i="2"/>
  <c r="GE384" i="2"/>
  <c r="GF384" i="2"/>
  <c r="GG384" i="2"/>
  <c r="GH384" i="2"/>
  <c r="GI384" i="2"/>
  <c r="GJ384" i="2"/>
  <c r="GK384" i="2"/>
  <c r="GL384" i="2"/>
  <c r="GM384" i="2"/>
  <c r="GN384" i="2"/>
  <c r="GO384" i="2"/>
  <c r="GP384" i="2"/>
  <c r="GQ384" i="2"/>
  <c r="GR384" i="2"/>
  <c r="GS384" i="2"/>
  <c r="GT384" i="2"/>
  <c r="GU384" i="2"/>
  <c r="GW384" i="2"/>
  <c r="GX384" i="2"/>
  <c r="GY384" i="2"/>
  <c r="GZ384" i="2"/>
  <c r="HA384" i="2"/>
  <c r="HB384" i="2"/>
  <c r="HC384" i="2"/>
  <c r="HD384" i="2"/>
  <c r="HE384" i="2"/>
  <c r="HF384" i="2"/>
  <c r="HG384" i="2"/>
  <c r="HH384" i="2"/>
  <c r="HI384" i="2"/>
  <c r="HJ384" i="2"/>
  <c r="HK384" i="2"/>
  <c r="HL384" i="2"/>
  <c r="HM384" i="2"/>
  <c r="HN384" i="2"/>
  <c r="HO384" i="2"/>
  <c r="HP384" i="2"/>
  <c r="HQ384" i="2"/>
  <c r="HR384" i="2"/>
  <c r="HS384" i="2"/>
  <c r="HT384" i="2"/>
  <c r="HU384" i="2"/>
  <c r="HV384" i="2"/>
  <c r="HW384" i="2"/>
  <c r="HX384" i="2"/>
  <c r="HY384" i="2"/>
  <c r="HZ384" i="2"/>
  <c r="F385" i="2"/>
  <c r="G385" i="2"/>
  <c r="H385" i="2"/>
  <c r="I385" i="2"/>
  <c r="J385" i="2"/>
  <c r="K385" i="2"/>
  <c r="L385" i="2"/>
  <c r="M385" i="2"/>
  <c r="O385" i="2"/>
  <c r="P385" i="2"/>
  <c r="AH385" i="2"/>
  <c r="AI385" i="2"/>
  <c r="AJ385" i="2"/>
  <c r="AK385" i="2"/>
  <c r="AL385" i="2"/>
  <c r="AM385" i="2"/>
  <c r="AN385" i="2"/>
  <c r="AO385" i="2"/>
  <c r="AP385" i="2"/>
  <c r="AQ385" i="2"/>
  <c r="AR385" i="2"/>
  <c r="AS385" i="2"/>
  <c r="AT385" i="2"/>
  <c r="AU385" i="2"/>
  <c r="AV385" i="2"/>
  <c r="AX385" i="2"/>
  <c r="AY385" i="2"/>
  <c r="AZ385" i="2"/>
  <c r="BA385" i="2"/>
  <c r="BB385" i="2"/>
  <c r="BC385" i="2"/>
  <c r="BD385" i="2"/>
  <c r="BE385" i="2"/>
  <c r="BF385" i="2"/>
  <c r="BG385" i="2"/>
  <c r="BH385" i="2"/>
  <c r="BI385" i="2"/>
  <c r="BJ385" i="2"/>
  <c r="BK385" i="2"/>
  <c r="BL385" i="2"/>
  <c r="BM385" i="2"/>
  <c r="BN385" i="2"/>
  <c r="BO385" i="2"/>
  <c r="BP385" i="2"/>
  <c r="BQ385" i="2"/>
  <c r="BR385" i="2"/>
  <c r="BS385" i="2"/>
  <c r="BT385" i="2"/>
  <c r="BU385" i="2"/>
  <c r="BV385" i="2"/>
  <c r="BW385" i="2"/>
  <c r="BX385" i="2"/>
  <c r="BY385" i="2"/>
  <c r="BZ385" i="2"/>
  <c r="CA385" i="2"/>
  <c r="CB385" i="2"/>
  <c r="CC385" i="2"/>
  <c r="CD385" i="2"/>
  <c r="CE385" i="2"/>
  <c r="CF385" i="2"/>
  <c r="CG385" i="2"/>
  <c r="CH385" i="2"/>
  <c r="CI385" i="2"/>
  <c r="CJ385" i="2"/>
  <c r="CK385" i="2"/>
  <c r="CL385" i="2"/>
  <c r="CM385" i="2"/>
  <c r="CN385" i="2"/>
  <c r="CO385" i="2"/>
  <c r="CP385" i="2"/>
  <c r="CQ385" i="2"/>
  <c r="CR385" i="2"/>
  <c r="CS385" i="2"/>
  <c r="CT385" i="2"/>
  <c r="CU385" i="2"/>
  <c r="CV385" i="2"/>
  <c r="CW385" i="2"/>
  <c r="CX385" i="2"/>
  <c r="CY385" i="2"/>
  <c r="CZ385" i="2"/>
  <c r="DA385" i="2"/>
  <c r="DB385" i="2"/>
  <c r="DC385" i="2"/>
  <c r="DD385" i="2"/>
  <c r="DE385" i="2"/>
  <c r="DF385" i="2"/>
  <c r="DG385" i="2"/>
  <c r="DH385" i="2"/>
  <c r="DI385" i="2"/>
  <c r="DJ385" i="2"/>
  <c r="DK385" i="2"/>
  <c r="DL385" i="2"/>
  <c r="DM385" i="2"/>
  <c r="DN385" i="2"/>
  <c r="DO385" i="2"/>
  <c r="DP385" i="2"/>
  <c r="DQ385" i="2"/>
  <c r="DR385" i="2"/>
  <c r="DS385" i="2"/>
  <c r="DT385" i="2"/>
  <c r="DU385" i="2"/>
  <c r="DV385" i="2"/>
  <c r="DW385" i="2"/>
  <c r="DX385" i="2"/>
  <c r="DZ385" i="2"/>
  <c r="EA385" i="2"/>
  <c r="EB385" i="2"/>
  <c r="EC385" i="2"/>
  <c r="ED385" i="2"/>
  <c r="EE385" i="2"/>
  <c r="EF385" i="2"/>
  <c r="EG385" i="2"/>
  <c r="EH385" i="2"/>
  <c r="EI385" i="2"/>
  <c r="EJ385" i="2"/>
  <c r="EK385" i="2"/>
  <c r="EL385" i="2"/>
  <c r="EM385" i="2"/>
  <c r="EN385" i="2"/>
  <c r="EO385" i="2"/>
  <c r="EP385" i="2"/>
  <c r="EQ385" i="2"/>
  <c r="ES385" i="2"/>
  <c r="ET385" i="2"/>
  <c r="EU385" i="2"/>
  <c r="EV385" i="2"/>
  <c r="EW385" i="2"/>
  <c r="EX385" i="2"/>
  <c r="EY385" i="2"/>
  <c r="EZ385" i="2"/>
  <c r="FA385" i="2"/>
  <c r="FB385" i="2"/>
  <c r="FC385" i="2"/>
  <c r="FD385" i="2"/>
  <c r="FE385" i="2"/>
  <c r="FF385" i="2"/>
  <c r="FG385" i="2"/>
  <c r="FH385" i="2"/>
  <c r="FI385" i="2"/>
  <c r="FJ385" i="2"/>
  <c r="FK385" i="2"/>
  <c r="FL385" i="2"/>
  <c r="FM385" i="2"/>
  <c r="FN385" i="2"/>
  <c r="FO385" i="2"/>
  <c r="FP385" i="2"/>
  <c r="FQ385" i="2"/>
  <c r="FR385" i="2"/>
  <c r="FS385" i="2"/>
  <c r="FT385" i="2"/>
  <c r="FU385" i="2"/>
  <c r="FV385" i="2"/>
  <c r="FW385" i="2"/>
  <c r="FX385" i="2"/>
  <c r="FY385" i="2"/>
  <c r="FZ385" i="2"/>
  <c r="GA385" i="2"/>
  <c r="GB385" i="2"/>
  <c r="GC385" i="2"/>
  <c r="GD385" i="2"/>
  <c r="GE385" i="2"/>
  <c r="GF385" i="2"/>
  <c r="GG385" i="2"/>
  <c r="GH385" i="2"/>
  <c r="GI385" i="2"/>
  <c r="GJ385" i="2"/>
  <c r="GK385" i="2"/>
  <c r="GL385" i="2"/>
  <c r="GM385" i="2"/>
  <c r="GN385" i="2"/>
  <c r="GO385" i="2"/>
  <c r="GP385" i="2"/>
  <c r="GQ385" i="2"/>
  <c r="GR385" i="2"/>
  <c r="GS385" i="2"/>
  <c r="GT385" i="2"/>
  <c r="GU385" i="2"/>
  <c r="GV385" i="2"/>
  <c r="GW385" i="2"/>
  <c r="GX385" i="2"/>
  <c r="GY385" i="2"/>
  <c r="GZ385" i="2"/>
  <c r="HA385" i="2"/>
  <c r="HB385" i="2"/>
  <c r="HC385" i="2"/>
  <c r="HD385" i="2"/>
  <c r="HE385" i="2"/>
  <c r="HF385" i="2"/>
  <c r="HG385" i="2"/>
  <c r="HH385" i="2"/>
  <c r="HI385" i="2"/>
  <c r="HJ385" i="2"/>
  <c r="HK385" i="2"/>
  <c r="HL385" i="2"/>
  <c r="HM385" i="2"/>
  <c r="HN385" i="2"/>
  <c r="HO385" i="2"/>
  <c r="HP385" i="2"/>
  <c r="HQ385" i="2"/>
  <c r="HR385" i="2"/>
  <c r="HS385" i="2"/>
  <c r="HT385" i="2"/>
  <c r="HU385" i="2"/>
  <c r="HV385" i="2"/>
  <c r="HW385" i="2"/>
  <c r="HX385" i="2"/>
  <c r="HY385" i="2"/>
  <c r="HZ385" i="2"/>
  <c r="E385" i="2"/>
  <c r="E384" i="2"/>
  <c r="E383" i="2"/>
  <c r="E382" i="2"/>
  <c r="E381" i="2"/>
  <c r="E380" i="2"/>
  <c r="E379" i="2"/>
  <c r="E378" i="2"/>
  <c r="E377" i="2"/>
  <c r="E376" i="2"/>
  <c r="E375" i="2"/>
  <c r="E374" i="2"/>
  <c r="C41" i="2" l="1"/>
  <c r="D391" i="2"/>
  <c r="Q377" i="2" l="1"/>
  <c r="Q383" i="2"/>
  <c r="Q384" i="2"/>
  <c r="Q379" i="2"/>
  <c r="Q374" i="2"/>
  <c r="Q381" i="2"/>
  <c r="Q385" i="2"/>
  <c r="Q376" i="2"/>
  <c r="Q378" i="2"/>
  <c r="Q382" i="2"/>
  <c r="Q380" i="2"/>
  <c r="Q375" i="2"/>
  <c r="AI364" i="2"/>
  <c r="AJ364" i="2"/>
  <c r="AK364" i="2"/>
  <c r="AL364" i="2"/>
  <c r="AM364" i="2"/>
  <c r="AN364" i="2"/>
  <c r="AO364" i="2"/>
  <c r="AP364" i="2"/>
  <c r="AQ364" i="2"/>
  <c r="AR364" i="2"/>
  <c r="AS364" i="2"/>
  <c r="AT364" i="2"/>
  <c r="AU364" i="2"/>
  <c r="AV364" i="2"/>
  <c r="AX364" i="2"/>
  <c r="AY364" i="2"/>
  <c r="AZ364" i="2"/>
  <c r="BA364" i="2"/>
  <c r="BB364" i="2"/>
  <c r="BC364" i="2"/>
  <c r="BD364" i="2"/>
  <c r="BE364" i="2"/>
  <c r="BH364" i="2"/>
  <c r="AI365" i="2"/>
  <c r="AJ365" i="2"/>
  <c r="AK365" i="2"/>
  <c r="AL365" i="2"/>
  <c r="AM365" i="2"/>
  <c r="AN365" i="2"/>
  <c r="AO365" i="2"/>
  <c r="AP365" i="2"/>
  <c r="AQ365" i="2"/>
  <c r="AR365" i="2"/>
  <c r="AS365" i="2"/>
  <c r="AT365" i="2"/>
  <c r="AU365" i="2"/>
  <c r="AV365" i="2"/>
  <c r="AX365" i="2"/>
  <c r="AY365" i="2"/>
  <c r="AZ365" i="2"/>
  <c r="BA365" i="2"/>
  <c r="BB365" i="2"/>
  <c r="BC365" i="2"/>
  <c r="BD365" i="2"/>
  <c r="BE365" i="2"/>
  <c r="BH365" i="2"/>
  <c r="AI366" i="2"/>
  <c r="AJ366" i="2"/>
  <c r="AK366" i="2"/>
  <c r="AL366" i="2"/>
  <c r="AM366" i="2"/>
  <c r="AN366" i="2"/>
  <c r="AO366" i="2"/>
  <c r="AP366" i="2"/>
  <c r="AQ366" i="2"/>
  <c r="AR366" i="2"/>
  <c r="AS366" i="2"/>
  <c r="AT366" i="2"/>
  <c r="AU366" i="2"/>
  <c r="AV366" i="2"/>
  <c r="AX366" i="2"/>
  <c r="AY366" i="2"/>
  <c r="AZ366" i="2"/>
  <c r="BA366" i="2"/>
  <c r="BB366" i="2"/>
  <c r="BC366" i="2"/>
  <c r="BD366" i="2"/>
  <c r="BE366" i="2"/>
  <c r="BH366" i="2"/>
  <c r="AI367" i="2"/>
  <c r="AJ367" i="2"/>
  <c r="AK367" i="2"/>
  <c r="AL367" i="2"/>
  <c r="AM367" i="2"/>
  <c r="AN367" i="2"/>
  <c r="AO367" i="2"/>
  <c r="AP367" i="2"/>
  <c r="AQ367" i="2"/>
  <c r="AR367" i="2"/>
  <c r="AS367" i="2"/>
  <c r="AT367" i="2"/>
  <c r="AU367" i="2"/>
  <c r="AV367" i="2"/>
  <c r="AX367" i="2"/>
  <c r="AY367" i="2"/>
  <c r="AZ367" i="2"/>
  <c r="BA367" i="2"/>
  <c r="BB367" i="2"/>
  <c r="BC367" i="2"/>
  <c r="BD367" i="2"/>
  <c r="BE367" i="2"/>
  <c r="BH367"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2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42" i="2"/>
  <c r="G13" i="2"/>
  <c r="F13" i="2"/>
  <c r="E13" i="2"/>
  <c r="D13" i="2"/>
  <c r="E11" i="4"/>
  <c r="D11" i="4"/>
  <c r="E365" i="2"/>
  <c r="F365" i="2"/>
  <c r="G365" i="2"/>
  <c r="I365" i="2"/>
  <c r="L365" i="2"/>
  <c r="M365" i="2"/>
  <c r="P365" i="2"/>
  <c r="Q365" i="2"/>
  <c r="T365" i="2"/>
  <c r="U365" i="2"/>
  <c r="V365" i="2"/>
  <c r="W365" i="2"/>
  <c r="Y365" i="2"/>
  <c r="Z365" i="2"/>
  <c r="AA365" i="2"/>
  <c r="AF365" i="2"/>
  <c r="E366" i="2"/>
  <c r="F366" i="2"/>
  <c r="G366" i="2"/>
  <c r="I366" i="2"/>
  <c r="L366" i="2"/>
  <c r="M366" i="2"/>
  <c r="P366" i="2"/>
  <c r="Q366" i="2"/>
  <c r="T366" i="2"/>
  <c r="U366" i="2"/>
  <c r="V366" i="2"/>
  <c r="W366" i="2"/>
  <c r="Y366" i="2"/>
  <c r="Z366" i="2"/>
  <c r="AA366" i="2"/>
  <c r="AF366" i="2"/>
  <c r="E367" i="2"/>
  <c r="F367" i="2"/>
  <c r="G367" i="2"/>
  <c r="I367" i="2"/>
  <c r="M367" i="2"/>
  <c r="P367" i="2"/>
  <c r="Q367" i="2"/>
  <c r="T367" i="2"/>
  <c r="U367" i="2"/>
  <c r="V367" i="2"/>
  <c r="Y367" i="2"/>
  <c r="Z367" i="2"/>
  <c r="AA367" i="2"/>
  <c r="AF367" i="2"/>
  <c r="E28" i="2"/>
  <c r="BD323" i="2"/>
  <c r="BD324" i="2"/>
  <c r="BD325" i="2"/>
  <c r="BD326" i="2"/>
  <c r="BD327" i="2"/>
  <c r="BD328" i="2"/>
  <c r="BD329" i="2"/>
  <c r="BD330" i="2"/>
  <c r="BD331" i="2"/>
  <c r="BD332" i="2"/>
  <c r="BD333" i="2"/>
  <c r="BD334" i="2"/>
  <c r="BD335" i="2"/>
  <c r="BD336" i="2"/>
  <c r="BD337" i="2"/>
  <c r="BD338" i="2"/>
  <c r="BD339" i="2"/>
  <c r="BD340" i="2"/>
  <c r="BD341" i="2"/>
  <c r="BD342" i="2"/>
  <c r="BD343" i="2"/>
  <c r="BD344" i="2"/>
  <c r="BD345" i="2"/>
  <c r="BD346" i="2"/>
  <c r="BD347" i="2"/>
  <c r="BD348" i="2"/>
  <c r="BD349" i="2"/>
  <c r="BD350" i="2"/>
  <c r="BD351" i="2"/>
  <c r="BD352" i="2"/>
  <c r="BD353" i="2"/>
  <c r="BD354" i="2"/>
  <c r="BD355" i="2"/>
  <c r="BD356" i="2"/>
  <c r="BD357" i="2"/>
  <c r="BD358" i="2"/>
  <c r="BD359" i="2"/>
  <c r="BD360" i="2"/>
  <c r="BD361" i="2"/>
  <c r="BD362" i="2"/>
  <c r="BD363" i="2"/>
  <c r="BD322" i="2"/>
  <c r="BC322" i="2"/>
  <c r="A366" i="2" l="1"/>
  <c r="A367" i="2"/>
  <c r="A365" i="2"/>
  <c r="AH366" i="2"/>
  <c r="AH367" i="2"/>
  <c r="AH364" i="2"/>
  <c r="AH365" i="2"/>
  <c r="R375" i="2"/>
  <c r="R377" i="2"/>
  <c r="R383" i="2"/>
  <c r="R384" i="2"/>
  <c r="R379" i="2"/>
  <c r="R374" i="2"/>
  <c r="R381" i="2"/>
  <c r="R385" i="2"/>
  <c r="R376" i="2"/>
  <c r="R378" i="2"/>
  <c r="R382" i="2"/>
  <c r="R380" i="2"/>
  <c r="Z360" i="2"/>
  <c r="Z362" i="2"/>
  <c r="Z363" i="2"/>
  <c r="Z364" i="2"/>
  <c r="AA362" i="2"/>
  <c r="AA363" i="2"/>
  <c r="AA364" i="2"/>
  <c r="AA361" i="2"/>
  <c r="Z361" i="2"/>
  <c r="E26" i="4"/>
  <c r="E25" i="4"/>
  <c r="D26" i="4"/>
  <c r="D25" i="4"/>
  <c r="S380" i="2" l="1"/>
  <c r="S375" i="2"/>
  <c r="S377" i="2"/>
  <c r="S383" i="2"/>
  <c r="S384" i="2"/>
  <c r="S379" i="2"/>
  <c r="S385" i="2"/>
  <c r="S374" i="2"/>
  <c r="S381" i="2"/>
  <c r="S376" i="2"/>
  <c r="S378" i="2"/>
  <c r="S382" i="2"/>
  <c r="B366" i="2"/>
  <c r="D366" i="2" s="1"/>
  <c r="B367" i="2"/>
  <c r="D367" i="2" s="1"/>
  <c r="G28" i="2"/>
  <c r="G27" i="2"/>
  <c r="F28" i="2"/>
  <c r="F27" i="2"/>
  <c r="T382" i="2" l="1"/>
  <c r="T380" i="2"/>
  <c r="T375" i="2"/>
  <c r="T377" i="2"/>
  <c r="T383" i="2"/>
  <c r="T384" i="2"/>
  <c r="T379" i="2"/>
  <c r="T374" i="2"/>
  <c r="T381" i="2"/>
  <c r="T385" i="2"/>
  <c r="T376" i="2"/>
  <c r="T378" i="2"/>
  <c r="AF364" i="2"/>
  <c r="Y364" i="2"/>
  <c r="X364" i="2"/>
  <c r="W364" i="2"/>
  <c r="V364" i="2"/>
  <c r="U364" i="2"/>
  <c r="T364" i="2"/>
  <c r="Q364" i="2"/>
  <c r="P364" i="2"/>
  <c r="O364" i="2"/>
  <c r="M364" i="2"/>
  <c r="L364" i="2"/>
  <c r="J364" i="2"/>
  <c r="I364" i="2"/>
  <c r="G364" i="2"/>
  <c r="F364" i="2"/>
  <c r="E364" i="2"/>
  <c r="F2537" i="1"/>
  <c r="F2710" i="1"/>
  <c r="A364" i="2" l="1"/>
  <c r="B365" i="2" s="1"/>
  <c r="D365" i="2" s="1"/>
  <c r="U376" i="2"/>
  <c r="U378" i="2"/>
  <c r="U382" i="2"/>
  <c r="U380" i="2"/>
  <c r="U375" i="2"/>
  <c r="U377" i="2"/>
  <c r="U383" i="2"/>
  <c r="U384" i="2"/>
  <c r="U379" i="2"/>
  <c r="U374" i="2"/>
  <c r="U381" i="2"/>
  <c r="U385" i="2"/>
  <c r="BH322" i="2"/>
  <c r="BH323" i="2"/>
  <c r="BH324" i="2"/>
  <c r="BH325" i="2"/>
  <c r="BH326" i="2"/>
  <c r="BH327" i="2"/>
  <c r="BH328" i="2"/>
  <c r="BH329" i="2"/>
  <c r="BH330" i="2"/>
  <c r="BH331" i="2"/>
  <c r="BH332" i="2"/>
  <c r="BH333" i="2"/>
  <c r="BH334" i="2"/>
  <c r="BH335" i="2"/>
  <c r="BH336" i="2"/>
  <c r="BH337" i="2"/>
  <c r="BH338" i="2"/>
  <c r="BH339" i="2"/>
  <c r="BH340" i="2"/>
  <c r="BH341" i="2"/>
  <c r="BH342" i="2"/>
  <c r="BH343" i="2"/>
  <c r="BH344" i="2"/>
  <c r="BH345" i="2"/>
  <c r="BH346" i="2"/>
  <c r="BH347" i="2"/>
  <c r="BH348" i="2"/>
  <c r="BH349" i="2"/>
  <c r="BH350" i="2"/>
  <c r="BH351" i="2"/>
  <c r="BH352" i="2"/>
  <c r="BH353" i="2"/>
  <c r="BH354" i="2"/>
  <c r="BH355" i="2"/>
  <c r="BH356" i="2"/>
  <c r="BH357" i="2"/>
  <c r="BH358" i="2"/>
  <c r="BH359" i="2"/>
  <c r="BH360" i="2"/>
  <c r="BH361" i="2"/>
  <c r="BH362" i="2"/>
  <c r="BH363" i="2"/>
  <c r="BA322" i="2"/>
  <c r="BA323" i="2"/>
  <c r="BA324" i="2"/>
  <c r="BA325" i="2"/>
  <c r="BA326" i="2"/>
  <c r="BA327" i="2"/>
  <c r="BA328" i="2"/>
  <c r="BA329" i="2"/>
  <c r="BA330" i="2"/>
  <c r="BA331" i="2"/>
  <c r="BA332" i="2"/>
  <c r="BA333" i="2"/>
  <c r="BA334" i="2"/>
  <c r="BA335" i="2"/>
  <c r="BA336" i="2"/>
  <c r="BA337" i="2"/>
  <c r="BA338" i="2"/>
  <c r="BA339" i="2"/>
  <c r="BA340" i="2"/>
  <c r="BA341" i="2"/>
  <c r="BA342" i="2"/>
  <c r="BA343" i="2"/>
  <c r="BA344" i="2"/>
  <c r="BA345" i="2"/>
  <c r="BA346" i="2"/>
  <c r="BA347" i="2"/>
  <c r="BA348" i="2"/>
  <c r="BA349" i="2"/>
  <c r="BA350" i="2"/>
  <c r="BA351" i="2"/>
  <c r="BA352" i="2"/>
  <c r="BA353" i="2"/>
  <c r="BA354" i="2"/>
  <c r="BA355" i="2"/>
  <c r="BA356" i="2"/>
  <c r="BA357" i="2"/>
  <c r="BA358" i="2"/>
  <c r="BA359" i="2"/>
  <c r="BA360" i="2"/>
  <c r="BA361" i="2"/>
  <c r="BA362" i="2"/>
  <c r="BA363" i="2"/>
  <c r="BB322" i="2"/>
  <c r="BB323" i="2"/>
  <c r="BB324" i="2"/>
  <c r="BB325" i="2"/>
  <c r="BB326" i="2"/>
  <c r="BB327" i="2"/>
  <c r="BB328" i="2"/>
  <c r="BB329" i="2"/>
  <c r="BB330" i="2"/>
  <c r="BB331" i="2"/>
  <c r="BB332" i="2"/>
  <c r="BB333" i="2"/>
  <c r="BB334" i="2"/>
  <c r="BB335" i="2"/>
  <c r="BB336" i="2"/>
  <c r="BB337" i="2"/>
  <c r="BB338" i="2"/>
  <c r="BB339" i="2"/>
  <c r="BB340" i="2"/>
  <c r="BB341" i="2"/>
  <c r="BB342" i="2"/>
  <c r="BB343" i="2"/>
  <c r="BB344" i="2"/>
  <c r="BB345" i="2"/>
  <c r="BB346" i="2"/>
  <c r="BB347" i="2"/>
  <c r="BB348" i="2"/>
  <c r="BB349" i="2"/>
  <c r="BB350" i="2"/>
  <c r="BB351" i="2"/>
  <c r="BB352" i="2"/>
  <c r="BB353" i="2"/>
  <c r="BB354" i="2"/>
  <c r="BB355" i="2"/>
  <c r="BB356" i="2"/>
  <c r="BB357" i="2"/>
  <c r="BB358" i="2"/>
  <c r="BB359" i="2"/>
  <c r="BB360" i="2"/>
  <c r="BB361" i="2"/>
  <c r="BB362" i="2"/>
  <c r="BB363" i="2"/>
  <c r="D24" i="2"/>
  <c r="M11" i="3"/>
  <c r="K11" i="3"/>
  <c r="J11" i="3"/>
  <c r="E12" i="4"/>
  <c r="J363" i="2"/>
  <c r="J362" i="2"/>
  <c r="J361" i="2"/>
  <c r="J360" i="2"/>
  <c r="P13" i="3"/>
  <c r="AB16" i="3"/>
  <c r="AB18" i="3"/>
  <c r="AB14" i="3"/>
  <c r="BL244" i="2" a="1"/>
  <c r="BK57" i="2" a="1"/>
  <c r="AQ60" i="2" a="1"/>
  <c r="AY124" i="2" a="1"/>
  <c r="BO174" i="2" a="1"/>
  <c r="AW105" i="2" a="1"/>
  <c r="AU116" i="2" a="1"/>
  <c r="BC217" i="2" a="1"/>
  <c r="BB260" i="2" a="1"/>
  <c r="AQ194" i="2" a="1"/>
  <c r="BN65" i="2" a="1"/>
  <c r="BQ220" i="2" a="1"/>
  <c r="BL189" i="2" a="1"/>
  <c r="AW169" i="2" a="1"/>
  <c r="BD238" i="2" a="1"/>
  <c r="BJ112" i="2" a="1"/>
  <c r="BE118" i="2" a="1"/>
  <c r="BD158" i="2" a="1"/>
  <c r="BJ94" i="2" a="1"/>
  <c r="BG80" i="2" a="1"/>
  <c r="AQ82" i="2" a="1"/>
  <c r="BQ175" i="2" a="1"/>
  <c r="AV161" i="2" a="1"/>
  <c r="BC66" i="2" a="1"/>
  <c r="BQ102" i="2" a="1"/>
  <c r="BO92" i="2" a="1"/>
  <c r="AR138" i="2" a="1"/>
  <c r="BD149" i="2" a="1"/>
  <c r="BE182" i="2" a="1"/>
  <c r="BO224" i="2" a="1"/>
  <c r="BE112" i="2" a="1"/>
  <c r="BN128" i="2" a="1"/>
  <c r="AQ124" i="2" a="1"/>
  <c r="AX62" i="2" a="1"/>
  <c r="BL173" i="2" a="1"/>
  <c r="AR68" i="2" a="1"/>
  <c r="BL163" i="2" a="1"/>
  <c r="AX102" i="2" a="1"/>
  <c r="BF138" i="2" a="1"/>
  <c r="BN113" i="2" a="1"/>
  <c r="BF102" i="2" a="1"/>
  <c r="AV100" i="2" a="1"/>
  <c r="BC221" i="2" a="1"/>
  <c r="AS57" i="2" a="1"/>
  <c r="BC147" i="2" a="1"/>
  <c r="AW62" i="2" a="1"/>
  <c r="BI119" i="2" a="1"/>
  <c r="BC60" i="2" a="1"/>
  <c r="BE148" i="2" a="1"/>
  <c r="BQ84" i="2" a="1"/>
  <c r="BL193" i="2" a="1"/>
  <c r="AX92" i="2" a="1"/>
  <c r="BE189" i="2" a="1"/>
  <c r="BL130" i="2" a="1"/>
  <c r="BD189" i="2" a="1"/>
  <c r="AW65" i="2" a="1"/>
  <c r="BO89" i="2" a="1"/>
  <c r="BR201" i="2" a="1"/>
  <c r="BM76" i="2" a="1"/>
  <c r="BB206" i="2" a="1"/>
  <c r="BP205" i="2" a="1"/>
  <c r="BH70" i="2" a="1"/>
  <c r="BB98" i="2" a="1"/>
  <c r="AU226" i="2" a="1"/>
  <c r="AW205" i="2" a="1"/>
  <c r="BA95" i="2" a="1"/>
  <c r="BQ256" i="2" a="1"/>
  <c r="BR254" i="2" a="1"/>
  <c r="BR209" i="2" a="1"/>
  <c r="AW153" i="2" a="1"/>
  <c r="BF217" i="2" a="1"/>
  <c r="AR158" i="2" a="1"/>
  <c r="BA182" i="2" a="1"/>
  <c r="BH63" i="2" a="1"/>
  <c r="BO180" i="2" a="1"/>
  <c r="BJ151" i="2" a="1"/>
  <c r="AT130" i="2" a="1"/>
  <c r="BN63" i="2" a="1"/>
  <c r="BJ99" i="2" a="1"/>
  <c r="BB123" i="2" a="1"/>
  <c r="BA106" i="2" a="1"/>
  <c r="AU119" i="2" a="1"/>
  <c r="BE204" i="2" a="1"/>
  <c r="BL55" i="2" a="1"/>
  <c r="BB54" i="2" a="1"/>
  <c r="BA94" i="2" a="1"/>
  <c r="AT72" i="2" a="1"/>
  <c r="AW224" i="2" a="1"/>
  <c r="AT127" i="2" a="1"/>
  <c r="BF169" i="2" a="1"/>
  <c r="AS82" i="2" a="1"/>
  <c r="BD264" i="2" a="1"/>
  <c r="BR97" i="2" a="1"/>
  <c r="BH243" i="2" a="1"/>
  <c r="AV210" i="2" a="1"/>
  <c r="BL221" i="2" a="1"/>
  <c r="BL142" i="2" a="1"/>
  <c r="AQ54" i="2" a="1"/>
  <c r="BF215" i="2" a="1"/>
  <c r="AX113" i="2" a="1"/>
  <c r="BC71" i="2" a="1"/>
  <c r="AW174" i="2" a="1"/>
  <c r="BI178" i="2" a="1"/>
  <c r="BH193" i="2" a="1"/>
  <c r="BP62" i="2" a="1"/>
  <c r="BO235" i="2" a="1"/>
  <c r="BP173" i="2" a="1"/>
  <c r="BR52" i="2" a="1"/>
  <c r="AW140" i="2" a="1"/>
  <c r="BB149" i="2" a="1"/>
  <c r="AQ119" i="2" a="1"/>
  <c r="BF228" i="2" a="1"/>
  <c r="AS53" i="2" a="1"/>
  <c r="BR89" i="2" a="1"/>
  <c r="BP189" i="2" a="1"/>
  <c r="AY166" i="2" a="1"/>
  <c r="BA60" i="2" a="1"/>
  <c r="BM57" i="2" a="1"/>
  <c r="BO54" i="2" a="1"/>
  <c r="BJ137" i="2" a="1"/>
  <c r="AS79" i="2" a="1"/>
  <c r="BR193" i="2" a="1"/>
  <c r="BH120" i="2" a="1"/>
  <c r="BJ80" i="2" a="1"/>
  <c r="BQ216" i="2" a="1"/>
  <c r="BR267" i="2" a="1"/>
  <c r="BA70" i="2" a="1"/>
  <c r="BN56" i="2" a="1"/>
  <c r="AY134" i="2" a="1"/>
  <c r="BG59" i="2" a="1"/>
  <c r="BM148" i="2" a="1"/>
  <c r="BE86" i="2" a="1"/>
  <c r="BI156" i="2" a="1"/>
  <c r="AV77" i="2" a="1"/>
  <c r="AW127" i="2" a="1"/>
  <c r="BH61" i="2" a="1"/>
  <c r="BE162" i="2" a="1"/>
  <c r="BQ155" i="2" a="1"/>
  <c r="AW126" i="2" a="1"/>
  <c r="BB196" i="2" a="1"/>
  <c r="AW66" i="2" a="1"/>
  <c r="BI66" i="2" a="1"/>
  <c r="BK145" i="2" a="1"/>
  <c r="BI164" i="2" a="1"/>
  <c r="BA125" i="2" a="1"/>
  <c r="BL58" i="2" a="1"/>
  <c r="BN69" i="2" a="1"/>
  <c r="BG145" i="2" a="1"/>
  <c r="BF206" i="2" a="1"/>
  <c r="AT105" i="2" a="1"/>
  <c r="BQ74" i="2" a="1"/>
  <c r="BA99" i="2" a="1"/>
  <c r="BE83" i="2" a="1"/>
  <c r="BH115" i="2" a="1"/>
  <c r="AQ116" i="2" a="1"/>
  <c r="AQ118" i="2" a="1"/>
  <c r="BG120" i="2" a="1"/>
  <c r="BF97" i="2" a="1"/>
  <c r="BQ130" i="2" a="1"/>
  <c r="AQ171" i="2" a="1"/>
  <c r="BA74" i="2" a="1"/>
  <c r="AS156" i="2" a="1"/>
  <c r="AS222" i="2" a="1"/>
  <c r="AV168" i="2" a="1"/>
  <c r="AT56" i="2" a="1"/>
  <c r="BI113" i="2" a="1"/>
  <c r="BR142" i="2" a="1"/>
  <c r="BB221" i="2" a="1"/>
  <c r="AR104" i="2" a="1"/>
  <c r="AS73" i="2" a="1"/>
  <c r="BB158" i="2" a="1"/>
  <c r="BD144" i="2" a="1"/>
  <c r="BN90" i="2" a="1"/>
  <c r="BP78" i="2" a="1"/>
  <c r="BO169" i="2" a="1"/>
  <c r="AS76" i="2" a="1"/>
  <c r="BR205" i="2" a="1"/>
  <c r="AQ123" i="2" a="1"/>
  <c r="AW144" i="2" a="1"/>
  <c r="BD230" i="2" a="1"/>
  <c r="BF111" i="2" a="1"/>
  <c r="BN100" i="2" a="1"/>
  <c r="BQ76" i="2" a="1"/>
  <c r="AV138" i="2" a="1"/>
  <c r="BQ173" i="2" a="1"/>
  <c r="BB86" i="2" a="1"/>
  <c r="BR67" i="2" a="1"/>
  <c r="AR179" i="2" a="1"/>
  <c r="BD96" i="2" a="1"/>
  <c r="BC182" i="2" a="1"/>
  <c r="BQ153" i="2" a="1"/>
  <c r="BO252" i="2" a="1"/>
  <c r="BP230" i="2" a="1"/>
  <c r="BB131" i="2" a="1"/>
  <c r="AT82" i="2" a="1"/>
  <c r="BF195" i="2" a="1"/>
  <c r="BH67" i="2" a="1"/>
  <c r="AT77" i="2" a="1"/>
  <c r="AY69" i="2" a="1"/>
  <c r="AX98" i="2" a="1"/>
  <c r="AW241" i="2" a="1"/>
  <c r="BF77" i="2" a="1"/>
  <c r="BO263" i="2" a="1"/>
  <c r="BO254" i="2" a="1"/>
  <c r="AQ112" i="2" a="1"/>
  <c r="AU143" i="2" a="1"/>
  <c r="AU167" i="2" a="1"/>
  <c r="BM85" i="2" a="1"/>
  <c r="BJ146" i="2" a="1"/>
  <c r="AS184" i="2" a="1"/>
  <c r="BE149" i="2" a="1"/>
  <c r="BP144" i="2" a="1"/>
  <c r="BP154" i="2" a="1"/>
  <c r="BA151" i="2" a="1"/>
  <c r="BJ129" i="2" a="1"/>
  <c r="AX132" i="2" a="1"/>
  <c r="BJ55" i="2" a="1"/>
  <c r="BQ214" i="2" a="1"/>
  <c r="AU71" i="2" a="1"/>
  <c r="BR123" i="2" a="1"/>
  <c r="BO128" i="2" a="1"/>
  <c r="BL78" i="2" a="1"/>
  <c r="BK190" i="2" a="1"/>
  <c r="AU66" i="2" a="1"/>
  <c r="AS197" i="2" a="1"/>
  <c r="BP243" i="2" a="1"/>
  <c r="AV157" i="2" a="1"/>
  <c r="BJ128" i="2" a="1"/>
  <c r="BR87" i="2" a="1"/>
  <c r="BD212" i="2" a="1"/>
  <c r="BD113" i="2" a="1"/>
  <c r="BJ109" i="2" a="1"/>
  <c r="BD88" i="2" a="1"/>
  <c r="BR81" i="2" a="1"/>
  <c r="AT67" i="2" a="1"/>
  <c r="BL147" i="2" a="1"/>
  <c r="BH74" i="2" a="1"/>
  <c r="AQ162" i="2" a="1"/>
  <c r="AV112" i="2" a="1"/>
  <c r="BC212" i="2" a="1"/>
  <c r="BJ156" i="2" a="1"/>
  <c r="BG140" i="2" a="1"/>
  <c r="BC136" i="2" a="1"/>
  <c r="BH102" i="2" a="1"/>
  <c r="BE135" i="2" a="1"/>
  <c r="BO257" i="2" a="1"/>
  <c r="BG117" i="2" a="1"/>
  <c r="BD174" i="2" a="1"/>
  <c r="BA191" i="2" a="1"/>
  <c r="BJ72" i="2" a="1"/>
  <c r="BG203" i="2" a="1"/>
  <c r="BE136" i="2" a="1"/>
  <c r="AS162" i="2" a="1"/>
  <c r="BO208" i="2" a="1"/>
  <c r="AV65" i="2" a="1"/>
  <c r="BQ94" i="2" a="1"/>
  <c r="BR80" i="2" a="1"/>
  <c r="AY207" i="2" a="1"/>
  <c r="BD86" i="2" a="1"/>
  <c r="BK68" i="2" a="1"/>
  <c r="BO58" i="2" a="1"/>
  <c r="BP151" i="2" a="1"/>
  <c r="BQ166" i="2" a="1"/>
  <c r="BB109" i="2" a="1"/>
  <c r="BC188" i="2" a="1"/>
  <c r="BH163" i="2" a="1"/>
  <c r="BL145" i="2" a="1"/>
  <c r="BE104" i="2" a="1"/>
  <c r="BN87" i="2" a="1"/>
  <c r="BO146" i="2" a="1"/>
  <c r="AV110" i="2" a="1"/>
  <c r="BR190" i="2" a="1"/>
  <c r="BR171" i="2" a="1"/>
  <c r="AU139" i="2" a="1"/>
  <c r="AV75" i="2" a="1"/>
  <c r="BE108" i="2" a="1"/>
  <c r="AW78" i="2" a="1"/>
  <c r="AR160" i="2" a="1"/>
  <c r="AS147" i="2" a="1"/>
  <c r="AU56" i="2" a="1"/>
  <c r="AQ68" i="2" a="1"/>
  <c r="BM107" i="2" a="1"/>
  <c r="AV213" i="2" a="1"/>
  <c r="BL63" i="2" a="1"/>
  <c r="AV166" i="2" a="1"/>
  <c r="BR61" i="2" a="1"/>
  <c r="BH133" i="2" a="1"/>
  <c r="AY54" i="2" a="1"/>
  <c r="AU130" i="2" a="1"/>
  <c r="AU60" i="2" a="1"/>
  <c r="BL123" i="2" a="1"/>
  <c r="BI161" i="2" a="1"/>
  <c r="BM73" i="2" a="1"/>
  <c r="BQ251" i="2" a="1"/>
  <c r="BD246" i="2" a="1"/>
  <c r="BD192" i="2" a="1"/>
  <c r="BC161" i="2" a="1"/>
  <c r="BE57" i="2" a="1"/>
  <c r="AQ154" i="2" a="1"/>
  <c r="AW262" i="2" a="1"/>
  <c r="BK118" i="2" a="1"/>
  <c r="BO212" i="2" a="1"/>
  <c r="BF165" i="2" a="1"/>
  <c r="BL228" i="2" a="1"/>
  <c r="AW124" i="2" a="1"/>
  <c r="BF91" i="2" a="1"/>
  <c r="BF125" i="2" a="1"/>
  <c r="BO156" i="2" a="1"/>
  <c r="AU259" i="2" a="1"/>
  <c r="AV143" i="2" a="1"/>
  <c r="AY210" i="2" a="1"/>
  <c r="BA206" i="2" a="1"/>
  <c r="BP103" i="2" a="1"/>
  <c r="BH183" i="2" a="1"/>
  <c r="BL115" i="2" a="1"/>
  <c r="AV69" i="2" a="1"/>
  <c r="BF90" i="2" a="1"/>
  <c r="AU258" i="2" a="1"/>
  <c r="BM104" i="2" a="1"/>
  <c r="BB96" i="2" a="1"/>
  <c r="AS74" i="2" a="1"/>
  <c r="AS69" i="2" a="1"/>
  <c r="BO238" i="2" a="1"/>
  <c r="BB130" i="2" a="1"/>
  <c r="BG185" i="2" a="1"/>
  <c r="BP104" i="2" a="1"/>
  <c r="AT103" i="2" a="1"/>
  <c r="BF143" i="2" a="1"/>
  <c r="AV153" i="2" a="1"/>
  <c r="BE72" i="2" a="1"/>
  <c r="AX125" i="2" a="1"/>
  <c r="AV200" i="2" a="1"/>
  <c r="BM203" i="2" a="1"/>
  <c r="BC134" i="2" a="1"/>
  <c r="BK151" i="2" a="1"/>
  <c r="BL262" i="2" a="1"/>
  <c r="BD100" i="2" a="1"/>
  <c r="BC206" i="2" a="1"/>
  <c r="BM172" i="2" a="1"/>
  <c r="BI74" i="2" a="1"/>
  <c r="BR101" i="2" a="1"/>
  <c r="BE166" i="2" a="1"/>
  <c r="BK65" i="2" a="1"/>
  <c r="AR155" i="2" a="1"/>
  <c r="BJ62" i="2" a="1"/>
  <c r="BO206" i="2" a="1"/>
  <c r="BR78" i="2" a="1"/>
  <c r="BI100" i="2" a="1"/>
  <c r="BL129" i="2" a="1"/>
  <c r="BR53" i="2" a="1"/>
  <c r="AS80" i="2" a="1"/>
  <c r="BL200" i="2" a="1"/>
  <c r="AU121" i="2" a="1"/>
  <c r="AU244" i="2" a="1"/>
  <c r="BD79" i="2" a="1"/>
  <c r="AW202" i="2" a="1"/>
  <c r="BN177" i="2" a="1"/>
  <c r="BQ140" i="2" a="1"/>
  <c r="BE73" i="2" a="1"/>
  <c r="AW121" i="2" a="1"/>
  <c r="AS229" i="2" a="1"/>
  <c r="BR234" i="2" a="1"/>
  <c r="BB63" i="2" a="1"/>
  <c r="BP131" i="2" a="1"/>
  <c r="AX63" i="2" a="1"/>
  <c r="AY181" i="2" a="1"/>
  <c r="BA71" i="2" a="1"/>
  <c r="AR54" i="2" a="1"/>
  <c r="BJ70" i="2" a="1"/>
  <c r="AQ135" i="2" a="1"/>
  <c r="BE111" i="2" a="1"/>
  <c r="BP150" i="2" a="1"/>
  <c r="BG188" i="2" a="1"/>
  <c r="BA185" i="2" a="1"/>
  <c r="BG65" i="2" a="1"/>
  <c r="BM178" i="2" a="1"/>
  <c r="BB132" i="2" a="1"/>
  <c r="AV97" i="2" a="1"/>
  <c r="BQ69" i="2" a="1"/>
  <c r="BD179" i="2" a="1"/>
  <c r="BH233" i="2" a="1"/>
  <c r="AY175" i="2" a="1"/>
  <c r="AV106" i="2" a="1"/>
  <c r="BR83" i="2" a="1"/>
  <c r="AU84" i="2" a="1"/>
  <c r="BP214" i="2" a="1"/>
  <c r="BI60" i="2" a="1"/>
  <c r="BB154" i="2" a="1"/>
  <c r="AY190" i="2" a="1"/>
  <c r="AS96" i="2" a="1"/>
  <c r="AS141" i="2" a="1"/>
  <c r="BR199" i="2" a="1"/>
  <c r="AV195" i="2" a="1"/>
  <c r="AV66" i="2" a="1"/>
  <c r="BN117" i="2" a="1"/>
  <c r="BC73" i="2" a="1"/>
  <c r="BB239" i="2" a="1"/>
  <c r="BD90" i="2" a="1"/>
  <c r="BQ111" i="2" a="1"/>
  <c r="BD78" i="2" a="1"/>
  <c r="BN71" i="2" a="1"/>
  <c r="AT53" i="2" a="1"/>
  <c r="AQ90" i="2" a="1"/>
  <c r="AW93" i="2" a="1"/>
  <c r="AV233" i="2" a="1"/>
  <c r="AY158" i="2" a="1"/>
  <c r="BO160" i="2" a="1"/>
  <c r="BH135" i="2" a="1"/>
  <c r="BB191" i="2" a="1"/>
  <c r="BQ119" i="2" a="1"/>
  <c r="BM186" i="2" a="1"/>
  <c r="BC143" i="2" a="1"/>
  <c r="BC69" i="2" a="1"/>
  <c r="BC215" i="2" a="1"/>
  <c r="BR149" i="2" a="1"/>
  <c r="BJ186" i="2" a="1"/>
  <c r="BD108" i="2" a="1"/>
  <c r="BB248" i="2" a="1"/>
  <c r="AV59" i="2" a="1"/>
  <c r="BM88" i="2" a="1"/>
  <c r="BL203" i="2" a="1"/>
  <c r="BO81" i="2" a="1"/>
  <c r="BI67" i="2" a="1"/>
  <c r="BL164" i="2" a="1"/>
  <c r="BJ122" i="2" a="1"/>
  <c r="BB186" i="2" a="1"/>
  <c r="BF208" i="2" a="1"/>
  <c r="AW81" i="2" a="1"/>
  <c r="AS151" i="2" a="1"/>
  <c r="BF66" i="2" a="1"/>
  <c r="BH84" i="2" a="1"/>
  <c r="BA181" i="2" a="1"/>
  <c r="BF130" i="2" a="1"/>
  <c r="BM120" i="2" a="1"/>
  <c r="BE197" i="2" a="1"/>
  <c r="BL54" i="2" a="1"/>
  <c r="BE144" i="2" a="1"/>
  <c r="BN162" i="2" a="1"/>
  <c r="BA174" i="2" a="1"/>
  <c r="BB245" i="2" a="1"/>
  <c r="AQ104" i="2" a="1"/>
  <c r="AW132" i="2" a="1"/>
  <c r="AV76" i="2" a="1"/>
  <c r="BN99" i="2" a="1"/>
  <c r="AQ78" i="2" a="1"/>
  <c r="AR100" i="2" a="1"/>
  <c r="AX130" i="2" a="1"/>
  <c r="BM56" i="2" a="1"/>
  <c r="BF270" i="2" a="1"/>
  <c r="AY71" i="2" a="1"/>
  <c r="BF137" i="2" a="1"/>
  <c r="BK85" i="2" a="1"/>
  <c r="BQ165" i="2" a="1"/>
  <c r="BC89" i="2" a="1"/>
  <c r="BG90" i="2" a="1"/>
  <c r="AS142" i="2" a="1"/>
  <c r="BQ96" i="2" a="1"/>
  <c r="BD261" i="2" a="1"/>
  <c r="AS61" i="2" a="1"/>
  <c r="BC226" i="2" a="1"/>
  <c r="BL128" i="2" a="1"/>
  <c r="BE61" i="2" a="1"/>
  <c r="BN184" i="2" a="1"/>
  <c r="BG123" i="2" a="1"/>
  <c r="AV139" i="2" a="1"/>
  <c r="AY79" i="2" a="1"/>
  <c r="BB78" i="2" a="1"/>
  <c r="BR120" i="2" a="1"/>
  <c r="AY83" i="2" a="1"/>
  <c r="BK74" i="2" a="1"/>
  <c r="AY186" i="2" a="1"/>
  <c r="BF176" i="2" a="1"/>
  <c r="BD265" i="2" a="1"/>
  <c r="BC251" i="2" a="1"/>
  <c r="AQ69" i="2" a="1"/>
  <c r="BL194" i="2" a="1"/>
  <c r="AW157" i="2" a="1"/>
  <c r="AR94" i="2" a="1"/>
  <c r="BD198" i="2" a="1"/>
  <c r="AW222" i="2" a="1"/>
  <c r="BC264" i="2" a="1"/>
  <c r="BI68" i="2" a="1"/>
  <c r="BD53" i="2" a="1"/>
  <c r="BM55" i="2" a="1"/>
  <c r="BK138" i="2" a="1"/>
  <c r="BB66" i="2" a="1"/>
  <c r="BP115" i="2" a="1"/>
  <c r="BE58" i="2" a="1"/>
  <c r="AV133" i="2" a="1"/>
  <c r="BF216" i="2" a="1"/>
  <c r="AU177" i="2" a="1"/>
  <c r="AX80" i="2" a="1"/>
  <c r="AT90" i="2" a="1"/>
  <c r="BQ83" i="2" a="1"/>
  <c r="AS87" i="2" a="1"/>
  <c r="BN101" i="2" a="1"/>
  <c r="AR125" i="2" a="1"/>
  <c r="AS100" i="2" a="1"/>
  <c r="BH205" i="2" a="1"/>
  <c r="BL127" i="2" a="1"/>
  <c r="BB230" i="2" a="1"/>
  <c r="AX141" i="2" a="1"/>
  <c r="BC99" i="2" a="1"/>
  <c r="BB56" i="2" a="1"/>
  <c r="AW259" i="2" a="1"/>
  <c r="BK174" i="2" a="1"/>
  <c r="AS116" i="2" a="1"/>
  <c r="BR76" i="2" a="1"/>
  <c r="AW196" i="2" a="1"/>
  <c r="BO245" i="2" a="1"/>
  <c r="BK60" i="2" a="1"/>
  <c r="BK183" i="2" a="1"/>
  <c r="BA159" i="2" a="1"/>
  <c r="BF255" i="2" a="1"/>
  <c r="BF243" i="2" a="1"/>
  <c r="BN187" i="2" a="1"/>
  <c r="BQ80" i="2" a="1"/>
  <c r="BR148" i="2" a="1"/>
  <c r="BR82" i="2" a="1"/>
  <c r="BE106" i="2" a="1"/>
  <c r="AW150" i="2" a="1"/>
  <c r="BK160" i="2" a="1"/>
  <c r="BL167" i="2" a="1"/>
  <c r="AX75" i="2" a="1"/>
  <c r="BC92" i="2" a="1"/>
  <c r="BK66" i="2" a="1"/>
  <c r="BH139" i="2" a="1"/>
  <c r="BP76" i="2" a="1"/>
  <c r="AW69" i="2" a="1"/>
  <c r="AQ93" i="2" a="1"/>
  <c r="AY185" i="2" a="1"/>
  <c r="BE138" i="2" a="1"/>
  <c r="BL152" i="2" a="1"/>
  <c r="BN196" i="2" a="1"/>
  <c r="BH231" i="2" a="1"/>
  <c r="AW194" i="2" a="1"/>
  <c r="BL176" i="2" a="1"/>
  <c r="AU164" i="2" a="1"/>
  <c r="BD99" i="2" a="1"/>
  <c r="BA189" i="2" a="1"/>
  <c r="AS134" i="2" a="1"/>
  <c r="AR147" i="2" a="1"/>
  <c r="BA62" i="2" a="1"/>
  <c r="BN85" i="2" a="1"/>
  <c r="BI85" i="2" a="1"/>
  <c r="BJ123" i="2" a="1"/>
  <c r="BD130" i="2" a="1"/>
  <c r="AU163" i="2" a="1"/>
  <c r="AQ156" i="2" a="1"/>
  <c r="BP198" i="2" a="1"/>
  <c r="BL187" i="2" a="1"/>
  <c r="BG165" i="2" a="1"/>
  <c r="AS62" i="2" a="1"/>
  <c r="AR118" i="2" a="1"/>
  <c r="BF92" i="2" a="1"/>
  <c r="BI147" i="2" a="1"/>
  <c r="BE68" i="2" a="1"/>
  <c r="BG103" i="2" a="1"/>
  <c r="BF204" i="2" a="1"/>
  <c r="BI117" i="2" a="1"/>
  <c r="BJ164" i="2" a="1"/>
  <c r="BD66" i="2" a="1"/>
  <c r="AV127" i="2" a="1"/>
  <c r="BL134" i="2" a="1"/>
  <c r="BP86" i="2" a="1"/>
  <c r="BK92" i="2" a="1"/>
  <c r="AV156" i="2" a="1"/>
  <c r="BQ61" i="2" a="1"/>
  <c r="BP215" i="2" a="1"/>
  <c r="BL153" i="2" a="1"/>
  <c r="BR139" i="2" a="1"/>
  <c r="BL99" i="2" a="1"/>
  <c r="BL139" i="2" a="1"/>
  <c r="BM100" i="2" a="1"/>
  <c r="BR133" i="2" a="1"/>
  <c r="BC151" i="2" a="1"/>
  <c r="AQ129" i="2" a="1"/>
  <c r="AU133" i="2" a="1"/>
  <c r="BD231" i="2" a="1"/>
  <c r="BN53" i="2" a="1"/>
  <c r="BN212" i="2" a="1"/>
  <c r="BK110" i="2" a="1"/>
  <c r="BB146" i="2" a="1"/>
  <c r="BF81" i="2" a="1"/>
  <c r="BM61" i="2" a="1"/>
  <c r="BJ159" i="2" a="1"/>
  <c r="BM84" i="2" a="1"/>
  <c r="BO56" i="2" a="1"/>
  <c r="AW117" i="2" a="1"/>
  <c r="BC110" i="2" a="1"/>
  <c r="AR139" i="2" a="1"/>
  <c r="BD213" i="2" a="1"/>
  <c r="BR114" i="2" a="1"/>
  <c r="AW59" i="2" a="1"/>
  <c r="BL158" i="2" a="1"/>
  <c r="BO219" i="2" a="1"/>
  <c r="AY109" i="2" a="1"/>
  <c r="BP193" i="2" a="1"/>
  <c r="BP254" i="2" a="1"/>
  <c r="BG53" i="2" a="1"/>
  <c r="BL242" i="2" a="1"/>
  <c r="BL124" i="2" a="1"/>
  <c r="AQ67" i="2" a="1"/>
  <c r="AY132" i="2" a="1"/>
  <c r="BP91" i="2" a="1"/>
  <c r="BD71" i="2" a="1"/>
  <c r="BG98" i="2" a="1"/>
  <c r="BM112" i="2" a="1"/>
  <c r="BO166" i="2" a="1"/>
  <c r="BQ239" i="2" a="1"/>
  <c r="BC101" i="2" a="1"/>
  <c r="AQ140" i="2" a="1"/>
  <c r="BP85" i="2" a="1"/>
  <c r="AU198" i="2" a="1"/>
  <c r="AR90" i="2" a="1"/>
  <c r="BB126" i="2" a="1"/>
  <c r="BA175" i="2" a="1"/>
  <c r="AX110" i="2" a="1"/>
  <c r="BL111" i="2" a="1"/>
  <c r="BN190" i="2" a="1"/>
  <c r="AX90" i="2" a="1"/>
  <c r="BH95" i="2" a="1"/>
  <c r="BD98" i="2" a="1"/>
  <c r="BR54" i="2" a="1"/>
  <c r="BC170" i="2" a="1"/>
  <c r="AV128" i="2" a="1"/>
  <c r="AU93" i="2" a="1"/>
  <c r="BE164" i="2" a="1"/>
  <c r="BP73" i="2" a="1"/>
  <c r="BA184" i="2" a="1"/>
  <c r="BR206" i="2" a="1"/>
  <c r="AX87" i="2" a="1"/>
  <c r="AV169" i="2" a="1"/>
  <c r="BJ141" i="2" a="1"/>
  <c r="BQ164" i="2" a="1"/>
  <c r="BE99" i="2" a="1"/>
  <c r="BR262" i="2" a="1"/>
  <c r="BA162" i="2" a="1"/>
  <c r="BD215" i="2" a="1"/>
  <c r="AX100" i="2" a="1"/>
  <c r="AU117" i="2" a="1"/>
  <c r="BQ115" i="2" a="1"/>
  <c r="BJ115" i="2" a="1"/>
  <c r="BI73" i="2" a="1"/>
  <c r="BO59" i="2" a="1"/>
  <c r="BA79" i="2" a="1"/>
  <c r="BE94" i="2" a="1"/>
  <c r="AQ101" i="2" a="1"/>
  <c r="AT58" i="2" a="1"/>
  <c r="AW164" i="2" a="1"/>
  <c r="AW80" i="2" a="1"/>
  <c r="BQ85" i="2" a="1"/>
  <c r="BN214" i="2" a="1"/>
  <c r="BL113" i="2" a="1"/>
  <c r="BK64" i="2" a="1"/>
  <c r="BE84" i="2" a="1"/>
  <c r="BL222" i="2" a="1"/>
  <c r="BG183" i="2" a="1"/>
  <c r="BQ161" i="2" a="1"/>
  <c r="BO132" i="2" a="1"/>
  <c r="BO105" i="2" a="1"/>
  <c r="BP56" i="2" a="1"/>
  <c r="BF249" i="2" a="1"/>
  <c r="AR162" i="2" a="1"/>
  <c r="BO197" i="2" a="1"/>
  <c r="BI115" i="2" a="1"/>
  <c r="BH149" i="2" a="1"/>
  <c r="AU171" i="2" a="1"/>
  <c r="BF76" i="2" a="1"/>
  <c r="AT123" i="2" a="1"/>
  <c r="AU236" i="2" a="1"/>
  <c r="BQ242" i="2" a="1"/>
  <c r="BQ92" i="2" a="1"/>
  <c r="BP117" i="2" a="1"/>
  <c r="BB119" i="2" a="1"/>
  <c r="BD118" i="2" a="1"/>
  <c r="BM113" i="2" a="1"/>
  <c r="AT81" i="2" a="1"/>
  <c r="BL259" i="2" a="1"/>
  <c r="BE110" i="2" a="1"/>
  <c r="AX84" i="2" a="1"/>
  <c r="BI91" i="2" a="1"/>
  <c r="BR161" i="2" a="1"/>
  <c r="BM202" i="2" a="1"/>
  <c r="BK86" i="2" a="1"/>
  <c r="AQ159" i="2" a="1"/>
  <c r="AV54" i="2" a="1"/>
  <c r="BR47" i="2" a="1"/>
  <c r="BO144" i="2" a="1"/>
  <c r="BG71" i="2" a="1"/>
  <c r="BI54" i="2" a="1"/>
  <c r="BF144" i="2" a="1"/>
  <c r="BK143" i="2" a="1"/>
  <c r="BB137" i="2" a="1"/>
  <c r="BR245" i="2" a="1"/>
  <c r="BR143" i="2" a="1"/>
  <c r="AQ187" i="2" a="1"/>
  <c r="BE214" i="2" a="1"/>
  <c r="BB93" i="2" a="1"/>
  <c r="BL215" i="2" a="1"/>
  <c r="AU72" i="2" a="1"/>
  <c r="BI141" i="2" a="1"/>
  <c r="BA187" i="2" a="1"/>
  <c r="BA158" i="2" a="1"/>
  <c r="AS139" i="2" a="1"/>
  <c r="BN143" i="2" a="1"/>
  <c r="AY130" i="2" a="1"/>
  <c r="AW88" i="2" a="1"/>
  <c r="BR169" i="2" a="1"/>
  <c r="BD195" i="2" a="1"/>
  <c r="BH171" i="2" a="1"/>
  <c r="AT98" i="2" a="1"/>
  <c r="BA140" i="2" a="1"/>
  <c r="AR75" i="2" a="1"/>
  <c r="AW187" i="2" a="1"/>
  <c r="BE203" i="2" a="1"/>
  <c r="BL69" i="2" a="1"/>
  <c r="AS117" i="2" a="1"/>
  <c r="BL70" i="2" a="1"/>
  <c r="AY203" i="2" a="1"/>
  <c r="BE175" i="2" a="1"/>
  <c r="AS183" i="2" a="1"/>
  <c r="BD175" i="2" a="1"/>
  <c r="BO253" i="2" a="1"/>
  <c r="BF180" i="2" a="1"/>
  <c r="AR62" i="2" a="1"/>
  <c r="BH155" i="2" a="1"/>
  <c r="BA85" i="2" a="1"/>
  <c r="BA105" i="2" a="1"/>
  <c r="BG110" i="2" a="1"/>
  <c r="BP202" i="2" a="1"/>
  <c r="BO55" i="2" a="1"/>
  <c r="BH157" i="2" a="1"/>
  <c r="BH259" i="2" a="1"/>
  <c r="BB61" i="2" a="1"/>
  <c r="BB247" i="2" a="1"/>
  <c r="BR51" i="2" a="1"/>
  <c r="AV125" i="2" a="1"/>
  <c r="BO71" i="2" a="1"/>
  <c r="BM160" i="2" a="1"/>
  <c r="BE137" i="2" a="1"/>
  <c r="BR70" i="2" a="1"/>
  <c r="AU62" i="2" a="1"/>
  <c r="BF84" i="2" a="1"/>
  <c r="BD117" i="2" a="1"/>
  <c r="BB74" i="2" a="1"/>
  <c r="BB113" i="2" a="1"/>
  <c r="BF164" i="2" a="1"/>
  <c r="BJ135" i="2" a="1"/>
  <c r="BB172" i="2" a="1"/>
  <c r="AX119" i="2" a="1"/>
  <c r="AQ77" i="2" a="1"/>
  <c r="AT99" i="2" a="1"/>
  <c r="BC109" i="2" a="1"/>
  <c r="BD80" i="2" a="1"/>
  <c r="AX103" i="2" a="1"/>
  <c r="AT89" i="2" a="1"/>
  <c r="BL250" i="2" a="1"/>
  <c r="AS235" i="2" a="1"/>
  <c r="BO126" i="2" a="1"/>
  <c r="AU86" i="2" a="1"/>
  <c r="AQ81" i="2" a="1"/>
  <c r="BF53" i="2" a="1"/>
  <c r="BB58" i="2" a="1"/>
  <c r="AQ199" i="2" a="1"/>
  <c r="BN170" i="2" a="1"/>
  <c r="BM69" i="2" a="1"/>
  <c r="BP158" i="2" a="1"/>
  <c r="BC57" i="2" a="1"/>
  <c r="AX82" i="2" a="1"/>
  <c r="AU77" i="2" a="1"/>
  <c r="AQ105" i="2" a="1"/>
  <c r="BP133" i="2" a="1"/>
  <c r="BP60" i="2" a="1"/>
  <c r="BA133" i="2" a="1"/>
  <c r="AV242" i="2" a="1"/>
  <c r="AX81" i="2" a="1"/>
  <c r="AW256" i="2" a="1"/>
  <c r="BN98" i="2" a="1"/>
  <c r="BK146" i="2" a="1"/>
  <c r="BM163" i="2" a="1"/>
  <c r="BG186" i="2" a="1"/>
  <c r="AU181" i="2" a="1"/>
  <c r="BM139" i="2" a="1"/>
  <c r="AR63" i="2" a="1"/>
  <c r="BP256" i="2" a="1"/>
  <c r="AS144" i="2" a="1"/>
  <c r="AQ170" i="2" a="1"/>
  <c r="BG206" i="2" a="1"/>
  <c r="AW218" i="2" a="1"/>
  <c r="AQ65" i="2" a="1"/>
  <c r="BA63" i="2" a="1"/>
  <c r="AX106" i="2" a="1"/>
  <c r="AQ73" i="2" a="1"/>
  <c r="BH218" i="2" a="1"/>
  <c r="BE158" i="2" a="1"/>
  <c r="BE180" i="2" a="1"/>
  <c r="BP148" i="2" a="1"/>
  <c r="BG84" i="2" a="1"/>
  <c r="BR247" i="2" a="1"/>
  <c r="BK53" i="2" a="1"/>
  <c r="BC202" i="2" a="1"/>
  <c r="BK120" i="2" a="1"/>
  <c r="BL202" i="2" a="1"/>
  <c r="BC85" i="2" a="1"/>
  <c r="AV119" i="2" a="1"/>
  <c r="BO177" i="2" a="1"/>
  <c r="BJ89" i="2" a="1"/>
  <c r="BN57" i="2" a="1"/>
  <c r="BL184" i="2" a="1"/>
  <c r="BD172" i="2" a="1"/>
  <c r="BF73" i="2" a="1"/>
  <c r="BK89" i="2" a="1"/>
  <c r="AY135" i="2" a="1"/>
  <c r="BI62" i="2" a="1"/>
  <c r="AR80" i="2" a="1"/>
  <c r="AU250" i="2" a="1"/>
  <c r="AU178" i="2" a="1"/>
  <c r="AT96" i="2" a="1"/>
  <c r="BB87" i="2" a="1"/>
  <c r="AS122" i="2" a="1"/>
  <c r="AY119" i="2" a="1"/>
  <c r="AW73" i="2" a="1"/>
  <c r="BD241" i="2" a="1"/>
  <c r="BO88" i="2" a="1"/>
  <c r="BA153" i="2" a="1"/>
  <c r="BH219" i="2" a="1"/>
  <c r="BP82" i="2" a="1"/>
  <c r="BR44" i="2" a="1"/>
  <c r="BN80" i="2" a="1"/>
  <c r="BI81" i="2" a="1"/>
  <c r="BH56" i="2" a="1"/>
  <c r="BJ138" i="2" a="1"/>
  <c r="BO73" i="2" a="1"/>
  <c r="BH252" i="2" a="1"/>
  <c r="BM149" i="2" a="1"/>
  <c r="AY90" i="2" a="1"/>
  <c r="BQ195" i="2" a="1"/>
  <c r="BQ188" i="2" a="1"/>
  <c r="BH127" i="2" a="1"/>
  <c r="BM67" i="2" a="1"/>
  <c r="BM81" i="2" a="1"/>
  <c r="AW145" i="2" a="1"/>
  <c r="BN150" i="2" a="1"/>
  <c r="AV57" i="2" a="1"/>
  <c r="BI160" i="2" a="1"/>
  <c r="BC148" i="2" a="1"/>
  <c r="BC142" i="2" a="1"/>
  <c r="AR55" i="2" a="1"/>
  <c r="AT100" i="2" a="1"/>
  <c r="BQ116" i="2" a="1"/>
  <c r="AX76" i="2" a="1"/>
  <c r="BH103" i="2" a="1"/>
  <c r="AW115" i="2" a="1"/>
  <c r="BM196" i="2" a="1"/>
  <c r="AV230" i="2" a="1"/>
  <c r="BF246" i="2" a="1"/>
  <c r="BA89" i="2" a="1"/>
  <c r="BR225" i="2" a="1"/>
  <c r="BF264" i="2" a="1"/>
  <c r="BA155" i="2" a="1"/>
  <c r="AR192" i="2" a="1"/>
  <c r="BL88" i="2" a="1"/>
  <c r="BL155" i="2" a="1"/>
  <c r="BH98" i="2" a="1"/>
  <c r="BA111" i="2" a="1"/>
  <c r="BD245" i="2" a="1"/>
  <c r="AS150" i="2" a="1"/>
  <c r="BR172" i="2" a="1"/>
  <c r="BR56" i="2" a="1"/>
  <c r="BM165" i="2" a="1"/>
  <c r="AQ107" i="2" a="1"/>
  <c r="BL211" i="2" a="1"/>
  <c r="BF80" i="2" a="1"/>
  <c r="BF118" i="2" a="1"/>
  <c r="BM138" i="2" a="1"/>
  <c r="AX116" i="2" a="1"/>
  <c r="BR248" i="2" a="1"/>
  <c r="BA73" i="2" a="1"/>
  <c r="AS175" i="2" a="1"/>
  <c r="AQ111" i="2" a="1"/>
  <c r="BE227" i="2" a="1"/>
  <c r="AW248" i="2" a="1"/>
  <c r="BH147" i="2" a="1"/>
  <c r="BG190" i="2" a="1"/>
  <c r="AS94" i="2" a="1"/>
  <c r="BP54" i="2" a="1"/>
  <c r="BD184" i="2" a="1"/>
  <c r="BA57" i="2" a="1"/>
  <c r="BM194" i="2" a="1"/>
  <c r="AX126" i="2" a="1"/>
  <c r="BP139" i="2" a="1"/>
  <c r="AU264" i="2" a="1"/>
  <c r="BN207" i="2" a="1"/>
  <c r="AW114" i="2" a="1"/>
  <c r="BM58" i="2" a="1"/>
  <c r="BP98" i="2" a="1"/>
  <c r="BA132" i="2" a="1"/>
  <c r="BI187" i="2" a="1"/>
  <c r="BL118" i="2" a="1"/>
  <c r="BL53" i="2" a="1"/>
  <c r="AR163" i="2" a="1"/>
  <c r="BO179" i="2" a="1"/>
  <c r="BB210" i="2" a="1"/>
  <c r="BL254" i="2" a="1"/>
  <c r="BG202" i="2" a="1"/>
  <c r="BQ66" i="2" a="1"/>
  <c r="BB150" i="2" a="1"/>
  <c r="AT135" i="2" a="1"/>
  <c r="AW191" i="2" a="1"/>
  <c r="AU149" i="2" a="1"/>
  <c r="BE146" i="2" a="1"/>
  <c r="BG68" i="2" a="1"/>
  <c r="BP142" i="2" a="1"/>
  <c r="AR87" i="2" a="1"/>
  <c r="AW247" i="2" a="1"/>
  <c r="BP213" i="2" a="1"/>
  <c r="BH182" i="2" a="1"/>
  <c r="BO157" i="2" a="1"/>
  <c r="BC94" i="2" a="1"/>
  <c r="AV64" i="2" a="1"/>
  <c r="AV202" i="2" a="1"/>
  <c r="BF184" i="2" a="1"/>
  <c r="BN122" i="2" a="1"/>
  <c r="BI124" i="2" a="1"/>
  <c r="AR151" i="2" a="1"/>
  <c r="AX127" i="2" a="1"/>
  <c r="AY110" i="2" a="1"/>
  <c r="BG180" i="2" a="1"/>
  <c r="AQ55" i="2" a="1"/>
  <c r="AW183" i="2" a="1"/>
  <c r="BQ158" i="2" a="1"/>
  <c r="BH64" i="2" a="1"/>
  <c r="BP125" i="2" a="1"/>
  <c r="BR126" i="2" a="1"/>
  <c r="AU195" i="2" a="1"/>
  <c r="BC157" i="2" a="1"/>
  <c r="AQ219" i="2" a="1"/>
  <c r="BG57" i="2" a="1"/>
  <c r="AU156" i="2" a="1"/>
  <c r="BC177" i="2" a="1"/>
  <c r="BR183" i="2" a="1"/>
  <c r="BP253" i="2" a="1"/>
  <c r="BE79" i="2" a="1"/>
  <c r="BR152" i="2" a="1"/>
  <c r="BA104" i="2" a="1"/>
  <c r="BC265" i="2" a="1"/>
  <c r="BF183" i="2" a="1"/>
  <c r="AS105" i="2" a="1"/>
  <c r="BP226" i="2" a="1"/>
  <c r="AS126" i="2" a="1"/>
  <c r="BF96" i="2" a="1"/>
  <c r="BR202" i="2" a="1"/>
  <c r="BH137" i="2" a="1"/>
  <c r="BN155" i="2" a="1"/>
  <c r="BH223" i="2" a="1"/>
  <c r="AV225" i="2" a="1"/>
  <c r="AV223" i="2" a="1"/>
  <c r="BP168" i="2" a="1"/>
  <c r="BR236" i="2" a="1"/>
  <c r="BK128" i="2" a="1"/>
  <c r="AV82" i="2" a="1"/>
  <c r="AS97" i="2" a="1"/>
  <c r="BD109" i="2" a="1"/>
  <c r="BR103" i="2" a="1"/>
  <c r="BR224" i="2" a="1"/>
  <c r="BN197" i="2" a="1"/>
  <c r="AV126" i="2" a="1"/>
  <c r="BR237" i="2" a="1"/>
  <c r="BL229" i="2" a="1"/>
  <c r="BR227" i="2" a="1"/>
  <c r="AT79" i="2" a="1"/>
  <c r="BA81" i="2" a="1"/>
  <c r="BO259" i="2" a="1"/>
  <c r="BQ62" i="2" a="1"/>
  <c r="BN105" i="2" a="1"/>
  <c r="BB114" i="2" a="1"/>
  <c r="BM174" i="2" a="1"/>
  <c r="BB182" i="2" a="1"/>
  <c r="AW220" i="2" a="1"/>
  <c r="BK161" i="2" a="1"/>
  <c r="BO102" i="2" a="1"/>
  <c r="BN129" i="2" a="1"/>
  <c r="BQ148" i="2" a="1"/>
  <c r="BQ123" i="2" a="1"/>
  <c r="BC246" i="2" a="1"/>
  <c r="AU126" i="2" a="1"/>
  <c r="BE76" i="2" a="1"/>
  <c r="BL72" i="2" a="1"/>
  <c r="BE117" i="2" a="1"/>
  <c r="BH117" i="2" a="1"/>
  <c r="BA131" i="2" a="1"/>
  <c r="BH75" i="2" a="1"/>
  <c r="AW253" i="2" a="1"/>
  <c r="BI109" i="2" a="1"/>
  <c r="BD140" i="2" a="1"/>
  <c r="BB64" i="2" a="1"/>
  <c r="BQ64" i="2" a="1"/>
  <c r="BL105" i="2" a="1"/>
  <c r="AV118" i="2" a="1"/>
  <c r="AV103" i="2" a="1"/>
  <c r="AR114" i="2" a="1"/>
  <c r="AQ106" i="2" a="1"/>
  <c r="BG83" i="2" a="1"/>
  <c r="AR143" i="2" a="1"/>
  <c r="BL120" i="2" a="1"/>
  <c r="BD93" i="2" a="1"/>
  <c r="BQ204" i="2" a="1"/>
  <c r="BP180" i="2" a="1"/>
  <c r="BE87" i="2" a="1"/>
  <c r="AX108" i="2" a="1"/>
  <c r="BR164" i="2" a="1"/>
  <c r="AW56" i="2" a="1"/>
  <c r="BO121" i="2" a="1"/>
  <c r="AS207" i="2" a="1"/>
  <c r="BG87" i="2" a="1"/>
  <c r="BL195" i="2" a="1"/>
  <c r="BJ93" i="2" a="1"/>
  <c r="AW233" i="2" a="1"/>
  <c r="BI112" i="2" a="1"/>
  <c r="BB244" i="2" a="1"/>
  <c r="BH129" i="2" a="1"/>
  <c r="AQ84" i="2" a="1"/>
  <c r="BG63" i="2" a="1"/>
  <c r="BK77" i="2" a="1"/>
  <c r="AQ197" i="2" a="1"/>
  <c r="BQ244" i="2" a="1"/>
  <c r="BA157" i="2" a="1"/>
  <c r="BQ126" i="2" a="1"/>
  <c r="BQ118" i="2" a="1"/>
  <c r="BP208" i="2" a="1"/>
  <c r="AX135" i="2" a="1"/>
  <c r="AR67" i="2" a="1"/>
  <c r="BI78" i="2" a="1"/>
  <c r="AX77" i="2" a="1"/>
  <c r="BE194" i="2" a="1"/>
  <c r="AU73" i="2" a="1"/>
  <c r="BQ75" i="2" a="1"/>
  <c r="BQ93" i="2" a="1"/>
  <c r="BB108" i="2" a="1"/>
  <c r="AW250" i="2" a="1"/>
  <c r="AV162" i="2" a="1"/>
  <c r="BM96" i="2" a="1"/>
  <c r="AU68" i="2" a="1"/>
  <c r="BB180" i="2" a="1"/>
  <c r="BF70" i="2" a="1"/>
  <c r="AS59" i="2" a="1"/>
  <c r="BF67" i="2" a="1"/>
  <c r="BO161" i="2" a="1"/>
  <c r="BJ68" i="2" a="1"/>
  <c r="BC156" i="2" a="1"/>
  <c r="AT121" i="2" a="1"/>
  <c r="AW167" i="2" a="1"/>
  <c r="AR112" i="2" a="1"/>
  <c r="BJ95" i="2" a="1"/>
  <c r="AX96" i="2" a="1"/>
  <c r="BP65" i="2" a="1"/>
  <c r="BA145" i="2" a="1"/>
  <c r="AW87" i="2" a="1"/>
  <c r="AW72" i="2" a="1"/>
  <c r="AS124" i="2" a="1"/>
  <c r="BP181" i="2" a="1"/>
  <c r="BP257" i="2" a="1"/>
  <c r="BR145" i="2" a="1"/>
  <c r="BC199" i="2" a="1"/>
  <c r="BA78" i="2" a="1"/>
  <c r="BA68" i="2" a="1"/>
  <c r="BE97" i="2" a="1"/>
  <c r="BE207" i="2" a="1"/>
  <c r="BD145" i="2" a="1"/>
  <c r="BC165" i="2" a="1"/>
  <c r="AY176" i="2" a="1"/>
  <c r="BI138" i="2" a="1"/>
  <c r="AR82" i="2" a="1"/>
  <c r="BM92" i="2" a="1"/>
  <c r="BL60" i="2" a="1"/>
  <c r="AY177" i="2" a="1"/>
  <c r="AT126" i="2" a="1"/>
  <c r="BD120" i="2" a="1"/>
  <c r="BJ105" i="2" a="1"/>
  <c r="AR181" i="2" a="1"/>
  <c r="AT119" i="2" a="1"/>
  <c r="BC61" i="2" a="1"/>
  <c r="BQ67" i="2" a="1"/>
  <c r="AQ212" i="2" a="1"/>
  <c r="BB71" i="2" a="1"/>
  <c r="BH203" i="2" a="1"/>
  <c r="AV101" i="2" a="1"/>
  <c r="BQ91" i="2" a="1"/>
  <c r="BK178" i="2" a="1"/>
  <c r="BA178" i="2" a="1"/>
  <c r="BN107" i="2" a="1"/>
  <c r="AR168" i="2" a="1"/>
  <c r="AU232" i="2" a="1"/>
  <c r="AU123" i="2" a="1"/>
  <c r="BD227" i="2" a="1"/>
  <c r="BD84" i="2" a="1"/>
  <c r="BC184" i="2" a="1"/>
  <c r="BL90" i="2" a="1"/>
  <c r="AW201" i="2" a="1"/>
  <c r="BO138" i="2" a="1"/>
  <c r="BC260" i="2" a="1"/>
  <c r="AY187" i="2" a="1"/>
  <c r="BB215" i="2" a="1"/>
  <c r="BD133" i="2" a="1"/>
  <c r="AX91" i="2" a="1"/>
  <c r="BK129" i="2" a="1"/>
  <c r="BJ84" i="2" a="1"/>
  <c r="AQ61" i="2" a="1"/>
  <c r="BN114" i="2" a="1"/>
  <c r="AS129" i="2" a="1"/>
  <c r="BD111" i="2" a="1"/>
  <c r="AV83" i="2" a="1"/>
  <c r="AT80" i="2" a="1"/>
  <c r="BD220" i="2" a="1"/>
  <c r="BC240" i="2" a="1"/>
  <c r="AX72" i="2" a="1"/>
  <c r="BM71" i="2" a="1"/>
  <c r="BA190" i="2" a="1"/>
  <c r="BC132" i="2" a="1"/>
  <c r="BR153" i="2" a="1"/>
  <c r="BQ55" i="2" a="1"/>
  <c r="AS121" i="2" a="1"/>
  <c r="BF142" i="2" a="1"/>
  <c r="BJ63" i="2" a="1"/>
  <c r="BR268" i="2" a="1"/>
  <c r="BR263" i="2" a="1"/>
  <c r="AR123" i="2" a="1"/>
  <c r="BE196" i="2" a="1"/>
  <c r="AT129" i="2" a="1"/>
  <c r="BM195" i="2" a="1"/>
  <c r="AY112" i="2" a="1"/>
  <c r="BA139" i="2" a="1"/>
  <c r="BC164" i="2" a="1"/>
  <c r="BE93" i="2" a="1"/>
  <c r="BF127" i="2" a="1"/>
  <c r="BD60" i="2" a="1"/>
  <c r="BJ173" i="2" a="1"/>
  <c r="BF167" i="2" a="1"/>
  <c r="AQ66" i="2" a="1"/>
  <c r="BQ86" i="2" a="1"/>
  <c r="AY149" i="2" a="1"/>
  <c r="BD171" i="2" a="1"/>
  <c r="BM86" i="2" a="1"/>
  <c r="BK162" i="2" a="1"/>
  <c r="AU188" i="2" a="1"/>
  <c r="AV78" i="2" a="1"/>
  <c r="AU229" i="2" a="1"/>
  <c r="AY159" i="2" a="1"/>
  <c r="AV135" i="2" a="1"/>
  <c r="BL253" i="2" a="1"/>
  <c r="AX86" i="2" a="1"/>
  <c r="BE133" i="2" a="1"/>
  <c r="AS67" i="2" a="1"/>
  <c r="AW204" i="2" a="1"/>
  <c r="BC70" i="2" a="1"/>
  <c r="BQ65" i="2" a="1"/>
  <c r="BP67" i="2" a="1"/>
  <c r="BB138" i="2" a="1"/>
  <c r="AU210" i="2" a="1"/>
  <c r="BO99" i="2" a="1"/>
  <c r="BH99" i="2" a="1"/>
  <c r="AV231" i="2" a="1"/>
  <c r="BC168" i="2" a="1"/>
  <c r="AY92" i="2" a="1"/>
  <c r="AR115" i="2" a="1"/>
  <c r="BH221" i="2" a="1"/>
  <c r="AQ85" i="2" a="1"/>
  <c r="AX136" i="2" a="1"/>
  <c r="BM146" i="2" a="1"/>
  <c r="AR156" i="2" a="1"/>
  <c r="BF154" i="2" a="1"/>
  <c r="BG55" i="2" a="1"/>
  <c r="AS185" i="2" a="1"/>
  <c r="BP61" i="2" a="1"/>
  <c r="BE69" i="2" a="1"/>
  <c r="AY72" i="2" a="1"/>
  <c r="AV117" i="2" a="1"/>
  <c r="BA149" i="2" a="1"/>
  <c r="BB190" i="2" a="1"/>
  <c r="BH236" i="2" a="1"/>
  <c r="BQ200" i="2" a="1"/>
  <c r="AV63" i="2" a="1"/>
  <c r="AS186" i="2" a="1"/>
  <c r="AV175" i="2" a="1"/>
  <c r="BH195" i="2" a="1"/>
  <c r="BP106" i="2" a="1"/>
  <c r="BJ111" i="2" a="1"/>
  <c r="AS54" i="2" a="1"/>
  <c r="BI57" i="2" a="1"/>
  <c r="AR159" i="2" a="1"/>
  <c r="AV165" i="2" a="1"/>
  <c r="BE82" i="2" a="1"/>
  <c r="BL241" i="2" a="1"/>
  <c r="BL107" i="2" a="1"/>
  <c r="BP235" i="2" a="1"/>
  <c r="BC263" i="2" a="1"/>
  <c r="BB185" i="2" a="1"/>
  <c r="AW264" i="2" a="1"/>
  <c r="BA69" i="2" a="1"/>
  <c r="AU199" i="2" a="1"/>
  <c r="BB81" i="2" a="1"/>
  <c r="AY128" i="2" a="1"/>
  <c r="BO72" i="2" a="1"/>
  <c r="BP242" i="2" a="1"/>
  <c r="BI142" i="2" a="1"/>
  <c r="AW110" i="2" a="1"/>
  <c r="AW142" i="2" a="1"/>
  <c r="AW181" i="2" a="1"/>
  <c r="BH118" i="2" a="1"/>
  <c r="BQ152" i="2" a="1"/>
  <c r="BO198" i="2" a="1"/>
  <c r="BE128" i="2" a="1"/>
  <c r="BE216" i="2" a="1"/>
  <c r="BE116" i="2" a="1"/>
  <c r="BQ89" i="2" a="1"/>
  <c r="BG221" i="2" a="1"/>
  <c r="AS63" i="2" a="1"/>
  <c r="BD114" i="2" a="1"/>
  <c r="AW154" i="2" a="1"/>
  <c r="BQ227" i="2" a="1"/>
  <c r="AW54" i="2" a="1"/>
  <c r="BN104" i="2" a="1"/>
  <c r="BN109" i="2" a="1"/>
  <c r="AW156" i="2" a="1"/>
  <c r="BL216" i="2" a="1"/>
  <c r="BG92" i="2" a="1"/>
  <c r="BQ206" i="2" a="1"/>
  <c r="AW107" i="2" a="1"/>
  <c r="BP156" i="2" a="1"/>
  <c r="AW252" i="2" a="1"/>
  <c r="BF54" i="2" a="1"/>
  <c r="BK71" i="2" a="1"/>
  <c r="BI89" i="2" a="1"/>
  <c r="BK187" i="2" a="1"/>
  <c r="BC83" i="2" a="1"/>
  <c r="BD266" i="2" a="1"/>
  <c r="BJ108" i="2" a="1"/>
  <c r="AW197" i="2" a="1"/>
  <c r="BI114" i="2" a="1"/>
  <c r="BC225" i="2" a="1"/>
  <c r="BA112" i="2" a="1"/>
  <c r="BK136" i="2" a="1"/>
  <c r="BR250" i="2" a="1"/>
  <c r="BK191" i="2" a="1"/>
  <c r="BH138" i="2" a="1"/>
  <c r="BI64" i="2" a="1"/>
  <c r="BF227" i="2" a="1"/>
  <c r="BE120" i="2" a="1"/>
  <c r="AX118" i="2" a="1"/>
  <c r="BQ134" i="2" a="1"/>
  <c r="AS187" i="2" a="1"/>
  <c r="BA114" i="2" a="1"/>
  <c r="AQ57" i="2" a="1"/>
  <c r="AV90" i="2" a="1"/>
  <c r="BF134" i="2" a="1"/>
  <c r="BK165" i="2" a="1"/>
  <c r="AQ161" i="2" a="1"/>
  <c r="BO205" i="2" a="1"/>
  <c r="AQ166" i="2" a="1"/>
  <c r="AW99" i="2" a="1"/>
  <c r="AR76" i="2" a="1"/>
  <c r="BF72" i="2" a="1"/>
  <c r="BC185" i="2" a="1"/>
  <c r="BR117" i="2" a="1"/>
  <c r="AY58" i="2" a="1"/>
  <c r="AU67" i="2" a="1"/>
  <c r="AX61" i="2" a="1"/>
  <c r="AS132" i="2" a="1"/>
  <c r="AS84" i="2" a="1"/>
  <c r="BQ78" i="2" a="1"/>
  <c r="BO90" i="2" a="1"/>
  <c r="BC253" i="2" a="1"/>
  <c r="BL192" i="2" a="1"/>
  <c r="AV237" i="2" a="1"/>
  <c r="BN73" i="2" a="1"/>
  <c r="BF163" i="2" a="1"/>
  <c r="BE102" i="2" a="1"/>
  <c r="BC158" i="2" a="1"/>
  <c r="BB121" i="2" a="1"/>
  <c r="BN159" i="2" a="1"/>
  <c r="BQ113" i="2" a="1"/>
  <c r="BE152" i="2" a="1"/>
  <c r="BH123" i="2" a="1"/>
  <c r="AS86" i="2" a="1"/>
  <c r="BN145" i="2" a="1"/>
  <c r="BN78" i="2" a="1"/>
  <c r="BN112" i="2" a="1"/>
  <c r="BN144" i="2" a="1"/>
  <c r="BH159" i="2" a="1"/>
  <c r="BI87" i="2" a="1"/>
  <c r="BP122" i="2" a="1"/>
  <c r="BR65" i="2" a="1"/>
  <c r="AR66" i="2" a="1"/>
  <c r="BL210" i="2" a="1"/>
  <c r="AV179" i="2" a="1"/>
  <c r="AW212" i="2" a="1"/>
  <c r="BQ56" i="2" a="1"/>
  <c r="BD224" i="2" a="1"/>
  <c r="BE122" i="2" a="1"/>
  <c r="AY55" i="2" a="1"/>
  <c r="AX71" i="2" a="1"/>
  <c r="BD240" i="2" a="1"/>
  <c r="BK140" i="2" a="1"/>
  <c r="AV247" i="2" a="1"/>
  <c r="BQ203" i="2" a="1"/>
  <c r="BD237" i="2" a="1"/>
  <c r="AY202" i="2" a="1"/>
  <c r="BK173" i="2" a="1"/>
  <c r="AY105" i="2" a="1"/>
  <c r="BD119" i="2" a="1"/>
  <c r="BC237" i="2" a="1"/>
  <c r="AQ94" i="2" a="1"/>
  <c r="BD56" i="2" a="1"/>
  <c r="BQ110" i="2" a="1"/>
  <c r="BL87" i="2" a="1"/>
  <c r="BP105" i="2" a="1"/>
  <c r="BG69" i="2" a="1"/>
  <c r="BG67" i="2" a="1"/>
  <c r="BI154" i="2" a="1"/>
  <c r="BI174" i="2" a="1"/>
  <c r="AT70" i="2" a="1"/>
  <c r="AW83" i="2" a="1"/>
  <c r="BC235" i="2" a="1"/>
  <c r="BD129" i="2" a="1"/>
  <c r="BP174" i="2" a="1"/>
  <c r="AW61" i="2" a="1"/>
  <c r="BP231" i="2" a="1"/>
  <c r="BM154" i="2" a="1"/>
  <c r="BG54" i="2" a="1"/>
  <c r="BP80" i="2" a="1"/>
  <c r="BR49" i="2" a="1"/>
  <c r="AS199" i="2" a="1"/>
  <c r="BC93" i="2" a="1"/>
  <c r="AR109" i="2" a="1"/>
  <c r="BL122" i="2" a="1"/>
  <c r="AS236" i="2" a="1"/>
  <c r="AQ132" i="2" a="1"/>
  <c r="AW148" i="2" a="1"/>
  <c r="BD153" i="2" a="1"/>
  <c r="BH78" i="2" a="1"/>
  <c r="BJ73" i="2" a="1"/>
  <c r="BF69" i="2" a="1"/>
  <c r="BR107" i="2" a="1"/>
  <c r="BA86" i="2" a="1"/>
  <c r="BF62" i="2" a="1"/>
  <c r="BH151" i="2" a="1"/>
  <c r="BL235" i="2" a="1"/>
  <c r="BP178" i="2" a="1"/>
  <c r="BN81" i="2" a="1"/>
  <c r="BJ98" i="2" a="1"/>
  <c r="BN193" i="2" a="1"/>
  <c r="BH204" i="2" a="1"/>
  <c r="BJ145" i="2" a="1"/>
  <c r="BH106" i="2" a="1"/>
  <c r="BG162" i="2" a="1"/>
  <c r="AW64" i="2" a="1"/>
  <c r="BE124" i="2" a="1"/>
  <c r="BE210" i="2" a="1"/>
  <c r="BF197" i="2" a="1"/>
  <c r="AW53" i="2" a="1"/>
  <c r="AU90" i="2" a="1"/>
  <c r="BP53" i="2" a="1"/>
  <c r="BO91" i="2" a="1"/>
  <c r="BJ144" i="2" a="1"/>
  <c r="AW58" i="2" a="1"/>
  <c r="BR219" i="2" a="1"/>
  <c r="BR176" i="2" a="1"/>
  <c r="AV71" i="2" a="1"/>
  <c r="AQ133" i="2" a="1"/>
  <c r="AV93" i="2" a="1"/>
  <c r="BO104" i="2" a="1"/>
  <c r="BR94" i="2" a="1"/>
  <c r="BO134" i="2" a="1"/>
  <c r="AR172" i="2" a="1"/>
  <c r="BN200" i="2" a="1"/>
  <c r="BJ150" i="2" a="1"/>
  <c r="BI159" i="2" a="1"/>
  <c r="AW113" i="2" a="1"/>
  <c r="BB189" i="2" a="1"/>
  <c r="BK130" i="2" a="1"/>
  <c r="BR230" i="2" a="1"/>
  <c r="BF113" i="2" a="1"/>
  <c r="BJ181" i="2" a="1"/>
  <c r="BK54" i="2" a="1"/>
  <c r="BR168" i="2" a="1"/>
  <c r="BK59" i="2" a="1"/>
  <c r="BP146" i="2" a="1"/>
  <c r="BF78" i="2" a="1"/>
  <c r="AR97" i="2" a="1"/>
  <c r="BC133" i="2" a="1"/>
  <c r="BL81" i="2" a="1"/>
  <c r="AY122" i="2" a="1"/>
  <c r="AU202" i="2" a="1"/>
  <c r="AR171" i="2" a="1"/>
  <c r="BJ114" i="2" a="1"/>
  <c r="BK97" i="2" a="1"/>
  <c r="BB107" i="2" a="1"/>
  <c r="BH165" i="2" a="1"/>
  <c r="BN91" i="2" a="1"/>
  <c r="BE109" i="2" a="1"/>
  <c r="AU108" i="2" a="1"/>
  <c r="AY214" i="2" a="1"/>
  <c r="BF232" i="2" a="1"/>
  <c r="BL101" i="2" a="1"/>
  <c r="AT59" i="2" a="1"/>
  <c r="BQ121" i="2" a="1"/>
  <c r="BK107" i="2" a="1"/>
  <c r="BH122" i="2" a="1"/>
  <c r="BJ132" i="2" a="1"/>
  <c r="BN125" i="2" a="1"/>
  <c r="BA197" i="2" a="1"/>
  <c r="BN183" i="2" a="1"/>
  <c r="BP75" i="2" a="1"/>
  <c r="BG191" i="2" a="1"/>
  <c r="AU182" i="2" a="1"/>
  <c r="AS110" i="2" a="1"/>
  <c r="AU255" i="2" a="1"/>
  <c r="BH162" i="2" a="1"/>
  <c r="BH94" i="2" a="1"/>
  <c r="BQ253" i="2" a="1"/>
  <c r="BM94" i="2" a="1"/>
  <c r="BH207" i="2" a="1"/>
  <c r="BH57" i="2" a="1"/>
  <c r="AY60" i="2" a="1"/>
  <c r="BQ145" i="2" a="1"/>
  <c r="AS218" i="2" a="1"/>
  <c r="BH55" i="2" a="1"/>
  <c r="BQ98" i="2" a="1"/>
  <c r="BD59" i="2" a="1"/>
  <c r="BB250" i="2" a="1"/>
  <c r="BO62" i="2" a="1"/>
  <c r="BG81" i="2" a="1"/>
  <c r="BC97" i="2" a="1"/>
  <c r="BN205" i="2" a="1"/>
  <c r="BE156" i="2" a="1"/>
  <c r="BP165" i="2" a="1"/>
  <c r="BO57" i="2" a="1"/>
  <c r="BH113" i="2" a="1"/>
  <c r="AU54" i="2" a="1"/>
  <c r="BQ87" i="2" a="1"/>
  <c r="AS68" i="2" a="1"/>
  <c r="BL93" i="2" a="1"/>
  <c r="AQ75" i="2" a="1"/>
  <c r="BI95" i="2" a="1"/>
  <c r="AX93" i="2" a="1"/>
  <c r="BQ215" i="2" a="1"/>
  <c r="BQ182" i="2" a="1"/>
  <c r="AR126" i="2" a="1"/>
  <c r="BD123" i="2" a="1"/>
  <c r="BQ172" i="2" a="1"/>
  <c r="BC115" i="2" a="1"/>
  <c r="BM182" i="2" a="1"/>
  <c r="BF149" i="2" a="1"/>
  <c r="BL191" i="2" a="1"/>
  <c r="BL143" i="2" a="1"/>
  <c r="BG147" i="2" a="1"/>
  <c r="BO85" i="2" a="1"/>
  <c r="BH58" i="2" a="1"/>
  <c r="BC173" i="2" a="1"/>
  <c r="BJ83" i="2" a="1"/>
  <c r="BI172" i="2" a="1"/>
  <c r="BC106" i="2" a="1"/>
  <c r="BQ127" i="2" a="1"/>
  <c r="BM65" i="2" a="1"/>
  <c r="BN136" i="2" a="1"/>
  <c r="BB62" i="2" a="1"/>
  <c r="BE96" i="2" a="1"/>
  <c r="BE80" i="2" a="1"/>
  <c r="AV73" i="2" a="1"/>
  <c r="BF233" i="2" a="1"/>
  <c r="BE187" i="2" a="1"/>
  <c r="AY111" i="2" a="1"/>
  <c r="BP203" i="2" a="1"/>
  <c r="BH101" i="2" a="1"/>
  <c r="BL62" i="2" a="1"/>
  <c r="AS202" i="2" a="1"/>
  <c r="AQ64" i="2" a="1"/>
  <c r="BD194" i="2" a="1"/>
  <c r="BI63" i="2" a="1"/>
  <c r="BD89" i="2" a="1"/>
  <c r="BB161" i="2" a="1"/>
  <c r="BK132" i="2" a="1"/>
  <c r="AW209" i="2" a="1"/>
  <c r="BH69" i="2" a="1"/>
  <c r="AQ188" i="2" a="1"/>
  <c r="BN72" i="2" a="1"/>
  <c r="BD147" i="2" a="1"/>
  <c r="AU190" i="2" a="1"/>
  <c r="BG158" i="2" a="1"/>
  <c r="BE161" i="2" a="1"/>
  <c r="AW244" i="2" a="1"/>
  <c r="BJ71" i="2" a="1"/>
  <c r="AU120" i="2" a="1"/>
  <c r="BG217" i="2" a="1"/>
  <c r="BC256" i="2" a="1"/>
  <c r="BR162" i="2" a="1"/>
  <c r="AY76" i="2" a="1"/>
  <c r="AY139" i="2" a="1"/>
  <c r="BI98" i="2" a="1"/>
  <c r="BE167" i="2" a="1"/>
  <c r="BB105" i="2" a="1"/>
  <c r="BF231" i="2" a="1"/>
  <c r="BB95" i="2" a="1"/>
  <c r="BC248" i="2" a="1"/>
  <c r="BP218" i="2" a="1"/>
  <c r="AU216" i="2" a="1"/>
  <c r="BB183" i="2" a="1"/>
  <c r="BJ65" i="2" a="1"/>
  <c r="AS220" i="2" a="1"/>
  <c r="AW223" i="2" a="1"/>
  <c r="BQ139" i="2" a="1"/>
  <c r="BQ154" i="2" a="1"/>
  <c r="AU179" i="2" a="1"/>
  <c r="AY195" i="2" a="1"/>
  <c r="AT86" i="2" a="1"/>
  <c r="BB179" i="2" a="1"/>
  <c r="BL141" i="2" a="1"/>
  <c r="AR185" i="2" a="1"/>
  <c r="BP211" i="2" a="1"/>
  <c r="BN140" i="2" a="1"/>
  <c r="BD72" i="2" a="1"/>
  <c r="AW234" i="2" a="1"/>
  <c r="BD164" i="2" a="1"/>
  <c r="BG205" i="2" a="1"/>
  <c r="BO173" i="2" a="1"/>
  <c r="AX109" i="2" a="1"/>
  <c r="AT73" i="2" a="1"/>
  <c r="BD137" i="2" a="1"/>
  <c r="BA179" i="2" a="1"/>
  <c r="AW254" i="2" a="1"/>
  <c r="BD235" i="2" a="1"/>
  <c r="BP238" i="2" a="1"/>
  <c r="BG79" i="2" a="1"/>
  <c r="BO168" i="2" a="1"/>
  <c r="BP192" i="2" a="1"/>
  <c r="BR57" i="2" a="1"/>
  <c r="BR100" i="2" a="1"/>
  <c r="BQ254" i="2" a="1"/>
  <c r="AU106" i="2" a="1"/>
  <c r="BH186" i="2" a="1"/>
  <c r="BL234" i="2" a="1"/>
  <c r="BR121" i="2" a="1"/>
  <c r="BN59" i="2" a="1"/>
  <c r="BO255" i="2" a="1"/>
  <c r="AX53" i="2" a="1"/>
  <c r="BF133" i="2" a="1"/>
  <c r="BB89" i="2" a="1"/>
  <c r="BK127" i="2" a="1"/>
  <c r="BI148" i="2" a="1"/>
  <c r="BM161" i="2" a="1"/>
  <c r="BC197" i="2" a="1"/>
  <c r="BR212" i="2" a="1"/>
  <c r="BP255" i="2" a="1"/>
  <c r="BI103" i="2" a="1"/>
  <c r="BH225" i="2" a="1"/>
  <c r="BO264" i="2" a="1"/>
  <c r="AW138" i="2" a="1"/>
  <c r="AU235" i="2" a="1"/>
  <c r="BA98" i="2" a="1"/>
  <c r="BE90" i="2" a="1"/>
  <c r="BI143" i="2" a="1"/>
  <c r="AS225" i="2" a="1"/>
  <c r="BM121" i="2" a="1"/>
  <c r="BK84" i="2" a="1"/>
  <c r="BN169" i="2" a="1"/>
  <c r="BJ116" i="2" a="1"/>
  <c r="AU263" i="2" a="1"/>
  <c r="BR99" i="2" a="1"/>
  <c r="AU256" i="2" a="1"/>
  <c r="AX66" i="2" a="1"/>
  <c r="BI101" i="2" a="1"/>
  <c r="AV216" i="2" a="1"/>
  <c r="BR173" i="2" a="1"/>
  <c r="AV243" i="2" a="1"/>
  <c r="BQ157" i="2" a="1"/>
  <c r="BG219" i="2" a="1"/>
  <c r="BK112" i="2" a="1"/>
  <c r="BC141" i="2" a="1"/>
  <c r="AW137" i="2" a="1"/>
  <c r="BC113" i="2" a="1"/>
  <c r="BJ90" i="2" a="1"/>
  <c r="AU74" i="2" a="1"/>
  <c r="AU134" i="2" a="1"/>
  <c r="BM136" i="2" a="1"/>
  <c r="BE153" i="2" a="1"/>
  <c r="AT76" i="2" a="1"/>
  <c r="BA207" i="2" a="1"/>
  <c r="AQ160" i="2" a="1"/>
  <c r="AY173" i="2" a="1"/>
  <c r="AR93" i="2" a="1"/>
  <c r="BO251" i="2" a="1"/>
  <c r="BD125" i="2" a="1"/>
  <c r="BJ147" i="2" a="1"/>
  <c r="AV246" i="2" a="1"/>
  <c r="BC129" i="2" a="1"/>
  <c r="BP219" i="2" a="1"/>
  <c r="BR109" i="2" a="1"/>
  <c r="BR85" i="2" a="1"/>
  <c r="AS77" i="2" a="1"/>
  <c r="BK94" i="2" a="1"/>
  <c r="AY81" i="2" a="1"/>
  <c r="BC208" i="2" a="1"/>
  <c r="AS99" i="2" a="1"/>
  <c r="BG56" i="2" a="1"/>
  <c r="BD55" i="2" a="1"/>
  <c r="BB65" i="2" a="1"/>
  <c r="BK185" i="2" a="1"/>
  <c r="AX104" i="2" a="1"/>
  <c r="BO213" i="2" a="1"/>
  <c r="BG88" i="2" a="1"/>
  <c r="BA160" i="2" a="1"/>
  <c r="BQ197" i="2" a="1"/>
  <c r="AR152" i="2" a="1"/>
  <c r="BC114" i="2" a="1"/>
  <c r="BP184" i="2" a="1"/>
  <c r="BL97" i="2" a="1"/>
  <c r="BB252" i="2" a="1"/>
  <c r="AX60" i="2" a="1"/>
  <c r="AQ191" i="2" a="1"/>
  <c r="AW177" i="2" a="1"/>
  <c r="BM115" i="2" a="1"/>
  <c r="BJ53" i="2" a="1"/>
  <c r="AY200" i="2" a="1"/>
  <c r="BK181" i="2" a="1"/>
  <c r="BJ76" i="2" a="1"/>
  <c r="BD75" i="2" a="1"/>
  <c r="BG104" i="2" a="1"/>
  <c r="BA154" i="2" a="1"/>
  <c r="BM211" i="2" a="1"/>
  <c r="BC68" i="2" a="1"/>
  <c r="BI163" i="2" a="1"/>
  <c r="BO230" i="2" a="1"/>
  <c r="BC259" i="2" a="1"/>
  <c r="BJ160" i="2" a="1"/>
  <c r="BO112" i="2" a="1"/>
  <c r="BM143" i="2" a="1"/>
  <c r="AW82" i="2" a="1"/>
  <c r="BD250" i="2" a="1"/>
  <c r="AY118" i="2" a="1"/>
  <c r="BB170" i="2" a="1"/>
  <c r="BI118" i="2" a="1"/>
  <c r="AV116" i="2" a="1"/>
  <c r="BD73" i="2" a="1"/>
  <c r="BN181" i="2" a="1"/>
  <c r="BB67" i="2" a="1"/>
  <c r="AU152" i="2" a="1"/>
  <c r="BQ57" i="2" a="1"/>
  <c r="BM79" i="2" a="1"/>
  <c r="BI136" i="2" a="1"/>
  <c r="AY78" i="2" a="1"/>
  <c r="BG166" i="2" a="1"/>
  <c r="BR68" i="2" a="1"/>
  <c r="BQ169" i="2" a="1"/>
  <c r="AT131" i="2" a="1"/>
  <c r="AR79" i="2" a="1"/>
  <c r="BG225" i="2" a="1"/>
  <c r="BM142" i="2" a="1"/>
  <c r="BH93" i="2" a="1"/>
  <c r="BI188" i="2" a="1"/>
  <c r="BD160" i="2" a="1"/>
  <c r="AV104" i="2" a="1"/>
  <c r="AX131" i="2" a="1"/>
  <c r="AU135" i="2" a="1"/>
  <c r="BM167" i="2" a="1"/>
  <c r="BF115" i="2" a="1"/>
  <c r="BG215" i="2" a="1"/>
  <c r="BL74" i="2" a="1"/>
  <c r="AQ99" i="2" a="1"/>
  <c r="AT65" i="2" a="1"/>
  <c r="AW106" i="2" a="1"/>
  <c r="AU102" i="2" a="1"/>
  <c r="AX65" i="2" a="1"/>
  <c r="BE199" i="2" a="1"/>
  <c r="BO239" i="2" a="1"/>
  <c r="AU169" i="2" a="1"/>
  <c r="BR189" i="2" a="1"/>
  <c r="BD225" i="2" a="1"/>
  <c r="BP190" i="2" a="1"/>
  <c r="BG208" i="2" a="1"/>
  <c r="BO241" i="2" a="1"/>
  <c r="BI185" i="2" a="1"/>
  <c r="BF190" i="2" a="1"/>
  <c r="BB176" i="2" a="1"/>
  <c r="AQ183" i="2" a="1"/>
  <c r="BN201" i="2" a="1"/>
  <c r="BQ79" i="2" a="1"/>
  <c r="BF157" i="2" a="1"/>
  <c r="BB233" i="2" a="1"/>
  <c r="BC189" i="2" a="1"/>
  <c r="BB122" i="2" a="1"/>
  <c r="BF104" i="2" a="1"/>
  <c r="AS123" i="2" a="1"/>
  <c r="BE220" i="2" a="1"/>
  <c r="AW151" i="2" a="1"/>
  <c r="BP136" i="2" a="1"/>
  <c r="BF194" i="2" a="1"/>
  <c r="BB174" i="2" a="1"/>
  <c r="BC210" i="2" a="1"/>
  <c r="BO111" i="2" a="1"/>
  <c r="BK156" i="2" a="1"/>
  <c r="BF168" i="2" a="1"/>
  <c r="BP160" i="2" a="1"/>
  <c r="AY141" i="2" a="1"/>
  <c r="AV109" i="2" a="1"/>
  <c r="BH228" i="2" a="1"/>
  <c r="BD229" i="2" a="1"/>
  <c r="BC258" i="2" a="1"/>
  <c r="BG137" i="2" a="1"/>
  <c r="BN137" i="2" a="1"/>
  <c r="AT57" i="2" a="1"/>
  <c r="AV244" i="2" a="1"/>
  <c r="BB155" i="2" a="1"/>
  <c r="BC131" i="2" a="1"/>
  <c r="BK82" i="2" a="1"/>
  <c r="BF218" i="2" a="1"/>
  <c r="BC55" i="2" a="1"/>
  <c r="BG77" i="2" a="1"/>
  <c r="BG207" i="2" a="1"/>
  <c r="BH111" i="2" a="1"/>
  <c r="BE101" i="2" a="1"/>
  <c r="BK158" i="2" a="1"/>
  <c r="BA120" i="2" a="1"/>
  <c r="AW96" i="2" a="1"/>
  <c r="BO237" i="2" a="1"/>
  <c r="BD128" i="2" a="1"/>
  <c r="AR149" i="2" a="1"/>
  <c r="BK125" i="2" a="1"/>
  <c r="BR210" i="2" a="1"/>
  <c r="BA201" i="2" a="1"/>
  <c r="BA213" i="2" a="1"/>
  <c r="AY197" i="2" a="1"/>
  <c r="BI168" i="2" a="1"/>
  <c r="AQ143" i="2" a="1"/>
  <c r="BQ171" i="2" a="1"/>
  <c r="BL162" i="2" a="1"/>
  <c r="BI149" i="2" a="1"/>
  <c r="BF219" i="2" a="1"/>
  <c r="BQ168" i="2" a="1"/>
  <c r="BM74" i="2" a="1"/>
  <c r="BQ218" i="2" a="1"/>
  <c r="BP107" i="2" a="1"/>
  <c r="AR81" i="2" a="1"/>
  <c r="BE119" i="2" a="1"/>
  <c r="BD143" i="2" a="1"/>
  <c r="BM114" i="2" a="1"/>
  <c r="BO83" i="2" a="1"/>
  <c r="BM93" i="2" a="1"/>
  <c r="AW240" i="2" a="1"/>
  <c r="AS231" i="2" a="1"/>
  <c r="AV173" i="2" a="1"/>
  <c r="BR113" i="2" a="1"/>
  <c r="AQ56" i="2" a="1"/>
  <c r="AS209" i="2" a="1"/>
  <c r="AY142" i="2" a="1"/>
  <c r="AR78" i="2" a="1"/>
  <c r="BH257" i="2" a="1"/>
  <c r="BN151" i="2" a="1"/>
  <c r="BA84" i="2" a="1"/>
  <c r="AV137" i="2" a="1"/>
  <c r="BG134" i="2" a="1"/>
  <c r="AX88" i="2" a="1"/>
  <c r="BF212" i="2" a="1"/>
  <c r="BE54" i="2" a="1"/>
  <c r="BF237" i="2" a="1"/>
  <c r="BF131" i="2" a="1"/>
  <c r="BN86" i="2" a="1"/>
  <c r="AR182" i="2" a="1"/>
  <c r="AU85" i="2" a="1"/>
  <c r="BC200" i="2" a="1"/>
  <c r="AU131" i="2" a="1"/>
  <c r="BR95" i="2" a="1"/>
  <c r="BR144" i="2" a="1"/>
  <c r="BD131" i="2" a="1"/>
  <c r="AV164" i="2" a="1"/>
  <c r="AV61" i="2" a="1"/>
  <c r="BD157" i="2" a="1"/>
  <c r="BM80" i="2" a="1"/>
  <c r="AT69" i="2" a="1"/>
  <c r="AW195" i="2" a="1"/>
  <c r="AV60" i="2" a="1"/>
  <c r="BP99" i="2" a="1"/>
  <c r="AT63" i="2" a="1"/>
  <c r="BA150" i="2" a="1"/>
  <c r="AV240" i="2" a="1"/>
  <c r="BF86" i="2" a="1"/>
  <c r="BR174" i="2" a="1"/>
  <c r="BH174" i="2" a="1"/>
  <c r="AS164" i="2" a="1"/>
  <c r="BB214" i="2" a="1"/>
  <c r="BF258" i="2" a="1"/>
  <c r="AQ151" i="2" a="1"/>
  <c r="BB259" i="2" a="1"/>
  <c r="BE132" i="2" a="1"/>
  <c r="BD97" i="2" a="1"/>
  <c r="BI190" i="2" a="1"/>
  <c r="BR60" i="2" a="1"/>
  <c r="BI183" i="2" a="1"/>
  <c r="AS145" i="2" a="1"/>
  <c r="BA156" i="2" a="1"/>
  <c r="AQ214" i="2" a="1"/>
  <c r="BQ246" i="2" a="1"/>
  <c r="BI146" i="2" a="1"/>
  <c r="BI104" i="2" a="1"/>
  <c r="BE195" i="2" a="1"/>
  <c r="AY64" i="2" a="1"/>
  <c r="BF75" i="2" a="1"/>
  <c r="BM188" i="2" a="1"/>
  <c r="AR183" i="2" a="1"/>
  <c r="BP124" i="2" a="1"/>
  <c r="BO240" i="2" a="1"/>
  <c r="BD70" i="2" a="1"/>
  <c r="AV141" i="2" a="1"/>
  <c r="BL180" i="2" a="1"/>
  <c r="AQ200" i="2" a="1"/>
  <c r="AU183" i="2" a="1"/>
  <c r="BD258" i="2" a="1"/>
  <c r="AU89" i="2" a="1"/>
  <c r="BL136" i="2" a="1"/>
  <c r="AV92" i="2" a="1"/>
  <c r="AU254" i="2" a="1"/>
  <c r="BG130" i="2" a="1"/>
  <c r="BR46" i="2" a="1"/>
  <c r="BI123" i="2" a="1"/>
  <c r="BD249" i="2" a="1"/>
  <c r="BB59" i="2" a="1"/>
  <c r="AV84" i="2" a="1"/>
  <c r="BN206" i="2" a="1"/>
  <c r="BI105" i="2" a="1"/>
  <c r="BK99" i="2" a="1"/>
  <c r="BI176" i="2" a="1"/>
  <c r="BH167" i="2" a="1"/>
  <c r="BC84" i="2" a="1"/>
  <c r="AV198" i="2" a="1"/>
  <c r="AS98" i="2" a="1"/>
  <c r="BQ97" i="2" a="1"/>
  <c r="BL240" i="2" a="1"/>
  <c r="BK100" i="2" a="1"/>
  <c r="BH126" i="2" a="1"/>
  <c r="BI139" i="2" a="1"/>
  <c r="AS148" i="2" a="1"/>
  <c r="AS137" i="2" a="1"/>
  <c r="AV220" i="2" a="1"/>
  <c r="BG184" i="2" a="1"/>
  <c r="BB223" i="2" a="1"/>
  <c r="BE163" i="2" a="1"/>
  <c r="BB145" i="2" a="1"/>
  <c r="BL102" i="2" a="1"/>
  <c r="BQ160" i="2" a="1"/>
  <c r="AX101" i="2" a="1"/>
  <c r="BE63" i="2" a="1"/>
  <c r="AY193" i="2" a="1"/>
  <c r="BR204" i="2" a="1"/>
  <c r="AW216" i="2" a="1"/>
  <c r="BO118" i="2" a="1"/>
  <c r="BL172" i="2" a="1"/>
  <c r="AX95" i="2" a="1"/>
  <c r="BI111" i="2" a="1"/>
  <c r="AY86" i="2" a="1"/>
  <c r="BA137" i="2" a="1"/>
  <c r="BH68" i="2" a="1"/>
  <c r="BM124" i="2" a="1"/>
  <c r="BL154" i="2" a="1"/>
  <c r="AQ192" i="2" a="1"/>
  <c r="AR137" i="2" a="1"/>
  <c r="BF100" i="2" a="1"/>
  <c r="AS219" i="2" a="1"/>
  <c r="BC266" i="2" a="1"/>
  <c r="BF242" i="2" a="1"/>
  <c r="BQ243" i="2" a="1"/>
  <c r="BE200" i="2" a="1"/>
  <c r="AW242" i="2" a="1"/>
  <c r="BA152" i="2" a="1"/>
  <c r="BJ166" i="2" a="1"/>
  <c r="BL181" i="2" a="1"/>
  <c r="AR194" i="2" a="1"/>
  <c r="AR71" i="2" a="1"/>
  <c r="AW243" i="2" a="1"/>
  <c r="AY161" i="2" a="1"/>
  <c r="BR218" i="2" a="1"/>
  <c r="BD187" i="2" a="1"/>
  <c r="BQ194" i="2" a="1"/>
  <c r="AS203" i="2" a="1"/>
  <c r="BK170" i="2" a="1"/>
  <c r="BF268" i="2" a="1"/>
  <c r="BB232" i="2" a="1"/>
  <c r="BE145" i="2" a="1"/>
  <c r="BF161" i="2" a="1"/>
  <c r="AR56" i="2" a="1"/>
  <c r="BG153" i="2" a="1"/>
  <c r="AU155" i="2" a="1"/>
  <c r="BB231" i="2" a="1"/>
  <c r="AQ215" i="2" a="1"/>
  <c r="BB159" i="2" a="1"/>
  <c r="BB75" i="2" a="1"/>
  <c r="BL92" i="2" a="1"/>
  <c r="BH253" i="2" a="1"/>
  <c r="AR102" i="2" a="1"/>
  <c r="AW208" i="2" a="1"/>
  <c r="BP89" i="2" a="1"/>
  <c r="BA115" i="2" a="1"/>
  <c r="AY156" i="2" a="1"/>
  <c r="AY152" i="2" a="1"/>
  <c r="BF152" i="2" a="1"/>
  <c r="BI126" i="2" a="1"/>
  <c r="BD181" i="2" a="1"/>
  <c r="BH254" i="2" a="1"/>
  <c r="AW168" i="2" a="1"/>
  <c r="BD190" i="2" a="1"/>
  <c r="BD216" i="2" a="1"/>
  <c r="BQ237" i="2" a="1"/>
  <c r="BB228" i="2" a="1"/>
  <c r="BD168" i="2" a="1"/>
  <c r="BG109" i="2" a="1"/>
  <c r="BA56" i="2" a="1"/>
  <c r="AT55" i="2" a="1"/>
  <c r="AR140" i="2" a="1"/>
  <c r="AV91" i="2" a="1"/>
  <c r="AX69" i="2" a="1"/>
  <c r="BR122" i="2" a="1"/>
  <c r="AR131" i="2" a="1"/>
  <c r="BL160" i="2" a="1"/>
  <c r="BA195" i="2" a="1"/>
  <c r="AV182" i="2" a="1"/>
  <c r="BE168" i="2" a="1"/>
  <c r="BP66" i="2" a="1"/>
  <c r="AU191" i="2" a="1"/>
  <c r="BP216" i="2" a="1"/>
  <c r="BQ178" i="2" a="1"/>
  <c r="BD252" i="2" a="1"/>
  <c r="AW172" i="2" a="1"/>
  <c r="BK115" i="2" a="1"/>
  <c r="AQ149" i="2" a="1"/>
  <c r="BP113" i="2" a="1"/>
  <c r="BO210" i="2" a="1"/>
  <c r="AU75" i="2" a="1"/>
  <c r="BQ207" i="2" a="1"/>
  <c r="AS64" i="2" a="1"/>
  <c r="BJ96" i="2" a="1"/>
  <c r="BB83" i="2" a="1"/>
  <c r="BB251" i="2" a="1"/>
  <c r="AQ181" i="2" a="1"/>
  <c r="AV111" i="2" a="1"/>
  <c r="AR148" i="2" a="1"/>
  <c r="AU227" i="2" a="1"/>
  <c r="BA97" i="2" a="1"/>
  <c r="BD91" i="2" a="1"/>
  <c r="AQ223" i="2" a="1"/>
  <c r="AS189" i="2" a="1"/>
  <c r="AR122" i="2" a="1"/>
  <c r="BO244" i="2" a="1"/>
  <c r="AV192" i="2" a="1"/>
  <c r="BH91" i="2" a="1"/>
  <c r="AR130" i="2" a="1"/>
  <c r="BF106" i="2" a="1"/>
  <c r="BB124" i="2" a="1"/>
  <c r="BL73" i="2" a="1"/>
  <c r="BL199" i="2" a="1"/>
  <c r="BI99" i="2" a="1"/>
  <c r="AY85" i="2" a="1"/>
  <c r="BK150" i="2" a="1"/>
  <c r="BN192" i="2" a="1"/>
  <c r="BP223" i="2" a="1"/>
  <c r="AV130" i="2" a="1"/>
  <c r="AV70" i="2" a="1"/>
  <c r="AT97" i="2" a="1"/>
  <c r="BQ73" i="2" a="1"/>
  <c r="AS170" i="2" a="1"/>
  <c r="BC102" i="2" a="1"/>
  <c r="BK180" i="2" a="1"/>
  <c r="BF220" i="2" a="1"/>
  <c r="AW134" i="2" a="1"/>
  <c r="BL177" i="2" a="1"/>
  <c r="BO107" i="2" a="1"/>
  <c r="AR193" i="2" a="1"/>
  <c r="BG212" i="2" a="1"/>
  <c r="BP79" i="2" a="1"/>
  <c r="BQ53" i="2" a="1"/>
  <c r="BP77" i="2" a="1"/>
  <c r="AV187" i="2" a="1"/>
  <c r="BA210" i="2" a="1"/>
  <c r="AY182" i="2" a="1"/>
  <c r="BL121" i="2" a="1"/>
  <c r="AU260" i="2" a="1"/>
  <c r="AQ174" i="2" a="1"/>
  <c r="BB217" i="2" a="1"/>
  <c r="AV183" i="2" a="1"/>
  <c r="BC227" i="2" a="1"/>
  <c r="BN138" i="2" a="1"/>
  <c r="BA88" i="2" a="1"/>
  <c r="BL119" i="2" a="1"/>
  <c r="BF248" i="2" a="1"/>
  <c r="BO69" i="2" a="1"/>
  <c r="BH73" i="2" a="1"/>
  <c r="BN121" i="2" a="1"/>
  <c r="BH209" i="2" a="1"/>
  <c r="BR235" i="2" a="1"/>
  <c r="BD83" i="2" a="1"/>
  <c r="AW179" i="2" a="1"/>
  <c r="BH144" i="2" a="1"/>
  <c r="BM83" i="2" a="1"/>
  <c r="BP186" i="2" a="1"/>
  <c r="BE91" i="2" a="1"/>
  <c r="AQ134" i="2" a="1"/>
  <c r="BC176" i="2" a="1"/>
  <c r="BP250" i="2" a="1"/>
  <c r="AQ204" i="2" a="1"/>
  <c r="BO159" i="2" a="1"/>
  <c r="BD228" i="2" a="1"/>
  <c r="BH110" i="2" a="1"/>
  <c r="AY145" i="2" a="1"/>
  <c r="BB256" i="2" a="1"/>
  <c r="AS204" i="2" a="1"/>
  <c r="BH255" i="2" a="1"/>
  <c r="BJ153" i="2" a="1"/>
  <c r="BO176" i="2" a="1"/>
  <c r="BK195" i="2" a="1"/>
  <c r="AQ186" i="2" a="1"/>
  <c r="BJ183" i="2" a="1"/>
  <c r="BC192" i="2" a="1"/>
  <c r="BR71" i="2" a="1"/>
  <c r="AU170" i="2" a="1"/>
  <c r="BK193" i="2" a="1"/>
  <c r="AW192" i="2" a="1"/>
  <c r="BG214" i="2" a="1"/>
  <c r="BQ176" i="2" a="1"/>
  <c r="BP166" i="2" a="1"/>
  <c r="BO167" i="2" a="1"/>
  <c r="BH251" i="2" a="1"/>
  <c r="AV74" i="2" a="1"/>
  <c r="BL56" i="2" a="1"/>
  <c r="BO101" i="2" a="1"/>
  <c r="AR96" i="2" a="1"/>
  <c r="BA135" i="2" a="1"/>
  <c r="BI53" i="2" a="1"/>
  <c r="BE127" i="2" a="1"/>
  <c r="BL64" i="2" a="1"/>
  <c r="AW211" i="2" a="1"/>
  <c r="AQ224" i="2" a="1"/>
  <c r="BH220" i="2" a="1"/>
  <c r="AV245" i="2" a="1"/>
  <c r="BB238" i="2" a="1"/>
  <c r="BM101" i="2" a="1"/>
  <c r="BM213" i="2" a="1"/>
  <c r="BD255" i="2" a="1"/>
  <c r="BD243" i="2" a="1"/>
  <c r="AR73" i="2" a="1"/>
  <c r="BB101" i="2" a="1"/>
  <c r="AR178" i="2" a="1"/>
  <c r="BJ110" i="2" a="1"/>
  <c r="BM110" i="2" a="1"/>
  <c r="BK179" i="2" a="1"/>
  <c r="BR124" i="2" a="1"/>
  <c r="BO199" i="2" a="1"/>
  <c r="BF177" i="2" a="1"/>
  <c r="AW171" i="2" a="1"/>
  <c r="BP234" i="2" a="1"/>
  <c r="BQ177" i="2" a="1"/>
  <c r="BN189" i="2" a="1"/>
  <c r="BJ56" i="2" a="1"/>
  <c r="BJ58" i="2" a="1"/>
  <c r="BB246" i="2" a="1"/>
  <c r="BE95" i="2" a="1"/>
  <c r="BC223" i="2" a="1"/>
  <c r="BC98" i="2" a="1"/>
  <c r="BA53" i="2" a="1"/>
  <c r="AY98" i="2" a="1"/>
  <c r="BB111" i="2" a="1"/>
  <c r="AS226" i="2" a="1"/>
  <c r="BA117" i="2" a="1"/>
  <c r="BC125" i="2" a="1"/>
  <c r="BN174" i="2" a="1"/>
  <c r="AY63" i="2" a="1"/>
  <c r="BL190" i="2" a="1"/>
  <c r="BP232" i="2" a="1"/>
  <c r="BG192" i="2" a="1"/>
  <c r="BR257" i="2" a="1"/>
  <c r="BC230" i="2" a="1"/>
  <c r="BL243" i="2" a="1"/>
  <c r="BG96" i="2" a="1"/>
  <c r="BP94" i="2" a="1"/>
  <c r="BN194" i="2" a="1"/>
  <c r="BQ209" i="2" a="1"/>
  <c r="BF251" i="2" a="1"/>
  <c r="BH238" i="2" a="1"/>
  <c r="AV205" i="2" a="1"/>
  <c r="AW116" i="2" a="1"/>
  <c r="BH192" i="2" a="1"/>
  <c r="BR84" i="2" a="1"/>
  <c r="AW90" i="2" a="1"/>
  <c r="BE157" i="2" a="1"/>
  <c r="AU215" i="2" a="1"/>
  <c r="BG82" i="2" a="1"/>
  <c r="AQ218" i="2" a="1"/>
  <c r="BD182" i="2" a="1"/>
  <c r="BO195" i="2" a="1"/>
  <c r="AX67" i="2" a="1"/>
  <c r="BP229" i="2" a="1"/>
  <c r="BP207" i="2" a="1"/>
  <c r="AY140" i="2" a="1"/>
  <c r="BN93" i="2" a="1"/>
  <c r="AU268" i="2" a="1"/>
  <c r="BM208" i="2" a="1"/>
  <c r="BO130" i="2" a="1"/>
  <c r="BF57" i="2" a="1"/>
  <c r="BE89" i="2" a="1"/>
  <c r="AR198" i="2" a="1"/>
  <c r="BB168" i="2" a="1"/>
  <c r="BK148" i="2" a="1"/>
  <c r="BJ188" i="2" a="1"/>
  <c r="BB117" i="2" a="1"/>
  <c r="AV62" i="2" a="1"/>
  <c r="BQ63" i="2" a="1"/>
  <c r="BL207" i="2" a="1"/>
  <c r="BE129" i="2" a="1"/>
  <c r="BM180" i="2" a="1"/>
  <c r="AT124" i="2" a="1"/>
  <c r="AW104" i="2" a="1"/>
  <c r="BH97" i="2" a="1"/>
  <c r="BQ136" i="2" a="1"/>
  <c r="AQ208" i="2" a="1"/>
  <c r="AQ121" i="2" a="1"/>
  <c r="BM125" i="2" a="1"/>
  <c r="BK117" i="2" a="1"/>
  <c r="BC166" i="2" a="1"/>
  <c r="AR186" i="2" a="1"/>
  <c r="BK137" i="2" a="1"/>
  <c r="BR181" i="2" a="1"/>
  <c r="BI133" i="2" a="1"/>
  <c r="BH247" i="2" a="1"/>
  <c r="BN97" i="2" a="1"/>
  <c r="BO247" i="2" a="1"/>
  <c r="BD253" i="2" a="1"/>
  <c r="BD197" i="2" a="1"/>
  <c r="BC111" i="2" a="1"/>
  <c r="BO100" i="2" a="1"/>
  <c r="AU234" i="2" a="1"/>
  <c r="BN64" i="2" a="1"/>
  <c r="BQ191" i="2" a="1"/>
  <c r="AY143" i="2" a="1"/>
  <c r="AQ103" i="2" a="1"/>
  <c r="BG119" i="2" a="1"/>
  <c r="AR74" i="2" a="1"/>
  <c r="BI167" i="2" a="1"/>
  <c r="BD244" i="2" a="1"/>
  <c r="AU180" i="2" a="1"/>
  <c r="AT125" i="2" a="1"/>
  <c r="BK147" i="2" a="1"/>
  <c r="BJ176" i="2" a="1"/>
  <c r="AW57" i="2" a="1"/>
  <c r="BM219" i="2" a="1"/>
  <c r="BH208" i="2" a="1"/>
  <c r="BD95" i="2" a="1"/>
  <c r="AQ173" i="2" a="1"/>
  <c r="BG218" i="2" a="1"/>
  <c r="BA177" i="2" a="1"/>
  <c r="AR121" i="2" a="1"/>
  <c r="BI134" i="2" a="1"/>
  <c r="BR115" i="2" a="1"/>
  <c r="BQ106" i="2" a="1"/>
  <c r="BG126" i="2" a="1"/>
  <c r="BG168" i="2" a="1"/>
  <c r="BA66" i="2" a="1"/>
  <c r="BI116" i="2" a="1"/>
  <c r="AV158" i="2" a="1"/>
  <c r="BL208" i="2" a="1"/>
  <c r="BJ82" i="2" a="1"/>
  <c r="AS152" i="2" a="1"/>
  <c r="BO171" i="2" a="1"/>
  <c r="BH230" i="2" a="1"/>
  <c r="AY62" i="2" a="1"/>
  <c r="BP182" i="2" a="1"/>
  <c r="AV204" i="2" a="1"/>
  <c r="BH173" i="2" a="1"/>
  <c r="BQ196" i="2" a="1"/>
  <c r="AU81" i="2" a="1"/>
  <c r="BC174" i="2" a="1"/>
  <c r="BC178" i="2" a="1"/>
  <c r="AV134" i="2" a="1"/>
  <c r="BF207" i="2" a="1"/>
  <c r="BR112" i="2" a="1"/>
  <c r="BE212" i="2" a="1"/>
  <c r="BK155" i="2" a="1"/>
  <c r="BC243" i="2" a="1"/>
  <c r="BN62" i="2" a="1"/>
  <c r="BF174" i="2" a="1"/>
  <c r="BE178" i="2" a="1"/>
  <c r="BF198" i="2" a="1"/>
  <c r="BM166" i="2" a="1"/>
  <c r="BK80" i="2" a="1"/>
  <c r="BP130" i="2" a="1"/>
  <c r="AW139" i="2" a="1"/>
  <c r="BP259" i="2" a="1"/>
  <c r="AW74" i="2" a="1"/>
  <c r="BK186" i="2" a="1"/>
  <c r="BL57" i="2" a="1"/>
  <c r="BM116" i="2" a="1"/>
  <c r="BH180" i="2" a="1"/>
  <c r="BI59" i="2" a="1"/>
  <c r="BO187" i="2" a="1"/>
  <c r="AR111" i="2" a="1"/>
  <c r="BD87" i="2" a="1"/>
  <c r="BA134" i="2" a="1"/>
  <c r="BR251" i="2" a="1"/>
  <c r="AR92" i="2" a="1"/>
  <c r="AS75" i="2" a="1"/>
  <c r="AS206" i="2" a="1"/>
  <c r="BR141" i="2" a="1"/>
  <c r="BL148" i="2" a="1"/>
  <c r="AW162" i="2" a="1"/>
  <c r="BL71" i="2" a="1"/>
  <c r="BQ210" i="2" a="1"/>
  <c r="BA168" i="2" a="1"/>
  <c r="AW146" i="2" a="1"/>
  <c r="AV203" i="2" a="1"/>
  <c r="BJ92" i="2" a="1"/>
  <c r="BO86" i="2" a="1"/>
  <c r="AR84" i="2" a="1"/>
  <c r="BC58" i="2" a="1"/>
  <c r="AW86" i="2" a="1"/>
  <c r="BL205" i="2" a="1"/>
  <c r="AY136" i="2" a="1"/>
  <c r="BM209" i="2" a="1"/>
  <c r="AS190" i="2" a="1"/>
  <c r="AT114" i="2" a="1"/>
  <c r="BA82" i="2" a="1"/>
  <c r="BK135" i="2" a="1"/>
  <c r="AQ87" i="2" a="1"/>
  <c r="BD103" i="2" a="1"/>
  <c r="BF124" i="2" a="1"/>
  <c r="AU217" i="2" a="1"/>
  <c r="BO154" i="2" a="1"/>
  <c r="AU221" i="2" a="1"/>
  <c r="AV180" i="2" a="1"/>
  <c r="BE193" i="2" a="1"/>
  <c r="BJ152" i="2" a="1"/>
  <c r="BM59" i="2" a="1"/>
  <c r="BD259" i="2" a="1"/>
  <c r="BC87" i="2" a="1"/>
  <c r="BM77" i="2" a="1"/>
  <c r="AU95" i="2" a="1"/>
  <c r="BM103" i="2" a="1"/>
  <c r="BC245" i="2" a="1"/>
  <c r="AW85" i="2" a="1"/>
  <c r="BM197" i="2" a="1"/>
  <c r="AS101" i="2" a="1"/>
  <c r="AU154" i="2" a="1"/>
  <c r="BJ74" i="2" a="1"/>
  <c r="BE131" i="2" a="1"/>
  <c r="AW55" i="2" a="1"/>
  <c r="AY216" i="2" a="1"/>
  <c r="BG181" i="2" a="1"/>
  <c r="BP206" i="2" a="1"/>
  <c r="BG76" i="2" a="1"/>
  <c r="AQ220" i="2" a="1"/>
  <c r="BR243" i="2" a="1"/>
  <c r="BA204" i="2" a="1"/>
  <c r="AV167" i="2" a="1"/>
  <c r="BL85" i="2" a="1"/>
  <c r="AW119" i="2" a="1"/>
  <c r="BR165" i="2" a="1"/>
  <c r="BA54" i="2" a="1"/>
  <c r="AU218" i="2" a="1"/>
  <c r="BI80" i="2" a="1"/>
  <c r="AR110" i="2" a="1"/>
  <c r="BQ234" i="2" a="1"/>
  <c r="AW98" i="2" a="1"/>
  <c r="BC241" i="2" a="1"/>
  <c r="BL218" i="2" a="1"/>
  <c r="BK123" i="2" a="1"/>
  <c r="AY75" i="2" a="1"/>
  <c r="BG194" i="2" a="1"/>
  <c r="BP175" i="2" a="1"/>
  <c r="AY164" i="2" a="1"/>
  <c r="BR102" i="2" a="1"/>
  <c r="BR48" i="2" a="1"/>
  <c r="BI84" i="2" a="1"/>
  <c r="AQ202" i="2" a="1"/>
  <c r="BJ120" i="2" a="1"/>
  <c r="BM176" i="2" a="1"/>
  <c r="BK72" i="2" a="1"/>
  <c r="BC127" i="2" a="1"/>
  <c r="BQ189" i="2" a="1"/>
  <c r="BO250" i="2" a="1"/>
  <c r="BL175" i="2" a="1"/>
  <c r="BC205" i="2" a="1"/>
  <c r="BP81" i="2" a="1"/>
  <c r="BB53" i="2" a="1"/>
  <c r="BP261" i="2" a="1"/>
  <c r="AW68" i="2" a="1"/>
  <c r="BC254" i="2" a="1"/>
  <c r="BQ230" i="2" a="1"/>
  <c r="BQ208" i="2" a="1"/>
  <c r="BJ64" i="2" a="1"/>
  <c r="BE71" i="2" a="1"/>
  <c r="BL224" i="2" a="1"/>
  <c r="BK168" i="2" a="1"/>
  <c r="BL248" i="2" a="1"/>
  <c r="BL114" i="2" a="1"/>
  <c r="BG227" i="2" a="1"/>
  <c r="BR188" i="2" a="1"/>
  <c r="BQ180" i="2" a="1"/>
  <c r="BD218" i="2" a="1"/>
  <c r="AY198" i="2" a="1"/>
  <c r="AS208" i="2" a="1"/>
  <c r="BF114" i="2" a="1"/>
  <c r="BP197" i="2" a="1"/>
  <c r="AW103" i="2" a="1"/>
  <c r="BE140" i="2" a="1"/>
  <c r="AW141" i="2" a="1"/>
  <c r="BJ60" i="2" a="1"/>
  <c r="BD124" i="2" a="1"/>
  <c r="AV85" i="2" a="1"/>
  <c r="BB178" i="2" a="1"/>
  <c r="BE185" i="2" a="1"/>
  <c r="BN92" i="2" a="1"/>
  <c r="BL236" i="2" a="1"/>
  <c r="AU64" i="2" a="1"/>
  <c r="AQ175" i="2" a="1"/>
  <c r="AW232" i="2" a="1"/>
  <c r="BP204" i="2" a="1"/>
  <c r="BC139" i="2" a="1"/>
  <c r="AX83" i="2" a="1"/>
  <c r="BI157" i="2" a="1"/>
  <c r="BF63" i="2" a="1"/>
  <c r="BD233" i="2" a="1"/>
  <c r="AT74" i="2" a="1"/>
  <c r="BL263" i="2" a="1"/>
  <c r="BO70" i="2" a="1"/>
  <c r="AU223" i="2" a="1"/>
  <c r="BR246" i="2" a="1"/>
  <c r="BE215" i="2" a="1"/>
  <c r="AU165" i="2" a="1"/>
  <c r="BF139" i="2" a="1"/>
  <c r="BG74" i="2" a="1"/>
  <c r="BK169" i="2" a="1"/>
  <c r="BO207" i="2" a="1"/>
  <c r="AX117" i="2" a="1"/>
  <c r="BB257" i="2" a="1"/>
  <c r="BR178" i="2" a="1"/>
  <c r="AW203" i="2" a="1"/>
  <c r="BC107" i="2" a="1"/>
  <c r="AR85" i="2" a="1"/>
  <c r="BO256" i="2" a="1"/>
  <c r="AU230" i="2" a="1"/>
  <c r="BA75" i="2" a="1"/>
  <c r="AR83" i="2" a="1"/>
  <c r="AV229" i="2" a="1"/>
  <c r="BO200" i="2" a="1"/>
  <c r="BB112" i="2" a="1"/>
  <c r="BJ133" i="2" a="1"/>
  <c r="BO117" i="2" a="1"/>
  <c r="BH81" i="2" a="1"/>
  <c r="BM111" i="2" a="1"/>
  <c r="BH150" i="2" a="1"/>
  <c r="BF95" i="2" a="1"/>
  <c r="BO115" i="2" a="1"/>
  <c r="BR130" i="2" a="1"/>
  <c r="AV241" i="2" a="1"/>
  <c r="BR253" i="2" a="1"/>
  <c r="BK56" i="2" a="1"/>
  <c r="AT138" i="2" a="1"/>
  <c r="AX120" i="2" a="1"/>
  <c r="BH72" i="2" a="1"/>
  <c r="BR59" i="2" a="1"/>
  <c r="BN156" i="2" a="1"/>
  <c r="BF209" i="2" a="1"/>
  <c r="AQ114" i="2" a="1"/>
  <c r="BL110" i="2" a="1"/>
  <c r="BD193" i="2" a="1"/>
  <c r="BM78" i="2" a="1"/>
  <c r="BO147" i="2" a="1"/>
  <c r="BR170" i="2" a="1"/>
  <c r="BE53" i="2" a="1"/>
  <c r="BK102" i="2" a="1"/>
  <c r="BP120" i="2" a="1"/>
  <c r="AV170" i="2" a="1"/>
  <c r="BR242" i="2" a="1"/>
  <c r="AS216" i="2" a="1"/>
  <c r="BB181" i="2" a="1"/>
  <c r="BE206" i="2" a="1"/>
  <c r="BF82" i="2" a="1"/>
  <c r="BP152" i="2" a="1"/>
  <c r="BB70" i="2" a="1"/>
  <c r="BC91" i="2" a="1"/>
  <c r="BB188" i="2" a="1"/>
  <c r="BO234" i="2" a="1"/>
  <c r="BC236" i="2" a="1"/>
  <c r="AR197" i="2" a="1"/>
  <c r="BC118" i="2" a="1"/>
  <c r="BL174" i="2" a="1"/>
  <c r="AY95" i="2" a="1"/>
  <c r="BI61" i="2" a="1"/>
  <c r="AU243" i="2" a="1"/>
  <c r="BN89" i="2" a="1"/>
  <c r="BM72" i="2" a="1"/>
  <c r="BB144" i="2" a="1"/>
  <c r="AV150" i="2" a="1"/>
  <c r="BJ131" i="2" a="1"/>
  <c r="AU196" i="2" a="1"/>
  <c r="AW239" i="2" a="1"/>
  <c r="BO158" i="2" a="1"/>
  <c r="BG167" i="2" a="1"/>
  <c r="BN191" i="2" a="1"/>
  <c r="BQ187" i="2" a="1"/>
  <c r="BI131" i="2" a="1"/>
  <c r="BF253" i="2" a="1"/>
  <c r="AY114" i="2" a="1"/>
  <c r="AT93" i="2" a="1"/>
  <c r="AS174" i="2" a="1"/>
  <c r="BO87" i="2" a="1"/>
  <c r="BP110" i="2" a="1"/>
  <c r="BR146" i="2" a="1"/>
  <c r="BO231" i="2" a="1"/>
  <c r="AQ213" i="2" a="1"/>
  <c r="AU76" i="2" a="1"/>
  <c r="BL79" i="2" a="1"/>
  <c r="BJ180" i="2" a="1"/>
  <c r="BL133" i="2" a="1"/>
  <c r="BM87" i="2" a="1"/>
  <c r="AS211" i="2" a="1"/>
  <c r="BD209" i="2" a="1"/>
  <c r="AR184" i="2" a="1"/>
  <c r="BB129" i="2" a="1"/>
  <c r="BM98" i="2" a="1"/>
  <c r="AT137" i="2" a="1"/>
  <c r="BD254" i="2" a="1"/>
  <c r="BL82" i="2" a="1"/>
  <c r="BQ201" i="2" a="1"/>
  <c r="BR151" i="2" a="1"/>
  <c r="BP195" i="2" a="1"/>
  <c r="AU112" i="2" a="1"/>
  <c r="AR128" i="2" a="1"/>
  <c r="BF252" i="2" a="1"/>
  <c r="AS118" i="2" a="1"/>
  <c r="BA76" i="2" a="1"/>
  <c r="BJ172" i="2" a="1"/>
  <c r="BE202" i="2" a="1"/>
  <c r="AR120" i="2" a="1"/>
  <c r="BR79" i="2" a="1"/>
  <c r="AQ168" i="2" a="1"/>
  <c r="BD185" i="2" a="1"/>
  <c r="AV113" i="2" a="1"/>
  <c r="AQ157" i="2" a="1"/>
  <c r="AR60" i="2" a="1"/>
  <c r="AU209" i="2" a="1"/>
  <c r="BP84" i="2" a="1"/>
  <c r="BQ225" i="2" a="1"/>
  <c r="BC191" i="2" a="1"/>
  <c r="BO120" i="2" a="1"/>
  <c r="AU172" i="2" a="1"/>
  <c r="BH260" i="2" a="1"/>
  <c r="AW175" i="2" a="1"/>
  <c r="BF103" i="2" a="1"/>
  <c r="BH202" i="2" a="1"/>
  <c r="BB204" i="2" a="1"/>
  <c r="AV142" i="2" a="1"/>
  <c r="AY133" i="2" a="1"/>
  <c r="BP88" i="2" a="1"/>
  <c r="BC153" i="2" a="1"/>
  <c r="BB152" i="2" a="1"/>
  <c r="BD61" i="2" a="1"/>
  <c r="BI140" i="2" a="1"/>
  <c r="BG159" i="2" a="1"/>
  <c r="AV221" i="2" a="1"/>
  <c r="BC104" i="2" a="1"/>
  <c r="BP140" i="2" a="1"/>
  <c r="BL188" i="2" a="1"/>
  <c r="AQ155" i="2" a="1"/>
  <c r="AV140" i="2" a="1"/>
  <c r="BK133" i="2" a="1"/>
  <c r="BH116" i="2" a="1"/>
  <c r="AY127" i="2" a="1"/>
  <c r="BD136" i="2" a="1"/>
  <c r="AU148" i="2" a="1"/>
  <c r="BD196" i="2" a="1"/>
  <c r="BQ58" i="2" a="1"/>
  <c r="AV68" i="2" a="1"/>
  <c r="BC59" i="2" a="1"/>
  <c r="BR211" i="2" a="1"/>
  <c r="BR55" i="2" a="1"/>
  <c r="BK106" i="2" a="1"/>
  <c r="AW112" i="2" a="1"/>
  <c r="AU245" i="2" a="1"/>
  <c r="BA108" i="2" a="1"/>
  <c r="BL109" i="2" a="1"/>
  <c r="BM169" i="2" a="1"/>
  <c r="BR208" i="2" a="1"/>
  <c r="BC64" i="2" a="1"/>
  <c r="BP155" i="2" a="1"/>
  <c r="AT75" i="2" a="1"/>
  <c r="AR59" i="2" a="1"/>
  <c r="AT120" i="2" a="1"/>
  <c r="BM126" i="2" a="1"/>
  <c r="AX89" i="2" a="1"/>
  <c r="BA209" i="2" a="1"/>
  <c r="BA72" i="2" a="1"/>
  <c r="AX139" i="2" a="1"/>
  <c r="AQ225" i="2" a="1"/>
  <c r="AQ139" i="2" a="1"/>
  <c r="BE186" i="2" a="1"/>
  <c r="BP220" i="2" a="1"/>
  <c r="BD110" i="2" a="1"/>
  <c r="BO60" i="2" a="1"/>
  <c r="BE123" i="2" a="1"/>
  <c r="AT88" i="2" a="1"/>
  <c r="AS213" i="2" a="1"/>
  <c r="BL138" i="2" a="1"/>
  <c r="BF79" i="2" a="1"/>
  <c r="BH76" i="2" a="1"/>
  <c r="AQ198" i="2" a="1"/>
  <c r="AV199" i="2" a="1"/>
  <c r="BK93" i="2" a="1"/>
  <c r="BB212" i="2" a="1"/>
  <c r="BE78" i="2" a="1"/>
  <c r="BB162" i="2" a="1"/>
  <c r="BH210" i="2" a="1"/>
  <c r="AV222" i="2" a="1"/>
  <c r="BL159" i="2" a="1"/>
  <c r="AQ148" i="2" a="1"/>
  <c r="BJ126" i="2" a="1"/>
  <c r="BJ59" i="2" a="1"/>
  <c r="BC207" i="2" a="1"/>
  <c r="BB136" i="2" a="1"/>
  <c r="BD151" i="2" a="1"/>
  <c r="BL76" i="2" a="1"/>
  <c r="BR92" i="2" a="1"/>
  <c r="BR266" i="2" a="1"/>
  <c r="BB199" i="2" a="1"/>
  <c r="BC135" i="2" a="1"/>
  <c r="AW227" i="2" a="1"/>
  <c r="AW125" i="2" a="1"/>
  <c r="BG149" i="2" a="1"/>
  <c r="AS160" i="2" a="1"/>
  <c r="BB264" i="2" a="1"/>
  <c r="AY151" i="2" a="1"/>
  <c r="BB255" i="2" a="1"/>
  <c r="BA123" i="2" a="1"/>
  <c r="BH53" i="2" a="1"/>
  <c r="BI82" i="2" a="1"/>
  <c r="BH107" i="2" a="1"/>
  <c r="BM137" i="2" a="1"/>
  <c r="BL150" i="2" a="1"/>
  <c r="BE183" i="2" a="1"/>
  <c r="BL140" i="2" a="1"/>
  <c r="BM144" i="2" a="1"/>
  <c r="BB142" i="2" a="1"/>
  <c r="AW249" i="2" a="1"/>
  <c r="BL137" i="2" a="1"/>
  <c r="BI72" i="2" a="1"/>
  <c r="BC169" i="2" a="1"/>
  <c r="BB218" i="2" a="1"/>
  <c r="BH112" i="2" a="1"/>
  <c r="BP171" i="2" a="1"/>
  <c r="BD186" i="2" a="1"/>
  <c r="AQ53" i="2" a="1"/>
  <c r="BF192" i="2" a="1"/>
  <c r="BF238" i="2" a="1"/>
  <c r="AY129" i="2" a="1"/>
  <c r="BR240" i="2" a="1"/>
  <c r="BD251" i="2" a="1"/>
  <c r="BD69" i="2" a="1"/>
  <c r="BP258" i="2" a="1"/>
  <c r="BP237" i="2" a="1"/>
  <c r="AS167" i="2" a="1"/>
  <c r="AV121" i="2" a="1"/>
  <c r="BD173" i="2" a="1"/>
  <c r="AU257" i="2" a="1"/>
  <c r="BQ108" i="2" a="1"/>
  <c r="BN95" i="2" a="1"/>
  <c r="BN208" i="2" a="1"/>
  <c r="BF89" i="2" a="1"/>
  <c r="BJ113" i="2" a="1"/>
  <c r="BH227" i="2" a="1"/>
  <c r="AT91" i="2" a="1"/>
  <c r="BO203" i="2" a="1"/>
  <c r="AV95" i="2" a="1"/>
  <c r="AQ206" i="2" a="1"/>
  <c r="AQ108" i="2" a="1"/>
  <c r="BM119" i="2" a="1"/>
  <c r="BN154" i="2" a="1"/>
  <c r="AY201" i="2" a="1"/>
  <c r="BG72" i="2" a="1"/>
  <c r="BP147" i="2" a="1"/>
  <c r="BM192" i="2" a="1"/>
  <c r="AW60" i="2" a="1"/>
  <c r="BF150" i="2" a="1"/>
  <c r="AY196" i="2" a="1"/>
  <c r="AS111" i="2" a="1"/>
  <c r="BH160" i="2" a="1"/>
  <c r="BM155" i="2" a="1"/>
  <c r="BO164" i="2" a="1"/>
  <c r="BE171" i="2" a="1"/>
  <c r="BN102" i="2" a="1"/>
  <c r="BH258" i="2" a="1"/>
  <c r="BP162" i="2" a="1"/>
  <c r="BB77" i="2" a="1"/>
  <c r="BA186" i="2" a="1"/>
  <c r="BI153" i="2" a="1"/>
  <c r="BK159" i="2" a="1"/>
  <c r="BN173" i="2" a="1"/>
  <c r="BQ162" i="2" a="1"/>
  <c r="AQ127" i="2" a="1"/>
  <c r="BD76" i="2" a="1"/>
  <c r="AU237" i="2" a="1"/>
  <c r="BI127" i="2" a="1"/>
  <c r="BD126" i="2" a="1"/>
  <c r="BA148" i="2" a="1"/>
  <c r="BG131" i="2" a="1"/>
  <c r="BA102" i="2" a="1"/>
  <c r="BI76" i="2" a="1"/>
  <c r="BD247" i="2" a="1"/>
  <c r="AW76" i="2" a="1"/>
  <c r="AS95" i="2" a="1"/>
  <c r="AX85" i="2" a="1"/>
  <c r="BH54" i="2" a="1"/>
  <c r="BD105" i="2" a="1"/>
  <c r="BI96" i="2" a="1"/>
  <c r="BC130" i="2" a="1"/>
  <c r="AW94" i="2" a="1"/>
  <c r="AU140" i="2" a="1"/>
  <c r="BP95" i="2" a="1"/>
  <c r="BB80" i="2" a="1"/>
  <c r="AT64" i="2" a="1"/>
  <c r="BE169" i="2" a="1"/>
  <c r="AW159" i="2" a="1"/>
  <c r="BH164" i="2" a="1"/>
  <c r="BK171" i="2" a="1"/>
  <c r="AY80" i="2" a="1"/>
  <c r="AY113" i="2" a="1"/>
  <c r="BD104" i="2" a="1"/>
  <c r="AW193" i="2" a="1"/>
  <c r="BA167" i="2" a="1"/>
  <c r="AW63" i="2" a="1"/>
  <c r="BG143" i="2" a="1"/>
  <c r="BR119" i="2" a="1"/>
  <c r="BK83" i="2" a="1"/>
  <c r="BL169" i="2" a="1"/>
  <c r="BK152" i="2" a="1"/>
  <c r="BQ147" i="2" a="1"/>
  <c r="BR155" i="2" a="1"/>
  <c r="BN61" i="2" a="1"/>
  <c r="BP217" i="2" a="1"/>
  <c r="AV219" i="2" a="1"/>
  <c r="AT110" i="2" a="1"/>
  <c r="AS155" i="2" a="1"/>
  <c r="BD191" i="2" a="1"/>
  <c r="BL255" i="2" a="1"/>
  <c r="AT85" i="2" a="1"/>
  <c r="BK157" i="2" a="1"/>
  <c r="AR196" i="2" a="1"/>
  <c r="AY157" i="2" a="1"/>
  <c r="AY169" i="2" a="1"/>
  <c r="BA176" i="2" a="1"/>
  <c r="AU125" i="2" a="1"/>
  <c r="AU58" i="2" a="1"/>
  <c r="BB60" i="2" a="1"/>
  <c r="AS163" i="2" a="1"/>
  <c r="BN83" i="2" a="1"/>
  <c r="BF200" i="2" a="1"/>
  <c r="AS181" i="2" a="1"/>
  <c r="BD64" i="2" a="1"/>
  <c r="BB82" i="2" a="1"/>
  <c r="BD92" i="2" a="1"/>
  <c r="BC167" i="2" a="1"/>
  <c r="AQ165" i="2" a="1"/>
  <c r="AU151" i="2" a="1"/>
  <c r="BH66" i="2" a="1"/>
  <c r="BR77" i="2" a="1"/>
  <c r="AU159" i="2" a="1"/>
  <c r="BO143" i="2" a="1"/>
  <c r="BE60" i="2" a="1"/>
  <c r="BB127" i="2" a="1"/>
  <c r="BN79" i="2" a="1"/>
  <c r="AS113" i="2" a="1"/>
  <c r="BE184" i="2" a="1"/>
  <c r="AX59" i="2" a="1"/>
  <c r="BQ72" i="2" a="1"/>
  <c r="BL225" i="2" a="1"/>
  <c r="AS158" i="2" a="1"/>
  <c r="BR270" i="2" a="1"/>
  <c r="AW67" i="2" a="1"/>
  <c r="AV207" i="2" a="1"/>
  <c r="BL77" i="2" a="1"/>
  <c r="BI162" i="2" a="1"/>
  <c r="AY206" i="2" a="1"/>
  <c r="BB116" i="2" a="1"/>
  <c r="BB209" i="2" a="1"/>
  <c r="BQ71" i="2" a="1"/>
  <c r="BG223" i="2" a="1"/>
  <c r="BO214" i="2" a="1"/>
  <c r="BM117" i="2" a="1"/>
  <c r="BP159" i="2" a="1"/>
  <c r="AT71" i="2" a="1"/>
  <c r="AU150" i="2" a="1"/>
  <c r="AY107" i="2" a="1"/>
  <c r="BE219" i="2" a="1"/>
  <c r="BF101" i="2" a="1"/>
  <c r="BE134" i="2" a="1"/>
  <c r="BA107" i="2" a="1"/>
  <c r="BE143" i="2" a="1"/>
  <c r="AS140" i="2" a="1"/>
  <c r="AU104" i="2" a="1"/>
  <c r="BE165" i="2" a="1"/>
  <c r="BQ245" i="2" a="1"/>
  <c r="BM105" i="2" a="1"/>
  <c r="BQ179" i="2" a="1"/>
  <c r="BO181" i="2" a="1"/>
  <c r="AU233" i="2" a="1"/>
  <c r="AR189" i="2" a="1"/>
  <c r="BF120" i="2" a="1"/>
  <c r="BO148" i="2" a="1"/>
  <c r="BA200" i="2" a="1"/>
  <c r="BR140" i="2" a="1"/>
  <c r="BH245" i="2" a="1"/>
  <c r="BM70" i="2" a="1"/>
  <c r="BP134" i="2" a="1"/>
  <c r="BK55" i="2" a="1"/>
  <c r="AR157" i="2" a="1"/>
  <c r="BE179" i="2" a="1"/>
  <c r="AY93" i="2" a="1"/>
  <c r="AV72" i="2" a="1"/>
  <c r="BJ121" i="2" a="1"/>
  <c r="AY180" i="2" a="1"/>
  <c r="BN75" i="2" a="1"/>
  <c r="BA138" i="2" a="1"/>
  <c r="BE85" i="2" a="1"/>
  <c r="BN116" i="2" a="1"/>
  <c r="AV215" i="2" a="1"/>
  <c r="BR66" i="2" a="1"/>
  <c r="BD152" i="2" a="1"/>
  <c r="BF257" i="2" a="1"/>
  <c r="BR74" i="2" a="1"/>
  <c r="BL67" i="2" a="1"/>
  <c r="BO129" i="2" a="1"/>
  <c r="BC146" i="2" a="1"/>
  <c r="BP100" i="2" a="1"/>
  <c r="AY53" i="2" a="1"/>
  <c r="AU83" i="2" a="1"/>
  <c r="BG144" i="2" a="1"/>
  <c r="BQ68" i="2" a="1"/>
  <c r="BR231" i="2" a="1"/>
  <c r="BP185" i="2" a="1"/>
  <c r="BF56" i="2" a="1"/>
  <c r="AW135" i="2" a="1"/>
  <c r="BE155" i="2" a="1"/>
  <c r="AR175" i="2" a="1"/>
  <c r="BK87" i="2" a="1"/>
  <c r="AQ80" i="2" a="1"/>
  <c r="BM91" i="2" a="1"/>
  <c r="BR223" i="2" a="1"/>
  <c r="AS198" i="2" a="1"/>
  <c r="BD226" i="2" a="1"/>
  <c r="BR86" i="2" a="1"/>
  <c r="BA116" i="2" a="1"/>
  <c r="AX57" i="2" a="1"/>
  <c r="BH212" i="2" a="1"/>
  <c r="BH235" i="2" a="1"/>
  <c r="BH232" i="2" a="1"/>
  <c r="BF126" i="2" a="1"/>
  <c r="AU92" i="2" a="1"/>
  <c r="BK101" i="2" a="1"/>
  <c r="BL245" i="2" a="1"/>
  <c r="BA196" i="2" a="1"/>
  <c r="BR166" i="2" a="1"/>
  <c r="BJ184" i="2" a="1"/>
  <c r="BE228" i="2" a="1"/>
  <c r="BC198" i="2" a="1"/>
  <c r="BG85" i="2" a="1"/>
  <c r="BC220" i="2" a="1"/>
  <c r="BF205" i="2" a="1"/>
  <c r="BH140" i="2" a="1"/>
  <c r="BM181" i="2" a="1"/>
  <c r="BD214" i="2" a="1"/>
  <c r="BB240" i="2" a="1"/>
  <c r="BL227" i="2" a="1"/>
  <c r="BJ57" i="2" a="1"/>
  <c r="AU186" i="2" a="1"/>
  <c r="BJ170" i="2" a="1"/>
  <c r="BG114" i="2" a="1"/>
  <c r="BH143" i="2" a="1"/>
  <c r="BQ103" i="2" a="1"/>
  <c r="BJ177" i="2" a="1"/>
  <c r="AQ76" i="2" a="1"/>
  <c r="BO196" i="2" a="1"/>
  <c r="BF68" i="2" a="1"/>
  <c r="AQ167" i="2" a="1"/>
  <c r="BN142" i="2" a="1"/>
  <c r="AS103" i="2" a="1"/>
  <c r="AV147" i="2" a="1"/>
  <c r="AY208" i="2" a="1"/>
  <c r="AS71" i="2" a="1"/>
  <c r="BG127" i="2" a="1"/>
  <c r="BJ162" i="2" a="1"/>
  <c r="BJ81" i="2" a="1"/>
  <c r="BF87" i="2" a="1"/>
  <c r="AV171" i="2" a="1"/>
  <c r="AR174" i="2" a="1"/>
  <c r="BR255" i="2" a="1"/>
  <c r="BL156" i="2" a="1"/>
  <c r="BR105" i="2" a="1"/>
  <c r="AT92" i="2" a="1"/>
  <c r="BI69" i="2" a="1"/>
  <c r="BM118" i="2" a="1"/>
  <c r="BO226" i="2" a="1"/>
  <c r="AY179" i="2" a="1"/>
  <c r="AS166" i="2" a="1"/>
  <c r="AQ144" i="2" a="1"/>
  <c r="BI110" i="2" a="1"/>
  <c r="BG173" i="2" a="1"/>
  <c r="BA136" i="2" a="1"/>
  <c r="BG129" i="2" a="1"/>
  <c r="BD178" i="2" a="1"/>
  <c r="BA113" i="2" a="1"/>
  <c r="BB118" i="2" a="1"/>
  <c r="BC247" i="2" a="1"/>
  <c r="BC128" i="2" a="1"/>
  <c r="BR258" i="2" a="1"/>
  <c r="BO78" i="2" a="1"/>
  <c r="BQ120" i="2" a="1"/>
  <c r="AQ125" i="2" a="1"/>
  <c r="BB57" i="2" a="1"/>
  <c r="BH216" i="2" a="1"/>
  <c r="AT104" i="2" a="1"/>
  <c r="AU101" i="2" a="1"/>
  <c r="BP118" i="2" a="1"/>
  <c r="BD256" i="2" a="1"/>
  <c r="BN66" i="2" a="1"/>
  <c r="BQ229" i="2" a="1"/>
  <c r="BO184" i="2" a="1"/>
  <c r="BK139" i="2" a="1"/>
  <c r="BO123" i="2" a="1"/>
  <c r="BA194" i="2" a="1"/>
  <c r="AW95" i="2" a="1"/>
  <c r="AX74" i="2" a="1"/>
  <c r="AR105" i="2" a="1"/>
  <c r="BA127" i="2" a="1"/>
  <c r="BL179" i="2" a="1"/>
  <c r="AV107" i="2" a="1"/>
  <c r="BJ165" i="2" a="1"/>
  <c r="BL171" i="2" a="1"/>
  <c r="AV96" i="2" a="1"/>
  <c r="BJ136" i="2" a="1"/>
  <c r="BJ118" i="2" a="1"/>
  <c r="BP252" i="2" a="1"/>
  <c r="BN108" i="2" a="1"/>
  <c r="BR184" i="2" a="1"/>
  <c r="BL103" i="2" a="1"/>
  <c r="BC194" i="2" a="1"/>
  <c r="BP222" i="2" a="1"/>
  <c r="BF262" i="2" a="1"/>
  <c r="BA59" i="2" a="1"/>
  <c r="BJ185" i="2" a="1"/>
  <c r="BQ60" i="2" a="1"/>
  <c r="BB91" i="2" a="1"/>
  <c r="AU111" i="2" a="1"/>
  <c r="BI70" i="2" a="1"/>
  <c r="BA77" i="2" a="1"/>
  <c r="BQ146" i="2" a="1"/>
  <c r="BP123" i="2" a="1"/>
  <c r="BG177" i="2" a="1"/>
  <c r="BE64" i="2" a="1"/>
  <c r="BD154" i="2" a="1"/>
  <c r="AX112" i="2" a="1"/>
  <c r="AW97" i="2" a="1"/>
  <c r="BD176" i="2" a="1"/>
  <c r="BQ77" i="2" a="1"/>
  <c r="BN218" i="2" a="1"/>
  <c r="AQ184" i="2" a="1"/>
  <c r="BG89" i="2" a="1"/>
  <c r="BH249" i="2" a="1"/>
  <c r="AU122" i="2" a="1"/>
  <c r="BB265" i="2" a="1"/>
  <c r="BH65" i="2" a="1"/>
  <c r="BK58" i="2" a="1"/>
  <c r="BH154" i="2" a="1"/>
  <c r="BM200" i="2" a="1"/>
  <c r="AQ72" i="2" a="1"/>
  <c r="BG115" i="2" a="1"/>
  <c r="AQ79" i="2" a="1"/>
  <c r="BF269" i="2" a="1"/>
  <c r="BJ149" i="2" a="1"/>
  <c r="BG93" i="2" a="1"/>
  <c r="BG220" i="2" a="1"/>
  <c r="BR264" i="2" a="1"/>
  <c r="AU231" i="2" a="1"/>
  <c r="BO139" i="2" a="1"/>
  <c r="BK196" i="2" a="1"/>
  <c r="AQ163" i="2" a="1"/>
  <c r="BO227" i="2" a="1"/>
  <c r="BJ54" i="2" a="1"/>
  <c r="BQ247" i="2" a="1"/>
  <c r="BO97" i="2" a="1"/>
  <c r="BO94" i="2" a="1"/>
  <c r="AS153" i="2" a="1"/>
  <c r="AW100" i="2" a="1"/>
  <c r="BR232" i="2" a="1"/>
  <c r="BR154" i="2" a="1"/>
  <c r="BA103" i="2" a="1"/>
  <c r="BF178" i="2" a="1"/>
  <c r="AW229" i="2" a="1"/>
  <c r="AU176" i="2" a="1"/>
  <c r="BD166" i="2" a="1"/>
  <c r="AU248" i="2" a="1"/>
  <c r="BC95" i="2" a="1"/>
  <c r="BP55" i="2" a="1"/>
  <c r="BP119" i="2" a="1"/>
  <c r="AR91" i="2" a="1"/>
  <c r="AU220" i="2" a="1"/>
  <c r="BN185" i="2" a="1"/>
  <c r="AS180" i="2" a="1"/>
  <c r="BE74" i="2" a="1"/>
  <c r="BM75" i="2" a="1"/>
  <c r="AY101" i="2" a="1"/>
  <c r="BB200" i="2" a="1"/>
  <c r="AX55" i="2" a="1"/>
  <c r="BO216" i="2" a="1"/>
  <c r="BH229" i="2" a="1"/>
  <c r="BM99" i="2" a="1"/>
  <c r="BI55" i="2" a="1"/>
  <c r="BG161" i="2" a="1"/>
  <c r="AU208" i="2" a="1"/>
  <c r="AV149" i="2" a="1"/>
  <c r="AW89" i="2" a="1"/>
  <c r="BO150" i="2" a="1"/>
  <c r="AV159" i="2" a="1"/>
  <c r="BO194" i="2" a="1"/>
  <c r="BM212" i="2" a="1"/>
  <c r="BF170" i="2" a="1"/>
  <c r="AQ63" i="2" a="1"/>
  <c r="BO258" i="2" a="1"/>
  <c r="BN195" i="2" a="1"/>
  <c r="BP74" i="2" a="1"/>
  <c r="BM159" i="2" a="1"/>
  <c r="BO65" i="2" a="1"/>
  <c r="AR144" i="2" a="1"/>
  <c r="BM191" i="2" a="1"/>
  <c r="AS56" i="2" a="1"/>
  <c r="BQ132" i="2" a="1"/>
  <c r="BO186" i="2" a="1"/>
  <c r="AR117" i="2" a="1"/>
  <c r="BC112" i="2" a="1"/>
  <c r="AX97" i="2" a="1"/>
  <c r="BA173" i="2" a="1"/>
  <c r="AV86" i="2" a="1"/>
  <c r="AT60" i="2" a="1"/>
  <c r="AQ177" i="2" a="1"/>
  <c r="AV102" i="2" a="1"/>
  <c r="BC122" i="2" a="1"/>
  <c r="AW258" i="2" a="1"/>
  <c r="BL68" i="2" a="1"/>
  <c r="AV58" i="2" a="1"/>
  <c r="BC252" i="2" a="1"/>
  <c r="AU247" i="2" a="1"/>
  <c r="BE81" i="2" a="1"/>
  <c r="BC144" i="2" a="1"/>
  <c r="BC82" i="2" a="1"/>
  <c r="BG66" i="2" a="1"/>
  <c r="BA202" i="2" a="1"/>
  <c r="BC76" i="2" a="1"/>
  <c r="BR156" i="2" a="1"/>
  <c r="AS154" i="2" a="1"/>
  <c r="AQ102" i="2" a="1"/>
  <c r="BI102" i="2" a="1"/>
  <c r="BG156" i="2" a="1"/>
  <c r="BL223" i="2" a="1"/>
  <c r="AS149" i="2" a="1"/>
  <c r="AU201" i="2" a="1"/>
  <c r="BG106" i="2" a="1"/>
  <c r="BH166" i="2" a="1"/>
  <c r="AR191" i="2" a="1"/>
  <c r="BF146" i="2" a="1"/>
  <c r="BN127" i="2" a="1"/>
  <c r="BB153" i="2" a="1"/>
  <c r="AR58" i="2" a="1"/>
  <c r="AW152" i="2" a="1"/>
  <c r="BH119" i="2" a="1"/>
  <c r="BB106" i="2" a="1"/>
  <c r="AT87" i="2" a="1"/>
  <c r="BC119" i="2" a="1"/>
  <c r="BL86" i="2" a="1"/>
  <c r="BB166" i="2" a="1"/>
  <c r="AR116" i="2" a="1"/>
  <c r="BA110" i="2" a="1"/>
  <c r="BK62" i="2" a="1"/>
  <c r="BN179" i="2" a="1"/>
  <c r="AY199" i="2" a="1"/>
  <c r="BB237" i="2" a="1"/>
  <c r="AQ91" i="2" a="1"/>
  <c r="BK73" i="2" a="1"/>
  <c r="AQ115" i="2" a="1"/>
  <c r="BQ228" i="2" a="1"/>
  <c r="AV136" i="2" a="1"/>
  <c r="BC79" i="2" a="1"/>
  <c r="BF213" i="2" a="1"/>
  <c r="BC150" i="2" a="1"/>
  <c r="BE198" i="2" a="1"/>
  <c r="AU114" i="2" a="1"/>
  <c r="AY57" i="2" a="1"/>
  <c r="AR99" i="2" a="1"/>
  <c r="BR125" i="2" a="1"/>
  <c r="BB243" i="2" a="1"/>
  <c r="AQ74" i="2" a="1"/>
  <c r="AR177" i="2" a="1"/>
  <c r="AS91" i="2" a="1"/>
  <c r="AQ120" i="2" a="1"/>
  <c r="BN67" i="2" a="1"/>
  <c r="BF230" i="2" a="1"/>
  <c r="AW166" i="2" a="1"/>
  <c r="BQ112" i="2" a="1"/>
  <c r="BH148" i="2" a="1"/>
  <c r="BC56" i="2" a="1"/>
  <c r="BG164" i="2" a="1"/>
  <c r="AW136" i="2" a="1"/>
  <c r="BR244" i="2" a="1"/>
  <c r="AU251" i="2" a="1"/>
  <c r="BQ133" i="2" a="1"/>
  <c r="BD257" i="2" a="1"/>
  <c r="BO79" i="2" a="1"/>
  <c r="BP249" i="2" a="1"/>
  <c r="AU99" i="2" a="1"/>
  <c r="AW235" i="2" a="1"/>
  <c r="BI56" i="2" a="1"/>
  <c r="BH244" i="2" a="1"/>
  <c r="BL214" i="2" a="1"/>
  <c r="BF193" i="2" a="1"/>
  <c r="AX121" i="2" a="1"/>
  <c r="AW155" i="2" a="1"/>
  <c r="BK91" i="2" a="1"/>
  <c r="BK131" i="2" a="1"/>
  <c r="BC181" i="2" a="1"/>
  <c r="BI192" i="2" a="1"/>
  <c r="BC249" i="2" a="1"/>
  <c r="BQ231" i="2" a="1"/>
  <c r="BP58" i="2" a="1"/>
  <c r="BF60" i="2" a="1"/>
  <c r="AR64" i="2" a="1"/>
  <c r="AU137" i="2" a="1"/>
  <c r="BK81" i="2" a="1"/>
  <c r="BQ232" i="2" a="1"/>
  <c r="BB208" i="2" a="1"/>
  <c r="BL197" i="2" a="1"/>
  <c r="BN120" i="2" a="1"/>
  <c r="BG139" i="2" a="1"/>
  <c r="BF196" i="2" a="1"/>
  <c r="BB241" i="2" a="1"/>
  <c r="BB143" i="2" a="1"/>
  <c r="AW173" i="2" a="1"/>
  <c r="BN54" i="2" a="1"/>
  <c r="BB147" i="2" a="1"/>
  <c r="BJ91" i="2" a="1"/>
  <c r="BN119" i="2" a="1"/>
  <c r="AU115" i="2" a="1"/>
  <c r="BG182" i="2" a="1"/>
  <c r="BD57" i="2" a="1"/>
  <c r="AW91" i="2" a="1"/>
  <c r="AR106" i="2" a="1"/>
  <c r="BN123" i="2" a="1"/>
  <c r="BA121" i="2" a="1"/>
  <c r="AQ83" i="2" a="1"/>
  <c r="BK63" i="2" a="1"/>
  <c r="BO131" i="2" a="1"/>
  <c r="BQ223" i="2" a="1"/>
  <c r="BQ205" i="2" a="1"/>
  <c r="BR104" i="2" a="1"/>
  <c r="BO211" i="2" a="1"/>
  <c r="BB194" i="2" a="1"/>
  <c r="BH152" i="2" a="1"/>
  <c r="BC250" i="2" a="1"/>
  <c r="AQ110" i="2" a="1"/>
  <c r="BO189" i="2" a="1"/>
  <c r="AY153" i="2" a="1"/>
  <c r="BL149" i="2" a="1"/>
  <c r="AT132" i="2" a="1"/>
  <c r="BJ179" i="2" a="1"/>
  <c r="AQ207" i="2" a="1"/>
  <c r="BE121" i="2" a="1"/>
  <c r="BN146" i="2" a="1"/>
  <c r="BC190" i="2" a="1"/>
  <c r="BR200" i="2" a="1"/>
  <c r="BN124" i="2" a="1"/>
  <c r="BA183" i="2" a="1"/>
  <c r="AQ96" i="2" a="1"/>
  <c r="AQ142" i="2" a="1"/>
  <c r="BQ156" i="2" a="1"/>
  <c r="BO116" i="2" a="1"/>
  <c r="BM122" i="2" a="1"/>
  <c r="BF224" i="2" a="1"/>
  <c r="BK114" i="2" a="1"/>
  <c r="BE67" i="2" a="1"/>
  <c r="BQ235" i="2" a="1"/>
  <c r="AV152" i="2" a="1"/>
  <c r="BM164" i="2" a="1"/>
  <c r="BN84" i="2" a="1"/>
  <c r="BN96" i="2" a="1"/>
  <c r="BF109" i="2" a="1"/>
  <c r="AV239" i="2" a="1"/>
  <c r="BD58" i="2" a="1"/>
  <c r="BJ174" i="2" a="1"/>
  <c r="BQ54" i="2" a="1"/>
  <c r="BG61" i="2" a="1"/>
  <c r="BN167" i="2" a="1"/>
  <c r="AY209" i="2" a="1"/>
  <c r="AX78" i="2" a="1"/>
  <c r="BC116" i="2" a="1"/>
  <c r="BF94" i="2" a="1"/>
  <c r="BJ87" i="2" a="1"/>
  <c r="BQ101" i="2" a="1"/>
  <c r="AY165" i="2" a="1"/>
  <c r="AY82" i="2" a="1"/>
  <c r="AW84" i="2" a="1"/>
  <c r="AX124" i="2" a="1"/>
  <c r="AU203" i="2" a="1"/>
  <c r="AV146" i="2" a="1"/>
  <c r="BH181" i="2" a="1"/>
  <c r="AR195" i="2" a="1"/>
  <c r="BA90" i="2" a="1"/>
  <c r="BM151" i="2" a="1"/>
  <c r="BN134" i="2" a="1"/>
  <c r="BG176" i="2" a="1"/>
  <c r="BR135" i="2" a="1"/>
  <c r="BO228" i="2" a="1"/>
  <c r="AQ70" i="2" a="1"/>
  <c r="AS165" i="2" a="1"/>
  <c r="BL261" i="2" a="1"/>
  <c r="AR170" i="2" a="1"/>
  <c r="BB55" i="2" a="1"/>
  <c r="BA169" i="2" a="1"/>
  <c r="AS157" i="2" a="1"/>
  <c r="AU252" i="2" a="1"/>
  <c r="AY120" i="2" a="1"/>
  <c r="BK96" i="2" a="1"/>
  <c r="BJ175" i="2" a="1"/>
  <c r="BP59" i="2" a="1"/>
  <c r="AQ210" i="2" a="1"/>
  <c r="BI77" i="2" a="1"/>
  <c r="BF65" i="2" a="1"/>
  <c r="BB133" i="2" a="1"/>
  <c r="BJ168" i="2" a="1"/>
  <c r="AR173" i="2" a="1"/>
  <c r="BL61" i="2" a="1"/>
  <c r="AQ71" i="2" a="1"/>
  <c r="BC67" i="2" a="1"/>
  <c r="BH175" i="2" a="1"/>
  <c r="BG64" i="2" a="1"/>
  <c r="AW108" i="2" a="1"/>
  <c r="BR136" i="2" a="1"/>
  <c r="BL238" i="2" a="1"/>
  <c r="BD163" i="2" a="1"/>
  <c r="BA147" i="2" a="1"/>
  <c r="BJ102" i="2" a="1"/>
  <c r="AT107" i="2" a="1"/>
  <c r="BP93" i="2" a="1"/>
  <c r="BR187" i="2" a="1"/>
  <c r="BL220" i="2" a="1"/>
  <c r="AY183" i="2" a="1"/>
  <c r="BA198" i="2" a="1"/>
  <c r="BN210" i="2" a="1"/>
  <c r="BJ101" i="2" a="1"/>
  <c r="AY66" i="2" a="1"/>
  <c r="BD180" i="2" a="1"/>
  <c r="AU146" i="2" a="1"/>
  <c r="BH92" i="2" a="1"/>
  <c r="BM199" i="2" a="1"/>
  <c r="BE217" i="2" a="1"/>
  <c r="BI150" i="2" a="1"/>
  <c r="AQ217" i="2" a="1"/>
  <c r="BM198" i="2" a="1"/>
  <c r="BQ70" i="2" a="1"/>
  <c r="BF158" i="2" a="1"/>
  <c r="BM134" i="2" a="1"/>
  <c r="BQ125" i="2" a="1"/>
  <c r="AW210" i="2" a="1"/>
  <c r="BL170" i="2" a="1"/>
  <c r="AY172" i="2" a="1"/>
  <c r="BD141" i="2" a="1"/>
  <c r="AR154" i="2" a="1"/>
  <c r="BL217" i="2" a="1"/>
  <c r="BA144" i="2" a="1"/>
  <c r="AY155" i="2" a="1"/>
  <c r="BO113" i="2" a="1"/>
  <c r="BR238" i="2" a="1"/>
  <c r="AS107" i="2" a="1"/>
  <c r="BF141" i="2" a="1"/>
  <c r="BR131" i="2" a="1"/>
  <c r="AS161" i="2" a="1"/>
  <c r="BD102" i="2" a="1"/>
  <c r="BO209" i="2" a="1"/>
  <c r="BM204" i="2" a="1"/>
  <c r="BB234" i="2" a="1"/>
  <c r="BM90" i="2" a="1"/>
  <c r="AR134" i="2" a="1"/>
  <c r="AV191" i="2" a="1"/>
  <c r="AU127" i="2" a="1"/>
  <c r="BP188" i="2" a="1"/>
  <c r="AU55" i="2" a="1"/>
  <c r="BP221" i="2" a="1"/>
  <c r="AT102" i="2" a="1"/>
  <c r="AU246" i="2" a="1"/>
  <c r="BP101" i="2" a="1"/>
  <c r="BH82" i="2" a="1"/>
  <c r="BF223" i="2" a="1"/>
  <c r="AQ185" i="2" a="1"/>
  <c r="AU80" i="2" a="1"/>
  <c r="BP102" i="2" a="1"/>
  <c r="AU96" i="2" a="1"/>
  <c r="BF153" i="2" a="1"/>
  <c r="BI130" i="2" a="1"/>
  <c r="BO63" i="2" a="1"/>
  <c r="BH168" i="2" a="1"/>
  <c r="BC65" i="2" a="1"/>
  <c r="BB85" i="2" a="1"/>
  <c r="BH130" i="2" a="1"/>
  <c r="BC72" i="2" a="1"/>
  <c r="BR45" i="2" a="1"/>
  <c r="BB115" i="2" a="1"/>
  <c r="AU53" i="2" a="1"/>
  <c r="AX129" i="2" a="1"/>
  <c r="AV184" i="2" a="1"/>
  <c r="AT136" i="2" a="1"/>
  <c r="BB222" i="2" a="1"/>
  <c r="BM133" i="2" a="1"/>
  <c r="BK175" i="2" a="1"/>
  <c r="BD202" i="2" a="1"/>
  <c r="AW246" i="2" a="1"/>
  <c r="AS135" i="2" a="1"/>
  <c r="AY125" i="2" a="1"/>
  <c r="BK121" i="2" a="1"/>
  <c r="BL157" i="2" a="1"/>
  <c r="BD122" i="2" a="1"/>
  <c r="BQ100" i="2" a="1"/>
  <c r="BO188" i="2" a="1"/>
  <c r="BQ90" i="2" a="1"/>
  <c r="AR57" i="2" a="1"/>
  <c r="BR213" i="2" a="1"/>
  <c r="BM184" i="2" a="1"/>
  <c r="BQ170" i="2" a="1"/>
  <c r="BA170" i="2" a="1"/>
  <c r="BG155" i="2" a="1"/>
  <c r="BF112" i="2" a="1"/>
  <c r="AX114" i="2" a="1"/>
  <c r="AS210" i="2" a="1"/>
  <c r="BI128" i="2" a="1"/>
  <c r="AT101" i="2" a="1"/>
  <c r="BH176" i="2" a="1"/>
  <c r="BC53" i="2" a="1"/>
  <c r="BO165" i="2" a="1"/>
  <c r="AS196" i="2" a="1"/>
  <c r="BI145" i="2" a="1"/>
  <c r="BH114" i="2" a="1"/>
  <c r="BL219" i="2" a="1"/>
  <c r="AR95" i="2" a="1"/>
  <c r="AW176" i="2" a="1"/>
  <c r="AV224" i="2" a="1"/>
  <c r="AW237" i="2" a="1"/>
  <c r="BK109" i="2" a="1"/>
  <c r="BG154" i="2" a="1"/>
  <c r="BC228" i="2" a="1"/>
  <c r="BB225" i="2" a="1"/>
  <c r="BQ258" i="2" a="1"/>
  <c r="BD82" i="2" a="1"/>
  <c r="BB226" i="2" a="1"/>
  <c r="BN213" i="2" a="1"/>
  <c r="BL151" i="2" a="1"/>
  <c r="AU204" i="2" a="1"/>
  <c r="BK154" i="2" a="1"/>
  <c r="AW71" i="2" a="1"/>
  <c r="BG91" i="2" a="1"/>
  <c r="BD127" i="2" a="1"/>
  <c r="AV172" i="2" a="1"/>
  <c r="BP239" i="2" a="1"/>
  <c r="AS58" i="2" a="1"/>
  <c r="BO114" i="2" a="1"/>
  <c r="AQ209" i="2" a="1"/>
  <c r="BB175" i="2" a="1"/>
  <c r="BI158" i="2" a="1"/>
  <c r="BF185" i="2" a="1"/>
  <c r="AY88" i="2" a="1"/>
  <c r="BD248" i="2" a="1"/>
  <c r="AQ88" i="2" a="1"/>
  <c r="BB224" i="2" a="1"/>
  <c r="BL232" i="2" a="1"/>
  <c r="AY102" i="2" a="1"/>
  <c r="BA172" i="2" a="1"/>
  <c r="BQ211" i="2" a="1"/>
  <c r="BP212" i="2" a="1"/>
  <c r="BH215" i="2" a="1"/>
  <c r="AV53" i="2" a="1"/>
  <c r="BO182" i="2" a="1"/>
  <c r="BG125" i="2" a="1"/>
  <c r="AU109" i="2" a="1"/>
  <c r="BD156" i="2" a="1"/>
  <c r="AY211" i="2" a="1"/>
  <c r="AV131" i="2" a="1"/>
  <c r="BR137" i="2" a="1"/>
  <c r="BC75" i="2" a="1"/>
  <c r="BL231" i="2" a="1"/>
  <c r="BJ125" i="2" a="1"/>
  <c r="BB76" i="2" a="1"/>
  <c r="AU129" i="2" a="1"/>
  <c r="BH179" i="2" a="1"/>
  <c r="AU211" i="2" a="1"/>
  <c r="BG118" i="2" a="1"/>
  <c r="BM207" i="2" a="1"/>
  <c r="BE77" i="2" a="1"/>
  <c r="BM185" i="2" a="1"/>
  <c r="AR86" i="2" a="1"/>
  <c r="BI86" i="2" a="1"/>
  <c r="BH197" i="2" a="1"/>
  <c r="BG169" i="2" a="1"/>
  <c r="BH141" i="2" a="1"/>
  <c r="BC257" i="2" a="1"/>
  <c r="BQ183" i="2" a="1"/>
  <c r="AQ176" i="2" a="1"/>
  <c r="BG99" i="2" a="1"/>
  <c r="BH80" i="2" a="1"/>
  <c r="BE75" i="2" a="1"/>
  <c r="AV105" i="2" a="1"/>
  <c r="AV115" i="2" a="1"/>
  <c r="AT68" i="2" a="1"/>
  <c r="BC244" i="2" a="1"/>
  <c r="BG174" i="2" a="1"/>
  <c r="BO221" i="2" a="1"/>
  <c r="BQ184" i="2" a="1"/>
  <c r="AW161" i="2" a="1"/>
  <c r="BB235" i="2" a="1"/>
  <c r="AR98" i="2" a="1"/>
  <c r="BG132" i="2" a="1"/>
  <c r="BP201" i="2" a="1"/>
  <c r="BA211" i="2" a="1"/>
  <c r="AY108" i="2" a="1"/>
  <c r="AU184" i="2" a="1"/>
  <c r="BH242" i="2" a="1"/>
  <c r="AR167" i="2" a="1"/>
  <c r="BE107" i="2" a="1"/>
  <c r="AY106" i="2" a="1"/>
  <c r="BB92" i="2" a="1"/>
  <c r="AW230" i="2" a="1"/>
  <c r="BC171" i="2" a="1"/>
  <c r="BQ105" i="2" a="1"/>
  <c r="BQ226" i="2" a="1"/>
  <c r="BL260" i="2" a="1"/>
  <c r="BP127" i="2" a="1"/>
  <c r="BN132" i="2" a="1"/>
  <c r="AU107" i="2" a="1"/>
  <c r="BG113" i="2" a="1"/>
  <c r="BJ124" i="2" a="1"/>
  <c r="BI88" i="2" a="1"/>
  <c r="BQ138" i="2" a="1"/>
  <c r="BO66" i="2" a="1"/>
  <c r="BR160" i="2" a="1"/>
  <c r="AQ122" i="2" a="1"/>
  <c r="BN215" i="2" a="1"/>
  <c r="AR53" i="2" a="1"/>
  <c r="AY74" i="2" a="1"/>
  <c r="BN131" i="2" a="1"/>
  <c r="BN94" i="2" a="1"/>
  <c r="AY150" i="2" a="1"/>
  <c r="AS138" i="2" a="1"/>
  <c r="BM214" i="2" a="1"/>
  <c r="BF59" i="2" a="1"/>
  <c r="BD234" i="2" a="1"/>
  <c r="AS108" i="2" a="1"/>
  <c r="AQ179" i="2" a="1"/>
  <c r="BJ139" i="2" a="1"/>
  <c r="BB262" i="2" a="1"/>
  <c r="AY123" i="2" a="1"/>
  <c r="BD159" i="2" a="1"/>
  <c r="AW184" i="2" a="1"/>
  <c r="BP153" i="2" a="1"/>
  <c r="AV211" i="2" a="1"/>
  <c r="BM97" i="2" a="1"/>
  <c r="BF88" i="2" a="1"/>
  <c r="BP126" i="2" a="1"/>
  <c r="AW70" i="2" a="1"/>
  <c r="BN166" i="2" a="1"/>
  <c r="AW75" i="2" a="1"/>
  <c r="BR159" i="2" a="1"/>
  <c r="BC214" i="2" a="1"/>
  <c r="BM201" i="2" a="1"/>
  <c r="BE113" i="2" a="1"/>
  <c r="BI191" i="2" a="1"/>
  <c r="BB263" i="2" a="1"/>
  <c r="AQ136" i="2" a="1"/>
  <c r="BA163" i="2" a="1"/>
  <c r="AQ62" i="2" a="1"/>
  <c r="BM205" i="2" a="1"/>
  <c r="BA141" i="2" a="1"/>
  <c r="BR98" i="2" a="1"/>
  <c r="BE213" i="2" a="1"/>
  <c r="BH214" i="2" a="1"/>
  <c r="BQ190" i="2" a="1"/>
  <c r="BN204" i="2" a="1"/>
  <c r="BE115" i="2" a="1"/>
  <c r="AU228" i="2" a="1"/>
  <c r="AW206" i="2" a="1"/>
  <c r="BQ212" i="2" a="1"/>
  <c r="BB97" i="2" a="1"/>
  <c r="BQ124" i="2" a="1"/>
  <c r="BH224" i="2" a="1"/>
  <c r="BI94" i="2" a="1"/>
  <c r="BD263" i="2" a="1"/>
  <c r="BH172" i="2" a="1"/>
  <c r="BG142" i="2" a="1"/>
  <c r="AV132" i="2" a="1"/>
  <c r="BN55" i="2" a="1"/>
  <c r="AY121" i="2" a="1"/>
  <c r="AT83" i="2" a="1"/>
  <c r="AT66" i="2" a="1"/>
  <c r="BJ119" i="2" a="1"/>
  <c r="AU147" i="2" a="1"/>
  <c r="BI83" i="2" a="1"/>
  <c r="BJ66" i="2" a="1"/>
  <c r="BH185" i="2" a="1"/>
  <c r="BB173" i="2" a="1"/>
  <c r="BD132" i="2" a="1"/>
  <c r="BA61" i="2" a="1"/>
  <c r="AU78" i="2" a="1"/>
  <c r="BN209" i="2" a="1"/>
  <c r="AV190" i="2" a="1"/>
  <c r="BM109" i="2" a="1"/>
  <c r="AV81" i="2" a="1"/>
  <c r="AW217" i="2" a="1"/>
  <c r="BG160" i="2" a="1"/>
  <c r="BB73" i="2" a="1"/>
  <c r="BE55" i="2" a="1"/>
  <c r="BH105" i="2" a="1"/>
  <c r="AW214" i="2" a="1"/>
  <c r="BH239" i="2" a="1"/>
  <c r="AQ89" i="2" a="1"/>
  <c r="BK167" i="2" a="1"/>
  <c r="AR113" i="2" a="1"/>
  <c r="AU87" i="2" a="1"/>
  <c r="BC232" i="2" a="1"/>
  <c r="BF236" i="2" a="1"/>
  <c r="BI71" i="2" a="1"/>
  <c r="BC105" i="2" a="1"/>
  <c r="BD260" i="2" a="1"/>
  <c r="BF201" i="2" a="1"/>
  <c r="AQ130" i="2" a="1"/>
  <c r="AS133" i="2" a="1"/>
  <c r="AQ146" i="2" a="1"/>
  <c r="BN217" i="2" a="1"/>
  <c r="AV79" i="2" a="1"/>
  <c r="BF259" i="2" a="1"/>
  <c r="BB69" i="2" a="1"/>
  <c r="AR101" i="2" a="1"/>
  <c r="BR127" i="2" a="1"/>
  <c r="BB88" i="2" a="1"/>
  <c r="BM215" i="2" a="1"/>
  <c r="BE191" i="2" a="1"/>
  <c r="BK172" i="2" a="1"/>
  <c r="BL144" i="2" a="1"/>
  <c r="BB254" i="2" a="1"/>
  <c r="BC183" i="2" a="1"/>
  <c r="BR241" i="2" a="1"/>
  <c r="BP196" i="2" a="1"/>
  <c r="BA119" i="2" a="1"/>
  <c r="BO77" i="2" a="1"/>
  <c r="BL213" i="2" a="1"/>
  <c r="BP157" i="2" a="1"/>
  <c r="AQ126" i="2" a="1"/>
  <c r="BL249" i="2" a="1"/>
  <c r="BB148" i="2" a="1"/>
  <c r="AX140" i="2" a="1"/>
  <c r="BB135" i="2" a="1"/>
  <c r="AS106" i="2" a="1"/>
  <c r="BK95" i="2" a="1"/>
  <c r="BA193" i="2" a="1"/>
  <c r="BK98" i="2" a="1"/>
  <c r="AS143" i="2" a="1"/>
  <c r="AW189" i="2" a="1"/>
  <c r="AS102" i="2" a="1"/>
  <c r="BE142" i="2" a="1"/>
  <c r="BP246" i="2" a="1"/>
  <c r="AQ86" i="2" a="1"/>
  <c r="BJ163" i="2" a="1"/>
  <c r="AR89" i="2" a="1"/>
  <c r="BR63" i="2" a="1"/>
  <c r="BA101" i="2" a="1"/>
  <c r="BI169" i="2" a="1"/>
  <c r="AR161" i="2" a="1"/>
  <c r="BC203" i="2" a="1"/>
  <c r="BK76" i="2" a="1"/>
  <c r="AT118" i="2" a="1"/>
  <c r="BR147" i="2" a="1"/>
  <c r="AS177" i="2" a="1"/>
  <c r="AY213" i="2" a="1"/>
  <c r="BR179" i="2" a="1"/>
  <c r="BI189" i="2" a="1"/>
  <c r="AV186" i="2" a="1"/>
  <c r="BO75" i="2" a="1"/>
  <c r="BP129" i="2" a="1"/>
  <c r="AV123" i="2" a="1"/>
  <c r="AV235" i="2" a="1"/>
  <c r="AQ222" i="2" a="1"/>
  <c r="AV160" i="2" a="1"/>
  <c r="BQ82" i="2" a="1"/>
  <c r="AQ128" i="2" a="1"/>
  <c r="BP64" i="2" a="1"/>
  <c r="AU205" i="2" a="1"/>
  <c r="AU265" i="2" a="1"/>
  <c r="BF110" i="2" a="1"/>
  <c r="BN157" i="2" a="1"/>
  <c r="BF98" i="2" a="1"/>
  <c r="BR221" i="2" a="1"/>
  <c r="BL246" i="2" a="1"/>
  <c r="BB227" i="2" a="1"/>
  <c r="BR207" i="2" a="1"/>
  <c r="BM170" i="2" a="1"/>
  <c r="BP187" i="2" a="1"/>
  <c r="AS85" i="2" a="1"/>
  <c r="BH59" i="2" a="1"/>
  <c r="BF162" i="2" a="1"/>
  <c r="BE114" i="2" a="1"/>
  <c r="BF116" i="2" a="1"/>
  <c r="BM179" i="2" a="1"/>
  <c r="AS188" i="2" a="1"/>
  <c r="BA146" i="2" a="1"/>
  <c r="BF83" i="2" a="1"/>
  <c r="BB125" i="2" a="1"/>
  <c r="BN133" i="2" a="1"/>
  <c r="BQ221" i="2" a="1"/>
  <c r="BC78" i="2" a="1"/>
  <c r="AX137" i="2" a="1"/>
  <c r="AX122" i="2" a="1"/>
  <c r="BQ59" i="2" a="1"/>
  <c r="BF191" i="2" a="1"/>
  <c r="BP63" i="2" a="1"/>
  <c r="AV120" i="2" a="1"/>
  <c r="BP90" i="2" a="1"/>
  <c r="AR124" i="2" a="1"/>
  <c r="AY126" i="2" a="1"/>
  <c r="AS70" i="2" a="1"/>
  <c r="BN111" i="2" a="1"/>
  <c r="BF64" i="2" a="1"/>
  <c r="AR77" i="2" a="1"/>
  <c r="BH196" i="2" a="1"/>
  <c r="AY162" i="2" a="1"/>
  <c r="BP233" i="2" a="1"/>
  <c r="BH199" i="2" a="1"/>
  <c r="AQ152" i="2" a="1"/>
  <c r="AU158" i="2" a="1"/>
  <c r="BL108" i="2" a="1"/>
  <c r="BH89" i="2" a="1"/>
  <c r="BD242" i="2" a="1"/>
  <c r="BR252" i="2" a="1"/>
  <c r="AU193" i="2" a="1"/>
  <c r="BF105" i="2" a="1"/>
  <c r="BN198" i="2" a="1"/>
  <c r="BG201" i="2" a="1"/>
  <c r="AW149" i="2" a="1"/>
  <c r="BC234" i="2" a="1"/>
  <c r="BD169" i="2" a="1"/>
  <c r="BP97" i="2" a="1"/>
  <c r="BN149" i="2" a="1"/>
  <c r="AW165" i="2" a="1"/>
  <c r="BH211" i="2" a="1"/>
  <c r="AY68" i="2" a="1"/>
  <c r="AV238" i="2" a="1"/>
  <c r="BA96" i="2" a="1"/>
  <c r="BQ199" i="2" a="1"/>
  <c r="BP143" i="2" a="1"/>
  <c r="BQ144" i="2" a="1"/>
  <c r="BG60" i="2" a="1"/>
  <c r="BE209" i="2" a="1"/>
  <c r="AQ147" i="2" a="1"/>
  <c r="BD222" i="2" a="1"/>
  <c r="AT78" i="2" a="1"/>
  <c r="BM210" i="2" a="1"/>
  <c r="BC138" i="2" a="1"/>
  <c r="AS65" i="2" a="1"/>
  <c r="AS83" i="2" a="1"/>
  <c r="BG116" i="2" a="1"/>
  <c r="BC80" i="2" a="1"/>
  <c r="BK75" i="2" a="1"/>
  <c r="AU141" i="2" a="1"/>
  <c r="AU105" i="2" a="1"/>
  <c r="BC121" i="2" a="1"/>
  <c r="BP224" i="2" a="1"/>
  <c r="AV217" i="2" a="1"/>
  <c r="BQ88" i="2" a="1"/>
  <c r="BJ148" i="2" a="1"/>
  <c r="BG146" i="2" a="1"/>
  <c r="BN106" i="2" a="1"/>
  <c r="BD85" i="2" a="1"/>
  <c r="BH187" i="2" a="1"/>
  <c r="AW213" i="2" a="1"/>
  <c r="AT122" i="2" a="1"/>
  <c r="BM173" i="2" a="1"/>
  <c r="AS55" i="2" a="1"/>
  <c r="BD142" i="2" a="1"/>
  <c r="BB249" i="2" a="1"/>
  <c r="AV236" i="2" a="1"/>
  <c r="BD217" i="2" a="1"/>
  <c r="BF182" i="2" a="1"/>
  <c r="BP262" i="2" a="1"/>
  <c r="AW226" i="2" a="1"/>
  <c r="BO223" i="2" a="1"/>
  <c r="BI175" i="2" a="1"/>
  <c r="AT112" i="2" a="1"/>
  <c r="BF214" i="2" a="1"/>
  <c r="AU61" i="2" a="1"/>
  <c r="BH86" i="2" a="1"/>
  <c r="BK182" i="2" a="1"/>
  <c r="AU157" i="2" a="1"/>
  <c r="BQ117" i="2" a="1"/>
  <c r="BR138" i="2" a="1"/>
  <c r="BI184" i="2" a="1"/>
  <c r="AV196" i="2" a="1"/>
  <c r="AR107" i="2" a="1"/>
  <c r="AV88" i="2" a="1"/>
  <c r="BH146" i="2" a="1"/>
  <c r="BN135" i="2" a="1"/>
  <c r="AW178" i="2" a="1"/>
  <c r="BD207" i="2" a="1"/>
  <c r="AW182" i="2" a="1"/>
  <c r="AY99" i="2" a="1"/>
  <c r="BD221" i="2" a="1"/>
  <c r="AV89" i="2" a="1"/>
  <c r="AU59" i="2" a="1"/>
  <c r="BK134" i="2" a="1"/>
  <c r="BL126" i="2" a="1"/>
  <c r="BG163" i="2" a="1"/>
  <c r="AS109" i="2" a="1"/>
  <c r="BF151" i="2" a="1"/>
  <c r="BJ140" i="2" a="1"/>
  <c r="BK113" i="2" a="1"/>
  <c r="BP210" i="2" a="1"/>
  <c r="BL251" i="2" a="1"/>
  <c r="AX123" i="2" a="1"/>
  <c r="AQ113" i="2" a="1"/>
  <c r="AY205" i="2" a="1"/>
  <c r="BN188" i="2" a="1"/>
  <c r="BM152" i="2" a="1"/>
  <c r="BI137" i="2" a="1"/>
  <c r="BB140" i="2" a="1"/>
  <c r="BQ186" i="2" a="1"/>
  <c r="BO218" i="2" a="1"/>
  <c r="BD138" i="2" a="1"/>
  <c r="BF179" i="2" a="1"/>
  <c r="BG58" i="2" a="1"/>
  <c r="BA100" i="2" a="1"/>
  <c r="BI122" i="2" a="1"/>
  <c r="AW92" i="2" a="1"/>
  <c r="BE188" i="2" a="1"/>
  <c r="BB72" i="2" a="1"/>
  <c r="AS136" i="2" a="1"/>
  <c r="BQ238" i="2" a="1"/>
  <c r="BQ213" i="2" a="1"/>
  <c r="BD205" i="2" a="1"/>
  <c r="BJ88" i="2" a="1"/>
  <c r="BF132" i="2" a="1"/>
  <c r="BP236" i="2" a="1"/>
  <c r="BR175" i="2" a="1"/>
  <c r="BC155" i="2" a="1"/>
  <c r="AW170" i="2" a="1"/>
  <c r="BG148" i="2" a="1"/>
  <c r="BI107" i="2" a="1"/>
  <c r="BF247" i="2" a="1"/>
  <c r="AW128" i="2" a="1"/>
  <c r="BG141" i="2" a="1"/>
  <c r="BC209" i="2" a="1"/>
  <c r="AT115" i="2" a="1"/>
  <c r="BQ81" i="2" a="1"/>
  <c r="BL75" i="2" a="1"/>
  <c r="AU267" i="2" a="1"/>
  <c r="BK103" i="2" a="1"/>
  <c r="BP138" i="2" a="1"/>
  <c r="AW207" i="2" a="1"/>
  <c r="BN186" i="2" a="1"/>
  <c r="BE208" i="2" a="1"/>
  <c r="BM60" i="2" a="1"/>
  <c r="BQ241" i="2" a="1"/>
  <c r="BN68" i="2" a="1"/>
  <c r="BQ250" i="2" a="1"/>
  <c r="BR180" i="2" a="1"/>
  <c r="BC213" i="2" a="1"/>
  <c r="BA166" i="2" a="1"/>
  <c r="AS81" i="2" a="1"/>
  <c r="AR61" i="2" a="1"/>
  <c r="BK124" i="2" a="1"/>
  <c r="BQ174" i="2" a="1"/>
  <c r="BH201" i="2" a="1"/>
  <c r="BL83" i="2" a="1"/>
  <c r="BA58" i="2" a="1"/>
  <c r="BA128" i="2" a="1"/>
  <c r="AV234" i="2" a="1"/>
  <c r="AY194" i="2" a="1"/>
  <c r="BO151" i="2" a="1"/>
  <c r="BR118" i="2" a="1"/>
  <c r="BL132" i="2" a="1"/>
  <c r="BE201" i="2" a="1"/>
  <c r="AX68" i="2" a="1"/>
  <c r="BN175" i="2" a="1"/>
  <c r="BP228" i="2" a="1"/>
  <c r="BH128" i="2" a="1"/>
  <c r="AS72" i="2" a="1"/>
  <c r="BN199" i="2" a="1"/>
  <c r="AR164" i="2" a="1"/>
  <c r="AR129" i="2" a="1"/>
  <c r="AU103" i="2" a="1"/>
  <c r="BI121" i="2" a="1"/>
  <c r="AU266" i="2" a="1"/>
  <c r="BR157" i="2" a="1"/>
  <c r="AQ58" i="2" a="1"/>
  <c r="AS223" i="2" a="1"/>
  <c r="BQ252" i="2" a="1"/>
  <c r="BD219" i="2" a="1"/>
  <c r="BI97" i="2" a="1"/>
  <c r="BG138" i="2" a="1"/>
  <c r="BI144" i="2" a="1"/>
  <c r="AS169" i="2" a="1"/>
  <c r="BL239" i="2" a="1"/>
  <c r="BQ198" i="2" a="1"/>
  <c r="BG151" i="2" a="1"/>
  <c r="BC231" i="2" a="1"/>
  <c r="BH109" i="2" a="1"/>
  <c r="BL96" i="2" a="1"/>
  <c r="BD94" i="2" a="1"/>
  <c r="BR185" i="2" a="1"/>
  <c r="BL66" i="2" a="1"/>
  <c r="BE56" i="2" a="1"/>
  <c r="AR176" i="2" a="1"/>
  <c r="AS214" i="2" a="1"/>
  <c r="BP191" i="2" a="1"/>
  <c r="BH250" i="2" a="1"/>
  <c r="BE92" i="2" a="1"/>
  <c r="BL65" i="2" a="1"/>
  <c r="BH169" i="2" a="1"/>
  <c r="BI177" i="2" a="1"/>
  <c r="BO74" i="2" a="1"/>
  <c r="BO215" i="2" a="1"/>
  <c r="BB157" i="2" a="1"/>
  <c r="BJ154" i="2" a="1"/>
  <c r="AQ221" i="2" a="1"/>
  <c r="BF145" i="2" a="1"/>
  <c r="BF58" i="2" a="1"/>
  <c r="BL196" i="2" a="1"/>
  <c r="AU128" i="2" a="1"/>
  <c r="BR62" i="2" a="1"/>
  <c r="BP176" i="2" a="1"/>
  <c r="AT111" i="2" a="1"/>
  <c r="BG178" i="2" a="1"/>
  <c r="BR261" i="2" a="1"/>
  <c r="AY167" i="2" a="1"/>
  <c r="AS131" i="2" a="1"/>
  <c r="BR177" i="2" a="1"/>
  <c r="BC239" i="2" a="1"/>
  <c r="AQ131" i="2" a="1"/>
  <c r="BC108" i="2" a="1"/>
  <c r="AX94" i="2" a="1"/>
  <c r="AY61" i="2" a="1"/>
  <c r="BB201" i="2" a="1"/>
  <c r="BN168" i="2" a="1"/>
  <c r="BE141" i="2" a="1"/>
  <c r="BJ189" i="2" a="1"/>
  <c r="BP163" i="2" a="1"/>
  <c r="AS178" i="2" a="1"/>
  <c r="BG171" i="2" a="1"/>
  <c r="BD188" i="2" a="1"/>
  <c r="BD65" i="2" a="1"/>
  <c r="BB156" i="2" a="1"/>
  <c r="AR146" i="2" a="1"/>
  <c r="BF187" i="2" a="1"/>
  <c r="BE139" i="2" a="1"/>
  <c r="BQ150" i="2" a="1"/>
  <c r="BB100" i="2" a="1"/>
  <c r="BC74" i="2" a="1"/>
  <c r="BF74" i="2" a="1"/>
  <c r="AY70" i="2" a="1"/>
  <c r="BC160" i="2" a="1"/>
  <c r="AR108" i="2" a="1"/>
  <c r="AY171" i="2" a="1"/>
  <c r="BG100" i="2" a="1"/>
  <c r="BO192" i="2" a="1"/>
  <c r="BR214" i="2" a="1"/>
  <c r="BF260" i="2" a="1"/>
  <c r="BA92" i="2" a="1"/>
  <c r="AQ201" i="2" a="1"/>
  <c r="BO225" i="2" a="1"/>
  <c r="BM54" i="2" a="1"/>
  <c r="BH198" i="2" a="1"/>
  <c r="BO243" i="2" a="1"/>
  <c r="BG187" i="2" a="1"/>
  <c r="BO110" i="2" a="1"/>
  <c r="AW225" i="2" a="1"/>
  <c r="AQ178" i="2" a="1"/>
  <c r="BN118" i="2" a="1"/>
  <c r="BM190" i="2" a="1"/>
  <c r="BP108" i="2" a="1"/>
  <c r="BC126" i="2" a="1"/>
  <c r="BC242" i="2" a="1"/>
  <c r="BH100" i="2" a="1"/>
  <c r="BR222" i="2" a="1"/>
  <c r="AV148" i="2" a="1"/>
  <c r="BN164" i="2" a="1"/>
  <c r="BA87" i="2" a="1"/>
  <c r="AV56" i="2" a="1"/>
  <c r="AU145" i="2" a="1"/>
  <c r="AR180" i="2" a="1"/>
  <c r="BE224" i="2" a="1"/>
  <c r="BD239" i="2" a="1"/>
  <c r="BL168" i="2" a="1"/>
  <c r="BR217" i="2" a="1"/>
  <c r="BP200" i="2" a="1"/>
  <c r="BK119" i="2" a="1"/>
  <c r="BB163" i="2" a="1"/>
  <c r="BF135" i="2" a="1"/>
  <c r="AQ150" i="2" a="1"/>
  <c r="BF203" i="2" a="1"/>
  <c r="BH136" i="2" a="1"/>
  <c r="BH194" i="2" a="1"/>
  <c r="AS191" i="2" a="1"/>
  <c r="BF99" i="2" a="1"/>
  <c r="AS92" i="2" a="1"/>
  <c r="AS127" i="2" a="1"/>
  <c r="BF121" i="2" a="1"/>
  <c r="AT62" i="2" a="1"/>
  <c r="BG175" i="2" a="1"/>
  <c r="BM189" i="2" a="1"/>
  <c r="BB165" i="2" a="1"/>
  <c r="AY67" i="2" a="1"/>
  <c r="BF234" i="2" a="1"/>
  <c r="BH124" i="2" a="1"/>
  <c r="AU69" i="2" a="1"/>
  <c r="AR70" i="2" a="1"/>
  <c r="BO163" i="2" a="1"/>
  <c r="AS228" i="2" a="1"/>
  <c r="AV189" i="2" a="1"/>
  <c r="BF229" i="2" a="1"/>
  <c r="AV201" i="2" a="1"/>
  <c r="BK111" i="2" a="1"/>
  <c r="BQ192" i="2" a="1"/>
  <c r="AQ205" i="2" a="1"/>
  <c r="AS88" i="2" a="1"/>
  <c r="BC96" i="2" a="1"/>
  <c r="BM157" i="2" a="1"/>
  <c r="AR69" i="2" a="1"/>
  <c r="BH85" i="2" a="1"/>
  <c r="BN103" i="2" a="1"/>
  <c r="AW199" i="2" a="1"/>
  <c r="BL116" i="2" a="1"/>
  <c r="AV178" i="2" a="1"/>
  <c r="BB229" i="2" a="1"/>
  <c r="BN141" i="2" a="1"/>
  <c r="AS115" i="2" a="1"/>
  <c r="BO149" i="2" a="1"/>
  <c r="AU168" i="2" a="1"/>
  <c r="BO64" i="2" a="1"/>
  <c r="BM171" i="2" a="1"/>
  <c r="BI155" i="2" a="1"/>
  <c r="AQ141" i="2" a="1"/>
  <c r="AY84" i="2" a="1"/>
  <c r="BG216" i="2" a="1"/>
  <c r="BR90" i="2" a="1"/>
  <c r="BI129" i="2" a="1"/>
  <c r="BD67" i="2" a="1"/>
  <c r="BF107" i="2" a="1"/>
  <c r="BF254" i="2" a="1"/>
  <c r="BD134" i="2" a="1"/>
  <c r="BI151" i="2" a="1"/>
  <c r="BD210" i="2" a="1"/>
  <c r="AW123" i="2" a="1"/>
  <c r="BH121" i="2" a="1"/>
  <c r="BD77" i="2" a="1"/>
  <c r="AS112" i="2" a="1"/>
  <c r="AY191" i="2" a="1"/>
  <c r="BR64" i="2" a="1"/>
  <c r="AV87" i="2" a="1"/>
  <c r="AQ172" i="2" a="1"/>
  <c r="AU212" i="2" a="1"/>
  <c r="BO155" i="2" a="1"/>
  <c r="BM162" i="2" a="1"/>
  <c r="AV174" i="2" a="1"/>
  <c r="BJ67" i="2" a="1"/>
  <c r="BJ134" i="2" a="1"/>
  <c r="BQ95" i="2" a="1"/>
  <c r="BN178" i="2" a="1"/>
  <c r="AS172" i="2" a="1"/>
  <c r="BE177" i="2" a="1"/>
  <c r="AS90" i="2" a="1"/>
  <c r="BR186" i="2" a="1"/>
  <c r="BP241" i="2" a="1"/>
  <c r="BH104" i="2" a="1"/>
  <c r="BR203" i="2" a="1"/>
  <c r="BG228" i="2" a="1"/>
  <c r="BI182" i="2" a="1"/>
  <c r="BQ219" i="2" a="1"/>
  <c r="AX111" i="2" a="1"/>
  <c r="BJ157" i="2" a="1"/>
  <c r="BP164" i="2" a="1"/>
  <c r="BP68" i="2" a="1"/>
  <c r="AV214" i="2" a="1"/>
  <c r="AS232" i="2" a="1"/>
  <c r="AU239" i="2" a="1"/>
  <c r="BQ240" i="2" a="1"/>
  <c r="BL94" i="2" a="1"/>
  <c r="BE173" i="2" a="1"/>
  <c r="AW158" i="2" a="1"/>
  <c r="BB184" i="2" a="1"/>
  <c r="BR197" i="2" a="1"/>
  <c r="BG189" i="2" a="1"/>
  <c r="BJ78" i="2" a="1"/>
  <c r="BP169" i="2" a="1"/>
  <c r="AW190" i="2" a="1"/>
  <c r="BO261" i="2" a="1"/>
  <c r="BG124" i="2" a="1"/>
  <c r="AU161" i="2" a="1"/>
  <c r="BH88" i="2" a="1"/>
  <c r="BR73" i="2" a="1"/>
  <c r="BN77" i="2" a="1"/>
  <c r="BR150" i="2" a="1"/>
  <c r="BL237" i="2" a="1"/>
  <c r="BA208" i="2" a="1"/>
  <c r="BF250" i="2" a="1"/>
  <c r="BQ163" i="2" a="1"/>
  <c r="BL161" i="2" a="1"/>
  <c r="AU262" i="2" a="1"/>
  <c r="BC120" i="2" a="1"/>
  <c r="BK105" i="2" a="1"/>
  <c r="BC195" i="2" a="1"/>
  <c r="AU175" i="2" a="1"/>
  <c r="BH71" i="2" a="1"/>
  <c r="BM206" i="2" a="1"/>
  <c r="BK79" i="2" a="1"/>
  <c r="AU124" i="2" a="1"/>
  <c r="BL100" i="2" a="1"/>
  <c r="BN152" i="2" a="1"/>
  <c r="AS233" i="2" a="1"/>
  <c r="AW219" i="2" a="1"/>
  <c r="AW180" i="2" a="1"/>
  <c r="BG121" i="2" a="1"/>
  <c r="AT134" i="2" a="1"/>
  <c r="BD162" i="2" a="1"/>
  <c r="AS104" i="2" a="1"/>
  <c r="BI125" i="2" a="1"/>
  <c r="BA126" i="2" a="1"/>
  <c r="AT61" i="2" a="1"/>
  <c r="BQ122" i="2" a="1"/>
  <c r="BF210" i="2" a="1"/>
  <c r="BM82" i="2" a="1"/>
  <c r="BR259" i="2" a="1"/>
  <c r="BL182" i="2" a="1"/>
  <c r="AX64" i="2" a="1"/>
  <c r="BG152" i="2" a="1"/>
  <c r="BQ104" i="2" a="1"/>
  <c r="BK188" i="2" a="1"/>
  <c r="BD206" i="2" a="1"/>
  <c r="BM141" i="2" a="1"/>
  <c r="AX115" i="2" a="1"/>
  <c r="BF256" i="2" a="1"/>
  <c r="BR110" i="2" a="1"/>
  <c r="AW238" i="2" a="1"/>
  <c r="BK194" i="2" a="1"/>
  <c r="BK122" i="2" a="1"/>
  <c r="AY178" i="2" a="1"/>
  <c r="BQ137" i="2" a="1"/>
  <c r="BM145" i="2" a="1"/>
  <c r="AW266" i="2" a="1"/>
  <c r="AV193" i="2" a="1"/>
  <c r="AX58" i="2" a="1"/>
  <c r="BP70" i="2" a="1"/>
  <c r="BR134" i="2" a="1"/>
  <c r="AV114" i="2" a="1"/>
  <c r="BL178" i="2" a="1"/>
  <c r="BP114" i="2" a="1"/>
  <c r="BE172" i="2" a="1"/>
  <c r="BL106" i="2" a="1"/>
  <c r="AQ98" i="2" a="1"/>
  <c r="BP121" i="2" a="1"/>
  <c r="BE88" i="2" a="1"/>
  <c r="AW77" i="2" a="1"/>
  <c r="BD236" i="2" a="1"/>
  <c r="BO162" i="2" a="1"/>
  <c r="BO109" i="2" a="1"/>
  <c r="BL233" i="2" a="1"/>
  <c r="BF263" i="2" a="1"/>
  <c r="AW163" i="2" a="1"/>
  <c r="AY189" i="2" a="1"/>
  <c r="BI132" i="2" a="1"/>
  <c r="BJ106" i="2" a="1"/>
  <c r="BC145" i="2" a="1"/>
  <c r="BG210" i="2" a="1"/>
  <c r="BK116" i="2" a="1"/>
  <c r="AY144" i="2" a="1"/>
  <c r="BR220" i="2" a="1"/>
  <c r="BO201" i="2" a="1"/>
  <c r="BB94" i="2" a="1"/>
  <c r="BH178" i="2" a="1"/>
  <c r="BB197" i="2" a="1"/>
  <c r="BB213" i="2" a="1"/>
  <c r="BL256" i="2" a="1"/>
  <c r="AV218" i="2" a="1"/>
  <c r="BP135" i="2" a="1"/>
  <c r="BI58" i="2" a="1"/>
  <c r="BH246" i="2" a="1"/>
  <c r="AU253" i="2" a="1"/>
  <c r="AW265" i="2" a="1"/>
  <c r="BO125" i="2" a="1"/>
  <c r="BF241" i="2" a="1"/>
  <c r="BQ159" i="2" a="1"/>
  <c r="BR229" i="2" a="1"/>
  <c r="AW215" i="2" a="1"/>
  <c r="BB167" i="2" a="1"/>
  <c r="BJ86" i="2" a="1"/>
  <c r="BG224" i="2" a="1"/>
  <c r="AQ109" i="2" a="1"/>
  <c r="BR196" i="2" a="1"/>
  <c r="BO236" i="2" a="1"/>
  <c r="AQ216" i="2" a="1"/>
  <c r="BE170" i="2" a="1"/>
  <c r="BO133" i="2" a="1"/>
  <c r="BR198" i="2" a="1"/>
  <c r="AQ138" i="2" a="1"/>
  <c r="BN82" i="2" a="1"/>
  <c r="BO82" i="2" a="1"/>
  <c r="BC152" i="2" a="1"/>
  <c r="BF261" i="2" a="1"/>
  <c r="AX99" i="2" a="1"/>
  <c r="BE151" i="2" a="1"/>
  <c r="BO95" i="2" a="1"/>
  <c r="BG222" i="2" a="1"/>
  <c r="BJ182" i="2" a="1"/>
  <c r="AS201" i="2" a="1"/>
  <c r="AU160" i="2" a="1"/>
  <c r="BQ107" i="2" a="1"/>
  <c r="AY170" i="2" a="1"/>
  <c r="BD170" i="2" a="1"/>
  <c r="BR58" i="2" a="1"/>
  <c r="BL125" i="2" a="1"/>
  <c r="BM168" i="2" a="1"/>
  <c r="BK104" i="2" a="1"/>
  <c r="AR188" i="2" a="1"/>
  <c r="BJ169" i="2" a="1"/>
  <c r="BC238" i="2" a="1"/>
  <c r="AR141" i="2" a="1"/>
  <c r="BE125" i="2" a="1"/>
  <c r="AQ193" i="2" a="1"/>
  <c r="BE147" i="2" a="1"/>
  <c r="BQ236" i="2" a="1"/>
  <c r="AU173" i="2" a="1"/>
  <c r="BI152" i="2" a="1"/>
  <c r="BE130" i="2" a="1"/>
  <c r="BH191" i="2" a="1"/>
  <c r="BD81" i="2" a="1"/>
  <c r="BJ167" i="2" a="1"/>
  <c r="BB103" i="2" a="1"/>
  <c r="BF119" i="2" a="1"/>
  <c r="BO242" i="2" a="1"/>
  <c r="BH87" i="2" a="1"/>
  <c r="BO217" i="2" a="1"/>
  <c r="BB120" i="2" a="1"/>
  <c r="BA164" i="2" a="1"/>
  <c r="BM193" i="2" a="1"/>
  <c r="AT54" i="2" a="1"/>
  <c r="AS221" i="2" a="1"/>
  <c r="BB242" i="2" a="1"/>
  <c r="AY204" i="2" a="1"/>
  <c r="BG70" i="2" a="1"/>
  <c r="BL165" i="2" a="1"/>
  <c r="BO220" i="2" a="1"/>
  <c r="BE98" i="2" a="1"/>
  <c r="BR233" i="2" a="1"/>
  <c r="BE62" i="2" a="1"/>
  <c r="AY73" i="2" a="1"/>
  <c r="BE126" i="2" a="1"/>
  <c r="AT95" i="2" a="1"/>
  <c r="BC163" i="2" a="1"/>
  <c r="AV124" i="2" a="1"/>
  <c r="BH158" i="2" a="1"/>
  <c r="AW261" i="2" a="1"/>
  <c r="BF85" i="2" a="1"/>
  <c r="BM216" i="2" a="1"/>
  <c r="AS66" i="2" a="1"/>
  <c r="BM106" i="2" a="1"/>
  <c r="BH90" i="2" a="1"/>
  <c r="BJ104" i="2" a="1"/>
  <c r="AY168" i="2" a="1"/>
  <c r="BI92" i="2" a="1"/>
  <c r="BI173" i="2" a="1"/>
  <c r="AU82" i="2" a="1"/>
  <c r="AS227" i="2" a="1"/>
  <c r="BC154" i="2" a="1"/>
  <c r="BL258" i="2" a="1"/>
  <c r="AU110" i="2" a="1"/>
  <c r="BB207" i="2" a="1"/>
  <c r="BC216" i="2" a="1"/>
  <c r="BK144" i="2" a="1"/>
  <c r="AS234" i="2" a="1"/>
  <c r="BQ114" i="2" a="1"/>
  <c r="BM147" i="2" a="1"/>
  <c r="BH60" i="2" a="1"/>
  <c r="AY96" i="2" a="1"/>
  <c r="AW231" i="2" a="1"/>
  <c r="BE192" i="2" a="1"/>
  <c r="BI165" i="2" a="1"/>
  <c r="AU57" i="2" a="1"/>
  <c r="BN139" i="2" a="1"/>
  <c r="BD116" i="2" a="1"/>
  <c r="BP248" i="2" a="1"/>
  <c r="BI65" i="2" a="1"/>
  <c r="BK108" i="2" a="1"/>
  <c r="BA199" i="2" a="1"/>
  <c r="AU70" i="2" a="1"/>
  <c r="BN110" i="2" a="1"/>
  <c r="BN115" i="2" a="1"/>
  <c r="AS60" i="2" a="1"/>
  <c r="BP179" i="2" a="1"/>
  <c r="AU63" i="2" a="1"/>
  <c r="AT116" i="2" a="1"/>
  <c r="BO68" i="2" a="1"/>
  <c r="AR187" i="2" a="1"/>
  <c r="BD112" i="2" a="1"/>
  <c r="BE59" i="2" a="1"/>
  <c r="BG135" i="2" a="1"/>
  <c r="BH125" i="2" a="1"/>
  <c r="BP87" i="2" a="1"/>
  <c r="BB211" i="2" a="1"/>
  <c r="BB205" i="2" a="1"/>
  <c r="AY94" i="2" a="1"/>
  <c r="BD62" i="2" a="1"/>
  <c r="AV80" i="2" a="1"/>
  <c r="AW188" i="2" a="1"/>
  <c r="BH234" i="2" a="1"/>
  <c r="BK69" i="2" a="1"/>
  <c r="BD139" i="2" a="1"/>
  <c r="BC117" i="2" a="1"/>
  <c r="BP57" i="2" a="1"/>
  <c r="AS194" i="2" a="1"/>
  <c r="AS130" i="2" a="1"/>
  <c r="BN171" i="2" a="1"/>
  <c r="BG226" i="2" a="1"/>
  <c r="BP183" i="2" a="1"/>
  <c r="BH241" i="2" a="1"/>
  <c r="BD115" i="2" a="1"/>
  <c r="BP111" i="2" a="1"/>
  <c r="BJ100" i="2" a="1"/>
  <c r="BQ135" i="2" a="1"/>
  <c r="AV209" i="2" a="1"/>
  <c r="BM102" i="2" a="1"/>
  <c r="BO145" i="2" a="1"/>
  <c r="BQ193" i="2" a="1"/>
  <c r="BK90" i="2" a="1"/>
  <c r="AS215" i="2" a="1"/>
  <c r="AQ158" i="2" a="1"/>
  <c r="BG97" i="2" a="1"/>
  <c r="BJ75" i="2" a="1"/>
  <c r="BH83" i="2" a="1"/>
  <c r="BR216" i="2" a="1"/>
  <c r="BA64" i="2" a="1"/>
  <c r="AT109" i="2" a="1"/>
  <c r="BH142" i="2" a="1"/>
  <c r="AS125" i="2" a="1"/>
  <c r="BI120" i="2" a="1"/>
  <c r="AQ182" i="2" a="1"/>
  <c r="BA165" i="2" a="1"/>
  <c r="BK67" i="2" a="1"/>
  <c r="AV232" i="2" a="1"/>
  <c r="AT108" i="2" a="1"/>
  <c r="BQ224" i="2" a="1"/>
  <c r="BB261" i="2" a="1"/>
  <c r="BI108" i="2" a="1"/>
  <c r="BQ202" i="2" a="1"/>
  <c r="BE65" i="2" a="1"/>
  <c r="BM62" i="2" a="1"/>
  <c r="AU240" i="2" a="1"/>
  <c r="BQ141" i="2" a="1"/>
  <c r="BI75" i="2" a="1"/>
  <c r="BR182" i="2" a="1"/>
  <c r="AV163" i="2" a="1"/>
  <c r="BG95" i="2" a="1"/>
  <c r="AU113" i="2" a="1"/>
  <c r="BO106" i="2" a="1"/>
  <c r="AU189" i="2" a="1"/>
  <c r="AU166" i="2" a="1"/>
  <c r="BQ222" i="2" a="1"/>
  <c r="AT133" i="2" a="1"/>
  <c r="BD203" i="2" a="1"/>
  <c r="BM68" i="2" a="1"/>
  <c r="AV188" i="2" a="1"/>
  <c r="AV177" i="2" a="1"/>
  <c r="BB128" i="2" a="1"/>
  <c r="BC63" i="2" a="1"/>
  <c r="BA171" i="2" a="1"/>
  <c r="BJ142" i="2" a="1"/>
  <c r="BF166" i="2" a="1"/>
  <c r="BH222" i="2" a="1"/>
  <c r="BB90" i="2" a="1"/>
  <c r="BM128" i="2" a="1"/>
  <c r="AY154" i="2" a="1"/>
  <c r="BD161" i="2" a="1"/>
  <c r="BQ143" i="2" a="1"/>
  <c r="BP251" i="2" a="1"/>
  <c r="BQ257" i="2" a="1"/>
  <c r="BM175" i="2" a="1"/>
  <c r="BO135" i="2" a="1"/>
  <c r="BB151" i="2" a="1"/>
  <c r="AS224" i="2" a="1"/>
  <c r="BD135" i="2" a="1"/>
  <c r="BR260" i="2" a="1"/>
  <c r="BH189" i="2" a="1"/>
  <c r="BL80" i="2" a="1"/>
  <c r="BK149" i="2" a="1"/>
  <c r="AU65" i="2" a="1"/>
  <c r="BQ131" i="2" a="1"/>
  <c r="BE211" i="2" a="1"/>
  <c r="BB139" i="2" a="1"/>
  <c r="BG107" i="2" a="1"/>
  <c r="BR116" i="2" a="1"/>
  <c r="BL206" i="2" a="1"/>
  <c r="AT84" i="2" a="1"/>
  <c r="BD208" i="2" a="1"/>
  <c r="AQ97" i="2" a="1"/>
  <c r="AY103" i="2" a="1"/>
  <c r="AY87" i="2" a="1"/>
  <c r="BB193" i="2" a="1"/>
  <c r="AW198" i="2" a="1"/>
  <c r="BE218" i="2" a="1"/>
  <c r="BF148" i="2" a="1"/>
  <c r="AU162" i="2" a="1"/>
  <c r="BP177" i="2" a="1"/>
  <c r="BE223" i="2" a="1"/>
  <c r="AU97" i="2" a="1"/>
  <c r="BC88" i="2" a="1"/>
  <c r="BQ185" i="2" a="1"/>
  <c r="BC179" i="2" a="1"/>
  <c r="BD63" i="2" a="1"/>
  <c r="BF136" i="2" a="1"/>
  <c r="BC123" i="2" a="1"/>
  <c r="AW251" i="2" a="1"/>
  <c r="AQ195" i="2" a="1"/>
  <c r="BA65" i="2" a="1"/>
  <c r="BC172" i="2" a="1"/>
  <c r="AV155" i="2" a="1"/>
  <c r="BR192" i="2" a="1"/>
  <c r="BP72" i="2" a="1"/>
  <c r="BC86" i="2" a="1"/>
  <c r="BB219" i="2" a="1"/>
  <c r="BN60" i="2" a="1"/>
  <c r="BM123" i="2" a="1"/>
  <c r="BN211" i="2" a="1"/>
  <c r="AV194" i="2" a="1"/>
  <c r="BG94" i="2" a="1"/>
  <c r="BD54" i="2" a="1"/>
  <c r="BF245" i="2" a="1"/>
  <c r="AX79" i="2" a="1"/>
  <c r="BQ255" i="2" a="1"/>
  <c r="BG170" i="2" a="1"/>
  <c r="BL257" i="2" a="1"/>
  <c r="BB236" i="2" a="1"/>
  <c r="AR127" i="2" a="1"/>
  <c r="BB104" i="2" a="1"/>
  <c r="BL264" i="2" a="1"/>
  <c r="BP209" i="2" a="1"/>
  <c r="BN165" i="2" a="1"/>
  <c r="AU118" i="2" a="1"/>
  <c r="BH96" i="2" a="1"/>
  <c r="BL91" i="2" a="1"/>
  <c r="AS78" i="2" a="1"/>
  <c r="BO53" i="2" a="1"/>
  <c r="BB171" i="2" a="1"/>
  <c r="BL104" i="2" a="1"/>
  <c r="BM156" i="2" a="1"/>
  <c r="BR128" i="2" a="1"/>
  <c r="BJ130" i="2" a="1"/>
  <c r="BG112" i="2" a="1"/>
  <c r="AW186" i="2" a="1"/>
  <c r="BA83" i="2" a="1"/>
  <c r="BK176" i="2" a="1"/>
  <c r="BH77" i="2" a="1"/>
  <c r="AS128" i="2" a="1"/>
  <c r="BO76" i="2" a="1"/>
  <c r="BI166" i="2" a="1"/>
  <c r="BQ151" i="2" a="1"/>
  <c r="BE225" i="2" a="1"/>
  <c r="BR269" i="2" a="1"/>
  <c r="BD68" i="2" a="1"/>
  <c r="BG73" i="2" a="1"/>
  <c r="BF172" i="2" a="1"/>
  <c r="BM177" i="2" a="1"/>
  <c r="BC224" i="2" a="1"/>
  <c r="BN180" i="2" a="1"/>
  <c r="BF221" i="2" a="1"/>
  <c r="BH156" i="2" a="1"/>
  <c r="BG229" i="2" a="1"/>
  <c r="AY97" i="2" a="1"/>
  <c r="BH226" i="2" a="1"/>
  <c r="AS171" i="2" a="1"/>
  <c r="BI79" i="2" a="1"/>
  <c r="AU242" i="2" a="1"/>
  <c r="AS176" i="2" a="1"/>
  <c r="AY131" i="2" a="1"/>
  <c r="AR142" i="2" a="1"/>
  <c r="BG128" i="2" a="1"/>
  <c r="AS159" i="2" a="1"/>
  <c r="BC211" i="2" a="1"/>
  <c r="BH108" i="2" a="1"/>
  <c r="BD204" i="2" a="1"/>
  <c r="AS200" i="2" a="1"/>
  <c r="BH79" i="2" a="1"/>
  <c r="AW118" i="2" a="1"/>
  <c r="BL84" i="2" a="1"/>
  <c r="BJ79" i="2" a="1"/>
  <c r="AQ169" i="2" a="1"/>
  <c r="BD146" i="2" a="1"/>
  <c r="BI180" i="2" a="1"/>
  <c r="BN58" i="2" a="1"/>
  <c r="BO80" i="2" a="1"/>
  <c r="AR135" i="2" a="1"/>
  <c r="BE103" i="2" a="1"/>
  <c r="BP141" i="2" a="1"/>
  <c r="BO248" i="2" a="1"/>
  <c r="BC54" i="2" a="1"/>
  <c r="AY137" i="2" a="1"/>
  <c r="BM63" i="2" a="1"/>
  <c r="BQ248" i="2" a="1"/>
  <c r="BC201" i="2" a="1"/>
  <c r="BE226" i="2" a="1"/>
  <c r="AW129" i="2" a="1"/>
  <c r="BL185" i="2" a="1"/>
  <c r="BK70" i="2" a="1"/>
  <c r="BG179" i="2" a="1"/>
  <c r="BG213" i="2" a="1"/>
  <c r="BR93" i="2" a="1"/>
  <c r="BF93" i="2" a="1"/>
  <c r="AU219" i="2" a="1"/>
  <c r="BO232" i="2" a="1"/>
  <c r="BF211" i="2" a="1"/>
  <c r="BE190" i="2" a="1"/>
  <c r="AQ203" i="2" a="1"/>
  <c r="AU206" i="2" a="1"/>
  <c r="AW79" i="2" a="1"/>
  <c r="BB177" i="2" a="1"/>
  <c r="BC262" i="2" a="1"/>
  <c r="BB187" i="2" a="1"/>
  <c r="AW221" i="2" a="1"/>
  <c r="BF123" i="2" a="1"/>
  <c r="BP244" i="2" a="1"/>
  <c r="BD183" i="2" a="1"/>
  <c r="AY91" i="2" a="1"/>
  <c r="BP161" i="2" a="1"/>
  <c r="BE205" i="2" a="1"/>
  <c r="AS195" i="2" a="1"/>
  <c r="BL209" i="2" a="1"/>
  <c r="BA91" i="2" a="1"/>
  <c r="BC140" i="2" a="1"/>
  <c r="BE154" i="2" a="1"/>
  <c r="BJ155" i="2" a="1"/>
  <c r="BA161" i="2" a="1"/>
  <c r="BR239" i="2" a="1"/>
  <c r="AS230" i="2" a="1"/>
  <c r="AV94" i="2" a="1"/>
  <c r="BO140" i="2" a="1"/>
  <c r="AY104" i="2" a="1"/>
  <c r="AU98" i="2" a="1"/>
  <c r="BP194" i="2" a="1"/>
  <c r="BQ142" i="2" a="1"/>
  <c r="BR111" i="2" a="1"/>
  <c r="BF55" i="2" a="1"/>
  <c r="BN158" i="2" a="1"/>
  <c r="BO127" i="2" a="1"/>
  <c r="BR191" i="2" a="1"/>
  <c r="AR153" i="2" a="1"/>
  <c r="BK177" i="2" a="1"/>
  <c r="BM153" i="2" a="1"/>
  <c r="BP83" i="2" a="1"/>
  <c r="BR129" i="2" a="1"/>
  <c r="AW109" i="2" a="1"/>
  <c r="BF61" i="2" a="1"/>
  <c r="AY89" i="2" a="1"/>
  <c r="AQ95" i="2" a="1"/>
  <c r="BR132" i="2" a="1"/>
  <c r="BH161" i="2" a="1"/>
  <c r="BD201" i="2" a="1"/>
  <c r="BC196" i="2" a="1"/>
  <c r="BP225" i="2" a="1"/>
  <c r="BN76" i="2" a="1"/>
  <c r="BA180" i="2" a="1"/>
  <c r="AY115" i="2" a="1"/>
  <c r="BD167" i="2" a="1"/>
  <c r="AY192" i="2" a="1"/>
  <c r="BN160" i="2" a="1"/>
  <c r="AU100" i="2" a="1"/>
  <c r="BD223" i="2" a="1"/>
  <c r="AV227" i="2" a="1"/>
  <c r="BB216" i="2" a="1"/>
  <c r="BF171" i="2" a="1"/>
  <c r="BJ117" i="2" a="1"/>
  <c r="AW160" i="2" a="1"/>
  <c r="BN176" i="2" a="1"/>
  <c r="AW200" i="2" a="1"/>
  <c r="AT106" i="2" a="1"/>
  <c r="BJ85" i="2" a="1"/>
  <c r="BC81" i="2" a="1"/>
  <c r="BO84" i="2" a="1"/>
  <c r="BA67" i="2" a="1"/>
  <c r="BF186" i="2" a="1"/>
  <c r="BF267" i="2" a="1"/>
  <c r="BR91" i="2" a="1"/>
  <c r="BM150" i="2" a="1"/>
  <c r="BD155" i="2" a="1"/>
  <c r="BC175" i="2" a="1"/>
  <c r="AY116" i="2" a="1"/>
  <c r="AY100" i="2" a="1"/>
  <c r="AV154" i="2" a="1"/>
  <c r="BO142" i="2" a="1"/>
  <c r="BC180" i="2" a="1"/>
  <c r="BD101" i="2" a="1"/>
  <c r="AW245" i="2" a="1"/>
  <c r="BG157" i="2" a="1"/>
  <c r="AU138" i="2" a="1"/>
  <c r="BO222" i="2" a="1"/>
  <c r="BN126" i="2" a="1"/>
  <c r="BE181" i="2" a="1"/>
  <c r="BK153" i="2" a="1"/>
  <c r="AU241" i="2" a="1"/>
  <c r="AU222" i="2" a="1"/>
  <c r="BF156" i="2" a="1"/>
  <c r="BH62" i="2" a="1"/>
  <c r="BL201" i="2" a="1"/>
  <c r="BE66" i="2" a="1"/>
  <c r="AU269" i="2" a="1"/>
  <c r="BO229" i="2" a="1"/>
  <c r="BH237" i="2" a="1"/>
  <c r="BP92" i="2" a="1"/>
  <c r="BI170" i="2" a="1"/>
  <c r="BA55" i="2" a="1"/>
  <c r="BM95" i="2" a="1"/>
  <c r="BI135" i="2" a="1"/>
  <c r="AU136" i="2" a="1"/>
  <c r="BO178" i="2" a="1"/>
  <c r="BB258" i="2" a="1"/>
  <c r="BK88" i="2" a="1"/>
  <c r="BA118" i="2" a="1"/>
  <c r="AY160" i="2" a="1"/>
  <c r="BC204" i="2" a="1"/>
  <c r="BF108" i="2" a="1"/>
  <c r="AQ196" i="2" a="1"/>
  <c r="BJ143" i="2" a="1"/>
  <c r="BH145" i="2" a="1"/>
  <c r="BL117" i="2" a="1"/>
  <c r="BA143" i="2" a="1"/>
  <c r="BB110" i="2" a="1"/>
  <c r="BO190" i="2" a="1"/>
  <c r="BL226" i="2" a="1"/>
  <c r="BB203" i="2" a="1"/>
  <c r="BG62" i="2" a="1"/>
  <c r="BO175" i="2" a="1"/>
  <c r="BK61" i="2" a="1"/>
  <c r="BO249" i="2" a="1"/>
  <c r="AY174" i="2" a="1"/>
  <c r="AQ211" i="2" a="1"/>
  <c r="BP145" i="2" a="1"/>
  <c r="AQ153" i="2" a="1"/>
  <c r="BM132" i="2" a="1"/>
  <c r="BB169" i="2" a="1"/>
  <c r="AS89" i="2" a="1"/>
  <c r="BO108" i="2" a="1"/>
  <c r="BF235" i="2" a="1"/>
  <c r="BM129" i="2" a="1"/>
  <c r="AX54" i="2" a="1"/>
  <c r="BK78" i="2" a="1"/>
  <c r="BO172" i="2" a="1"/>
  <c r="BC62" i="2" a="1"/>
  <c r="BG133" i="2" a="1"/>
  <c r="AS182" i="2" a="1"/>
  <c r="AY146" i="2" a="1"/>
  <c r="BP96" i="2" a="1"/>
  <c r="BH134" i="2" a="1"/>
  <c r="AR150" i="2" a="1"/>
  <c r="AV122" i="2" a="1"/>
  <c r="BH240" i="2" a="1"/>
  <c r="AU225" i="2" a="1"/>
  <c r="AU238" i="2" a="1"/>
  <c r="BL59" i="2" a="1"/>
  <c r="BC233" i="2" a="1"/>
  <c r="BJ103" i="2" a="1"/>
  <c r="BF244" i="2" a="1"/>
  <c r="BG102" i="2" a="1"/>
  <c r="AQ180" i="2" a="1"/>
  <c r="BG211" i="2" a="1"/>
  <c r="BA109" i="2" a="1"/>
  <c r="BQ128" i="2" a="1"/>
  <c r="AU144" i="2" a="1"/>
  <c r="AX133" i="2" a="1"/>
  <c r="AU197" i="2" a="1"/>
  <c r="BG230" i="2" a="1"/>
  <c r="AW131" i="2" a="1"/>
  <c r="BL212" i="2" a="1"/>
  <c r="BP128" i="2" a="1"/>
  <c r="AV151" i="2" a="1"/>
  <c r="BP247" i="2" a="1"/>
  <c r="BG196" i="2" a="1"/>
  <c r="BF202" i="2" a="1"/>
  <c r="AV144" i="2" a="1"/>
  <c r="BF159" i="2" a="1"/>
  <c r="AV248" i="2" a="1"/>
  <c r="BL230" i="2" a="1"/>
  <c r="BJ107" i="2" a="1"/>
  <c r="BF155" i="2" a="1"/>
  <c r="BN182" i="2" a="1"/>
  <c r="BR69" i="2" a="1"/>
  <c r="BH177" i="2" a="1"/>
  <c r="BL146" i="2" a="1"/>
  <c r="AV208" i="2" a="1"/>
  <c r="BP109" i="2" a="1"/>
  <c r="BP227" i="2" a="1"/>
  <c r="AQ59" i="2" a="1"/>
  <c r="BD165" i="2" a="1"/>
  <c r="BJ97" i="2" a="1"/>
  <c r="AR88" i="2" a="1"/>
  <c r="BG86" i="2" a="1"/>
  <c r="BF128" i="2" a="1"/>
  <c r="BF240" i="2" a="1"/>
  <c r="BQ233" i="2" a="1"/>
  <c r="AU249" i="2" a="1"/>
  <c r="BP132" i="2" a="1"/>
  <c r="AU261" i="2" a="1"/>
  <c r="BD232" i="2" a="1"/>
  <c r="BI90" i="2" a="1"/>
  <c r="BR72" i="2" a="1"/>
  <c r="AU88" i="2" a="1"/>
  <c r="BD148" i="2" a="1"/>
  <c r="AW133" i="2" a="1"/>
  <c r="BH132" i="2" a="1"/>
  <c r="BJ77" i="2" a="1"/>
  <c r="BP137" i="2" a="1"/>
  <c r="BE70" i="2" a="1"/>
  <c r="BM140" i="2" a="1"/>
  <c r="BO260" i="2" a="1"/>
  <c r="AU200" i="2" a="1"/>
  <c r="AQ92" i="2" a="1"/>
  <c r="AV129" i="2" a="1"/>
  <c r="BM183" i="2" a="1"/>
  <c r="BO202" i="2" a="1"/>
  <c r="BM66" i="2" a="1"/>
  <c r="AS168" i="2" a="1"/>
  <c r="BQ167" i="2" a="1"/>
  <c r="AS212" i="2" a="1"/>
  <c r="BG199" i="2" a="1"/>
  <c r="BC219" i="2" a="1"/>
  <c r="BF199" i="2" a="1"/>
  <c r="BO193" i="2" a="1"/>
  <c r="BQ217" i="2" a="1"/>
  <c r="BN147" i="2" a="1"/>
  <c r="BC162" i="2" a="1"/>
  <c r="AX70" i="2" a="1"/>
  <c r="BK166" i="2" a="1"/>
  <c r="BB253" i="2" a="1"/>
  <c r="BP71" i="2" a="1"/>
  <c r="BD107" i="2" a="1"/>
  <c r="BP149" i="2" a="1"/>
  <c r="BL186" i="2" a="1"/>
  <c r="AW257" i="2" a="1"/>
  <c r="BF265" i="2" a="1"/>
  <c r="BC137" i="2" a="1"/>
  <c r="BR265" i="2" a="1"/>
  <c r="BM131" i="2" a="1"/>
  <c r="BB99" i="2" a="1"/>
  <c r="AR72" i="2" a="1"/>
  <c r="AS114" i="2" a="1"/>
  <c r="BO152" i="2" a="1"/>
  <c r="AQ145" i="2" a="1"/>
  <c r="AY59" i="2" a="1"/>
  <c r="BP260" i="2" a="1"/>
  <c r="AR133" i="2" a="1"/>
  <c r="AX134" i="2" a="1"/>
  <c r="AU213" i="2" a="1"/>
  <c r="BC229" i="2" a="1"/>
  <c r="BN203" i="2" a="1"/>
  <c r="BE176" i="2" a="1"/>
  <c r="BL89" i="2" a="1"/>
  <c r="BI106" i="2" a="1"/>
  <c r="BG122" i="2" a="1"/>
  <c r="BC222" i="2" a="1"/>
  <c r="AW255" i="2" a="1"/>
  <c r="BO136" i="2" a="1"/>
  <c r="BC193" i="2" a="1"/>
  <c r="AS193" i="2" a="1"/>
  <c r="BO153" i="2" a="1"/>
  <c r="BF173" i="2" a="1"/>
  <c r="BN163" i="2" a="1"/>
  <c r="BP112" i="2" a="1"/>
  <c r="BD199" i="2" a="1"/>
  <c r="AQ189" i="2" a="1"/>
  <c r="BK189" i="2" a="1"/>
  <c r="BP240" i="2" a="1"/>
  <c r="AY163" i="2" a="1"/>
  <c r="BM187" i="2" a="1"/>
  <c r="BA188" i="2" a="1"/>
  <c r="AY148" i="2" a="1"/>
  <c r="AV176" i="2" a="1"/>
  <c r="BG150" i="2" a="1"/>
  <c r="BL247" i="2" a="1"/>
  <c r="BB79" i="2" a="1"/>
  <c r="AU192" i="2" a="1"/>
  <c r="BE150" i="2" a="1"/>
  <c r="BJ187" i="2" a="1"/>
  <c r="BO98" i="2" a="1"/>
  <c r="AT113" i="2" a="1"/>
  <c r="BN88" i="2" a="1"/>
  <c r="AW101" i="2" a="1"/>
  <c r="BF239" i="2" a="1"/>
  <c r="AR136" i="2" a="1"/>
  <c r="BK142" i="2" a="1"/>
  <c r="BC103" i="2" a="1"/>
  <c r="BA205" i="2" a="1"/>
  <c r="BH131" i="2" a="1"/>
  <c r="BA122" i="2" a="1"/>
  <c r="BF189" i="2" a="1"/>
  <c r="BD200" i="2" a="1"/>
  <c r="BL183" i="2" a="1"/>
  <c r="BB164" i="2" a="1"/>
  <c r="BG172" i="2" a="1"/>
  <c r="BA93" i="2" a="1"/>
  <c r="AV108" i="2" a="1"/>
  <c r="AY117" i="2" a="1"/>
  <c r="AY184" i="2" a="1"/>
  <c r="BH188" i="2" a="1"/>
  <c r="BO246" i="2" a="1"/>
  <c r="AS205" i="2" a="1"/>
  <c r="BG231" i="2" a="1"/>
  <c r="BA124" i="2" a="1"/>
  <c r="BE160" i="2" a="1"/>
  <c r="BC255" i="2" a="1"/>
  <c r="AS120" i="2" a="1"/>
  <c r="AU91" i="2" a="1"/>
  <c r="AT128" i="2" a="1"/>
  <c r="BC124" i="2" a="1"/>
  <c r="AR132" i="2" a="1"/>
  <c r="BO67" i="2" a="1"/>
  <c r="BR108" i="2" a="1"/>
  <c r="BN153" i="2" a="1"/>
  <c r="AY56" i="2" a="1"/>
  <c r="BL135" i="2" a="1"/>
  <c r="BE100" i="2" a="1"/>
  <c r="BO122" i="2" a="1"/>
  <c r="BJ161" i="2" a="1"/>
  <c r="BG198" i="2" a="1"/>
  <c r="BN202" i="2" a="1"/>
  <c r="BJ158" i="2" a="1"/>
  <c r="BC218" i="2" a="1"/>
  <c r="BB195" i="2" a="1"/>
  <c r="AW263" i="2" a="1"/>
  <c r="AU94" i="2" a="1"/>
  <c r="AV99" i="2" a="1"/>
  <c r="BD121" i="2" a="1"/>
  <c r="BO233" i="2" a="1"/>
  <c r="BE221" i="2" a="1"/>
  <c r="AX73" i="2" a="1"/>
  <c r="AS179" i="2" a="1"/>
  <c r="BH248" i="2" a="1"/>
  <c r="AT117" i="2" a="1"/>
  <c r="BO191" i="2" a="1"/>
  <c r="BI93" i="2" a="1"/>
  <c r="BA192" i="2" a="1"/>
  <c r="BC159" i="2" a="1"/>
  <c r="AS93" i="2" a="1"/>
  <c r="BA129" i="2" a="1"/>
  <c r="AT94" i="2" a="1"/>
  <c r="BO183" i="2" a="1"/>
  <c r="BG111" i="2" a="1"/>
  <c r="BM158" i="2" a="1"/>
  <c r="BA203" i="2" a="1"/>
  <c r="BF129" i="2" a="1"/>
  <c r="BI181" i="2" a="1"/>
  <c r="AX105" i="2" a="1"/>
  <c r="BB84" i="2" a="1"/>
  <c r="AU79" i="2" a="1"/>
  <c r="AX138" i="2" a="1"/>
  <c r="BG101" i="2" a="1"/>
  <c r="AX128" i="2" a="1"/>
  <c r="BK141" i="2" a="1"/>
  <c r="AW102" i="2" a="1"/>
  <c r="AV98" i="2" a="1"/>
  <c r="BG193" i="2" a="1"/>
  <c r="AW111" i="2" a="1"/>
  <c r="BF225" i="2" a="1"/>
  <c r="BG200" i="2" a="1"/>
  <c r="AV55" i="2" a="1"/>
  <c r="BP245" i="2" a="1"/>
  <c r="BJ127" i="2" a="1"/>
  <c r="AV185" i="2" a="1"/>
  <c r="BD211" i="2" a="1"/>
  <c r="BO141" i="2" a="1"/>
  <c r="AV181" i="2" a="1"/>
  <c r="BD177" i="2" a="1"/>
  <c r="AU142" i="2" a="1"/>
  <c r="BF147" i="2" a="1"/>
  <c r="AR165" i="2" a="1"/>
  <c r="AQ137" i="2" a="1"/>
  <c r="BH217" i="2" a="1"/>
  <c r="BH170" i="2" a="1"/>
  <c r="BB68" i="2" a="1"/>
  <c r="BM130" i="2" a="1"/>
  <c r="BA130" i="2" a="1"/>
  <c r="AY147" i="2" a="1"/>
  <c r="BR194" i="2" a="1"/>
  <c r="BC149" i="2" a="1"/>
  <c r="AQ190" i="2" a="1"/>
  <c r="BE174" i="2" a="1"/>
  <c r="BG197" i="2" a="1"/>
  <c r="BG78" i="2" a="1"/>
  <c r="AY212" i="2" a="1"/>
  <c r="BQ109" i="2" a="1"/>
  <c r="AY188" i="2" a="1"/>
  <c r="BP116" i="2" a="1"/>
  <c r="BH213" i="2" a="1"/>
  <c r="AU207" i="2" a="1"/>
  <c r="BD150" i="2" a="1"/>
  <c r="BG105" i="2" a="1"/>
  <c r="BR96" i="2" a="1"/>
  <c r="BP170" i="2" a="1"/>
  <c r="BO185" i="2" a="1"/>
  <c r="BA142" i="2" a="1"/>
  <c r="AU185" i="2" a="1"/>
  <c r="AW147" i="2" a="1"/>
  <c r="BB202" i="2" a="1"/>
  <c r="BM218" i="2" a="1"/>
  <c r="BJ178" i="2" a="1"/>
  <c r="BM217" i="2" a="1"/>
  <c r="BJ171" i="2" a="1"/>
  <c r="AV228" i="2" a="1"/>
  <c r="BA212" i="2" a="1"/>
  <c r="AS192" i="2" a="1"/>
  <c r="BA80" i="2" a="1"/>
  <c r="BH153" i="2" a="1"/>
  <c r="BA214" i="2" a="1"/>
  <c r="AU132" i="2" a="1"/>
  <c r="BG136" i="2" a="1"/>
  <c r="BO204" i="2" a="1"/>
  <c r="BP172" i="2" a="1"/>
  <c r="AV226" i="2" a="1"/>
  <c r="BK163" i="2" a="1"/>
  <c r="BR163" i="2" a="1"/>
  <c r="AV197" i="2" a="1"/>
  <c r="BO262" i="2" a="1"/>
  <c r="AR103" i="2" a="1"/>
  <c r="AU214" i="2" a="1"/>
  <c r="BF266" i="2" a="1"/>
  <c r="BH190" i="2" a="1"/>
  <c r="AU174" i="2" a="1"/>
  <c r="BO124" i="2" a="1"/>
  <c r="BH200" i="2" a="1"/>
  <c r="BB141" i="2" a="1"/>
  <c r="BO170" i="2" a="1"/>
  <c r="AY215" i="2" a="1"/>
  <c r="BR249" i="2" a="1"/>
  <c r="AR190" i="2" a="1"/>
  <c r="BO103" i="2" a="1"/>
  <c r="AV145" i="2" a="1"/>
  <c r="BR256" i="2" a="1"/>
  <c r="AX56" i="2" a="1"/>
  <c r="BJ69" i="2" a="1"/>
  <c r="BM108" i="2" a="1"/>
  <c r="BK184" i="2" a="1"/>
  <c r="AW143" i="2" a="1"/>
  <c r="BC100" i="2" a="1"/>
  <c r="AQ164" i="2" a="1"/>
  <c r="BR195" i="2" a="1"/>
  <c r="BC261" i="2" a="1"/>
  <c r="AU224" i="2" a="1"/>
  <c r="BD74" i="2" a="1"/>
  <c r="BR88" i="2" a="1"/>
  <c r="AS146" i="2" a="1"/>
  <c r="BE105" i="2" a="1"/>
  <c r="BC187" i="2" a="1"/>
  <c r="AW236" i="2" a="1"/>
  <c r="BB198" i="2" a="1"/>
  <c r="AQ117" i="2" a="1"/>
  <c r="BF188" i="2" a="1"/>
  <c r="BL252" i="2" a="1"/>
  <c r="BL131" i="2" a="1"/>
  <c r="BL204" i="2" a="1"/>
  <c r="BO96" i="2" a="1"/>
  <c r="BM135" i="2" a="1"/>
  <c r="BQ249" i="2" a="1"/>
  <c r="BR167" i="2" a="1"/>
  <c r="AR169" i="2" a="1"/>
  <c r="AS173" i="2" a="1"/>
  <c r="BR75" i="2" a="1"/>
  <c r="BB220" i="2" a="1"/>
  <c r="BH256" i="2" a="1"/>
  <c r="AV212" i="2" a="1"/>
  <c r="BO119" i="2" a="1"/>
  <c r="AV67" i="2" a="1"/>
  <c r="BF175" i="2" a="1"/>
  <c r="AR166" i="2" a="1"/>
  <c r="BH184" i="2" a="1"/>
  <c r="BQ149" i="2" a="1"/>
  <c r="BC77" i="2" a="1"/>
  <c r="AQ100" i="2" a="1"/>
  <c r="BK126" i="2" a="1"/>
  <c r="BQ181" i="2" a="1"/>
  <c r="BQ99" i="2" a="1"/>
  <c r="BN148" i="2" a="1"/>
  <c r="BN74" i="2" a="1"/>
  <c r="AU187" i="2" a="1"/>
  <c r="BL198" i="2" a="1"/>
  <c r="AR145" i="2" a="1"/>
  <c r="BM64" i="2" a="1"/>
  <c r="AX107" i="2" a="1"/>
  <c r="AR119" i="2" a="1"/>
  <c r="BG75" i="2" a="1"/>
  <c r="BI171" i="2" a="1"/>
  <c r="BN161" i="2" a="1"/>
  <c r="AS119" i="2" a="1"/>
  <c r="BF71" i="2" a="1"/>
  <c r="BN130" i="2" a="1"/>
  <c r="BP69" i="2" a="1"/>
  <c r="BQ129" i="2" a="1"/>
  <c r="AW130" i="2" a="1"/>
  <c r="AY65" i="2" a="1"/>
  <c r="BR50" i="2" a="1"/>
  <c r="BF181" i="2" a="1"/>
  <c r="BI186" i="2" a="1"/>
  <c r="BD106" i="2" a="1"/>
  <c r="BO61" i="2" a="1"/>
  <c r="BL95" i="2" a="1"/>
  <c r="BB192" i="2" a="1"/>
  <c r="AU194" i="2" a="1"/>
  <c r="BG195" i="2" a="1"/>
  <c r="BH206" i="2" a="1"/>
  <c r="AW120" i="2" a="1"/>
  <c r="AW185" i="2" a="1"/>
  <c r="BF140" i="2" a="1"/>
  <c r="BO137" i="2" a="1"/>
  <c r="AV206" i="2" a="1"/>
  <c r="AW260" i="2" a="1"/>
  <c r="BB134" i="2" a="1"/>
  <c r="BR158" i="2" a="1"/>
  <c r="BG204" i="2" a="1"/>
  <c r="BI179" i="2" a="1"/>
  <c r="AY77" i="2" a="1"/>
  <c r="BJ61" i="2" a="1"/>
  <c r="BM53" i="2" a="1"/>
  <c r="AU153" i="2" a="1"/>
  <c r="BR228" i="2" a="1"/>
  <c r="BP167" i="2" a="1"/>
  <c r="BO93" i="2" a="1"/>
  <c r="BN216" i="2" a="1"/>
  <c r="BM89" i="2" a="1"/>
  <c r="AS217" i="2" a="1"/>
  <c r="BL112" i="2" a="1"/>
  <c r="BL166" i="2" a="1"/>
  <c r="BF122" i="2" a="1"/>
  <c r="BF160" i="2" a="1"/>
  <c r="AW228" i="2" a="1"/>
  <c r="BR226" i="2" a="1"/>
  <c r="BF226" i="2" a="1"/>
  <c r="BN172" i="2" a="1"/>
  <c r="BL98" i="2" a="1"/>
  <c r="BN70" i="2" a="1"/>
  <c r="BR106" i="2" a="1"/>
  <c r="BK192" i="2" a="1"/>
  <c r="BB160" i="2" a="1"/>
  <c r="BC186" i="2" a="1"/>
  <c r="AR65" i="2" a="1"/>
  <c r="BG209" i="2" a="1"/>
  <c r="BB102" i="2" a="1"/>
  <c r="BK164" i="2" a="1"/>
  <c r="BP199" i="2" a="1"/>
  <c r="BF117" i="2" a="1"/>
  <c r="BE222" i="2" a="1"/>
  <c r="BR215" i="2" a="1"/>
  <c r="BC90" i="2" a="1"/>
  <c r="BE159" i="2" a="1"/>
  <c r="AW122" i="2" a="1"/>
  <c r="BF222" i="2" a="1"/>
  <c r="BM127" i="2" a="1"/>
  <c r="AY138" i="2" a="1"/>
  <c r="BG108" i="2" a="1"/>
  <c r="BD262" i="2" a="1"/>
  <c r="BD262" i="2" l="1"/>
  <c r="BG108" i="2"/>
  <c r="AY138" i="2"/>
  <c r="BM127" i="2"/>
  <c r="BF222" i="2"/>
  <c r="AW122" i="2"/>
  <c r="BE159" i="2"/>
  <c r="BC90" i="2"/>
  <c r="BR215" i="2"/>
  <c r="BE222" i="2"/>
  <c r="BF117" i="2"/>
  <c r="BP199" i="2"/>
  <c r="BK164" i="2"/>
  <c r="BB102" i="2"/>
  <c r="BG209" i="2"/>
  <c r="AR65" i="2"/>
  <c r="BC186" i="2"/>
  <c r="BB160" i="2"/>
  <c r="BK192" i="2"/>
  <c r="BR106" i="2"/>
  <c r="BN70" i="2"/>
  <c r="BL98" i="2"/>
  <c r="BN172" i="2"/>
  <c r="BF226" i="2"/>
  <c r="BR226" i="2"/>
  <c r="AW228" i="2"/>
  <c r="BF160" i="2"/>
  <c r="BF122" i="2"/>
  <c r="BL166" i="2"/>
  <c r="BL112" i="2"/>
  <c r="AS217" i="2"/>
  <c r="BM89" i="2"/>
  <c r="BN216" i="2"/>
  <c r="BO93" i="2"/>
  <c r="BP167" i="2"/>
  <c r="BR228" i="2"/>
  <c r="AU153" i="2"/>
  <c r="BM53" i="2"/>
  <c r="BJ61" i="2"/>
  <c r="AY77" i="2"/>
  <c r="BI179" i="2"/>
  <c r="BG204" i="2"/>
  <c r="BR158" i="2"/>
  <c r="BB134" i="2"/>
  <c r="AW260" i="2"/>
  <c r="AV206" i="2"/>
  <c r="BO137" i="2"/>
  <c r="BF140" i="2"/>
  <c r="AW185" i="2"/>
  <c r="AW120" i="2"/>
  <c r="BH206" i="2"/>
  <c r="BG195" i="2"/>
  <c r="AU194" i="2"/>
  <c r="BB192" i="2"/>
  <c r="BL95" i="2"/>
  <c r="BO61" i="2"/>
  <c r="BD106" i="2"/>
  <c r="BI186" i="2"/>
  <c r="BF181" i="2"/>
  <c r="BR50" i="2"/>
  <c r="AY65" i="2"/>
  <c r="AW130" i="2"/>
  <c r="BQ129" i="2"/>
  <c r="BP69" i="2"/>
  <c r="BN130" i="2"/>
  <c r="BF71" i="2"/>
  <c r="AS119" i="2"/>
  <c r="BN161" i="2"/>
  <c r="BI171" i="2"/>
  <c r="BG75" i="2"/>
  <c r="AR119" i="2"/>
  <c r="AX107" i="2"/>
  <c r="BM64" i="2"/>
  <c r="AR145" i="2"/>
  <c r="BL198" i="2"/>
  <c r="AU187" i="2"/>
  <c r="BN74" i="2"/>
  <c r="BN148" i="2"/>
  <c r="BQ99" i="2"/>
  <c r="BQ181" i="2"/>
  <c r="BK126" i="2"/>
  <c r="AQ100" i="2"/>
  <c r="BC77" i="2"/>
  <c r="BQ149" i="2"/>
  <c r="BH184" i="2"/>
  <c r="AR166" i="2"/>
  <c r="BF175" i="2"/>
  <c r="AV67" i="2"/>
  <c r="BO119" i="2"/>
  <c r="AV212" i="2"/>
  <c r="BH256" i="2"/>
  <c r="BB220" i="2"/>
  <c r="BR75" i="2"/>
  <c r="AS173" i="2"/>
  <c r="AR169" i="2"/>
  <c r="BR167" i="2"/>
  <c r="BQ249" i="2"/>
  <c r="BM135" i="2"/>
  <c r="BO96" i="2"/>
  <c r="BL204" i="2"/>
  <c r="BL131" i="2"/>
  <c r="BL252" i="2"/>
  <c r="BF188" i="2"/>
  <c r="AQ117" i="2"/>
  <c r="BB198" i="2"/>
  <c r="AW236" i="2"/>
  <c r="BC187" i="2"/>
  <c r="BE105" i="2"/>
  <c r="AS146" i="2"/>
  <c r="BR88" i="2"/>
  <c r="BD74" i="2"/>
  <c r="AU224" i="2"/>
  <c r="BC261" i="2"/>
  <c r="BR195" i="2"/>
  <c r="AQ164" i="2"/>
  <c r="BC100" i="2"/>
  <c r="AW143" i="2"/>
  <c r="BK184" i="2"/>
  <c r="BM108" i="2"/>
  <c r="BJ69" i="2"/>
  <c r="AX56" i="2"/>
  <c r="BR256" i="2"/>
  <c r="AV145" i="2"/>
  <c r="BO103" i="2"/>
  <c r="AR190" i="2"/>
  <c r="BR249" i="2"/>
  <c r="AY215" i="2"/>
  <c r="BO170" i="2"/>
  <c r="BB141" i="2"/>
  <c r="BH200" i="2"/>
  <c r="BO124" i="2"/>
  <c r="AU174" i="2"/>
  <c r="BH190" i="2"/>
  <c r="BF266" i="2"/>
  <c r="AU214" i="2"/>
  <c r="AR103" i="2"/>
  <c r="BO262" i="2"/>
  <c r="AV197" i="2"/>
  <c r="BR163" i="2"/>
  <c r="BK163" i="2"/>
  <c r="AV226" i="2"/>
  <c r="BP172" i="2"/>
  <c r="BO204" i="2"/>
  <c r="BG136" i="2"/>
  <c r="AU132" i="2"/>
  <c r="BA214" i="2"/>
  <c r="BH153" i="2"/>
  <c r="BA80" i="2"/>
  <c r="AS192" i="2"/>
  <c r="BA212" i="2"/>
  <c r="AV228" i="2"/>
  <c r="BJ171" i="2"/>
  <c r="BM217" i="2"/>
  <c r="BJ178" i="2"/>
  <c r="BM218" i="2"/>
  <c r="BB202" i="2"/>
  <c r="AW147" i="2"/>
  <c r="AU185" i="2"/>
  <c r="BA142" i="2"/>
  <c r="BO185" i="2"/>
  <c r="BP170" i="2"/>
  <c r="BR96" i="2"/>
  <c r="BG105" i="2"/>
  <c r="BD150" i="2"/>
  <c r="AU207" i="2"/>
  <c r="BH213" i="2"/>
  <c r="BP116" i="2"/>
  <c r="AY188" i="2"/>
  <c r="BQ109" i="2"/>
  <c r="AY212" i="2"/>
  <c r="BG78" i="2"/>
  <c r="BG197" i="2"/>
  <c r="BE174" i="2"/>
  <c r="AQ190" i="2"/>
  <c r="BC149" i="2"/>
  <c r="BR194" i="2"/>
  <c r="AY147" i="2"/>
  <c r="BA130" i="2"/>
  <c r="BM130" i="2"/>
  <c r="BB68" i="2"/>
  <c r="BH170" i="2"/>
  <c r="BH217" i="2"/>
  <c r="AQ137" i="2"/>
  <c r="AR165" i="2"/>
  <c r="BF147" i="2"/>
  <c r="AU142" i="2"/>
  <c r="BD177" i="2"/>
  <c r="AV181" i="2"/>
  <c r="BO141" i="2"/>
  <c r="BD211" i="2"/>
  <c r="AV185" i="2"/>
  <c r="BJ127" i="2"/>
  <c r="BP245" i="2"/>
  <c r="AV55" i="2"/>
  <c r="BG200" i="2"/>
  <c r="BF225" i="2"/>
  <c r="AW111" i="2"/>
  <c r="BG193" i="2"/>
  <c r="AV98" i="2"/>
  <c r="AW102" i="2"/>
  <c r="BK141" i="2"/>
  <c r="AX128" i="2"/>
  <c r="BG101" i="2"/>
  <c r="AX138" i="2"/>
  <c r="AU79" i="2"/>
  <c r="BB84" i="2"/>
  <c r="AX105" i="2"/>
  <c r="BI181" i="2"/>
  <c r="BF129" i="2"/>
  <c r="BA203" i="2"/>
  <c r="BM158" i="2"/>
  <c r="BG111" i="2"/>
  <c r="BO183" i="2"/>
  <c r="AT94" i="2"/>
  <c r="BA129" i="2"/>
  <c r="AS93" i="2"/>
  <c r="BC159" i="2"/>
  <c r="BA192" i="2"/>
  <c r="BI93" i="2"/>
  <c r="BO191" i="2"/>
  <c r="AT117" i="2"/>
  <c r="BH248" i="2"/>
  <c r="AS179" i="2"/>
  <c r="AX73" i="2"/>
  <c r="BE221" i="2"/>
  <c r="BO233" i="2"/>
  <c r="BD121" i="2"/>
  <c r="AV99" i="2"/>
  <c r="AU94" i="2"/>
  <c r="AW263" i="2"/>
  <c r="BB195" i="2"/>
  <c r="BC218" i="2"/>
  <c r="BJ158" i="2"/>
  <c r="BN202" i="2"/>
  <c r="BG198" i="2"/>
  <c r="BJ161" i="2"/>
  <c r="BO122" i="2"/>
  <c r="BE100" i="2"/>
  <c r="BL135" i="2"/>
  <c r="AY56" i="2"/>
  <c r="BN153" i="2"/>
  <c r="BR108" i="2"/>
  <c r="BO67" i="2"/>
  <c r="AR132" i="2"/>
  <c r="BC124" i="2"/>
  <c r="AT128" i="2"/>
  <c r="AU91" i="2"/>
  <c r="AS120" i="2"/>
  <c r="BC255" i="2"/>
  <c r="BE160" i="2"/>
  <c r="BA124" i="2"/>
  <c r="BG231" i="2"/>
  <c r="AS205" i="2"/>
  <c r="BO246" i="2"/>
  <c r="BH188" i="2"/>
  <c r="AY184" i="2"/>
  <c r="AY117" i="2"/>
  <c r="AV108" i="2"/>
  <c r="BA93" i="2"/>
  <c r="BG172" i="2"/>
  <c r="BB164" i="2"/>
  <c r="BL183" i="2"/>
  <c r="BD200" i="2"/>
  <c r="BF189" i="2"/>
  <c r="BA122" i="2"/>
  <c r="BH131" i="2"/>
  <c r="BA205" i="2"/>
  <c r="BC103" i="2"/>
  <c r="BK142" i="2"/>
  <c r="AR136" i="2"/>
  <c r="BF239" i="2"/>
  <c r="AW101" i="2"/>
  <c r="BN88" i="2"/>
  <c r="AT113" i="2"/>
  <c r="BO98" i="2"/>
  <c r="BJ187" i="2"/>
  <c r="BE150" i="2"/>
  <c r="AU192" i="2"/>
  <c r="BB79" i="2"/>
  <c r="BL247" i="2"/>
  <c r="BG150" i="2"/>
  <c r="AV176" i="2"/>
  <c r="AY148" i="2"/>
  <c r="BA188" i="2"/>
  <c r="BM187" i="2"/>
  <c r="AY163" i="2"/>
  <c r="BP240" i="2"/>
  <c r="BK189" i="2"/>
  <c r="AQ189" i="2"/>
  <c r="BD199" i="2"/>
  <c r="BP112" i="2"/>
  <c r="BN163" i="2"/>
  <c r="BF173" i="2"/>
  <c r="BO153" i="2"/>
  <c r="AS193" i="2"/>
  <c r="BC193" i="2"/>
  <c r="BO136" i="2"/>
  <c r="AW255" i="2"/>
  <c r="BC222" i="2"/>
  <c r="BG122" i="2"/>
  <c r="BI106" i="2"/>
  <c r="BL89" i="2"/>
  <c r="BE176" i="2"/>
  <c r="BN203" i="2"/>
  <c r="BC229" i="2"/>
  <c r="AU213" i="2"/>
  <c r="AX134" i="2"/>
  <c r="AR133" i="2"/>
  <c r="BP260" i="2"/>
  <c r="AY59" i="2"/>
  <c r="AQ145" i="2"/>
  <c r="BO152" i="2"/>
  <c r="AS114" i="2"/>
  <c r="AR72" i="2"/>
  <c r="BB99" i="2"/>
  <c r="BM131" i="2"/>
  <c r="BR265" i="2"/>
  <c r="BC137" i="2"/>
  <c r="BF265" i="2"/>
  <c r="AW257" i="2"/>
  <c r="BL186" i="2"/>
  <c r="BP149" i="2"/>
  <c r="BD107" i="2"/>
  <c r="BP71" i="2"/>
  <c r="BB253" i="2"/>
  <c r="BK166" i="2"/>
  <c r="AX70" i="2"/>
  <c r="BC162" i="2"/>
  <c r="BN147" i="2"/>
  <c r="BQ217" i="2"/>
  <c r="BO193" i="2"/>
  <c r="BF199" i="2"/>
  <c r="BC219" i="2"/>
  <c r="BG199" i="2"/>
  <c r="AS212" i="2"/>
  <c r="BQ167" i="2"/>
  <c r="AS168" i="2"/>
  <c r="BM66" i="2"/>
  <c r="BO202" i="2"/>
  <c r="BM183" i="2"/>
  <c r="AV129" i="2"/>
  <c r="AQ92" i="2"/>
  <c r="AU200" i="2"/>
  <c r="BO260" i="2"/>
  <c r="BM140" i="2"/>
  <c r="BE70" i="2"/>
  <c r="BP137" i="2"/>
  <c r="BJ77" i="2"/>
  <c r="BH132" i="2"/>
  <c r="AW133" i="2"/>
  <c r="BD148" i="2"/>
  <c r="AU88" i="2"/>
  <c r="BR72" i="2"/>
  <c r="BI90" i="2"/>
  <c r="BD232" i="2"/>
  <c r="AU261" i="2"/>
  <c r="BP132" i="2"/>
  <c r="AU249" i="2"/>
  <c r="BQ233" i="2"/>
  <c r="BF240" i="2"/>
  <c r="BF128" i="2"/>
  <c r="BG86" i="2"/>
  <c r="AR88" i="2"/>
  <c r="BJ97" i="2"/>
  <c r="BD165" i="2"/>
  <c r="AQ59" i="2"/>
  <c r="BP227" i="2"/>
  <c r="BP109" i="2"/>
  <c r="AV208" i="2"/>
  <c r="BL146" i="2"/>
  <c r="BH177" i="2"/>
  <c r="BR69" i="2"/>
  <c r="BN182" i="2"/>
  <c r="BF155" i="2"/>
  <c r="BJ107" i="2"/>
  <c r="BL230" i="2"/>
  <c r="AV248" i="2"/>
  <c r="BF159" i="2"/>
  <c r="AV144" i="2"/>
  <c r="BF202" i="2"/>
  <c r="BG196" i="2"/>
  <c r="BP247" i="2"/>
  <c r="AV151" i="2"/>
  <c r="BP128" i="2"/>
  <c r="BL212" i="2"/>
  <c r="AW131" i="2"/>
  <c r="BG230" i="2"/>
  <c r="AU197" i="2"/>
  <c r="AX133" i="2"/>
  <c r="AU144" i="2"/>
  <c r="BQ128" i="2"/>
  <c r="BA109" i="2"/>
  <c r="BG211" i="2"/>
  <c r="AQ180" i="2"/>
  <c r="BG102" i="2"/>
  <c r="BF244" i="2"/>
  <c r="BJ103" i="2"/>
  <c r="BC233" i="2"/>
  <c r="BL59" i="2"/>
  <c r="AU238" i="2"/>
  <c r="AU225" i="2"/>
  <c r="BH240" i="2"/>
  <c r="AV122" i="2"/>
  <c r="AR150" i="2"/>
  <c r="BH134" i="2"/>
  <c r="BP96" i="2"/>
  <c r="AY146" i="2"/>
  <c r="AS182" i="2"/>
  <c r="BG133" i="2"/>
  <c r="BC62" i="2"/>
  <c r="BO172" i="2"/>
  <c r="BK78" i="2"/>
  <c r="AX54" i="2"/>
  <c r="BM129" i="2"/>
  <c r="BF235" i="2"/>
  <c r="BO108" i="2"/>
  <c r="AS89" i="2"/>
  <c r="BB169" i="2"/>
  <c r="BM132" i="2"/>
  <c r="AQ153" i="2"/>
  <c r="BP145" i="2"/>
  <c r="AQ211" i="2"/>
  <c r="AY174" i="2"/>
  <c r="BO249" i="2"/>
  <c r="BK61" i="2"/>
  <c r="BO175" i="2"/>
  <c r="BG62" i="2"/>
  <c r="BB203" i="2"/>
  <c r="BL226" i="2"/>
  <c r="BO190" i="2"/>
  <c r="BB110" i="2"/>
  <c r="BA143" i="2"/>
  <c r="BL117" i="2"/>
  <c r="BH145" i="2"/>
  <c r="BJ143" i="2"/>
  <c r="AQ196" i="2"/>
  <c r="BF108" i="2"/>
  <c r="BC204" i="2"/>
  <c r="AY160" i="2"/>
  <c r="BA118" i="2"/>
  <c r="BK88" i="2"/>
  <c r="BB258" i="2"/>
  <c r="BO178" i="2"/>
  <c r="AU136" i="2"/>
  <c r="BI135" i="2"/>
  <c r="BM95" i="2"/>
  <c r="BA55" i="2"/>
  <c r="BI170" i="2"/>
  <c r="BP92" i="2"/>
  <c r="BH237" i="2"/>
  <c r="BO229" i="2"/>
  <c r="AU269" i="2"/>
  <c r="BE66" i="2"/>
  <c r="BL201" i="2"/>
  <c r="BH62" i="2"/>
  <c r="BF156" i="2"/>
  <c r="AU222" i="2"/>
  <c r="AU241" i="2"/>
  <c r="BK153" i="2"/>
  <c r="BE181" i="2"/>
  <c r="BN126" i="2"/>
  <c r="BO222" i="2"/>
  <c r="AU138" i="2"/>
  <c r="BG157" i="2"/>
  <c r="AW245" i="2"/>
  <c r="BD101" i="2"/>
  <c r="BC180" i="2"/>
  <c r="BO142" i="2"/>
  <c r="AV154" i="2"/>
  <c r="AY100" i="2"/>
  <c r="AY116" i="2"/>
  <c r="BC175" i="2"/>
  <c r="BD155" i="2"/>
  <c r="BM150" i="2"/>
  <c r="BR91" i="2"/>
  <c r="BF267" i="2"/>
  <c r="BF186" i="2"/>
  <c r="BA67" i="2"/>
  <c r="BO84" i="2"/>
  <c r="BC81" i="2"/>
  <c r="BJ85" i="2"/>
  <c r="AT106" i="2"/>
  <c r="AW200" i="2"/>
  <c r="BN176" i="2"/>
  <c r="AW160" i="2"/>
  <c r="BJ117" i="2"/>
  <c r="BF171" i="2"/>
  <c r="BB216" i="2"/>
  <c r="AV227" i="2"/>
  <c r="BD223" i="2"/>
  <c r="AU100" i="2"/>
  <c r="BN160" i="2"/>
  <c r="AY192" i="2"/>
  <c r="BD167" i="2"/>
  <c r="AY115" i="2"/>
  <c r="BA180" i="2"/>
  <c r="BN76" i="2"/>
  <c r="BP225" i="2"/>
  <c r="BC196" i="2"/>
  <c r="BD201" i="2"/>
  <c r="BH161" i="2"/>
  <c r="BR132" i="2"/>
  <c r="AQ95" i="2"/>
  <c r="AY89" i="2"/>
  <c r="BF61" i="2"/>
  <c r="AW109" i="2"/>
  <c r="BR129" i="2"/>
  <c r="BP83" i="2"/>
  <c r="BM153" i="2"/>
  <c r="BK177" i="2"/>
  <c r="AR153" i="2"/>
  <c r="BR191" i="2"/>
  <c r="BO127" i="2"/>
  <c r="BN158" i="2"/>
  <c r="BF55" i="2"/>
  <c r="BR111" i="2"/>
  <c r="BQ142" i="2"/>
  <c r="BP194" i="2"/>
  <c r="AU98" i="2"/>
  <c r="AY104" i="2"/>
  <c r="BO140" i="2"/>
  <c r="AV94" i="2"/>
  <c r="AS230" i="2"/>
  <c r="BR239" i="2"/>
  <c r="BA161" i="2"/>
  <c r="BJ155" i="2"/>
  <c r="BE154" i="2"/>
  <c r="BC140" i="2"/>
  <c r="BA91" i="2"/>
  <c r="BL209" i="2"/>
  <c r="AS195" i="2"/>
  <c r="BE205" i="2"/>
  <c r="BP161" i="2"/>
  <c r="AY91" i="2"/>
  <c r="BD183" i="2"/>
  <c r="BP244" i="2"/>
  <c r="BF123" i="2"/>
  <c r="AW221" i="2"/>
  <c r="BB187" i="2"/>
  <c r="BC262" i="2"/>
  <c r="BB177" i="2"/>
  <c r="AW79" i="2"/>
  <c r="AU206" i="2"/>
  <c r="AQ203" i="2"/>
  <c r="BE190" i="2"/>
  <c r="BF211" i="2"/>
  <c r="BO232" i="2"/>
  <c r="AU219" i="2"/>
  <c r="BF93" i="2"/>
  <c r="BR93" i="2"/>
  <c r="BG213" i="2"/>
  <c r="BG179" i="2"/>
  <c r="BK70" i="2"/>
  <c r="BL185" i="2"/>
  <c r="AW129" i="2"/>
  <c r="BE226" i="2"/>
  <c r="BC201" i="2"/>
  <c r="BQ248" i="2"/>
  <c r="BM63" i="2"/>
  <c r="AY137" i="2"/>
  <c r="BC54" i="2"/>
  <c r="BO248" i="2"/>
  <c r="BP141" i="2"/>
  <c r="BE103" i="2"/>
  <c r="AR135" i="2"/>
  <c r="BO80" i="2"/>
  <c r="BN58" i="2"/>
  <c r="BI180" i="2"/>
  <c r="BD146" i="2"/>
  <c r="AQ169" i="2"/>
  <c r="BJ79" i="2"/>
  <c r="BL84" i="2"/>
  <c r="AW118" i="2"/>
  <c r="BH79" i="2"/>
  <c r="AS200" i="2"/>
  <c r="BD204" i="2"/>
  <c r="BH108" i="2"/>
  <c r="BC211" i="2"/>
  <c r="AS159" i="2"/>
  <c r="BG128" i="2"/>
  <c r="AR142" i="2"/>
  <c r="AY131" i="2"/>
  <c r="AS176" i="2"/>
  <c r="AU242" i="2"/>
  <c r="BI79" i="2"/>
  <c r="AS171" i="2"/>
  <c r="BH226" i="2"/>
  <c r="AY97" i="2"/>
  <c r="BG229" i="2"/>
  <c r="BH156" i="2"/>
  <c r="BF221" i="2"/>
  <c r="BN180" i="2"/>
  <c r="BC224" i="2"/>
  <c r="BM177" i="2"/>
  <c r="BF172" i="2"/>
  <c r="BG73" i="2"/>
  <c r="BD68" i="2"/>
  <c r="BR269" i="2"/>
  <c r="BE225" i="2"/>
  <c r="BQ151" i="2"/>
  <c r="BI166" i="2"/>
  <c r="BO76" i="2"/>
  <c r="AS128" i="2"/>
  <c r="BH77" i="2"/>
  <c r="BK176" i="2"/>
  <c r="BA83" i="2"/>
  <c r="AW186" i="2"/>
  <c r="BG112" i="2"/>
  <c r="BJ130" i="2"/>
  <c r="BR128" i="2"/>
  <c r="BM156" i="2"/>
  <c r="BL104" i="2"/>
  <c r="BB171" i="2"/>
  <c r="BO53" i="2"/>
  <c r="AS78" i="2"/>
  <c r="BL91" i="2"/>
  <c r="BH96" i="2"/>
  <c r="AU118" i="2"/>
  <c r="BN165" i="2"/>
  <c r="BP209" i="2"/>
  <c r="BL264" i="2"/>
  <c r="BB104" i="2"/>
  <c r="AR127" i="2"/>
  <c r="BB236" i="2"/>
  <c r="BL257" i="2"/>
  <c r="BG170" i="2"/>
  <c r="BQ255" i="2"/>
  <c r="AX79" i="2"/>
  <c r="BF245" i="2"/>
  <c r="BD54" i="2"/>
  <c r="BG94" i="2"/>
  <c r="AV194" i="2"/>
  <c r="BN211" i="2"/>
  <c r="BM123" i="2"/>
  <c r="BN60" i="2"/>
  <c r="BB219" i="2"/>
  <c r="BC86" i="2"/>
  <c r="BP72" i="2"/>
  <c r="BR192" i="2"/>
  <c r="AV155" i="2"/>
  <c r="BC172" i="2"/>
  <c r="BA65" i="2"/>
  <c r="AQ195" i="2"/>
  <c r="AW251" i="2"/>
  <c r="BC123" i="2"/>
  <c r="BF136" i="2"/>
  <c r="BD63" i="2"/>
  <c r="BC179" i="2"/>
  <c r="BQ185" i="2"/>
  <c r="BC88" i="2"/>
  <c r="AU97" i="2"/>
  <c r="BE223" i="2"/>
  <c r="BP177" i="2"/>
  <c r="AU162" i="2"/>
  <c r="BF148" i="2"/>
  <c r="BE218" i="2"/>
  <c r="AW198" i="2"/>
  <c r="BB193" i="2"/>
  <c r="AY87" i="2"/>
  <c r="AY103" i="2"/>
  <c r="AQ97" i="2"/>
  <c r="BD208" i="2"/>
  <c r="AT84" i="2"/>
  <c r="BL206" i="2"/>
  <c r="BR116" i="2"/>
  <c r="BG107" i="2"/>
  <c r="BB139" i="2"/>
  <c r="BE211" i="2"/>
  <c r="BQ131" i="2"/>
  <c r="AU65" i="2"/>
  <c r="BK149" i="2"/>
  <c r="BL80" i="2"/>
  <c r="BH189" i="2"/>
  <c r="BR260" i="2"/>
  <c r="BD135" i="2"/>
  <c r="AS224" i="2"/>
  <c r="BB151" i="2"/>
  <c r="BO135" i="2"/>
  <c r="BM175" i="2"/>
  <c r="BQ257" i="2"/>
  <c r="BP251" i="2"/>
  <c r="BQ143" i="2"/>
  <c r="BD161" i="2"/>
  <c r="AY154" i="2"/>
  <c r="BM128" i="2"/>
  <c r="BB90" i="2"/>
  <c r="BH222" i="2"/>
  <c r="BF166" i="2"/>
  <c r="BJ142" i="2"/>
  <c r="BA171" i="2"/>
  <c r="BC63" i="2"/>
  <c r="BB128" i="2"/>
  <c r="AV177" i="2"/>
  <c r="AV188" i="2"/>
  <c r="BM68" i="2"/>
  <c r="BD203" i="2"/>
  <c r="AT133" i="2"/>
  <c r="BQ222" i="2"/>
  <c r="AU166" i="2"/>
  <c r="AU189" i="2"/>
  <c r="BO106" i="2"/>
  <c r="AU113" i="2"/>
  <c r="BG95" i="2"/>
  <c r="AV163" i="2"/>
  <c r="BR182" i="2"/>
  <c r="BI75" i="2"/>
  <c r="BQ141" i="2"/>
  <c r="AU240" i="2"/>
  <c r="BM62" i="2"/>
  <c r="BE65" i="2"/>
  <c r="BQ202" i="2"/>
  <c r="BI108" i="2"/>
  <c r="BB261" i="2"/>
  <c r="BQ224" i="2"/>
  <c r="AT108" i="2"/>
  <c r="AV232" i="2"/>
  <c r="BK67" i="2"/>
  <c r="BA165" i="2"/>
  <c r="AQ182" i="2"/>
  <c r="BI120" i="2"/>
  <c r="AS125" i="2"/>
  <c r="BH142" i="2"/>
  <c r="AT109" i="2"/>
  <c r="BA64" i="2"/>
  <c r="BR216" i="2"/>
  <c r="BH83" i="2"/>
  <c r="BJ75" i="2"/>
  <c r="BG97" i="2"/>
  <c r="AQ158" i="2"/>
  <c r="AS215" i="2"/>
  <c r="BK90" i="2"/>
  <c r="BQ193" i="2"/>
  <c r="BO145" i="2"/>
  <c r="BM102" i="2"/>
  <c r="AV209" i="2"/>
  <c r="BQ135" i="2"/>
  <c r="BJ100" i="2"/>
  <c r="BP111" i="2"/>
  <c r="BD115" i="2"/>
  <c r="BH241" i="2"/>
  <c r="BP183" i="2"/>
  <c r="BG226" i="2"/>
  <c r="BN171" i="2"/>
  <c r="AS130" i="2"/>
  <c r="AS194" i="2"/>
  <c r="BP57" i="2"/>
  <c r="BC117" i="2"/>
  <c r="BD139" i="2"/>
  <c r="BK69" i="2"/>
  <c r="BH234" i="2"/>
  <c r="AW188" i="2"/>
  <c r="AV80" i="2"/>
  <c r="BD62" i="2"/>
  <c r="AY94" i="2"/>
  <c r="BB205" i="2"/>
  <c r="BB211" i="2"/>
  <c r="BP87" i="2"/>
  <c r="BH125" i="2"/>
  <c r="BG135" i="2"/>
  <c r="BE59" i="2"/>
  <c r="BD112" i="2"/>
  <c r="AR187" i="2"/>
  <c r="BO68" i="2"/>
  <c r="AT116" i="2"/>
  <c r="AU63" i="2"/>
  <c r="BP179" i="2"/>
  <c r="AS60" i="2"/>
  <c r="BN115" i="2"/>
  <c r="BN110" i="2"/>
  <c r="AU70" i="2"/>
  <c r="BA199" i="2"/>
  <c r="BK108" i="2"/>
  <c r="BI65" i="2"/>
  <c r="BP248" i="2"/>
  <c r="BD116" i="2"/>
  <c r="BN139" i="2"/>
  <c r="AU57" i="2"/>
  <c r="BI165" i="2"/>
  <c r="BE192" i="2"/>
  <c r="AW231" i="2"/>
  <c r="AY96" i="2"/>
  <c r="BH60" i="2"/>
  <c r="BM147" i="2"/>
  <c r="BQ114" i="2"/>
  <c r="AS234" i="2"/>
  <c r="BK144" i="2"/>
  <c r="BC216" i="2"/>
  <c r="BB207" i="2"/>
  <c r="AU110" i="2"/>
  <c r="BL258" i="2"/>
  <c r="BC154" i="2"/>
  <c r="AS227" i="2"/>
  <c r="AU82" i="2"/>
  <c r="BI173" i="2"/>
  <c r="BI92" i="2"/>
  <c r="AY168" i="2"/>
  <c r="BJ104" i="2"/>
  <c r="BH90" i="2"/>
  <c r="BM106" i="2"/>
  <c r="AS66" i="2"/>
  <c r="BM216" i="2"/>
  <c r="BF85" i="2"/>
  <c r="AW261" i="2"/>
  <c r="BH158" i="2"/>
  <c r="AV124" i="2"/>
  <c r="BC163" i="2"/>
  <c r="AT95" i="2"/>
  <c r="BE126" i="2"/>
  <c r="AY73" i="2"/>
  <c r="BE62" i="2"/>
  <c r="BR233" i="2"/>
  <c r="BE98" i="2"/>
  <c r="BO220" i="2"/>
  <c r="BL165" i="2"/>
  <c r="BG70" i="2"/>
  <c r="AY204" i="2"/>
  <c r="BB242" i="2"/>
  <c r="AS221" i="2"/>
  <c r="AT54" i="2"/>
  <c r="BM193" i="2"/>
  <c r="BA164" i="2"/>
  <c r="BB120" i="2"/>
  <c r="BO217" i="2"/>
  <c r="BH87" i="2"/>
  <c r="BO242" i="2"/>
  <c r="BF119" i="2"/>
  <c r="BB103" i="2"/>
  <c r="BJ167" i="2"/>
  <c r="BD81" i="2"/>
  <c r="BH191" i="2"/>
  <c r="BE130" i="2"/>
  <c r="BI152" i="2"/>
  <c r="AU173" i="2"/>
  <c r="BQ236" i="2"/>
  <c r="BE147" i="2"/>
  <c r="AQ193" i="2"/>
  <c r="BE125" i="2"/>
  <c r="AR141" i="2"/>
  <c r="BC238" i="2"/>
  <c r="BJ169" i="2"/>
  <c r="AR188" i="2"/>
  <c r="BK104" i="2"/>
  <c r="BM168" i="2"/>
  <c r="BL125" i="2"/>
  <c r="BR58" i="2"/>
  <c r="BD170" i="2"/>
  <c r="AY170" i="2"/>
  <c r="BQ107" i="2"/>
  <c r="AU160" i="2"/>
  <c r="AS201" i="2"/>
  <c r="BJ182" i="2"/>
  <c r="BG222" i="2"/>
  <c r="BO95" i="2"/>
  <c r="BE151" i="2"/>
  <c r="AX99" i="2"/>
  <c r="BF261" i="2"/>
  <c r="BC152" i="2"/>
  <c r="BO82" i="2"/>
  <c r="BN82" i="2"/>
  <c r="AQ138" i="2"/>
  <c r="BR198" i="2"/>
  <c r="BO133" i="2"/>
  <c r="BE170" i="2"/>
  <c r="AQ216" i="2"/>
  <c r="BO236" i="2"/>
  <c r="BR196" i="2"/>
  <c r="AQ109" i="2"/>
  <c r="BG224" i="2"/>
  <c r="BJ86" i="2"/>
  <c r="BB167" i="2"/>
  <c r="AW215" i="2"/>
  <c r="BR229" i="2"/>
  <c r="BQ159" i="2"/>
  <c r="BF241" i="2"/>
  <c r="BO125" i="2"/>
  <c r="AW265" i="2"/>
  <c r="AU253" i="2"/>
  <c r="BH246" i="2"/>
  <c r="BI58" i="2"/>
  <c r="BP135" i="2"/>
  <c r="AV218" i="2"/>
  <c r="BL256" i="2"/>
  <c r="BB213" i="2"/>
  <c r="BB197" i="2"/>
  <c r="BH178" i="2"/>
  <c r="BB94" i="2"/>
  <c r="BO201" i="2"/>
  <c r="BR220" i="2"/>
  <c r="AY144" i="2"/>
  <c r="BK116" i="2"/>
  <c r="BG210" i="2"/>
  <c r="BC145" i="2"/>
  <c r="BJ106" i="2"/>
  <c r="BI132" i="2"/>
  <c r="AY189" i="2"/>
  <c r="AW163" i="2"/>
  <c r="BF263" i="2"/>
  <c r="BL233" i="2"/>
  <c r="BO109" i="2"/>
  <c r="BO162" i="2"/>
  <c r="BD236" i="2"/>
  <c r="AW77" i="2"/>
  <c r="BE88" i="2"/>
  <c r="BP121" i="2"/>
  <c r="AQ98" i="2"/>
  <c r="BL106" i="2"/>
  <c r="BE172" i="2"/>
  <c r="BP114" i="2"/>
  <c r="BL178" i="2"/>
  <c r="AV114" i="2"/>
  <c r="BR134" i="2"/>
  <c r="BP70" i="2"/>
  <c r="AX58" i="2"/>
  <c r="AV193" i="2"/>
  <c r="AW266" i="2"/>
  <c r="BM145" i="2"/>
  <c r="BQ137" i="2"/>
  <c r="AY178" i="2"/>
  <c r="BK122" i="2"/>
  <c r="BK194" i="2"/>
  <c r="AW238" i="2"/>
  <c r="BR110" i="2"/>
  <c r="BF256" i="2"/>
  <c r="AX115" i="2"/>
  <c r="BM141" i="2"/>
  <c r="BD206" i="2"/>
  <c r="BK188" i="2"/>
  <c r="BQ104" i="2"/>
  <c r="BG152" i="2"/>
  <c r="AX64" i="2"/>
  <c r="BL182" i="2"/>
  <c r="BR259" i="2"/>
  <c r="BM82" i="2"/>
  <c r="BF210" i="2"/>
  <c r="BQ122" i="2"/>
  <c r="AT61" i="2"/>
  <c r="BA126" i="2"/>
  <c r="BI125" i="2"/>
  <c r="AS104" i="2"/>
  <c r="BD162" i="2"/>
  <c r="AT134" i="2"/>
  <c r="BG121" i="2"/>
  <c r="AW180" i="2"/>
  <c r="AW219" i="2"/>
  <c r="AS233" i="2"/>
  <c r="BN152" i="2"/>
  <c r="BL100" i="2"/>
  <c r="AU124" i="2"/>
  <c r="BK79" i="2"/>
  <c r="BM206" i="2"/>
  <c r="BH71" i="2"/>
  <c r="AU175" i="2"/>
  <c r="BC195" i="2"/>
  <c r="BK105" i="2"/>
  <c r="BC120" i="2"/>
  <c r="AU262" i="2"/>
  <c r="BL161" i="2"/>
  <c r="BQ163" i="2"/>
  <c r="BF250" i="2"/>
  <c r="BA208" i="2"/>
  <c r="BL237" i="2"/>
  <c r="BR150" i="2"/>
  <c r="BN77" i="2"/>
  <c r="BR73" i="2"/>
  <c r="BH88" i="2"/>
  <c r="AU161" i="2"/>
  <c r="BG124" i="2"/>
  <c r="BO261" i="2"/>
  <c r="AW190" i="2"/>
  <c r="BP169" i="2"/>
  <c r="BJ78" i="2"/>
  <c r="BG189" i="2"/>
  <c r="BR197" i="2"/>
  <c r="BB184" i="2"/>
  <c r="AW158" i="2"/>
  <c r="BE173" i="2"/>
  <c r="BL94" i="2"/>
  <c r="BQ240" i="2"/>
  <c r="AU239" i="2"/>
  <c r="AS232" i="2"/>
  <c r="AV214" i="2"/>
  <c r="BP68" i="2"/>
  <c r="BP164" i="2"/>
  <c r="BJ157" i="2"/>
  <c r="AX111" i="2"/>
  <c r="BQ219" i="2"/>
  <c r="BI182" i="2"/>
  <c r="BG228" i="2"/>
  <c r="BR203" i="2"/>
  <c r="BH104" i="2"/>
  <c r="BP241" i="2"/>
  <c r="BR186" i="2"/>
  <c r="AS90" i="2"/>
  <c r="BE177" i="2"/>
  <c r="AS172" i="2"/>
  <c r="BN178" i="2"/>
  <c r="BQ95" i="2"/>
  <c r="BJ134" i="2"/>
  <c r="BJ67" i="2"/>
  <c r="AV174" i="2"/>
  <c r="BM162" i="2"/>
  <c r="BO155" i="2"/>
  <c r="AU212" i="2"/>
  <c r="AQ172" i="2"/>
  <c r="AV87" i="2"/>
  <c r="BR64" i="2"/>
  <c r="AY191" i="2"/>
  <c r="AS112" i="2"/>
  <c r="BD77" i="2"/>
  <c r="BH121" i="2"/>
  <c r="AW123" i="2"/>
  <c r="BD210" i="2"/>
  <c r="BI151" i="2"/>
  <c r="BD134" i="2"/>
  <c r="BF254" i="2"/>
  <c r="BF107" i="2"/>
  <c r="BD67" i="2"/>
  <c r="BI129" i="2"/>
  <c r="BR90" i="2"/>
  <c r="BG216" i="2"/>
  <c r="AY84" i="2"/>
  <c r="AQ141" i="2"/>
  <c r="BI155" i="2"/>
  <c r="BM171" i="2"/>
  <c r="BO64" i="2"/>
  <c r="AU168" i="2"/>
  <c r="BO149" i="2"/>
  <c r="AS115" i="2"/>
  <c r="BN141" i="2"/>
  <c r="BB229" i="2"/>
  <c r="AV178" i="2"/>
  <c r="BL116" i="2"/>
  <c r="AW199" i="2"/>
  <c r="BN103" i="2"/>
  <c r="BH85" i="2"/>
  <c r="AR69" i="2"/>
  <c r="BM157" i="2"/>
  <c r="BC96" i="2"/>
  <c r="AS88" i="2"/>
  <c r="AQ205" i="2"/>
  <c r="BQ192" i="2"/>
  <c r="BK111" i="2"/>
  <c r="AV201" i="2"/>
  <c r="BF229" i="2"/>
  <c r="AV189" i="2"/>
  <c r="AS228" i="2"/>
  <c r="BO163" i="2"/>
  <c r="AR70" i="2"/>
  <c r="AU69" i="2"/>
  <c r="BH124" i="2"/>
  <c r="BF234" i="2"/>
  <c r="AY67" i="2"/>
  <c r="BB165" i="2"/>
  <c r="BM189" i="2"/>
  <c r="BG175" i="2"/>
  <c r="AT62" i="2"/>
  <c r="BF121" i="2"/>
  <c r="AS127" i="2"/>
  <c r="AS92" i="2"/>
  <c r="BF99" i="2"/>
  <c r="AS191" i="2"/>
  <c r="BH194" i="2"/>
  <c r="BH136" i="2"/>
  <c r="BF203" i="2"/>
  <c r="AQ150" i="2"/>
  <c r="BF135" i="2"/>
  <c r="BB163" i="2"/>
  <c r="BK119" i="2"/>
  <c r="BP200" i="2"/>
  <c r="BR217" i="2"/>
  <c r="BL168" i="2"/>
  <c r="BD239" i="2"/>
  <c r="BE224" i="2"/>
  <c r="AR180" i="2"/>
  <c r="AU145" i="2"/>
  <c r="AV56" i="2"/>
  <c r="BA87" i="2"/>
  <c r="BN164" i="2"/>
  <c r="AV148" i="2"/>
  <c r="BR222" i="2"/>
  <c r="BH100" i="2"/>
  <c r="BC242" i="2"/>
  <c r="BC126" i="2"/>
  <c r="BP108" i="2"/>
  <c r="BM190" i="2"/>
  <c r="BN118" i="2"/>
  <c r="AQ178" i="2"/>
  <c r="AW225" i="2"/>
  <c r="BO110" i="2"/>
  <c r="BG187" i="2"/>
  <c r="BO243" i="2"/>
  <c r="BH198" i="2"/>
  <c r="BM54" i="2"/>
  <c r="BO225" i="2"/>
  <c r="AQ201" i="2"/>
  <c r="BA92" i="2"/>
  <c r="BF260" i="2"/>
  <c r="BR214" i="2"/>
  <c r="BO192" i="2"/>
  <c r="BG100" i="2"/>
  <c r="AY171" i="2"/>
  <c r="AR108" i="2"/>
  <c r="BC160" i="2"/>
  <c r="AY70" i="2"/>
  <c r="BF74" i="2"/>
  <c r="BC74" i="2"/>
  <c r="BB100" i="2"/>
  <c r="BQ150" i="2"/>
  <c r="BE139" i="2"/>
  <c r="BF187" i="2"/>
  <c r="AR146" i="2"/>
  <c r="BB156" i="2"/>
  <c r="BD65" i="2"/>
  <c r="BD188" i="2"/>
  <c r="BG171" i="2"/>
  <c r="AS178" i="2"/>
  <c r="BP163" i="2"/>
  <c r="BJ189" i="2"/>
  <c r="BE141" i="2"/>
  <c r="BN168" i="2"/>
  <c r="BB201" i="2"/>
  <c r="AY61" i="2"/>
  <c r="AX94" i="2"/>
  <c r="BC108" i="2"/>
  <c r="AQ131" i="2"/>
  <c r="BC239" i="2"/>
  <c r="BR177" i="2"/>
  <c r="AS131" i="2"/>
  <c r="AY167" i="2"/>
  <c r="BR261" i="2"/>
  <c r="BG178" i="2"/>
  <c r="AT111" i="2"/>
  <c r="BP176" i="2"/>
  <c r="BR62" i="2"/>
  <c r="AU128" i="2"/>
  <c r="BL196" i="2"/>
  <c r="BF58" i="2"/>
  <c r="BF145" i="2"/>
  <c r="AQ221" i="2"/>
  <c r="BJ154" i="2"/>
  <c r="BB157" i="2"/>
  <c r="BO215" i="2"/>
  <c r="BO74" i="2"/>
  <c r="BI177" i="2"/>
  <c r="BH169" i="2"/>
  <c r="BL65" i="2"/>
  <c r="BE92" i="2"/>
  <c r="BH250" i="2"/>
  <c r="BP191" i="2"/>
  <c r="AS214" i="2"/>
  <c r="AR176" i="2"/>
  <c r="BE56" i="2"/>
  <c r="BL66" i="2"/>
  <c r="BR185" i="2"/>
  <c r="BD94" i="2"/>
  <c r="BL96" i="2"/>
  <c r="BH109" i="2"/>
  <c r="BC231" i="2"/>
  <c r="BG151" i="2"/>
  <c r="BQ198" i="2"/>
  <c r="BL239" i="2"/>
  <c r="AS169" i="2"/>
  <c r="BI144" i="2"/>
  <c r="BG138" i="2"/>
  <c r="BI97" i="2"/>
  <c r="BD219" i="2"/>
  <c r="BQ252" i="2"/>
  <c r="AS223" i="2"/>
  <c r="AQ58" i="2"/>
  <c r="BR157" i="2"/>
  <c r="AU266" i="2"/>
  <c r="BI121" i="2"/>
  <c r="AU103" i="2"/>
  <c r="AR129" i="2"/>
  <c r="AR164" i="2"/>
  <c r="BN199" i="2"/>
  <c r="AS72" i="2"/>
  <c r="BH128" i="2"/>
  <c r="BP228" i="2"/>
  <c r="BN175" i="2"/>
  <c r="AX68" i="2"/>
  <c r="BE201" i="2"/>
  <c r="BL132" i="2"/>
  <c r="BR118" i="2"/>
  <c r="BO151" i="2"/>
  <c r="AY194" i="2"/>
  <c r="AV234" i="2"/>
  <c r="BA128" i="2"/>
  <c r="BA58" i="2"/>
  <c r="BL83" i="2"/>
  <c r="BH201" i="2"/>
  <c r="BQ174" i="2"/>
  <c r="BK124" i="2"/>
  <c r="AR61" i="2"/>
  <c r="AS81" i="2"/>
  <c r="BA166" i="2"/>
  <c r="BC213" i="2"/>
  <c r="BR180" i="2"/>
  <c r="BQ250" i="2"/>
  <c r="BN68" i="2"/>
  <c r="BQ241" i="2"/>
  <c r="BM60" i="2"/>
  <c r="BE208" i="2"/>
  <c r="BN186" i="2"/>
  <c r="AW207" i="2"/>
  <c r="BP138" i="2"/>
  <c r="BK103" i="2"/>
  <c r="AU267" i="2"/>
  <c r="BL75" i="2"/>
  <c r="BQ81" i="2"/>
  <c r="AT115" i="2"/>
  <c r="BC209" i="2"/>
  <c r="BG141" i="2"/>
  <c r="AW128" i="2"/>
  <c r="BF247" i="2"/>
  <c r="BI107" i="2"/>
  <c r="BG148" i="2"/>
  <c r="AW170" i="2"/>
  <c r="BC155" i="2"/>
  <c r="BR175" i="2"/>
  <c r="BP236" i="2"/>
  <c r="BF132" i="2"/>
  <c r="BJ88" i="2"/>
  <c r="BD205" i="2"/>
  <c r="BQ213" i="2"/>
  <c r="BQ238" i="2"/>
  <c r="AS136" i="2"/>
  <c r="BB72" i="2"/>
  <c r="BE188" i="2"/>
  <c r="AW92" i="2"/>
  <c r="BI122" i="2"/>
  <c r="BA100" i="2"/>
  <c r="BG58" i="2"/>
  <c r="BF179" i="2"/>
  <c r="BD138" i="2"/>
  <c r="BO218" i="2"/>
  <c r="BQ186" i="2"/>
  <c r="BB140" i="2"/>
  <c r="BI137" i="2"/>
  <c r="BM152" i="2"/>
  <c r="BN188" i="2"/>
  <c r="AY205" i="2"/>
  <c r="AQ113" i="2"/>
  <c r="AX123" i="2"/>
  <c r="BL251" i="2"/>
  <c r="BP210" i="2"/>
  <c r="BK113" i="2"/>
  <c r="BJ140" i="2"/>
  <c r="BF151" i="2"/>
  <c r="AS109" i="2"/>
  <c r="BG163" i="2"/>
  <c r="BL126" i="2"/>
  <c r="BK134" i="2"/>
  <c r="AU59" i="2"/>
  <c r="AV89" i="2"/>
  <c r="BD221" i="2"/>
  <c r="AY99" i="2"/>
  <c r="AW182" i="2"/>
  <c r="BD207" i="2"/>
  <c r="AW178" i="2"/>
  <c r="BN135" i="2"/>
  <c r="BH146" i="2"/>
  <c r="AV88" i="2"/>
  <c r="AR107" i="2"/>
  <c r="AV196" i="2"/>
  <c r="BI184" i="2"/>
  <c r="BR138" i="2"/>
  <c r="BQ117" i="2"/>
  <c r="AU157" i="2"/>
  <c r="BK182" i="2"/>
  <c r="BH86" i="2"/>
  <c r="AU61" i="2"/>
  <c r="BF214" i="2"/>
  <c r="AT112" i="2"/>
  <c r="BI175" i="2"/>
  <c r="BO223" i="2"/>
  <c r="AW226" i="2"/>
  <c r="BP262" i="2"/>
  <c r="BF182" i="2"/>
  <c r="BD217" i="2"/>
  <c r="AV236" i="2"/>
  <c r="BB249" i="2"/>
  <c r="BD142" i="2"/>
  <c r="AS55" i="2"/>
  <c r="BM173" i="2"/>
  <c r="AT122" i="2"/>
  <c r="AW213" i="2"/>
  <c r="BH187" i="2"/>
  <c r="BD85" i="2"/>
  <c r="BN106" i="2"/>
  <c r="BG146" i="2"/>
  <c r="BJ148" i="2"/>
  <c r="BQ88" i="2"/>
  <c r="AV217" i="2"/>
  <c r="BP224" i="2"/>
  <c r="BC121" i="2"/>
  <c r="AU105" i="2"/>
  <c r="AU141" i="2"/>
  <c r="BK75" i="2"/>
  <c r="BC80" i="2"/>
  <c r="BG116" i="2"/>
  <c r="AS83" i="2"/>
  <c r="AS65" i="2"/>
  <c r="BC138" i="2"/>
  <c r="BM210" i="2"/>
  <c r="AT78" i="2"/>
  <c r="BD222" i="2"/>
  <c r="AQ147" i="2"/>
  <c r="BE209" i="2"/>
  <c r="BG60" i="2"/>
  <c r="BQ144" i="2"/>
  <c r="BP143" i="2"/>
  <c r="BQ199" i="2"/>
  <c r="BA96" i="2"/>
  <c r="AV238" i="2"/>
  <c r="AY68" i="2"/>
  <c r="BH211" i="2"/>
  <c r="AW165" i="2"/>
  <c r="BN149" i="2"/>
  <c r="BP97" i="2"/>
  <c r="BD169" i="2"/>
  <c r="BC234" i="2"/>
  <c r="AW149" i="2"/>
  <c r="BG201" i="2"/>
  <c r="BN198" i="2"/>
  <c r="BF105" i="2"/>
  <c r="AU193" i="2"/>
  <c r="BR252" i="2"/>
  <c r="BD242" i="2"/>
  <c r="BH89" i="2"/>
  <c r="BL108" i="2"/>
  <c r="AU158" i="2"/>
  <c r="AQ152" i="2"/>
  <c r="BH199" i="2"/>
  <c r="BP233" i="2"/>
  <c r="AY162" i="2"/>
  <c r="BH196" i="2"/>
  <c r="AR77" i="2"/>
  <c r="BF64" i="2"/>
  <c r="BN111" i="2"/>
  <c r="AS70" i="2"/>
  <c r="AY126" i="2"/>
  <c r="AR124" i="2"/>
  <c r="BP90" i="2"/>
  <c r="AV120" i="2"/>
  <c r="BP63" i="2"/>
  <c r="BF191" i="2"/>
  <c r="BQ59" i="2"/>
  <c r="AX122" i="2"/>
  <c r="AX137" i="2"/>
  <c r="BC78" i="2"/>
  <c r="BQ221" i="2"/>
  <c r="BN133" i="2"/>
  <c r="BB125" i="2"/>
  <c r="BF83" i="2"/>
  <c r="BA146" i="2"/>
  <c r="AS188" i="2"/>
  <c r="BM179" i="2"/>
  <c r="BF116" i="2"/>
  <c r="BE114" i="2"/>
  <c r="BF162" i="2"/>
  <c r="BH59" i="2"/>
  <c r="AS85" i="2"/>
  <c r="BP187" i="2"/>
  <c r="BM170" i="2"/>
  <c r="BR207" i="2"/>
  <c r="BB227" i="2"/>
  <c r="BL246" i="2"/>
  <c r="BR221" i="2"/>
  <c r="BF98" i="2"/>
  <c r="BN157" i="2"/>
  <c r="BF110" i="2"/>
  <c r="AU265" i="2"/>
  <c r="AU205" i="2"/>
  <c r="BP64" i="2"/>
  <c r="AQ128" i="2"/>
  <c r="BQ82" i="2"/>
  <c r="AV160" i="2"/>
  <c r="AQ222" i="2"/>
  <c r="AV235" i="2"/>
  <c r="AV123" i="2"/>
  <c r="BP129" i="2"/>
  <c r="BO75" i="2"/>
  <c r="AV186" i="2"/>
  <c r="BI189" i="2"/>
  <c r="BR179" i="2"/>
  <c r="AY213" i="2"/>
  <c r="AS177" i="2"/>
  <c r="BR147" i="2"/>
  <c r="AT118" i="2"/>
  <c r="BK76" i="2"/>
  <c r="BC203" i="2"/>
  <c r="AR161" i="2"/>
  <c r="BI169" i="2"/>
  <c r="BA101" i="2"/>
  <c r="BR63" i="2"/>
  <c r="AR89" i="2"/>
  <c r="BJ163" i="2"/>
  <c r="AQ86" i="2"/>
  <c r="BP246" i="2"/>
  <c r="BE142" i="2"/>
  <c r="AS102" i="2"/>
  <c r="AW189" i="2"/>
  <c r="AS143" i="2"/>
  <c r="BK98" i="2"/>
  <c r="BA193" i="2"/>
  <c r="BK95" i="2"/>
  <c r="AS106" i="2"/>
  <c r="BB135" i="2"/>
  <c r="AX140" i="2"/>
  <c r="BB148" i="2"/>
  <c r="BL249" i="2"/>
  <c r="AQ126" i="2"/>
  <c r="BP157" i="2"/>
  <c r="BL213" i="2"/>
  <c r="BO77" i="2"/>
  <c r="BA119" i="2"/>
  <c r="BP196" i="2"/>
  <c r="BR241" i="2"/>
  <c r="BC183" i="2"/>
  <c r="BB254" i="2"/>
  <c r="BL144" i="2"/>
  <c r="BK172" i="2"/>
  <c r="BE191" i="2"/>
  <c r="BM215" i="2"/>
  <c r="BB88" i="2"/>
  <c r="BR127" i="2"/>
  <c r="AR101" i="2"/>
  <c r="BB69" i="2"/>
  <c r="BF259" i="2"/>
  <c r="AV79" i="2"/>
  <c r="BN217" i="2"/>
  <c r="AQ146" i="2"/>
  <c r="AS133" i="2"/>
  <c r="AQ130" i="2"/>
  <c r="BF201" i="2"/>
  <c r="BD260" i="2"/>
  <c r="BC105" i="2"/>
  <c r="BI71" i="2"/>
  <c r="BF236" i="2"/>
  <c r="BC232" i="2"/>
  <c r="AU87" i="2"/>
  <c r="AR113" i="2"/>
  <c r="BK167" i="2"/>
  <c r="AQ89" i="2"/>
  <c r="BH239" i="2"/>
  <c r="AW214" i="2"/>
  <c r="BH105" i="2"/>
  <c r="BE55" i="2"/>
  <c r="BB73" i="2"/>
  <c r="BG160" i="2"/>
  <c r="AW217" i="2"/>
  <c r="AV81" i="2"/>
  <c r="BM109" i="2"/>
  <c r="AV190" i="2"/>
  <c r="BN209" i="2"/>
  <c r="AU78" i="2"/>
  <c r="BA61" i="2"/>
  <c r="BD132" i="2"/>
  <c r="BB173" i="2"/>
  <c r="BH185" i="2"/>
  <c r="BJ66" i="2"/>
  <c r="BI83" i="2"/>
  <c r="AU147" i="2"/>
  <c r="BJ119" i="2"/>
  <c r="AT66" i="2"/>
  <c r="AT83" i="2"/>
  <c r="AY121" i="2"/>
  <c r="BN55" i="2"/>
  <c r="AV132" i="2"/>
  <c r="BG142" i="2"/>
  <c r="BH172" i="2"/>
  <c r="BD263" i="2"/>
  <c r="BI94" i="2"/>
  <c r="BH224" i="2"/>
  <c r="BQ124" i="2"/>
  <c r="BB97" i="2"/>
  <c r="BQ212" i="2"/>
  <c r="AW206" i="2"/>
  <c r="AU228" i="2"/>
  <c r="BE115" i="2"/>
  <c r="BN204" i="2"/>
  <c r="BQ190" i="2"/>
  <c r="BH214" i="2"/>
  <c r="BE213" i="2"/>
  <c r="BR98" i="2"/>
  <c r="BA141" i="2"/>
  <c r="BM205" i="2"/>
  <c r="AQ62" i="2"/>
  <c r="BA163" i="2"/>
  <c r="AQ136" i="2"/>
  <c r="BB263" i="2"/>
  <c r="BI191" i="2"/>
  <c r="BE113" i="2"/>
  <c r="BM201" i="2"/>
  <c r="BC214" i="2"/>
  <c r="BR159" i="2"/>
  <c r="AW75" i="2"/>
  <c r="BN166" i="2"/>
  <c r="AW70" i="2"/>
  <c r="BP126" i="2"/>
  <c r="BF88" i="2"/>
  <c r="BM97" i="2"/>
  <c r="AV211" i="2"/>
  <c r="BP153" i="2"/>
  <c r="AW184" i="2"/>
  <c r="BD159" i="2"/>
  <c r="AY123" i="2"/>
  <c r="BB262" i="2"/>
  <c r="BJ139" i="2"/>
  <c r="AQ179" i="2"/>
  <c r="AS108" i="2"/>
  <c r="BD234" i="2"/>
  <c r="BF59" i="2"/>
  <c r="BM214" i="2"/>
  <c r="AS138" i="2"/>
  <c r="AY150" i="2"/>
  <c r="BN94" i="2"/>
  <c r="BN131" i="2"/>
  <c r="AY74" i="2"/>
  <c r="AR53" i="2"/>
  <c r="BN215" i="2"/>
  <c r="AQ122" i="2"/>
  <c r="BR160" i="2"/>
  <c r="BO66" i="2"/>
  <c r="BQ138" i="2"/>
  <c r="BI88" i="2"/>
  <c r="BJ124" i="2"/>
  <c r="BG113" i="2"/>
  <c r="AU107" i="2"/>
  <c r="BN132" i="2"/>
  <c r="BP127" i="2"/>
  <c r="BL260" i="2"/>
  <c r="BQ226" i="2"/>
  <c r="BQ105" i="2"/>
  <c r="BC171" i="2"/>
  <c r="AW230" i="2"/>
  <c r="BB92" i="2"/>
  <c r="AY106" i="2"/>
  <c r="BE107" i="2"/>
  <c r="AR167" i="2"/>
  <c r="BH242" i="2"/>
  <c r="AU184" i="2"/>
  <c r="AY108" i="2"/>
  <c r="BA211" i="2"/>
  <c r="BP201" i="2"/>
  <c r="BG132" i="2"/>
  <c r="AR98" i="2"/>
  <c r="BB235" i="2"/>
  <c r="AW161" i="2"/>
  <c r="BQ184" i="2"/>
  <c r="BO221" i="2"/>
  <c r="BG174" i="2"/>
  <c r="BC244" i="2"/>
  <c r="AT68" i="2"/>
  <c r="AV115" i="2"/>
  <c r="AV105" i="2"/>
  <c r="BE75" i="2"/>
  <c r="BH80" i="2"/>
  <c r="BG99" i="2"/>
  <c r="AQ176" i="2"/>
  <c r="BQ183" i="2"/>
  <c r="BC257" i="2"/>
  <c r="BH141" i="2"/>
  <c r="BG169" i="2"/>
  <c r="BH197" i="2"/>
  <c r="BI86" i="2"/>
  <c r="AR86" i="2"/>
  <c r="BM185" i="2"/>
  <c r="BE77" i="2"/>
  <c r="BM207" i="2"/>
  <c r="BG118" i="2"/>
  <c r="AU211" i="2"/>
  <c r="BH179" i="2"/>
  <c r="AU129" i="2"/>
  <c r="BB76" i="2"/>
  <c r="BJ125" i="2"/>
  <c r="BL231" i="2"/>
  <c r="BC75" i="2"/>
  <c r="BR137" i="2"/>
  <c r="AV131" i="2"/>
  <c r="AY211" i="2"/>
  <c r="BD156" i="2"/>
  <c r="AU109" i="2"/>
  <c r="BG125" i="2"/>
  <c r="BO182" i="2"/>
  <c r="AV53" i="2"/>
  <c r="BH215" i="2"/>
  <c r="BP212" i="2"/>
  <c r="BQ211" i="2"/>
  <c r="BA172" i="2"/>
  <c r="AY102" i="2"/>
  <c r="BL232" i="2"/>
  <c r="BB224" i="2"/>
  <c r="AQ88" i="2"/>
  <c r="BD248" i="2"/>
  <c r="AY88" i="2"/>
  <c r="BF185" i="2"/>
  <c r="BI158" i="2"/>
  <c r="BB175" i="2"/>
  <c r="AQ209" i="2"/>
  <c r="BO114" i="2"/>
  <c r="AS58" i="2"/>
  <c r="BP239" i="2"/>
  <c r="AV172" i="2"/>
  <c r="BD127" i="2"/>
  <c r="BG91" i="2"/>
  <c r="AW71" i="2"/>
  <c r="BK154" i="2"/>
  <c r="AU204" i="2"/>
  <c r="BL151" i="2"/>
  <c r="BN213" i="2"/>
  <c r="BB226" i="2"/>
  <c r="BD82" i="2"/>
  <c r="BQ258" i="2"/>
  <c r="BB225" i="2"/>
  <c r="BC228" i="2"/>
  <c r="BG154" i="2"/>
  <c r="BK109" i="2"/>
  <c r="AW237" i="2"/>
  <c r="AV224" i="2"/>
  <c r="AW176" i="2"/>
  <c r="AR95" i="2"/>
  <c r="BL219" i="2"/>
  <c r="BH114" i="2"/>
  <c r="BI145" i="2"/>
  <c r="AS196" i="2"/>
  <c r="BO165" i="2"/>
  <c r="BC53" i="2"/>
  <c r="BH176" i="2"/>
  <c r="AT101" i="2"/>
  <c r="BI128" i="2"/>
  <c r="AS210" i="2"/>
  <c r="AX114" i="2"/>
  <c r="BF112" i="2"/>
  <c r="BG155" i="2"/>
  <c r="BA170" i="2"/>
  <c r="BQ170" i="2"/>
  <c r="BM184" i="2"/>
  <c r="BR213" i="2"/>
  <c r="AR57" i="2"/>
  <c r="BQ90" i="2"/>
  <c r="BO188" i="2"/>
  <c r="BQ100" i="2"/>
  <c r="BD122" i="2"/>
  <c r="BL157" i="2"/>
  <c r="BK121" i="2"/>
  <c r="AY125" i="2"/>
  <c r="AS135" i="2"/>
  <c r="AW246" i="2"/>
  <c r="BD202" i="2"/>
  <c r="BK175" i="2"/>
  <c r="BM133" i="2"/>
  <c r="BB222" i="2"/>
  <c r="AT136" i="2"/>
  <c r="AV184" i="2"/>
  <c r="AX129" i="2"/>
  <c r="AU53" i="2"/>
  <c r="BB115" i="2"/>
  <c r="BR45" i="2"/>
  <c r="BC72" i="2"/>
  <c r="BH130" i="2"/>
  <c r="BB85" i="2"/>
  <c r="BC65" i="2"/>
  <c r="BH168" i="2"/>
  <c r="BO63" i="2"/>
  <c r="BI130" i="2"/>
  <c r="BF153" i="2"/>
  <c r="AU96" i="2"/>
  <c r="BP102" i="2"/>
  <c r="AU80" i="2"/>
  <c r="AQ185" i="2"/>
  <c r="BF223" i="2"/>
  <c r="BH82" i="2"/>
  <c r="BP101" i="2"/>
  <c r="AU246" i="2"/>
  <c r="AT102" i="2"/>
  <c r="BP221" i="2"/>
  <c r="AU55" i="2"/>
  <c r="BP188" i="2"/>
  <c r="AU127" i="2"/>
  <c r="AV191" i="2"/>
  <c r="AR134" i="2"/>
  <c r="BM90" i="2"/>
  <c r="BB234" i="2"/>
  <c r="BM204" i="2"/>
  <c r="BO209" i="2"/>
  <c r="BD102" i="2"/>
  <c r="AS161" i="2"/>
  <c r="BR131" i="2"/>
  <c r="BF141" i="2"/>
  <c r="AS107" i="2"/>
  <c r="BR238" i="2"/>
  <c r="BO113" i="2"/>
  <c r="AY155" i="2"/>
  <c r="BA144" i="2"/>
  <c r="BL217" i="2"/>
  <c r="AR154" i="2"/>
  <c r="BD141" i="2"/>
  <c r="AY172" i="2"/>
  <c r="BL170" i="2"/>
  <c r="AW210" i="2"/>
  <c r="BQ125" i="2"/>
  <c r="BM134" i="2"/>
  <c r="BF158" i="2"/>
  <c r="BQ70" i="2"/>
  <c r="BM198" i="2"/>
  <c r="AQ217" i="2"/>
  <c r="BI150" i="2"/>
  <c r="BE217" i="2"/>
  <c r="BM199" i="2"/>
  <c r="BH92" i="2"/>
  <c r="AU146" i="2"/>
  <c r="BD180" i="2"/>
  <c r="AY66" i="2"/>
  <c r="BJ101" i="2"/>
  <c r="BN210" i="2"/>
  <c r="BA198" i="2"/>
  <c r="AY183" i="2"/>
  <c r="BL220" i="2"/>
  <c r="BR187" i="2"/>
  <c r="BP93" i="2"/>
  <c r="AT107" i="2"/>
  <c r="BJ102" i="2"/>
  <c r="BA147" i="2"/>
  <c r="BD163" i="2"/>
  <c r="BL238" i="2"/>
  <c r="BR136" i="2"/>
  <c r="AW108" i="2"/>
  <c r="BG64" i="2"/>
  <c r="BH175" i="2"/>
  <c r="BC67" i="2"/>
  <c r="AQ71" i="2"/>
  <c r="BL61" i="2"/>
  <c r="AR173" i="2"/>
  <c r="BJ168" i="2"/>
  <c r="BB133" i="2"/>
  <c r="BF65" i="2"/>
  <c r="BI77" i="2"/>
  <c r="AQ210" i="2"/>
  <c r="BP59" i="2"/>
  <c r="BJ175" i="2"/>
  <c r="BK96" i="2"/>
  <c r="AY120" i="2"/>
  <c r="AU252" i="2"/>
  <c r="AS157" i="2"/>
  <c r="BA169" i="2"/>
  <c r="BB55" i="2"/>
  <c r="AR170" i="2"/>
  <c r="BL261" i="2"/>
  <c r="AS165" i="2"/>
  <c r="AQ70" i="2"/>
  <c r="BO228" i="2"/>
  <c r="BR135" i="2"/>
  <c r="BG176" i="2"/>
  <c r="BN134" i="2"/>
  <c r="BM151" i="2"/>
  <c r="BA90" i="2"/>
  <c r="AR195" i="2"/>
  <c r="BH181" i="2"/>
  <c r="AV146" i="2"/>
  <c r="AU203" i="2"/>
  <c r="AX124" i="2"/>
  <c r="AW84" i="2"/>
  <c r="AY82" i="2"/>
  <c r="AY165" i="2"/>
  <c r="BQ101" i="2"/>
  <c r="BJ87" i="2"/>
  <c r="BF94" i="2"/>
  <c r="BC116" i="2"/>
  <c r="AX78" i="2"/>
  <c r="AY209" i="2"/>
  <c r="BN167" i="2"/>
  <c r="BG61" i="2"/>
  <c r="BQ54" i="2"/>
  <c r="BJ174" i="2"/>
  <c r="BD58" i="2"/>
  <c r="AV239" i="2"/>
  <c r="BF109" i="2"/>
  <c r="BN96" i="2"/>
  <c r="BN84" i="2"/>
  <c r="BM164" i="2"/>
  <c r="AV152" i="2"/>
  <c r="BQ235" i="2"/>
  <c r="BE67" i="2"/>
  <c r="BK114" i="2"/>
  <c r="BF224" i="2"/>
  <c r="BM122" i="2"/>
  <c r="BO116" i="2"/>
  <c r="BQ156" i="2"/>
  <c r="AQ142" i="2"/>
  <c r="AQ96" i="2"/>
  <c r="BA183" i="2"/>
  <c r="BN124" i="2"/>
  <c r="BR200" i="2"/>
  <c r="BC190" i="2"/>
  <c r="BN146" i="2"/>
  <c r="BE121" i="2"/>
  <c r="AQ207" i="2"/>
  <c r="BJ179" i="2"/>
  <c r="AT132" i="2"/>
  <c r="BL149" i="2"/>
  <c r="AY153" i="2"/>
  <c r="BO189" i="2"/>
  <c r="AQ110" i="2"/>
  <c r="BC250" i="2"/>
  <c r="BH152" i="2"/>
  <c r="BB194" i="2"/>
  <c r="BO211" i="2"/>
  <c r="BR104" i="2"/>
  <c r="BQ205" i="2"/>
  <c r="BQ223" i="2"/>
  <c r="BO131" i="2"/>
  <c r="BK63" i="2"/>
  <c r="AQ83" i="2"/>
  <c r="BA121" i="2"/>
  <c r="BN123" i="2"/>
  <c r="AR106" i="2"/>
  <c r="AW91" i="2"/>
  <c r="BD57" i="2"/>
  <c r="BG182" i="2"/>
  <c r="AU115" i="2"/>
  <c r="BN119" i="2"/>
  <c r="BJ91" i="2"/>
  <c r="BB147" i="2"/>
  <c r="BN54" i="2"/>
  <c r="AW173" i="2"/>
  <c r="BB143" i="2"/>
  <c r="BB241" i="2"/>
  <c r="BF196" i="2"/>
  <c r="BG139" i="2"/>
  <c r="BN120" i="2"/>
  <c r="BL197" i="2"/>
  <c r="BB208" i="2"/>
  <c r="BQ232" i="2"/>
  <c r="BK81" i="2"/>
  <c r="AU137" i="2"/>
  <c r="AR64" i="2"/>
  <c r="BF60" i="2"/>
  <c r="BP58" i="2"/>
  <c r="BQ231" i="2"/>
  <c r="BC249" i="2"/>
  <c r="BI192" i="2"/>
  <c r="BC181" i="2"/>
  <c r="BK131" i="2"/>
  <c r="BK91" i="2"/>
  <c r="AW155" i="2"/>
  <c r="AX121" i="2"/>
  <c r="BF193" i="2"/>
  <c r="BL214" i="2"/>
  <c r="BH244" i="2"/>
  <c r="BI56" i="2"/>
  <c r="AW235" i="2"/>
  <c r="AU99" i="2"/>
  <c r="BP249" i="2"/>
  <c r="BO79" i="2"/>
  <c r="BD257" i="2"/>
  <c r="BQ133" i="2"/>
  <c r="AU251" i="2"/>
  <c r="BR244" i="2"/>
  <c r="AW136" i="2"/>
  <c r="BG164" i="2"/>
  <c r="BC56" i="2"/>
  <c r="BH148" i="2"/>
  <c r="BQ112" i="2"/>
  <c r="AW166" i="2"/>
  <c r="BF230" i="2"/>
  <c r="BN67" i="2"/>
  <c r="AQ120" i="2"/>
  <c r="AS91" i="2"/>
  <c r="AR177" i="2"/>
  <c r="AQ74" i="2"/>
  <c r="BB243" i="2"/>
  <c r="BR125" i="2"/>
  <c r="AR99" i="2"/>
  <c r="AY57" i="2"/>
  <c r="AU114" i="2"/>
  <c r="BE198" i="2"/>
  <c r="BC150" i="2"/>
  <c r="BF213" i="2"/>
  <c r="BC79" i="2"/>
  <c r="AV136" i="2"/>
  <c r="BQ228" i="2"/>
  <c r="AQ115" i="2"/>
  <c r="BK73" i="2"/>
  <c r="AQ91" i="2"/>
  <c r="BB237" i="2"/>
  <c r="AY199" i="2"/>
  <c r="BN179" i="2"/>
  <c r="BK62" i="2"/>
  <c r="BA110" i="2"/>
  <c r="AR116" i="2"/>
  <c r="BB166" i="2"/>
  <c r="BL86" i="2"/>
  <c r="BC119" i="2"/>
  <c r="AT87" i="2"/>
  <c r="BB106" i="2"/>
  <c r="BH119" i="2"/>
  <c r="AW152" i="2"/>
  <c r="AR58" i="2"/>
  <c r="BB153" i="2"/>
  <c r="BN127" i="2"/>
  <c r="BF146" i="2"/>
  <c r="AR191" i="2"/>
  <c r="BH166" i="2"/>
  <c r="BG106" i="2"/>
  <c r="AU201" i="2"/>
  <c r="AS149" i="2"/>
  <c r="BL223" i="2"/>
  <c r="BG156" i="2"/>
  <c r="BI102" i="2"/>
  <c r="AQ102" i="2"/>
  <c r="AS154" i="2"/>
  <c r="BR156" i="2"/>
  <c r="BC76" i="2"/>
  <c r="BA202" i="2"/>
  <c r="BG66" i="2"/>
  <c r="BC82" i="2"/>
  <c r="BC144" i="2"/>
  <c r="BE81" i="2"/>
  <c r="AU247" i="2"/>
  <c r="BC252" i="2"/>
  <c r="AV58" i="2"/>
  <c r="BL68" i="2"/>
  <c r="AW258" i="2"/>
  <c r="BC122" i="2"/>
  <c r="AV102" i="2"/>
  <c r="AQ177" i="2"/>
  <c r="AT60" i="2"/>
  <c r="AV86" i="2"/>
  <c r="BA173" i="2"/>
  <c r="AX97" i="2"/>
  <c r="BC112" i="2"/>
  <c r="AR117" i="2"/>
  <c r="BO186" i="2"/>
  <c r="BQ132" i="2"/>
  <c r="AS56" i="2"/>
  <c r="BM191" i="2"/>
  <c r="AR144" i="2"/>
  <c r="BO65" i="2"/>
  <c r="BM159" i="2"/>
  <c r="BP74" i="2"/>
  <c r="BN195" i="2"/>
  <c r="BO258" i="2"/>
  <c r="AQ63" i="2"/>
  <c r="BF170" i="2"/>
  <c r="BM212" i="2"/>
  <c r="BO194" i="2"/>
  <c r="AV159" i="2"/>
  <c r="BO150" i="2"/>
  <c r="AW89" i="2"/>
  <c r="AV149" i="2"/>
  <c r="AU208" i="2"/>
  <c r="BG161" i="2"/>
  <c r="BI55" i="2"/>
  <c r="BM99" i="2"/>
  <c r="BH229" i="2"/>
  <c r="BO216" i="2"/>
  <c r="AX55" i="2"/>
  <c r="BB200" i="2"/>
  <c r="AY101" i="2"/>
  <c r="BM75" i="2"/>
  <c r="BE74" i="2"/>
  <c r="AS180" i="2"/>
  <c r="BN185" i="2"/>
  <c r="AU220" i="2"/>
  <c r="AR91" i="2"/>
  <c r="BP119" i="2"/>
  <c r="BP55" i="2"/>
  <c r="BC95" i="2"/>
  <c r="AU248" i="2"/>
  <c r="BD166" i="2"/>
  <c r="AU176" i="2"/>
  <c r="AW229" i="2"/>
  <c r="BF178" i="2"/>
  <c r="BA103" i="2"/>
  <c r="BR154" i="2"/>
  <c r="BR232" i="2"/>
  <c r="AW100" i="2"/>
  <c r="AS153" i="2"/>
  <c r="BO94" i="2"/>
  <c r="BO97" i="2"/>
  <c r="BQ247" i="2"/>
  <c r="BJ54" i="2"/>
  <c r="BO227" i="2"/>
  <c r="AQ163" i="2"/>
  <c r="BK196" i="2"/>
  <c r="BO139" i="2"/>
  <c r="AU231" i="2"/>
  <c r="BR264" i="2"/>
  <c r="BG220" i="2"/>
  <c r="BG93" i="2"/>
  <c r="BJ149" i="2"/>
  <c r="BF269" i="2"/>
  <c r="AQ79" i="2"/>
  <c r="BG115" i="2"/>
  <c r="AQ72" i="2"/>
  <c r="BM200" i="2"/>
  <c r="BH154" i="2"/>
  <c r="BK58" i="2"/>
  <c r="BH65" i="2"/>
  <c r="BB265" i="2"/>
  <c r="AU122" i="2"/>
  <c r="BH249" i="2"/>
  <c r="BG89" i="2"/>
  <c r="AQ184" i="2"/>
  <c r="BN218" i="2"/>
  <c r="BQ77" i="2"/>
  <c r="BD176" i="2"/>
  <c r="AW97" i="2"/>
  <c r="AX112" i="2"/>
  <c r="BD154" i="2"/>
  <c r="BE64" i="2"/>
  <c r="BG177" i="2"/>
  <c r="BP123" i="2"/>
  <c r="BQ146" i="2"/>
  <c r="BA77" i="2"/>
  <c r="BI70" i="2"/>
  <c r="AU111" i="2"/>
  <c r="BB91" i="2"/>
  <c r="BQ60" i="2"/>
  <c r="BJ185" i="2"/>
  <c r="BA59" i="2"/>
  <c r="BF262" i="2"/>
  <c r="BP222" i="2"/>
  <c r="BC194" i="2"/>
  <c r="BL103" i="2"/>
  <c r="BR184" i="2"/>
  <c r="BN108" i="2"/>
  <c r="BP252" i="2"/>
  <c r="BJ118" i="2"/>
  <c r="BJ136" i="2"/>
  <c r="AV96" i="2"/>
  <c r="BL171" i="2"/>
  <c r="BJ165" i="2"/>
  <c r="AV107" i="2"/>
  <c r="BL179" i="2"/>
  <c r="BA127" i="2"/>
  <c r="AR105" i="2"/>
  <c r="AX74" i="2"/>
  <c r="AW95" i="2"/>
  <c r="BA194" i="2"/>
  <c r="BO123" i="2"/>
  <c r="BK139" i="2"/>
  <c r="BO184" i="2"/>
  <c r="BQ229" i="2"/>
  <c r="BN66" i="2"/>
  <c r="BD256" i="2"/>
  <c r="BP118" i="2"/>
  <c r="AU101" i="2"/>
  <c r="AT104" i="2"/>
  <c r="BH216" i="2"/>
  <c r="BB57" i="2"/>
  <c r="AQ125" i="2"/>
  <c r="BQ120" i="2"/>
  <c r="BO78" i="2"/>
  <c r="BR258" i="2"/>
  <c r="BC128" i="2"/>
  <c r="BC247" i="2"/>
  <c r="BB118" i="2"/>
  <c r="BA113" i="2"/>
  <c r="BD178" i="2"/>
  <c r="BG129" i="2"/>
  <c r="BA136" i="2"/>
  <c r="BG173" i="2"/>
  <c r="BI110" i="2"/>
  <c r="AQ144" i="2"/>
  <c r="AS166" i="2"/>
  <c r="AY179" i="2"/>
  <c r="BO226" i="2"/>
  <c r="BM118" i="2"/>
  <c r="BI69" i="2"/>
  <c r="AT92" i="2"/>
  <c r="BR105" i="2"/>
  <c r="BL156" i="2"/>
  <c r="BR255" i="2"/>
  <c r="AR174" i="2"/>
  <c r="AV171" i="2"/>
  <c r="BF87" i="2"/>
  <c r="BJ81" i="2"/>
  <c r="BJ162" i="2"/>
  <c r="BG127" i="2"/>
  <c r="AS71" i="2"/>
  <c r="AY208" i="2"/>
  <c r="AV147" i="2"/>
  <c r="AS103" i="2"/>
  <c r="BN142" i="2"/>
  <c r="AQ167" i="2"/>
  <c r="BF68" i="2"/>
  <c r="BO196" i="2"/>
  <c r="AQ76" i="2"/>
  <c r="BJ177" i="2"/>
  <c r="BQ103" i="2"/>
  <c r="BH143" i="2"/>
  <c r="BG114" i="2"/>
  <c r="BJ170" i="2"/>
  <c r="AU186" i="2"/>
  <c r="BJ57" i="2"/>
  <c r="BL227" i="2"/>
  <c r="BB240" i="2"/>
  <c r="BD214" i="2"/>
  <c r="BM181" i="2"/>
  <c r="BH140" i="2"/>
  <c r="BF205" i="2"/>
  <c r="BC220" i="2"/>
  <c r="BG85" i="2"/>
  <c r="BC198" i="2"/>
  <c r="BE228" i="2"/>
  <c r="BJ184" i="2"/>
  <c r="BR166" i="2"/>
  <c r="BA196" i="2"/>
  <c r="BL245" i="2"/>
  <c r="BK101" i="2"/>
  <c r="AU92" i="2"/>
  <c r="BF126" i="2"/>
  <c r="BH232" i="2"/>
  <c r="BH235" i="2"/>
  <c r="BH212" i="2"/>
  <c r="AX57" i="2"/>
  <c r="BA116" i="2"/>
  <c r="BR86" i="2"/>
  <c r="BD226" i="2"/>
  <c r="AS198" i="2"/>
  <c r="BR223" i="2"/>
  <c r="BM91" i="2"/>
  <c r="AQ80" i="2"/>
  <c r="BK87" i="2"/>
  <c r="AR175" i="2"/>
  <c r="BE155" i="2"/>
  <c r="AW135" i="2"/>
  <c r="BF56" i="2"/>
  <c r="BP185" i="2"/>
  <c r="BR231" i="2"/>
  <c r="BQ68" i="2"/>
  <c r="BG144" i="2"/>
  <c r="AU83" i="2"/>
  <c r="AY53" i="2"/>
  <c r="BP100" i="2"/>
  <c r="BC146" i="2"/>
  <c r="BO129" i="2"/>
  <c r="BL67" i="2"/>
  <c r="BR74" i="2"/>
  <c r="BF257" i="2"/>
  <c r="BD152" i="2"/>
  <c r="BR66" i="2"/>
  <c r="AV215" i="2"/>
  <c r="BN116" i="2"/>
  <c r="BE85" i="2"/>
  <c r="BA138" i="2"/>
  <c r="BN75" i="2"/>
  <c r="AY180" i="2"/>
  <c r="BJ121" i="2"/>
  <c r="AV72" i="2"/>
  <c r="AY93" i="2"/>
  <c r="BE179" i="2"/>
  <c r="AR157" i="2"/>
  <c r="BK55" i="2"/>
  <c r="BP134" i="2"/>
  <c r="BM70" i="2"/>
  <c r="BH245" i="2"/>
  <c r="BR140" i="2"/>
  <c r="BA200" i="2"/>
  <c r="BO148" i="2"/>
  <c r="BF120" i="2"/>
  <c r="AR189" i="2"/>
  <c r="AU233" i="2"/>
  <c r="BO181" i="2"/>
  <c r="BQ179" i="2"/>
  <c r="BM105" i="2"/>
  <c r="BQ245" i="2"/>
  <c r="BE165" i="2"/>
  <c r="AU104" i="2"/>
  <c r="AS140" i="2"/>
  <c r="BE143" i="2"/>
  <c r="BA107" i="2"/>
  <c r="BE134" i="2"/>
  <c r="BF101" i="2"/>
  <c r="BE219" i="2"/>
  <c r="AY107" i="2"/>
  <c r="AU150" i="2"/>
  <c r="AT71" i="2"/>
  <c r="BP159" i="2"/>
  <c r="BM117" i="2"/>
  <c r="BO214" i="2"/>
  <c r="BG223" i="2"/>
  <c r="BQ71" i="2"/>
  <c r="BB209" i="2"/>
  <c r="BB116" i="2"/>
  <c r="AY206" i="2"/>
  <c r="BI162" i="2"/>
  <c r="BL77" i="2"/>
  <c r="AV207" i="2"/>
  <c r="AW67" i="2"/>
  <c r="BR270" i="2"/>
  <c r="AS158" i="2"/>
  <c r="BL225" i="2"/>
  <c r="BQ72" i="2"/>
  <c r="AX59" i="2"/>
  <c r="BE184" i="2"/>
  <c r="AS113" i="2"/>
  <c r="BN79" i="2"/>
  <c r="BB127" i="2"/>
  <c r="BE60" i="2"/>
  <c r="BO143" i="2"/>
  <c r="AU159" i="2"/>
  <c r="BR77" i="2"/>
  <c r="BH66" i="2"/>
  <c r="AU151" i="2"/>
  <c r="AQ165" i="2"/>
  <c r="BC167" i="2"/>
  <c r="BD92" i="2"/>
  <c r="BB82" i="2"/>
  <c r="BD64" i="2"/>
  <c r="AS181" i="2"/>
  <c r="BF200" i="2"/>
  <c r="BN83" i="2"/>
  <c r="AS163" i="2"/>
  <c r="BB60" i="2"/>
  <c r="AU58" i="2"/>
  <c r="AU125" i="2"/>
  <c r="BA176" i="2"/>
  <c r="AY169" i="2"/>
  <c r="AY157" i="2"/>
  <c r="AR196" i="2"/>
  <c r="BK157" i="2"/>
  <c r="AT85" i="2"/>
  <c r="BL255" i="2"/>
  <c r="BD191" i="2"/>
  <c r="AS155" i="2"/>
  <c r="AT110" i="2"/>
  <c r="AV219" i="2"/>
  <c r="BP217" i="2"/>
  <c r="BN61" i="2"/>
  <c r="BR155" i="2"/>
  <c r="BQ147" i="2"/>
  <c r="BK152" i="2"/>
  <c r="BL169" i="2"/>
  <c r="BK83" i="2"/>
  <c r="BR119" i="2"/>
  <c r="BG143" i="2"/>
  <c r="AW63" i="2"/>
  <c r="BA167" i="2"/>
  <c r="AW193" i="2"/>
  <c r="BD104" i="2"/>
  <c r="AY113" i="2"/>
  <c r="AY80" i="2"/>
  <c r="BK171" i="2"/>
  <c r="BH164" i="2"/>
  <c r="AW159" i="2"/>
  <c r="BE169" i="2"/>
  <c r="AT64" i="2"/>
  <c r="BB80" i="2"/>
  <c r="BP95" i="2"/>
  <c r="AU140" i="2"/>
  <c r="AW94" i="2"/>
  <c r="BC130" i="2"/>
  <c r="BI96" i="2"/>
  <c r="BD105" i="2"/>
  <c r="BH54" i="2"/>
  <c r="AX85" i="2"/>
  <c r="AS95" i="2"/>
  <c r="AW76" i="2"/>
  <c r="BD247" i="2"/>
  <c r="BI76" i="2"/>
  <c r="BA102" i="2"/>
  <c r="BG131" i="2"/>
  <c r="BA148" i="2"/>
  <c r="BD126" i="2"/>
  <c r="BI127" i="2"/>
  <c r="AU237" i="2"/>
  <c r="BD76" i="2"/>
  <c r="AQ127" i="2"/>
  <c r="BQ162" i="2"/>
  <c r="BN173" i="2"/>
  <c r="BK159" i="2"/>
  <c r="BI153" i="2"/>
  <c r="BA186" i="2"/>
  <c r="BB77" i="2"/>
  <c r="BP162" i="2"/>
  <c r="BH258" i="2"/>
  <c r="BN102" i="2"/>
  <c r="BE171" i="2"/>
  <c r="BO164" i="2"/>
  <c r="BM155" i="2"/>
  <c r="BH160" i="2"/>
  <c r="AS111" i="2"/>
  <c r="AY196" i="2"/>
  <c r="BF150" i="2"/>
  <c r="AW60" i="2"/>
  <c r="BM192" i="2"/>
  <c r="BP147" i="2"/>
  <c r="BG72" i="2"/>
  <c r="AY201" i="2"/>
  <c r="BN154" i="2"/>
  <c r="BM119" i="2"/>
  <c r="AQ108" i="2"/>
  <c r="AQ206" i="2"/>
  <c r="AV95" i="2"/>
  <c r="BO203" i="2"/>
  <c r="AT91" i="2"/>
  <c r="BH227" i="2"/>
  <c r="BJ113" i="2"/>
  <c r="BF89" i="2"/>
  <c r="BN208" i="2"/>
  <c r="BN95" i="2"/>
  <c r="BQ108" i="2"/>
  <c r="AU257" i="2"/>
  <c r="BD173" i="2"/>
  <c r="AV121" i="2"/>
  <c r="AS167" i="2"/>
  <c r="BP237" i="2"/>
  <c r="BP258" i="2"/>
  <c r="BD69" i="2"/>
  <c r="BD251" i="2"/>
  <c r="BR240" i="2"/>
  <c r="AY129" i="2"/>
  <c r="BF238" i="2"/>
  <c r="BF192" i="2"/>
  <c r="AQ53" i="2"/>
  <c r="BD186" i="2"/>
  <c r="BP171" i="2"/>
  <c r="BH112" i="2"/>
  <c r="BB218" i="2"/>
  <c r="BC169" i="2"/>
  <c r="BI72" i="2"/>
  <c r="BL137" i="2"/>
  <c r="AW249" i="2"/>
  <c r="BB142" i="2"/>
  <c r="BM144" i="2"/>
  <c r="BL140" i="2"/>
  <c r="BE183" i="2"/>
  <c r="BL150" i="2"/>
  <c r="BM137" i="2"/>
  <c r="BH107" i="2"/>
  <c r="BI82" i="2"/>
  <c r="BH53" i="2"/>
  <c r="BA123" i="2"/>
  <c r="BB255" i="2"/>
  <c r="AY151" i="2"/>
  <c r="BB264" i="2"/>
  <c r="AS160" i="2"/>
  <c r="BG149" i="2"/>
  <c r="AW125" i="2"/>
  <c r="AW227" i="2"/>
  <c r="BC135" i="2"/>
  <c r="BB199" i="2"/>
  <c r="BR266" i="2"/>
  <c r="BR92" i="2"/>
  <c r="BL76" i="2"/>
  <c r="BD151" i="2"/>
  <c r="BB136" i="2"/>
  <c r="BC207" i="2"/>
  <c r="BJ59" i="2"/>
  <c r="BJ126" i="2"/>
  <c r="AQ148" i="2"/>
  <c r="BL159" i="2"/>
  <c r="AV222" i="2"/>
  <c r="BH210" i="2"/>
  <c r="BB162" i="2"/>
  <c r="BE78" i="2"/>
  <c r="BB212" i="2"/>
  <c r="BK93" i="2"/>
  <c r="AV199" i="2"/>
  <c r="AQ198" i="2"/>
  <c r="BH76" i="2"/>
  <c r="BF79" i="2"/>
  <c r="BL138" i="2"/>
  <c r="AS213" i="2"/>
  <c r="AT88" i="2"/>
  <c r="BE123" i="2"/>
  <c r="BO60" i="2"/>
  <c r="BD110" i="2"/>
  <c r="BP220" i="2"/>
  <c r="BE186" i="2"/>
  <c r="AQ139" i="2"/>
  <c r="AQ225" i="2"/>
  <c r="AX139" i="2"/>
  <c r="BA72" i="2"/>
  <c r="BA209" i="2"/>
  <c r="AX89" i="2"/>
  <c r="BM126" i="2"/>
  <c r="AT120" i="2"/>
  <c r="AR59" i="2"/>
  <c r="AT75" i="2"/>
  <c r="BP155" i="2"/>
  <c r="BC64" i="2"/>
  <c r="BR208" i="2"/>
  <c r="BM169" i="2"/>
  <c r="BL109" i="2"/>
  <c r="BA108" i="2"/>
  <c r="AU245" i="2"/>
  <c r="AW112" i="2"/>
  <c r="BK106" i="2"/>
  <c r="BR55" i="2"/>
  <c r="BR211" i="2"/>
  <c r="BC59" i="2"/>
  <c r="AV68" i="2"/>
  <c r="BQ58" i="2"/>
  <c r="BD196" i="2"/>
  <c r="AU148" i="2"/>
  <c r="BD136" i="2"/>
  <c r="AY127" i="2"/>
  <c r="BH116" i="2"/>
  <c r="BK133" i="2"/>
  <c r="AV140" i="2"/>
  <c r="AQ155" i="2"/>
  <c r="BL188" i="2"/>
  <c r="BP140" i="2"/>
  <c r="BC104" i="2"/>
  <c r="AV221" i="2"/>
  <c r="BG159" i="2"/>
  <c r="BI140" i="2"/>
  <c r="BD61" i="2"/>
  <c r="BB152" i="2"/>
  <c r="BC153" i="2"/>
  <c r="BP88" i="2"/>
  <c r="AY133" i="2"/>
  <c r="AV142" i="2"/>
  <c r="BB204" i="2"/>
  <c r="BH202" i="2"/>
  <c r="BF103" i="2"/>
  <c r="AW175" i="2"/>
  <c r="BH260" i="2"/>
  <c r="AU172" i="2"/>
  <c r="BO120" i="2"/>
  <c r="BC191" i="2"/>
  <c r="BQ225" i="2"/>
  <c r="BP84" i="2"/>
  <c r="AU209" i="2"/>
  <c r="AR60" i="2"/>
  <c r="AQ157" i="2"/>
  <c r="AV113" i="2"/>
  <c r="BD185" i="2"/>
  <c r="AQ168" i="2"/>
  <c r="BR79" i="2"/>
  <c r="AR120" i="2"/>
  <c r="BE202" i="2"/>
  <c r="BJ172" i="2"/>
  <c r="BA76" i="2"/>
  <c r="AS118" i="2"/>
  <c r="BF252" i="2"/>
  <c r="AR128" i="2"/>
  <c r="AU112" i="2"/>
  <c r="BP195" i="2"/>
  <c r="BR151" i="2"/>
  <c r="BQ201" i="2"/>
  <c r="BL82" i="2"/>
  <c r="BD254" i="2"/>
  <c r="AT137" i="2"/>
  <c r="BM98" i="2"/>
  <c r="BB129" i="2"/>
  <c r="AR184" i="2"/>
  <c r="BD209" i="2"/>
  <c r="AS211" i="2"/>
  <c r="BM87" i="2"/>
  <c r="BL133" i="2"/>
  <c r="BJ180" i="2"/>
  <c r="BL79" i="2"/>
  <c r="AU76" i="2"/>
  <c r="AQ213" i="2"/>
  <c r="BO231" i="2"/>
  <c r="BR146" i="2"/>
  <c r="BP110" i="2"/>
  <c r="BO87" i="2"/>
  <c r="AS174" i="2"/>
  <c r="AT93" i="2"/>
  <c r="AY114" i="2"/>
  <c r="BF253" i="2"/>
  <c r="BI131" i="2"/>
  <c r="BQ187" i="2"/>
  <c r="BN191" i="2"/>
  <c r="BG167" i="2"/>
  <c r="BO158" i="2"/>
  <c r="AW239" i="2"/>
  <c r="AU196" i="2"/>
  <c r="BJ131" i="2"/>
  <c r="AV150" i="2"/>
  <c r="BB144" i="2"/>
  <c r="BM72" i="2"/>
  <c r="BN89" i="2"/>
  <c r="AU243" i="2"/>
  <c r="BI61" i="2"/>
  <c r="AY95" i="2"/>
  <c r="BL174" i="2"/>
  <c r="BC118" i="2"/>
  <c r="AR197" i="2"/>
  <c r="BC236" i="2"/>
  <c r="BO234" i="2"/>
  <c r="BB188" i="2"/>
  <c r="BC91" i="2"/>
  <c r="BB70" i="2"/>
  <c r="BP152" i="2"/>
  <c r="BF82" i="2"/>
  <c r="BE206" i="2"/>
  <c r="BB181" i="2"/>
  <c r="AS216" i="2"/>
  <c r="BR242" i="2"/>
  <c r="AV170" i="2"/>
  <c r="BP120" i="2"/>
  <c r="BK102" i="2"/>
  <c r="BE53" i="2"/>
  <c r="BR170" i="2"/>
  <c r="BO147" i="2"/>
  <c r="BM78" i="2"/>
  <c r="BD193" i="2"/>
  <c r="BL110" i="2"/>
  <c r="AQ114" i="2"/>
  <c r="BF209" i="2"/>
  <c r="BN156" i="2"/>
  <c r="BR59" i="2"/>
  <c r="BH72" i="2"/>
  <c r="AX120" i="2"/>
  <c r="AT138" i="2"/>
  <c r="BK56" i="2"/>
  <c r="BR253" i="2"/>
  <c r="AV241" i="2"/>
  <c r="BR130" i="2"/>
  <c r="BO115" i="2"/>
  <c r="BF95" i="2"/>
  <c r="BH150" i="2"/>
  <c r="BM111" i="2"/>
  <c r="BH81" i="2"/>
  <c r="BO117" i="2"/>
  <c r="BJ133" i="2"/>
  <c r="BB112" i="2"/>
  <c r="BO200" i="2"/>
  <c r="AV229" i="2"/>
  <c r="AR83" i="2"/>
  <c r="BA75" i="2"/>
  <c r="AU230" i="2"/>
  <c r="BO256" i="2"/>
  <c r="AR85" i="2"/>
  <c r="BC107" i="2"/>
  <c r="AW203" i="2"/>
  <c r="BR178" i="2"/>
  <c r="BB257" i="2"/>
  <c r="AX117" i="2"/>
  <c r="BO207" i="2"/>
  <c r="BK169" i="2"/>
  <c r="BG74" i="2"/>
  <c r="BF139" i="2"/>
  <c r="AU165" i="2"/>
  <c r="BE215" i="2"/>
  <c r="BR246" i="2"/>
  <c r="AU223" i="2"/>
  <c r="BO70" i="2"/>
  <c r="BL263" i="2"/>
  <c r="AT74" i="2"/>
  <c r="BD233" i="2"/>
  <c r="BF63" i="2"/>
  <c r="BI157" i="2"/>
  <c r="AX83" i="2"/>
  <c r="BC139" i="2"/>
  <c r="BP204" i="2"/>
  <c r="AW232" i="2"/>
  <c r="AQ175" i="2"/>
  <c r="AU64" i="2"/>
  <c r="BL236" i="2"/>
  <c r="BN92" i="2"/>
  <c r="BE185" i="2"/>
  <c r="BB178" i="2"/>
  <c r="AV85" i="2"/>
  <c r="BD124" i="2"/>
  <c r="BJ60" i="2"/>
  <c r="AW141" i="2"/>
  <c r="BE140" i="2"/>
  <c r="AW103" i="2"/>
  <c r="BP197" i="2"/>
  <c r="BF114" i="2"/>
  <c r="AS208" i="2"/>
  <c r="AY198" i="2"/>
  <c r="BD218" i="2"/>
  <c r="BQ180" i="2"/>
  <c r="BR188" i="2"/>
  <c r="BG227" i="2"/>
  <c r="BL114" i="2"/>
  <c r="BL248" i="2"/>
  <c r="BK168" i="2"/>
  <c r="BL224" i="2"/>
  <c r="BE71" i="2"/>
  <c r="BJ64" i="2"/>
  <c r="BQ208" i="2"/>
  <c r="BQ230" i="2"/>
  <c r="BC254" i="2"/>
  <c r="AW68" i="2"/>
  <c r="BP261" i="2"/>
  <c r="BB53" i="2"/>
  <c r="BP81" i="2"/>
  <c r="BC205" i="2"/>
  <c r="BL175" i="2"/>
  <c r="BO250" i="2"/>
  <c r="BQ189" i="2"/>
  <c r="BC127" i="2"/>
  <c r="BK72" i="2"/>
  <c r="BM176" i="2"/>
  <c r="BJ120" i="2"/>
  <c r="AQ202" i="2"/>
  <c r="BI84" i="2"/>
  <c r="BR48" i="2"/>
  <c r="BR102" i="2"/>
  <c r="AY164" i="2"/>
  <c r="BP175" i="2"/>
  <c r="BG194" i="2"/>
  <c r="AY75" i="2"/>
  <c r="BK123" i="2"/>
  <c r="BL218" i="2"/>
  <c r="BC241" i="2"/>
  <c r="AW98" i="2"/>
  <c r="BQ234" i="2"/>
  <c r="AR110" i="2"/>
  <c r="BI80" i="2"/>
  <c r="AU218" i="2"/>
  <c r="BA54" i="2"/>
  <c r="BR165" i="2"/>
  <c r="AW119" i="2"/>
  <c r="BL85" i="2"/>
  <c r="AV167" i="2"/>
  <c r="BA204" i="2"/>
  <c r="BR243" i="2"/>
  <c r="AQ220" i="2"/>
  <c r="BG76" i="2"/>
  <c r="BP206" i="2"/>
  <c r="BG181" i="2"/>
  <c r="AY216" i="2"/>
  <c r="AW55" i="2"/>
  <c r="BE131" i="2"/>
  <c r="BJ74" i="2"/>
  <c r="AU154" i="2"/>
  <c r="AS101" i="2"/>
  <c r="BM197" i="2"/>
  <c r="AW85" i="2"/>
  <c r="BC245" i="2"/>
  <c r="BM103" i="2"/>
  <c r="AU95" i="2"/>
  <c r="BM77" i="2"/>
  <c r="BC87" i="2"/>
  <c r="BD259" i="2"/>
  <c r="BM59" i="2"/>
  <c r="BJ152" i="2"/>
  <c r="BE193" i="2"/>
  <c r="AV180" i="2"/>
  <c r="AU221" i="2"/>
  <c r="BO154" i="2"/>
  <c r="AU217" i="2"/>
  <c r="BF124" i="2"/>
  <c r="BD103" i="2"/>
  <c r="AQ87" i="2"/>
  <c r="BK135" i="2"/>
  <c r="BA82" i="2"/>
  <c r="AT114" i="2"/>
  <c r="AS190" i="2"/>
  <c r="BM209" i="2"/>
  <c r="AY136" i="2"/>
  <c r="BL205" i="2"/>
  <c r="AW86" i="2"/>
  <c r="BC58" i="2"/>
  <c r="AR84" i="2"/>
  <c r="BO86" i="2"/>
  <c r="BJ92" i="2"/>
  <c r="AV203" i="2"/>
  <c r="AW146" i="2"/>
  <c r="BA168" i="2"/>
  <c r="BQ210" i="2"/>
  <c r="BL71" i="2"/>
  <c r="AW162" i="2"/>
  <c r="BL148" i="2"/>
  <c r="BR141" i="2"/>
  <c r="AS206" i="2"/>
  <c r="AS75" i="2"/>
  <c r="AR92" i="2"/>
  <c r="BR251" i="2"/>
  <c r="BA134" i="2"/>
  <c r="BD87" i="2"/>
  <c r="AR111" i="2"/>
  <c r="BO187" i="2"/>
  <c r="BI59" i="2"/>
  <c r="BH180" i="2"/>
  <c r="BM116" i="2"/>
  <c r="BL57" i="2"/>
  <c r="BK186" i="2"/>
  <c r="AW74" i="2"/>
  <c r="BP259" i="2"/>
  <c r="AW139" i="2"/>
  <c r="BP130" i="2"/>
  <c r="BK80" i="2"/>
  <c r="BM166" i="2"/>
  <c r="BF198" i="2"/>
  <c r="BE178" i="2"/>
  <c r="BF174" i="2"/>
  <c r="BN62" i="2"/>
  <c r="BC243" i="2"/>
  <c r="BK155" i="2"/>
  <c r="BE212" i="2"/>
  <c r="BR112" i="2"/>
  <c r="BF207" i="2"/>
  <c r="AV134" i="2"/>
  <c r="BC178" i="2"/>
  <c r="BC174" i="2"/>
  <c r="AU81" i="2"/>
  <c r="BQ196" i="2"/>
  <c r="BH173" i="2"/>
  <c r="AV204" i="2"/>
  <c r="BP182" i="2"/>
  <c r="AY62" i="2"/>
  <c r="BH230" i="2"/>
  <c r="BO171" i="2"/>
  <c r="AS152" i="2"/>
  <c r="BJ82" i="2"/>
  <c r="BL208" i="2"/>
  <c r="AV158" i="2"/>
  <c r="BI116" i="2"/>
  <c r="BA66" i="2"/>
  <c r="BG168" i="2"/>
  <c r="BG126" i="2"/>
  <c r="BQ106" i="2"/>
  <c r="BR115" i="2"/>
  <c r="BI134" i="2"/>
  <c r="AR121" i="2"/>
  <c r="BA177" i="2"/>
  <c r="BG218" i="2"/>
  <c r="AQ173" i="2"/>
  <c r="BD95" i="2"/>
  <c r="BH208" i="2"/>
  <c r="BM219" i="2"/>
  <c r="AW57" i="2"/>
  <c r="BJ176" i="2"/>
  <c r="BK147" i="2"/>
  <c r="AT125" i="2"/>
  <c r="AU180" i="2"/>
  <c r="BD244" i="2"/>
  <c r="BI167" i="2"/>
  <c r="AR74" i="2"/>
  <c r="BG119" i="2"/>
  <c r="AQ103" i="2"/>
  <c r="AY143" i="2"/>
  <c r="BQ191" i="2"/>
  <c r="BN64" i="2"/>
  <c r="AU234" i="2"/>
  <c r="BO100" i="2"/>
  <c r="BC111" i="2"/>
  <c r="BD197" i="2"/>
  <c r="BD253" i="2"/>
  <c r="BO247" i="2"/>
  <c r="BN97" i="2"/>
  <c r="BH247" i="2"/>
  <c r="BI133" i="2"/>
  <c r="BR181" i="2"/>
  <c r="BK137" i="2"/>
  <c r="AR186" i="2"/>
  <c r="BC166" i="2"/>
  <c r="BK117" i="2"/>
  <c r="BM125" i="2"/>
  <c r="AQ121" i="2"/>
  <c r="AQ208" i="2"/>
  <c r="BQ136" i="2"/>
  <c r="BH97" i="2"/>
  <c r="AW104" i="2"/>
  <c r="AT124" i="2"/>
  <c r="BM180" i="2"/>
  <c r="BE129" i="2"/>
  <c r="BL207" i="2"/>
  <c r="BQ63" i="2"/>
  <c r="AV62" i="2"/>
  <c r="BB117" i="2"/>
  <c r="BJ188" i="2"/>
  <c r="BK148" i="2"/>
  <c r="BB168" i="2"/>
  <c r="AR198" i="2"/>
  <c r="BE89" i="2"/>
  <c r="BF57" i="2"/>
  <c r="BO130" i="2"/>
  <c r="BM208" i="2"/>
  <c r="AU268" i="2"/>
  <c r="BN93" i="2"/>
  <c r="AY140" i="2"/>
  <c r="BP207" i="2"/>
  <c r="BP229" i="2"/>
  <c r="AX67" i="2"/>
  <c r="BO195" i="2"/>
  <c r="BD182" i="2"/>
  <c r="AQ218" i="2"/>
  <c r="BG82" i="2"/>
  <c r="AU215" i="2"/>
  <c r="BE157" i="2"/>
  <c r="AW90" i="2"/>
  <c r="BR84" i="2"/>
  <c r="BH192" i="2"/>
  <c r="AW116" i="2"/>
  <c r="AV205" i="2"/>
  <c r="BH238" i="2"/>
  <c r="BF251" i="2"/>
  <c r="BQ209" i="2"/>
  <c r="BN194" i="2"/>
  <c r="BP94" i="2"/>
  <c r="BG96" i="2"/>
  <c r="BL243" i="2"/>
  <c r="BC230" i="2"/>
  <c r="BR257" i="2"/>
  <c r="BG192" i="2"/>
  <c r="BP232" i="2"/>
  <c r="BL190" i="2"/>
  <c r="AY63" i="2"/>
  <c r="BN174" i="2"/>
  <c r="BC125" i="2"/>
  <c r="BA117" i="2"/>
  <c r="AS226" i="2"/>
  <c r="BB111" i="2"/>
  <c r="AY98" i="2"/>
  <c r="BA53" i="2"/>
  <c r="BC98" i="2"/>
  <c r="BC223" i="2"/>
  <c r="BE95" i="2"/>
  <c r="BB246" i="2"/>
  <c r="BJ58" i="2"/>
  <c r="BJ56" i="2"/>
  <c r="BN189" i="2"/>
  <c r="BQ177" i="2"/>
  <c r="BP234" i="2"/>
  <c r="AW171" i="2"/>
  <c r="BF177" i="2"/>
  <c r="BO199" i="2"/>
  <c r="BR124" i="2"/>
  <c r="BK179" i="2"/>
  <c r="BM110" i="2"/>
  <c r="BJ110" i="2"/>
  <c r="AR178" i="2"/>
  <c r="BB101" i="2"/>
  <c r="AR73" i="2"/>
  <c r="BD243" i="2"/>
  <c r="BD255" i="2"/>
  <c r="BM213" i="2"/>
  <c r="BM101" i="2"/>
  <c r="BB238" i="2"/>
  <c r="AV245" i="2"/>
  <c r="BH220" i="2"/>
  <c r="AQ224" i="2"/>
  <c r="AW211" i="2"/>
  <c r="BL64" i="2"/>
  <c r="BE127" i="2"/>
  <c r="BI53" i="2"/>
  <c r="BA135" i="2"/>
  <c r="AR96" i="2"/>
  <c r="BO101" i="2"/>
  <c r="BL56" i="2"/>
  <c r="AV74" i="2"/>
  <c r="BH251" i="2"/>
  <c r="BO167" i="2"/>
  <c r="BP166" i="2"/>
  <c r="BQ176" i="2"/>
  <c r="BG214" i="2"/>
  <c r="AW192" i="2"/>
  <c r="BK193" i="2"/>
  <c r="AU170" i="2"/>
  <c r="BR71" i="2"/>
  <c r="BC192" i="2"/>
  <c r="BJ183" i="2"/>
  <c r="AQ186" i="2"/>
  <c r="BK195" i="2"/>
  <c r="BO176" i="2"/>
  <c r="BJ153" i="2"/>
  <c r="BH255" i="2"/>
  <c r="AS204" i="2"/>
  <c r="BB256" i="2"/>
  <c r="AY145" i="2"/>
  <c r="BH110" i="2"/>
  <c r="BD228" i="2"/>
  <c r="BO159" i="2"/>
  <c r="AQ204" i="2"/>
  <c r="BP250" i="2"/>
  <c r="BC176" i="2"/>
  <c r="AQ134" i="2"/>
  <c r="BE91" i="2"/>
  <c r="BP186" i="2"/>
  <c r="BM83" i="2"/>
  <c r="BH144" i="2"/>
  <c r="AW179" i="2"/>
  <c r="BD83" i="2"/>
  <c r="BR235" i="2"/>
  <c r="BH209" i="2"/>
  <c r="BN121" i="2"/>
  <c r="BH73" i="2"/>
  <c r="BO69" i="2"/>
  <c r="BF248" i="2"/>
  <c r="BL119" i="2"/>
  <c r="BA88" i="2"/>
  <c r="BN138" i="2"/>
  <c r="BC227" i="2"/>
  <c r="AV183" i="2"/>
  <c r="BB217" i="2"/>
  <c r="AQ174" i="2"/>
  <c r="AU260" i="2"/>
  <c r="BL121" i="2"/>
  <c r="AY182" i="2"/>
  <c r="BA210" i="2"/>
  <c r="AV187" i="2"/>
  <c r="BP77" i="2"/>
  <c r="BQ53" i="2"/>
  <c r="BP79" i="2"/>
  <c r="BG212" i="2"/>
  <c r="AR193" i="2"/>
  <c r="BO107" i="2"/>
  <c r="BL177" i="2"/>
  <c r="AW134" i="2"/>
  <c r="BF220" i="2"/>
  <c r="BK180" i="2"/>
  <c r="BC102" i="2"/>
  <c r="AS170" i="2"/>
  <c r="BQ73" i="2"/>
  <c r="AT97" i="2"/>
  <c r="AV70" i="2"/>
  <c r="AV130" i="2"/>
  <c r="BP223" i="2"/>
  <c r="BN192" i="2"/>
  <c r="BK150" i="2"/>
  <c r="AY85" i="2"/>
  <c r="BI99" i="2"/>
  <c r="BL199" i="2"/>
  <c r="BL73" i="2"/>
  <c r="BB124" i="2"/>
  <c r="BF106" i="2"/>
  <c r="AR130" i="2"/>
  <c r="BH91" i="2"/>
  <c r="AV192" i="2"/>
  <c r="BO244" i="2"/>
  <c r="AR122" i="2"/>
  <c r="AS189" i="2"/>
  <c r="AQ223" i="2"/>
  <c r="BD91" i="2"/>
  <c r="BA97" i="2"/>
  <c r="AU227" i="2"/>
  <c r="AR148" i="2"/>
  <c r="AV111" i="2"/>
  <c r="AQ181" i="2"/>
  <c r="BB251" i="2"/>
  <c r="BB83" i="2"/>
  <c r="BJ96" i="2"/>
  <c r="AS64" i="2"/>
  <c r="BQ207" i="2"/>
  <c r="AU75" i="2"/>
  <c r="BO210" i="2"/>
  <c r="BP113" i="2"/>
  <c r="AQ149" i="2"/>
  <c r="BK115" i="2"/>
  <c r="AW172" i="2"/>
  <c r="BD252" i="2"/>
  <c r="BQ178" i="2"/>
  <c r="BP216" i="2"/>
  <c r="AU191" i="2"/>
  <c r="BP66" i="2"/>
  <c r="BE168" i="2"/>
  <c r="AV182" i="2"/>
  <c r="BA195" i="2"/>
  <c r="BL160" i="2"/>
  <c r="AR131" i="2"/>
  <c r="BR122" i="2"/>
  <c r="AX69" i="2"/>
  <c r="AV91" i="2"/>
  <c r="AR140" i="2"/>
  <c r="AT55" i="2"/>
  <c r="BA56" i="2"/>
  <c r="BG109" i="2"/>
  <c r="BD168" i="2"/>
  <c r="BB228" i="2"/>
  <c r="BQ237" i="2"/>
  <c r="BD216" i="2"/>
  <c r="BD190" i="2"/>
  <c r="AW168" i="2"/>
  <c r="BH254" i="2"/>
  <c r="BD181" i="2"/>
  <c r="BI126" i="2"/>
  <c r="BF152" i="2"/>
  <c r="AY152" i="2"/>
  <c r="AY156" i="2"/>
  <c r="BA115" i="2"/>
  <c r="BP89" i="2"/>
  <c r="AW208" i="2"/>
  <c r="AR102" i="2"/>
  <c r="BH253" i="2"/>
  <c r="BL92" i="2"/>
  <c r="BB75" i="2"/>
  <c r="BB159" i="2"/>
  <c r="AQ215" i="2"/>
  <c r="BB231" i="2"/>
  <c r="AU155" i="2"/>
  <c r="BG153" i="2"/>
  <c r="AR56" i="2"/>
  <c r="BF161" i="2"/>
  <c r="BE145" i="2"/>
  <c r="BB232" i="2"/>
  <c r="BF268" i="2"/>
  <c r="BK170" i="2"/>
  <c r="AS203" i="2"/>
  <c r="BQ194" i="2"/>
  <c r="BD187" i="2"/>
  <c r="BR218" i="2"/>
  <c r="AY161" i="2"/>
  <c r="AW243" i="2"/>
  <c r="AR71" i="2"/>
  <c r="AR194" i="2"/>
  <c r="BL181" i="2"/>
  <c r="BJ166" i="2"/>
  <c r="BA152" i="2"/>
  <c r="AW242" i="2"/>
  <c r="BE200" i="2"/>
  <c r="BQ243" i="2"/>
  <c r="BF242" i="2"/>
  <c r="BC266" i="2"/>
  <c r="AS219" i="2"/>
  <c r="BF100" i="2"/>
  <c r="AR137" i="2"/>
  <c r="AQ192" i="2"/>
  <c r="BL154" i="2"/>
  <c r="BM124" i="2"/>
  <c r="BH68" i="2"/>
  <c r="BA137" i="2"/>
  <c r="AY86" i="2"/>
  <c r="BI111" i="2"/>
  <c r="AX95" i="2"/>
  <c r="BL172" i="2"/>
  <c r="BO118" i="2"/>
  <c r="AW216" i="2"/>
  <c r="BR204" i="2"/>
  <c r="AY193" i="2"/>
  <c r="BE63" i="2"/>
  <c r="AX101" i="2"/>
  <c r="BQ160" i="2"/>
  <c r="BL102" i="2"/>
  <c r="BB145" i="2"/>
  <c r="BE163" i="2"/>
  <c r="BB223" i="2"/>
  <c r="BG184" i="2"/>
  <c r="AV220" i="2"/>
  <c r="AS137" i="2"/>
  <c r="AS148" i="2"/>
  <c r="BI139" i="2"/>
  <c r="BH126" i="2"/>
  <c r="BK100" i="2"/>
  <c r="BL240" i="2"/>
  <c r="BQ97" i="2"/>
  <c r="AS98" i="2"/>
  <c r="AV198" i="2"/>
  <c r="BC84" i="2"/>
  <c r="BH167" i="2"/>
  <c r="BI176" i="2"/>
  <c r="BK99" i="2"/>
  <c r="BI105" i="2"/>
  <c r="BN206" i="2"/>
  <c r="AV84" i="2"/>
  <c r="BB59" i="2"/>
  <c r="BD249" i="2"/>
  <c r="BI123" i="2"/>
  <c r="BR46" i="2"/>
  <c r="BG130" i="2"/>
  <c r="AU254" i="2"/>
  <c r="AV92" i="2"/>
  <c r="BL136" i="2"/>
  <c r="AU89" i="2"/>
  <c r="BD258" i="2"/>
  <c r="AU183" i="2"/>
  <c r="AQ200" i="2"/>
  <c r="BL180" i="2"/>
  <c r="AV141" i="2"/>
  <c r="BD70" i="2"/>
  <c r="BO240" i="2"/>
  <c r="BP124" i="2"/>
  <c r="AR183" i="2"/>
  <c r="BM188" i="2"/>
  <c r="BF75" i="2"/>
  <c r="AY64" i="2"/>
  <c r="BE195" i="2"/>
  <c r="BI104" i="2"/>
  <c r="BI146" i="2"/>
  <c r="BQ246" i="2"/>
  <c r="AQ214" i="2"/>
  <c r="BA156" i="2"/>
  <c r="AS145" i="2"/>
  <c r="BI183" i="2"/>
  <c r="BR60" i="2"/>
  <c r="BI190" i="2"/>
  <c r="BD97" i="2"/>
  <c r="BE132" i="2"/>
  <c r="BB259" i="2"/>
  <c r="AQ151" i="2"/>
  <c r="BF258" i="2"/>
  <c r="BB214" i="2"/>
  <c r="AS164" i="2"/>
  <c r="BH174" i="2"/>
  <c r="BR174" i="2"/>
  <c r="BF86" i="2"/>
  <c r="AV240" i="2"/>
  <c r="BA150" i="2"/>
  <c r="AT63" i="2"/>
  <c r="BP99" i="2"/>
  <c r="AV60" i="2"/>
  <c r="AW195" i="2"/>
  <c r="AT69" i="2"/>
  <c r="BM80" i="2"/>
  <c r="BD157" i="2"/>
  <c r="AV61" i="2"/>
  <c r="AV164" i="2"/>
  <c r="BD131" i="2"/>
  <c r="BR144" i="2"/>
  <c r="BR95" i="2"/>
  <c r="AU131" i="2"/>
  <c r="BC200" i="2"/>
  <c r="AU85" i="2"/>
  <c r="AR182" i="2"/>
  <c r="BN86" i="2"/>
  <c r="BF131" i="2"/>
  <c r="BF237" i="2"/>
  <c r="BE54" i="2"/>
  <c r="BF212" i="2"/>
  <c r="AX88" i="2"/>
  <c r="BG134" i="2"/>
  <c r="AV137" i="2"/>
  <c r="BA84" i="2"/>
  <c r="BN151" i="2"/>
  <c r="BH257" i="2"/>
  <c r="AR78" i="2"/>
  <c r="AY142" i="2"/>
  <c r="AS209" i="2"/>
  <c r="AQ56" i="2"/>
  <c r="BR113" i="2"/>
  <c r="AV173" i="2"/>
  <c r="AS231" i="2"/>
  <c r="AW240" i="2"/>
  <c r="BM93" i="2"/>
  <c r="BO83" i="2"/>
  <c r="BM114" i="2"/>
  <c r="BD143" i="2"/>
  <c r="BE119" i="2"/>
  <c r="AR81" i="2"/>
  <c r="BP107" i="2"/>
  <c r="BQ218" i="2"/>
  <c r="BM74" i="2"/>
  <c r="BQ168" i="2"/>
  <c r="BF219" i="2"/>
  <c r="BI149" i="2"/>
  <c r="BL162" i="2"/>
  <c r="BQ171" i="2"/>
  <c r="AQ143" i="2"/>
  <c r="BI168" i="2"/>
  <c r="AY197" i="2"/>
  <c r="BA213" i="2"/>
  <c r="BA201" i="2"/>
  <c r="BR210" i="2"/>
  <c r="BK125" i="2"/>
  <c r="AR149" i="2"/>
  <c r="BD128" i="2"/>
  <c r="BO237" i="2"/>
  <c r="AW96" i="2"/>
  <c r="BA120" i="2"/>
  <c r="BK158" i="2"/>
  <c r="BE101" i="2"/>
  <c r="BH111" i="2"/>
  <c r="BG207" i="2"/>
  <c r="BG77" i="2"/>
  <c r="BC55" i="2"/>
  <c r="BF218" i="2"/>
  <c r="BK82" i="2"/>
  <c r="BC131" i="2"/>
  <c r="BB155" i="2"/>
  <c r="AV244" i="2"/>
  <c r="AT57" i="2"/>
  <c r="BN137" i="2"/>
  <c r="BG137" i="2"/>
  <c r="BC258" i="2"/>
  <c r="BD229" i="2"/>
  <c r="BH228" i="2"/>
  <c r="AV109" i="2"/>
  <c r="AY141" i="2"/>
  <c r="BP160" i="2"/>
  <c r="BF168" i="2"/>
  <c r="BK156" i="2"/>
  <c r="BO111" i="2"/>
  <c r="BC210" i="2"/>
  <c r="BB174" i="2"/>
  <c r="BF194" i="2"/>
  <c r="BP136" i="2"/>
  <c r="AW151" i="2"/>
  <c r="BE220" i="2"/>
  <c r="AS123" i="2"/>
  <c r="BF104" i="2"/>
  <c r="BB122" i="2"/>
  <c r="BC189" i="2"/>
  <c r="BB233" i="2"/>
  <c r="BF157" i="2"/>
  <c r="BQ79" i="2"/>
  <c r="BN201" i="2"/>
  <c r="AQ183" i="2"/>
  <c r="BB176" i="2"/>
  <c r="BF190" i="2"/>
  <c r="BI185" i="2"/>
  <c r="BO241" i="2"/>
  <c r="BG208" i="2"/>
  <c r="BP190" i="2"/>
  <c r="BD225" i="2"/>
  <c r="BR189" i="2"/>
  <c r="AU169" i="2"/>
  <c r="BO239" i="2"/>
  <c r="BE199" i="2"/>
  <c r="AX65" i="2"/>
  <c r="AU102" i="2"/>
  <c r="AW106" i="2"/>
  <c r="AT65" i="2"/>
  <c r="AQ99" i="2"/>
  <c r="BL74" i="2"/>
  <c r="BG215" i="2"/>
  <c r="BF115" i="2"/>
  <c r="BM167" i="2"/>
  <c r="AU135" i="2"/>
  <c r="AX131" i="2"/>
  <c r="AV104" i="2"/>
  <c r="BD160" i="2"/>
  <c r="BI188" i="2"/>
  <c r="BH93" i="2"/>
  <c r="BM142" i="2"/>
  <c r="BG225" i="2"/>
  <c r="AR79" i="2"/>
  <c r="AT131" i="2"/>
  <c r="BQ169" i="2"/>
  <c r="BR68" i="2"/>
  <c r="BG166" i="2"/>
  <c r="AY78" i="2"/>
  <c r="BI136" i="2"/>
  <c r="BM79" i="2"/>
  <c r="BQ57" i="2"/>
  <c r="AU152" i="2"/>
  <c r="BB67" i="2"/>
  <c r="BN181" i="2"/>
  <c r="BD73" i="2"/>
  <c r="AV116" i="2"/>
  <c r="BI118" i="2"/>
  <c r="BB170" i="2"/>
  <c r="AY118" i="2"/>
  <c r="BD250" i="2"/>
  <c r="AW82" i="2"/>
  <c r="BM143" i="2"/>
  <c r="BO112" i="2"/>
  <c r="BJ160" i="2"/>
  <c r="BC259" i="2"/>
  <c r="BO230" i="2"/>
  <c r="BI163" i="2"/>
  <c r="BC68" i="2"/>
  <c r="BM211" i="2"/>
  <c r="BA154" i="2"/>
  <c r="BG104" i="2"/>
  <c r="BD75" i="2"/>
  <c r="BJ76" i="2"/>
  <c r="BK181" i="2"/>
  <c r="AY200" i="2"/>
  <c r="BJ53" i="2"/>
  <c r="BM115" i="2"/>
  <c r="AW177" i="2"/>
  <c r="AQ191" i="2"/>
  <c r="AX60" i="2"/>
  <c r="BB252" i="2"/>
  <c r="BL97" i="2"/>
  <c r="BP184" i="2"/>
  <c r="BC114" i="2"/>
  <c r="AR152" i="2"/>
  <c r="BQ197" i="2"/>
  <c r="BA160" i="2"/>
  <c r="BG88" i="2"/>
  <c r="BO213" i="2"/>
  <c r="AX104" i="2"/>
  <c r="BK185" i="2"/>
  <c r="BB65" i="2"/>
  <c r="BD55" i="2"/>
  <c r="BG56" i="2"/>
  <c r="AS99" i="2"/>
  <c r="BC208" i="2"/>
  <c r="AY81" i="2"/>
  <c r="BK94" i="2"/>
  <c r="AS77" i="2"/>
  <c r="BR85" i="2"/>
  <c r="BR109" i="2"/>
  <c r="BP219" i="2"/>
  <c r="BC129" i="2"/>
  <c r="AV246" i="2"/>
  <c r="BJ147" i="2"/>
  <c r="BD125" i="2"/>
  <c r="BO251" i="2"/>
  <c r="AR93" i="2"/>
  <c r="AY173" i="2"/>
  <c r="AQ160" i="2"/>
  <c r="BA207" i="2"/>
  <c r="AT76" i="2"/>
  <c r="BE153" i="2"/>
  <c r="BM136" i="2"/>
  <c r="AU134" i="2"/>
  <c r="AU74" i="2"/>
  <c r="BJ90" i="2"/>
  <c r="BC113" i="2"/>
  <c r="AW137" i="2"/>
  <c r="BC141" i="2"/>
  <c r="BK112" i="2"/>
  <c r="BG219" i="2"/>
  <c r="BQ157" i="2"/>
  <c r="AV243" i="2"/>
  <c r="BR173" i="2"/>
  <c r="AV216" i="2"/>
  <c r="BI101" i="2"/>
  <c r="AX66" i="2"/>
  <c r="AU256" i="2"/>
  <c r="BR99" i="2"/>
  <c r="AU263" i="2"/>
  <c r="BJ116" i="2"/>
  <c r="BN169" i="2"/>
  <c r="BK84" i="2"/>
  <c r="BM121" i="2"/>
  <c r="AS225" i="2"/>
  <c r="BI143" i="2"/>
  <c r="BE90" i="2"/>
  <c r="BA98" i="2"/>
  <c r="AU235" i="2"/>
  <c r="AW138" i="2"/>
  <c r="BO264" i="2"/>
  <c r="BH225" i="2"/>
  <c r="BI103" i="2"/>
  <c r="BP255" i="2"/>
  <c r="BR212" i="2"/>
  <c r="BC197" i="2"/>
  <c r="BM161" i="2"/>
  <c r="BI148" i="2"/>
  <c r="BK127" i="2"/>
  <c r="BB89" i="2"/>
  <c r="BF133" i="2"/>
  <c r="AX53" i="2"/>
  <c r="BO255" i="2"/>
  <c r="BN59" i="2"/>
  <c r="BR121" i="2"/>
  <c r="BL234" i="2"/>
  <c r="BH186" i="2"/>
  <c r="AU106" i="2"/>
  <c r="BQ254" i="2"/>
  <c r="BR100" i="2"/>
  <c r="BR57" i="2"/>
  <c r="BP192" i="2"/>
  <c r="BO168" i="2"/>
  <c r="BG79" i="2"/>
  <c r="BP238" i="2"/>
  <c r="BD235" i="2"/>
  <c r="AW254" i="2"/>
  <c r="BA179" i="2"/>
  <c r="BD137" i="2"/>
  <c r="AT73" i="2"/>
  <c r="AX109" i="2"/>
  <c r="BO173" i="2"/>
  <c r="BG205" i="2"/>
  <c r="BD164" i="2"/>
  <c r="AW234" i="2"/>
  <c r="BD72" i="2"/>
  <c r="BN140" i="2"/>
  <c r="BP211" i="2"/>
  <c r="AR185" i="2"/>
  <c r="BL141" i="2"/>
  <c r="BB179" i="2"/>
  <c r="AT86" i="2"/>
  <c r="AY195" i="2"/>
  <c r="AU179" i="2"/>
  <c r="BQ154" i="2"/>
  <c r="BQ139" i="2"/>
  <c r="AW223" i="2"/>
  <c r="AS220" i="2"/>
  <c r="BJ65" i="2"/>
  <c r="BB183" i="2"/>
  <c r="AU216" i="2"/>
  <c r="BP218" i="2"/>
  <c r="BC248" i="2"/>
  <c r="BB95" i="2"/>
  <c r="BF231" i="2"/>
  <c r="BB105" i="2"/>
  <c r="BE167" i="2"/>
  <c r="BI98" i="2"/>
  <c r="AY139" i="2"/>
  <c r="AY76" i="2"/>
  <c r="BR162" i="2"/>
  <c r="BC256" i="2"/>
  <c r="BG217" i="2"/>
  <c r="AU120" i="2"/>
  <c r="BJ71" i="2"/>
  <c r="AW244" i="2"/>
  <c r="BE161" i="2"/>
  <c r="BG158" i="2"/>
  <c r="AU190" i="2"/>
  <c r="BD147" i="2"/>
  <c r="BN72" i="2"/>
  <c r="AQ188" i="2"/>
  <c r="BH69" i="2"/>
  <c r="AW209" i="2"/>
  <c r="BK132" i="2"/>
  <c r="BB161" i="2"/>
  <c r="BD89" i="2"/>
  <c r="BI63" i="2"/>
  <c r="BD194" i="2"/>
  <c r="AQ64" i="2"/>
  <c r="AS202" i="2"/>
  <c r="BL62" i="2"/>
  <c r="BH101" i="2"/>
  <c r="BP203" i="2"/>
  <c r="AY111" i="2"/>
  <c r="BE187" i="2"/>
  <c r="BF233" i="2"/>
  <c r="AV73" i="2"/>
  <c r="BE80" i="2"/>
  <c r="BE96" i="2"/>
  <c r="BB62" i="2"/>
  <c r="BN136" i="2"/>
  <c r="BM65" i="2"/>
  <c r="BQ127" i="2"/>
  <c r="BC106" i="2"/>
  <c r="BI172" i="2"/>
  <c r="BJ83" i="2"/>
  <c r="BC173" i="2"/>
  <c r="BH58" i="2"/>
  <c r="BO85" i="2"/>
  <c r="BG147" i="2"/>
  <c r="BL143" i="2"/>
  <c r="BL191" i="2"/>
  <c r="BF149" i="2"/>
  <c r="BM182" i="2"/>
  <c r="BC115" i="2"/>
  <c r="BQ172" i="2"/>
  <c r="BD123" i="2"/>
  <c r="AR126" i="2"/>
  <c r="BQ182" i="2"/>
  <c r="BQ215" i="2"/>
  <c r="AX93" i="2"/>
  <c r="BI95" i="2"/>
  <c r="AQ75" i="2"/>
  <c r="BL93" i="2"/>
  <c r="AS68" i="2"/>
  <c r="BQ87" i="2"/>
  <c r="AU54" i="2"/>
  <c r="BH113" i="2"/>
  <c r="BO57" i="2"/>
  <c r="BP165" i="2"/>
  <c r="BE156" i="2"/>
  <c r="BN205" i="2"/>
  <c r="BC97" i="2"/>
  <c r="BG81" i="2"/>
  <c r="BO62" i="2"/>
  <c r="BB250" i="2"/>
  <c r="BD59" i="2"/>
  <c r="BQ98" i="2"/>
  <c r="BH55" i="2"/>
  <c r="AS218" i="2"/>
  <c r="BQ145" i="2"/>
  <c r="AY60" i="2"/>
  <c r="BH57" i="2"/>
  <c r="BH207" i="2"/>
  <c r="BM94" i="2"/>
  <c r="BQ253" i="2"/>
  <c r="BH94" i="2"/>
  <c r="BH162" i="2"/>
  <c r="AU255" i="2"/>
  <c r="AS110" i="2"/>
  <c r="AU182" i="2"/>
  <c r="BG191" i="2"/>
  <c r="BP75" i="2"/>
  <c r="BN183" i="2"/>
  <c r="BA197" i="2"/>
  <c r="BN125" i="2"/>
  <c r="BJ132" i="2"/>
  <c r="BH122" i="2"/>
  <c r="BK107" i="2"/>
  <c r="BQ121" i="2"/>
  <c r="AT59" i="2"/>
  <c r="BL101" i="2"/>
  <c r="BF232" i="2"/>
  <c r="AY214" i="2"/>
  <c r="AU108" i="2"/>
  <c r="BE109" i="2"/>
  <c r="BN91" i="2"/>
  <c r="BH165" i="2"/>
  <c r="BB107" i="2"/>
  <c r="BK97" i="2"/>
  <c r="BJ114" i="2"/>
  <c r="AR171" i="2"/>
  <c r="AU202" i="2"/>
  <c r="AY122" i="2"/>
  <c r="BL81" i="2"/>
  <c r="BC133" i="2"/>
  <c r="AR97" i="2"/>
  <c r="BF78" i="2"/>
  <c r="BP146" i="2"/>
  <c r="BK59" i="2"/>
  <c r="BR168" i="2"/>
  <c r="BK54" i="2"/>
  <c r="BJ181" i="2"/>
  <c r="BF113" i="2"/>
  <c r="BR230" i="2"/>
  <c r="BK130" i="2"/>
  <c r="BB189" i="2"/>
  <c r="AW113" i="2"/>
  <c r="BI159" i="2"/>
  <c r="BJ150" i="2"/>
  <c r="BN200" i="2"/>
  <c r="AR172" i="2"/>
  <c r="BO134" i="2"/>
  <c r="BR94" i="2"/>
  <c r="BO104" i="2"/>
  <c r="AV93" i="2"/>
  <c r="AQ133" i="2"/>
  <c r="AV71" i="2"/>
  <c r="BR176" i="2"/>
  <c r="BR219" i="2"/>
  <c r="AW58" i="2"/>
  <c r="BJ144" i="2"/>
  <c r="BO91" i="2"/>
  <c r="BP53" i="2"/>
  <c r="AU90" i="2"/>
  <c r="AW53" i="2"/>
  <c r="BF197" i="2"/>
  <c r="BE210" i="2"/>
  <c r="BE124" i="2"/>
  <c r="AW64" i="2"/>
  <c r="BG162" i="2"/>
  <c r="BH106" i="2"/>
  <c r="BJ145" i="2"/>
  <c r="BH204" i="2"/>
  <c r="BN193" i="2"/>
  <c r="BJ98" i="2"/>
  <c r="BN81" i="2"/>
  <c r="BP178" i="2"/>
  <c r="BL235" i="2"/>
  <c r="BH151" i="2"/>
  <c r="BF62" i="2"/>
  <c r="BA86" i="2"/>
  <c r="BR107" i="2"/>
  <c r="BF69" i="2"/>
  <c r="BJ73" i="2"/>
  <c r="BH78" i="2"/>
  <c r="BD153" i="2"/>
  <c r="AW148" i="2"/>
  <c r="AQ132" i="2"/>
  <c r="AS236" i="2"/>
  <c r="BL122" i="2"/>
  <c r="AR109" i="2"/>
  <c r="BC93" i="2"/>
  <c r="AS199" i="2"/>
  <c r="BR49" i="2"/>
  <c r="BP80" i="2"/>
  <c r="BG54" i="2"/>
  <c r="BM154" i="2"/>
  <c r="BP231" i="2"/>
  <c r="AW61" i="2"/>
  <c r="BP174" i="2"/>
  <c r="BD129" i="2"/>
  <c r="BC235" i="2"/>
  <c r="AW83" i="2"/>
  <c r="AT70" i="2"/>
  <c r="BI174" i="2"/>
  <c r="BI154" i="2"/>
  <c r="BG67" i="2"/>
  <c r="BG69" i="2"/>
  <c r="BP105" i="2"/>
  <c r="BL87" i="2"/>
  <c r="BQ110" i="2"/>
  <c r="BD56" i="2"/>
  <c r="AQ94" i="2"/>
  <c r="BC237" i="2"/>
  <c r="BD119" i="2"/>
  <c r="AY105" i="2"/>
  <c r="BK173" i="2"/>
  <c r="AY202" i="2"/>
  <c r="BD237" i="2"/>
  <c r="BQ203" i="2"/>
  <c r="AV247" i="2"/>
  <c r="BK140" i="2"/>
  <c r="BD240" i="2"/>
  <c r="AX71" i="2"/>
  <c r="AY55" i="2"/>
  <c r="BE122" i="2"/>
  <c r="BD224" i="2"/>
  <c r="BQ56" i="2"/>
  <c r="AW212" i="2"/>
  <c r="AV179" i="2"/>
  <c r="BL210" i="2"/>
  <c r="AR66" i="2"/>
  <c r="BR65" i="2"/>
  <c r="BP122" i="2"/>
  <c r="BI87" i="2"/>
  <c r="BH159" i="2"/>
  <c r="BN144" i="2"/>
  <c r="BN112" i="2"/>
  <c r="BN78" i="2"/>
  <c r="BN145" i="2"/>
  <c r="AS86" i="2"/>
  <c r="BH123" i="2"/>
  <c r="BE152" i="2"/>
  <c r="BQ113" i="2"/>
  <c r="BN159" i="2"/>
  <c r="BB121" i="2"/>
  <c r="BC158" i="2"/>
  <c r="BE102" i="2"/>
  <c r="BF163" i="2"/>
  <c r="BN73" i="2"/>
  <c r="AV237" i="2"/>
  <c r="BL192" i="2"/>
  <c r="BC253" i="2"/>
  <c r="BO90" i="2"/>
  <c r="BQ78" i="2"/>
  <c r="AS84" i="2"/>
  <c r="AS132" i="2"/>
  <c r="AX61" i="2"/>
  <c r="AU67" i="2"/>
  <c r="AY58" i="2"/>
  <c r="BR117" i="2"/>
  <c r="BC185" i="2"/>
  <c r="BF72" i="2"/>
  <c r="AR76" i="2"/>
  <c r="AW99" i="2"/>
  <c r="AQ166" i="2"/>
  <c r="BO205" i="2"/>
  <c r="AQ161" i="2"/>
  <c r="BK165" i="2"/>
  <c r="BF134" i="2"/>
  <c r="AV90" i="2"/>
  <c r="AQ57" i="2"/>
  <c r="BA114" i="2"/>
  <c r="AS187" i="2"/>
  <c r="BQ134" i="2"/>
  <c r="AX118" i="2"/>
  <c r="BE120" i="2"/>
  <c r="BF227" i="2"/>
  <c r="BI64" i="2"/>
  <c r="BH138" i="2"/>
  <c r="BK191" i="2"/>
  <c r="BR250" i="2"/>
  <c r="BK136" i="2"/>
  <c r="BA112" i="2"/>
  <c r="BC225" i="2"/>
  <c r="BI114" i="2"/>
  <c r="AW197" i="2"/>
  <c r="BJ108" i="2"/>
  <c r="BD266" i="2"/>
  <c r="BC83" i="2"/>
  <c r="BK187" i="2"/>
  <c r="BI89" i="2"/>
  <c r="BK71" i="2"/>
  <c r="BF54" i="2"/>
  <c r="AW252" i="2"/>
  <c r="BP156" i="2"/>
  <c r="AW107" i="2"/>
  <c r="BQ206" i="2"/>
  <c r="BG92" i="2"/>
  <c r="BL216" i="2"/>
  <c r="AW156" i="2"/>
  <c r="BN109" i="2"/>
  <c r="BN104" i="2"/>
  <c r="AW54" i="2"/>
  <c r="BQ227" i="2"/>
  <c r="AW154" i="2"/>
  <c r="BD114" i="2"/>
  <c r="AS63" i="2"/>
  <c r="BG221" i="2"/>
  <c r="BQ89" i="2"/>
  <c r="BE116" i="2"/>
  <c r="BE216" i="2"/>
  <c r="BE128" i="2"/>
  <c r="BO198" i="2"/>
  <c r="BQ152" i="2"/>
  <c r="BH118" i="2"/>
  <c r="AW181" i="2"/>
  <c r="AW142" i="2"/>
  <c r="AW110" i="2"/>
  <c r="BI142" i="2"/>
  <c r="BP242" i="2"/>
  <c r="BO72" i="2"/>
  <c r="AY128" i="2"/>
  <c r="BB81" i="2"/>
  <c r="AU199" i="2"/>
  <c r="BA69" i="2"/>
  <c r="AW264" i="2"/>
  <c r="BB185" i="2"/>
  <c r="BC263" i="2"/>
  <c r="BP235" i="2"/>
  <c r="BL107" i="2"/>
  <c r="BL241" i="2"/>
  <c r="BE82" i="2"/>
  <c r="AV165" i="2"/>
  <c r="AR159" i="2"/>
  <c r="BI57" i="2"/>
  <c r="AS54" i="2"/>
  <c r="BJ111" i="2"/>
  <c r="BP106" i="2"/>
  <c r="BH195" i="2"/>
  <c r="AV175" i="2"/>
  <c r="AS186" i="2"/>
  <c r="AV63" i="2"/>
  <c r="BQ200" i="2"/>
  <c r="BH236" i="2"/>
  <c r="BB190" i="2"/>
  <c r="BA149" i="2"/>
  <c r="AV117" i="2"/>
  <c r="AY72" i="2"/>
  <c r="BE69" i="2"/>
  <c r="BP61" i="2"/>
  <c r="AS185" i="2"/>
  <c r="BG55" i="2"/>
  <c r="BF154" i="2"/>
  <c r="AR156" i="2"/>
  <c r="BM146" i="2"/>
  <c r="AX136" i="2"/>
  <c r="AQ85" i="2"/>
  <c r="BH221" i="2"/>
  <c r="AR115" i="2"/>
  <c r="AY92" i="2"/>
  <c r="BC168" i="2"/>
  <c r="AV231" i="2"/>
  <c r="BH99" i="2"/>
  <c r="BO99" i="2"/>
  <c r="AU210" i="2"/>
  <c r="BB138" i="2"/>
  <c r="BP67" i="2"/>
  <c r="BQ65" i="2"/>
  <c r="BC70" i="2"/>
  <c r="AW204" i="2"/>
  <c r="AS67" i="2"/>
  <c r="BE133" i="2"/>
  <c r="AX86" i="2"/>
  <c r="BL253" i="2"/>
  <c r="AV135" i="2"/>
  <c r="AY159" i="2"/>
  <c r="AU229" i="2"/>
  <c r="AV78" i="2"/>
  <c r="AU188" i="2"/>
  <c r="BK162" i="2"/>
  <c r="BM86" i="2"/>
  <c r="BD171" i="2"/>
  <c r="AY149" i="2"/>
  <c r="BQ86" i="2"/>
  <c r="AQ66" i="2"/>
  <c r="BF167" i="2"/>
  <c r="BJ173" i="2"/>
  <c r="BD60" i="2"/>
  <c r="BF127" i="2"/>
  <c r="BE93" i="2"/>
  <c r="BC164" i="2"/>
  <c r="BA139" i="2"/>
  <c r="AY112" i="2"/>
  <c r="BM195" i="2"/>
  <c r="AT129" i="2"/>
  <c r="BE196" i="2"/>
  <c r="AR123" i="2"/>
  <c r="BR263" i="2"/>
  <c r="BR268" i="2"/>
  <c r="BJ63" i="2"/>
  <c r="BF142" i="2"/>
  <c r="AS121" i="2"/>
  <c r="BQ55" i="2"/>
  <c r="BR153" i="2"/>
  <c r="BC132" i="2"/>
  <c r="BA190" i="2"/>
  <c r="BM71" i="2"/>
  <c r="AX72" i="2"/>
  <c r="BC240" i="2"/>
  <c r="BD220" i="2"/>
  <c r="AT80" i="2"/>
  <c r="AV83" i="2"/>
  <c r="BD111" i="2"/>
  <c r="AS129" i="2"/>
  <c r="BN114" i="2"/>
  <c r="AQ61" i="2"/>
  <c r="BJ84" i="2"/>
  <c r="BK129" i="2"/>
  <c r="AX91" i="2"/>
  <c r="BD133" i="2"/>
  <c r="BB215" i="2"/>
  <c r="AY187" i="2"/>
  <c r="BC260" i="2"/>
  <c r="BO138" i="2"/>
  <c r="AW201" i="2"/>
  <c r="BL90" i="2"/>
  <c r="BC184" i="2"/>
  <c r="BD84" i="2"/>
  <c r="BD227" i="2"/>
  <c r="AU123" i="2"/>
  <c r="AU232" i="2"/>
  <c r="AR168" i="2"/>
  <c r="BN107" i="2"/>
  <c r="BA178" i="2"/>
  <c r="BK178" i="2"/>
  <c r="BQ91" i="2"/>
  <c r="AV101" i="2"/>
  <c r="BH203" i="2"/>
  <c r="BB71" i="2"/>
  <c r="AQ212" i="2"/>
  <c r="BQ67" i="2"/>
  <c r="BC61" i="2"/>
  <c r="AT119" i="2"/>
  <c r="AR181" i="2"/>
  <c r="BJ105" i="2"/>
  <c r="BD120" i="2"/>
  <c r="AT126" i="2"/>
  <c r="AY177" i="2"/>
  <c r="BL60" i="2"/>
  <c r="BM92" i="2"/>
  <c r="AR82" i="2"/>
  <c r="BI138" i="2"/>
  <c r="AY176" i="2"/>
  <c r="BC165" i="2"/>
  <c r="BD145" i="2"/>
  <c r="BE207" i="2"/>
  <c r="BE97" i="2"/>
  <c r="BA68" i="2"/>
  <c r="BA78" i="2"/>
  <c r="BC199" i="2"/>
  <c r="BR145" i="2"/>
  <c r="BP257" i="2"/>
  <c r="BP181" i="2"/>
  <c r="AS124" i="2"/>
  <c r="AW72" i="2"/>
  <c r="AW87" i="2"/>
  <c r="BA145" i="2"/>
  <c r="BP65" i="2"/>
  <c r="AX96" i="2"/>
  <c r="BJ95" i="2"/>
  <c r="AR112" i="2"/>
  <c r="AW167" i="2"/>
  <c r="AT121" i="2"/>
  <c r="BC156" i="2"/>
  <c r="BJ68" i="2"/>
  <c r="BO161" i="2"/>
  <c r="BF67" i="2"/>
  <c r="AS59" i="2"/>
  <c r="BF70" i="2"/>
  <c r="BB180" i="2"/>
  <c r="AU68" i="2"/>
  <c r="BM96" i="2"/>
  <c r="AV162" i="2"/>
  <c r="AW250" i="2"/>
  <c r="BB108" i="2"/>
  <c r="BQ93" i="2"/>
  <c r="BQ75" i="2"/>
  <c r="AU73" i="2"/>
  <c r="BE194" i="2"/>
  <c r="AX77" i="2"/>
  <c r="BI78" i="2"/>
  <c r="AR67" i="2"/>
  <c r="AX135" i="2"/>
  <c r="BP208" i="2"/>
  <c r="BQ118" i="2"/>
  <c r="BQ126" i="2"/>
  <c r="BA157" i="2"/>
  <c r="BQ244" i="2"/>
  <c r="AQ197" i="2"/>
  <c r="BK77" i="2"/>
  <c r="BG63" i="2"/>
  <c r="AQ84" i="2"/>
  <c r="BH129" i="2"/>
  <c r="BB244" i="2"/>
  <c r="BI112" i="2"/>
  <c r="AW233" i="2"/>
  <c r="BJ93" i="2"/>
  <c r="BL195" i="2"/>
  <c r="BG87" i="2"/>
  <c r="AS207" i="2"/>
  <c r="BO121" i="2"/>
  <c r="AW56" i="2"/>
  <c r="BR164" i="2"/>
  <c r="AX108" i="2"/>
  <c r="BE87" i="2"/>
  <c r="BP180" i="2"/>
  <c r="BQ204" i="2"/>
  <c r="BD93" i="2"/>
  <c r="BL120" i="2"/>
  <c r="AR143" i="2"/>
  <c r="BG83" i="2"/>
  <c r="AQ106" i="2"/>
  <c r="AR114" i="2"/>
  <c r="AV103" i="2"/>
  <c r="AV118" i="2"/>
  <c r="BL105" i="2"/>
  <c r="BQ64" i="2"/>
  <c r="BB64" i="2"/>
  <c r="BD140" i="2"/>
  <c r="BI109" i="2"/>
  <c r="AW253" i="2"/>
  <c r="BH75" i="2"/>
  <c r="BA131" i="2"/>
  <c r="BH117" i="2"/>
  <c r="BE117" i="2"/>
  <c r="BL72" i="2"/>
  <c r="BE76" i="2"/>
  <c r="AU126" i="2"/>
  <c r="BC246" i="2"/>
  <c r="BQ123" i="2"/>
  <c r="BQ148" i="2"/>
  <c r="BN129" i="2"/>
  <c r="BO102" i="2"/>
  <c r="BK161" i="2"/>
  <c r="AW220" i="2"/>
  <c r="BB182" i="2"/>
  <c r="BM174" i="2"/>
  <c r="BB114" i="2"/>
  <c r="BN105" i="2"/>
  <c r="BQ62" i="2"/>
  <c r="BO259" i="2"/>
  <c r="BA81" i="2"/>
  <c r="AT79" i="2"/>
  <c r="BR227" i="2"/>
  <c r="BL229" i="2"/>
  <c r="BR237" i="2"/>
  <c r="AV126" i="2"/>
  <c r="BN197" i="2"/>
  <c r="BR224" i="2"/>
  <c r="BR103" i="2"/>
  <c r="BD109" i="2"/>
  <c r="AS97" i="2"/>
  <c r="AV82" i="2"/>
  <c r="BK128" i="2"/>
  <c r="BR236" i="2"/>
  <c r="BP168" i="2"/>
  <c r="AV223" i="2"/>
  <c r="AV225" i="2"/>
  <c r="BH223" i="2"/>
  <c r="BN155" i="2"/>
  <c r="BH137" i="2"/>
  <c r="BR202" i="2"/>
  <c r="BF96" i="2"/>
  <c r="AS126" i="2"/>
  <c r="BP226" i="2"/>
  <c r="AS105" i="2"/>
  <c r="BF183" i="2"/>
  <c r="BC265" i="2"/>
  <c r="BA104" i="2"/>
  <c r="BR152" i="2"/>
  <c r="BE79" i="2"/>
  <c r="BP253" i="2"/>
  <c r="BR183" i="2"/>
  <c r="BC177" i="2"/>
  <c r="AU156" i="2"/>
  <c r="BG57" i="2"/>
  <c r="AQ219" i="2"/>
  <c r="BC157" i="2"/>
  <c r="AU195" i="2"/>
  <c r="BR126" i="2"/>
  <c r="BP125" i="2"/>
  <c r="BH64" i="2"/>
  <c r="BQ158" i="2"/>
  <c r="AW183" i="2"/>
  <c r="AQ55" i="2"/>
  <c r="BG180" i="2"/>
  <c r="AY110" i="2"/>
  <c r="AX127" i="2"/>
  <c r="AR151" i="2"/>
  <c r="BI124" i="2"/>
  <c r="BN122" i="2"/>
  <c r="BF184" i="2"/>
  <c r="AV202" i="2"/>
  <c r="AV64" i="2"/>
  <c r="BC94" i="2"/>
  <c r="BO157" i="2"/>
  <c r="BH182" i="2"/>
  <c r="BP213" i="2"/>
  <c r="AW247" i="2"/>
  <c r="AR87" i="2"/>
  <c r="BP142" i="2"/>
  <c r="BG68" i="2"/>
  <c r="BE146" i="2"/>
  <c r="AU149" i="2"/>
  <c r="AW191" i="2"/>
  <c r="AT135" i="2"/>
  <c r="BB150" i="2"/>
  <c r="BQ66" i="2"/>
  <c r="BG202" i="2"/>
  <c r="BL254" i="2"/>
  <c r="BB210" i="2"/>
  <c r="BO179" i="2"/>
  <c r="AR163" i="2"/>
  <c r="BL53" i="2"/>
  <c r="BL118" i="2"/>
  <c r="BI187" i="2"/>
  <c r="BA132" i="2"/>
  <c r="BP98" i="2"/>
  <c r="BM58" i="2"/>
  <c r="AW114" i="2"/>
  <c r="BN207" i="2"/>
  <c r="AU264" i="2"/>
  <c r="BP139" i="2"/>
  <c r="AX126" i="2"/>
  <c r="BM194" i="2"/>
  <c r="BA57" i="2"/>
  <c r="BD184" i="2"/>
  <c r="BP54" i="2"/>
  <c r="AS94" i="2"/>
  <c r="BG190" i="2"/>
  <c r="BH147" i="2"/>
  <c r="AW248" i="2"/>
  <c r="BE227" i="2"/>
  <c r="AQ111" i="2"/>
  <c r="AS175" i="2"/>
  <c r="BA73" i="2"/>
  <c r="BR248" i="2"/>
  <c r="AX116" i="2"/>
  <c r="BM138" i="2"/>
  <c r="BF118" i="2"/>
  <c r="BF80" i="2"/>
  <c r="BL211" i="2"/>
  <c r="AQ107" i="2"/>
  <c r="BM165" i="2"/>
  <c r="BR56" i="2"/>
  <c r="BR172" i="2"/>
  <c r="AS150" i="2"/>
  <c r="BD245" i="2"/>
  <c r="BA111" i="2"/>
  <c r="BH98" i="2"/>
  <c r="BL155" i="2"/>
  <c r="BL88" i="2"/>
  <c r="AR192" i="2"/>
  <c r="BA155" i="2"/>
  <c r="BF264" i="2"/>
  <c r="BR225" i="2"/>
  <c r="BA89" i="2"/>
  <c r="BF246" i="2"/>
  <c r="AV230" i="2"/>
  <c r="BM196" i="2"/>
  <c r="AW115" i="2"/>
  <c r="BH103" i="2"/>
  <c r="AX76" i="2"/>
  <c r="BQ116" i="2"/>
  <c r="AT100" i="2"/>
  <c r="AR55" i="2"/>
  <c r="BC142" i="2"/>
  <c r="BC148" i="2"/>
  <c r="BI160" i="2"/>
  <c r="AV57" i="2"/>
  <c r="BN150" i="2"/>
  <c r="AW145" i="2"/>
  <c r="BM81" i="2"/>
  <c r="BM67" i="2"/>
  <c r="BH127" i="2"/>
  <c r="BQ188" i="2"/>
  <c r="BQ195" i="2"/>
  <c r="AY90" i="2"/>
  <c r="BM149" i="2"/>
  <c r="BH252" i="2"/>
  <c r="BO73" i="2"/>
  <c r="BJ138" i="2"/>
  <c r="BH56" i="2"/>
  <c r="BI81" i="2"/>
  <c r="BN80" i="2"/>
  <c r="BR44" i="2"/>
  <c r="BP82" i="2"/>
  <c r="BH219" i="2"/>
  <c r="BA153" i="2"/>
  <c r="BO88" i="2"/>
  <c r="BD241" i="2"/>
  <c r="AW73" i="2"/>
  <c r="AY119" i="2"/>
  <c r="AS122" i="2"/>
  <c r="BB87" i="2"/>
  <c r="AT96" i="2"/>
  <c r="AU178" i="2"/>
  <c r="AU250" i="2"/>
  <c r="AR80" i="2"/>
  <c r="BI62" i="2"/>
  <c r="AY135" i="2"/>
  <c r="BK89" i="2"/>
  <c r="BF73" i="2"/>
  <c r="BD172" i="2"/>
  <c r="BL184" i="2"/>
  <c r="BN57" i="2"/>
  <c r="BJ89" i="2"/>
  <c r="BO177" i="2"/>
  <c r="AV119" i="2"/>
  <c r="BC85" i="2"/>
  <c r="BL202" i="2"/>
  <c r="BK120" i="2"/>
  <c r="BC202" i="2"/>
  <c r="BK53" i="2"/>
  <c r="BR247" i="2"/>
  <c r="BG84" i="2"/>
  <c r="BP148" i="2"/>
  <c r="BE180" i="2"/>
  <c r="BE158" i="2"/>
  <c r="BH218" i="2"/>
  <c r="AQ73" i="2"/>
  <c r="AX106" i="2"/>
  <c r="BA63" i="2"/>
  <c r="AQ65" i="2"/>
  <c r="AW218" i="2"/>
  <c r="BG206" i="2"/>
  <c r="AQ170" i="2"/>
  <c r="AS144" i="2"/>
  <c r="BP256" i="2"/>
  <c r="AR63" i="2"/>
  <c r="BM139" i="2"/>
  <c r="AU181" i="2"/>
  <c r="BG186" i="2"/>
  <c r="BM163" i="2"/>
  <c r="BK146" i="2"/>
  <c r="BN98" i="2"/>
  <c r="AW256" i="2"/>
  <c r="AX81" i="2"/>
  <c r="AV242" i="2"/>
  <c r="BA133" i="2"/>
  <c r="BP60" i="2"/>
  <c r="BP133" i="2"/>
  <c r="AQ105" i="2"/>
  <c r="AU77" i="2"/>
  <c r="AX82" i="2"/>
  <c r="BC57" i="2"/>
  <c r="BP158" i="2"/>
  <c r="BM69" i="2"/>
  <c r="BN170" i="2"/>
  <c r="AQ199" i="2"/>
  <c r="BB58" i="2"/>
  <c r="BF53" i="2"/>
  <c r="AQ81" i="2"/>
  <c r="AU86" i="2"/>
  <c r="BO126" i="2"/>
  <c r="AS235" i="2"/>
  <c r="BL250" i="2"/>
  <c r="AT89" i="2"/>
  <c r="AX103" i="2"/>
  <c r="BD80" i="2"/>
  <c r="BC109" i="2"/>
  <c r="AT99" i="2"/>
  <c r="AQ77" i="2"/>
  <c r="AX119" i="2"/>
  <c r="BB172" i="2"/>
  <c r="BJ135" i="2"/>
  <c r="BF164" i="2"/>
  <c r="BB113" i="2"/>
  <c r="BB74" i="2"/>
  <c r="BD117" i="2"/>
  <c r="BF84" i="2"/>
  <c r="AU62" i="2"/>
  <c r="BR70" i="2"/>
  <c r="BE137" i="2"/>
  <c r="BM160" i="2"/>
  <c r="BO71" i="2"/>
  <c r="AV125" i="2"/>
  <c r="BR51" i="2"/>
  <c r="BB247" i="2"/>
  <c r="BB61" i="2"/>
  <c r="BH259" i="2"/>
  <c r="BH157" i="2"/>
  <c r="BO55" i="2"/>
  <c r="BP202" i="2"/>
  <c r="BG110" i="2"/>
  <c r="BA105" i="2"/>
  <c r="BA85" i="2"/>
  <c r="BH155" i="2"/>
  <c r="AR62" i="2"/>
  <c r="BF180" i="2"/>
  <c r="BO253" i="2"/>
  <c r="BD175" i="2"/>
  <c r="AS183" i="2"/>
  <c r="BE175" i="2"/>
  <c r="AY203" i="2"/>
  <c r="BL70" i="2"/>
  <c r="AS117" i="2"/>
  <c r="BL69" i="2"/>
  <c r="BE203" i="2"/>
  <c r="AW187" i="2"/>
  <c r="AR75" i="2"/>
  <c r="BA140" i="2"/>
  <c r="AT98" i="2"/>
  <c r="BH171" i="2"/>
  <c r="BD195" i="2"/>
  <c r="BR169" i="2"/>
  <c r="AW88" i="2"/>
  <c r="AY130" i="2"/>
  <c r="BN143" i="2"/>
  <c r="AS139" i="2"/>
  <c r="BA158" i="2"/>
  <c r="BA187" i="2"/>
  <c r="BI141" i="2"/>
  <c r="AU72" i="2"/>
  <c r="BL215" i="2"/>
  <c r="BB93" i="2"/>
  <c r="BE214" i="2"/>
  <c r="AQ187" i="2"/>
  <c r="BR143" i="2"/>
  <c r="BR245" i="2"/>
  <c r="BB137" i="2"/>
  <c r="BK143" i="2"/>
  <c r="BF144" i="2"/>
  <c r="BI54" i="2"/>
  <c r="BG71" i="2"/>
  <c r="BO144" i="2"/>
  <c r="BR47" i="2"/>
  <c r="AV54" i="2"/>
  <c r="AQ159" i="2"/>
  <c r="BK86" i="2"/>
  <c r="BM202" i="2"/>
  <c r="BR161" i="2"/>
  <c r="BI91" i="2"/>
  <c r="AX84" i="2"/>
  <c r="BE110" i="2"/>
  <c r="BL259" i="2"/>
  <c r="AT81" i="2"/>
  <c r="BM113" i="2"/>
  <c r="BD118" i="2"/>
  <c r="BB119" i="2"/>
  <c r="BP117" i="2"/>
  <c r="BQ92" i="2"/>
  <c r="BQ242" i="2"/>
  <c r="AU236" i="2"/>
  <c r="AT123" i="2"/>
  <c r="BF76" i="2"/>
  <c r="AU171" i="2"/>
  <c r="BH149" i="2"/>
  <c r="BI115" i="2"/>
  <c r="BO197" i="2"/>
  <c r="AR162" i="2"/>
  <c r="BF249" i="2"/>
  <c r="BP56" i="2"/>
  <c r="BO105" i="2"/>
  <c r="BO132" i="2"/>
  <c r="BQ161" i="2"/>
  <c r="BG183" i="2"/>
  <c r="BL222" i="2"/>
  <c r="BE84" i="2"/>
  <c r="BK64" i="2"/>
  <c r="BL113" i="2"/>
  <c r="BN214" i="2"/>
  <c r="BQ85" i="2"/>
  <c r="AW80" i="2"/>
  <c r="AW164" i="2"/>
  <c r="AT58" i="2"/>
  <c r="AQ101" i="2"/>
  <c r="BE94" i="2"/>
  <c r="BA79" i="2"/>
  <c r="BO59" i="2"/>
  <c r="BI73" i="2"/>
  <c r="BJ115" i="2"/>
  <c r="BQ115" i="2"/>
  <c r="AU117" i="2"/>
  <c r="AX100" i="2"/>
  <c r="BD215" i="2"/>
  <c r="BA162" i="2"/>
  <c r="BR262" i="2"/>
  <c r="BE99" i="2"/>
  <c r="BQ164" i="2"/>
  <c r="BJ141" i="2"/>
  <c r="AV169" i="2"/>
  <c r="AX87" i="2"/>
  <c r="BR206" i="2"/>
  <c r="BA184" i="2"/>
  <c r="BP73" i="2"/>
  <c r="BE164" i="2"/>
  <c r="AU93" i="2"/>
  <c r="AV128" i="2"/>
  <c r="BC170" i="2"/>
  <c r="BR54" i="2"/>
  <c r="BD98" i="2"/>
  <c r="BH95" i="2"/>
  <c r="AX90" i="2"/>
  <c r="BN190" i="2"/>
  <c r="BL111" i="2"/>
  <c r="AX110" i="2"/>
  <c r="BA175" i="2"/>
  <c r="BB126" i="2"/>
  <c r="AR90" i="2"/>
  <c r="AU198" i="2"/>
  <c r="BP85" i="2"/>
  <c r="AQ140" i="2"/>
  <c r="BC101" i="2"/>
  <c r="BQ239" i="2"/>
  <c r="BO166" i="2"/>
  <c r="BM112" i="2"/>
  <c r="BG98" i="2"/>
  <c r="BD71" i="2"/>
  <c r="BP91" i="2"/>
  <c r="AY132" i="2"/>
  <c r="AQ67" i="2"/>
  <c r="BL124" i="2"/>
  <c r="BL242" i="2"/>
  <c r="BG53" i="2"/>
  <c r="BP254" i="2"/>
  <c r="BP193" i="2"/>
  <c r="AY109" i="2"/>
  <c r="BO219" i="2"/>
  <c r="BL158" i="2"/>
  <c r="AW59" i="2"/>
  <c r="BR114" i="2"/>
  <c r="BD213" i="2"/>
  <c r="AR139" i="2"/>
  <c r="BC110" i="2"/>
  <c r="AW117" i="2"/>
  <c r="BO56" i="2"/>
  <c r="BM84" i="2"/>
  <c r="BJ159" i="2"/>
  <c r="BM61" i="2"/>
  <c r="BF81" i="2"/>
  <c r="BB146" i="2"/>
  <c r="BK110" i="2"/>
  <c r="BN212" i="2"/>
  <c r="BN53" i="2"/>
  <c r="BD231" i="2"/>
  <c r="AU133" i="2"/>
  <c r="AQ129" i="2"/>
  <c r="BC151" i="2"/>
  <c r="BR133" i="2"/>
  <c r="BM100" i="2"/>
  <c r="BL139" i="2"/>
  <c r="BL99" i="2"/>
  <c r="BR139" i="2"/>
  <c r="BL153" i="2"/>
  <c r="BP215" i="2"/>
  <c r="BQ61" i="2"/>
  <c r="AV156" i="2"/>
  <c r="BK92" i="2"/>
  <c r="BP86" i="2"/>
  <c r="BL134" i="2"/>
  <c r="AV127" i="2"/>
  <c r="BD66" i="2"/>
  <c r="BJ164" i="2"/>
  <c r="BI117" i="2"/>
  <c r="BF204" i="2"/>
  <c r="BG103" i="2"/>
  <c r="BE68" i="2"/>
  <c r="BI147" i="2"/>
  <c r="BF92" i="2"/>
  <c r="AR118" i="2"/>
  <c r="AS62" i="2"/>
  <c r="BG165" i="2"/>
  <c r="BL187" i="2"/>
  <c r="BP198" i="2"/>
  <c r="AQ156" i="2"/>
  <c r="AU163" i="2"/>
  <c r="BD130" i="2"/>
  <c r="BJ123" i="2"/>
  <c r="BI85" i="2"/>
  <c r="BN85" i="2"/>
  <c r="BA62" i="2"/>
  <c r="AR147" i="2"/>
  <c r="AS134" i="2"/>
  <c r="BA189" i="2"/>
  <c r="BD99" i="2"/>
  <c r="AU164" i="2"/>
  <c r="BL176" i="2"/>
  <c r="AW194" i="2"/>
  <c r="BH231" i="2"/>
  <c r="BN196" i="2"/>
  <c r="BL152" i="2"/>
  <c r="BE138" i="2"/>
  <c r="AY185" i="2"/>
  <c r="AQ93" i="2"/>
  <c r="AW69" i="2"/>
  <c r="BP76" i="2"/>
  <c r="BH139" i="2"/>
  <c r="BK66" i="2"/>
  <c r="BC92" i="2"/>
  <c r="AX75" i="2"/>
  <c r="BL167" i="2"/>
  <c r="BK160" i="2"/>
  <c r="AW150" i="2"/>
  <c r="BE106" i="2"/>
  <c r="BR82" i="2"/>
  <c r="BR148" i="2"/>
  <c r="BQ80" i="2"/>
  <c r="BN187" i="2"/>
  <c r="BF243" i="2"/>
  <c r="BF255" i="2"/>
  <c r="BA159" i="2"/>
  <c r="BK183" i="2"/>
  <c r="BK60" i="2"/>
  <c r="BO245" i="2"/>
  <c r="AW196" i="2"/>
  <c r="BR76" i="2"/>
  <c r="AS116" i="2"/>
  <c r="BK174" i="2"/>
  <c r="AW259" i="2"/>
  <c r="BB56" i="2"/>
  <c r="BC99" i="2"/>
  <c r="AX141" i="2"/>
  <c r="BB230" i="2"/>
  <c r="BL127" i="2"/>
  <c r="BH205" i="2"/>
  <c r="AS100" i="2"/>
  <c r="AR125" i="2"/>
  <c r="BN101" i="2"/>
  <c r="AS87" i="2"/>
  <c r="BQ83" i="2"/>
  <c r="AT90" i="2"/>
  <c r="AX80" i="2"/>
  <c r="AU177" i="2"/>
  <c r="BF216" i="2"/>
  <c r="AV133" i="2"/>
  <c r="BE58" i="2"/>
  <c r="BP115" i="2"/>
  <c r="BB66" i="2"/>
  <c r="BK138" i="2"/>
  <c r="BM55" i="2"/>
  <c r="BD53" i="2"/>
  <c r="BI68" i="2"/>
  <c r="BC264" i="2"/>
  <c r="AW222" i="2"/>
  <c r="BD198" i="2"/>
  <c r="AR94" i="2"/>
  <c r="AW157" i="2"/>
  <c r="BL194" i="2"/>
  <c r="AQ69" i="2"/>
  <c r="BC251" i="2"/>
  <c r="BD265" i="2"/>
  <c r="BF176" i="2"/>
  <c r="AY186" i="2"/>
  <c r="BK74" i="2"/>
  <c r="AY83" i="2"/>
  <c r="BR120" i="2"/>
  <c r="BB78" i="2"/>
  <c r="AY79" i="2"/>
  <c r="AV139" i="2"/>
  <c r="BG123" i="2"/>
  <c r="BN184" i="2"/>
  <c r="BE61" i="2"/>
  <c r="BL128" i="2"/>
  <c r="BC226" i="2"/>
  <c r="AS61" i="2"/>
  <c r="BD261" i="2"/>
  <c r="BQ96" i="2"/>
  <c r="AS142" i="2"/>
  <c r="BG90" i="2"/>
  <c r="BC89" i="2"/>
  <c r="BQ165" i="2"/>
  <c r="BK85" i="2"/>
  <c r="BF137" i="2"/>
  <c r="AY71" i="2"/>
  <c r="BF270" i="2"/>
  <c r="BM56" i="2"/>
  <c r="AX130" i="2"/>
  <c r="AR100" i="2"/>
  <c r="AQ78" i="2"/>
  <c r="BN99" i="2"/>
  <c r="AV76" i="2"/>
  <c r="AW132" i="2"/>
  <c r="AQ104" i="2"/>
  <c r="BB245" i="2"/>
  <c r="BA174" i="2"/>
  <c r="BN162" i="2"/>
  <c r="BE144" i="2"/>
  <c r="BL54" i="2"/>
  <c r="BE197" i="2"/>
  <c r="BM120" i="2"/>
  <c r="BF130" i="2"/>
  <c r="BA181" i="2"/>
  <c r="BH84" i="2"/>
  <c r="BF66" i="2"/>
  <c r="AS151" i="2"/>
  <c r="AW81" i="2"/>
  <c r="BF208" i="2"/>
  <c r="BB186" i="2"/>
  <c r="BJ122" i="2"/>
  <c r="BL164" i="2"/>
  <c r="BI67" i="2"/>
  <c r="BO81" i="2"/>
  <c r="BL203" i="2"/>
  <c r="BM88" i="2"/>
  <c r="AV59" i="2"/>
  <c r="BB248" i="2"/>
  <c r="BD108" i="2"/>
  <c r="BJ186" i="2"/>
  <c r="BR149" i="2"/>
  <c r="BC215" i="2"/>
  <c r="BC69" i="2"/>
  <c r="BC143" i="2"/>
  <c r="BM186" i="2"/>
  <c r="BQ119" i="2"/>
  <c r="BB191" i="2"/>
  <c r="BH135" i="2"/>
  <c r="BO160" i="2"/>
  <c r="AY158" i="2"/>
  <c r="AV233" i="2"/>
  <c r="AW93" i="2"/>
  <c r="AQ90" i="2"/>
  <c r="AT53" i="2"/>
  <c r="BN71" i="2"/>
  <c r="BD78" i="2"/>
  <c r="BQ111" i="2"/>
  <c r="BD90" i="2"/>
  <c r="BB239" i="2"/>
  <c r="BC73" i="2"/>
  <c r="BN117" i="2"/>
  <c r="AV66" i="2"/>
  <c r="AV195" i="2"/>
  <c r="BR199" i="2"/>
  <c r="AS141" i="2"/>
  <c r="AS96" i="2"/>
  <c r="AY190" i="2"/>
  <c r="BB154" i="2"/>
  <c r="BI60" i="2"/>
  <c r="BP214" i="2"/>
  <c r="AU84" i="2"/>
  <c r="BR83" i="2"/>
  <c r="AV106" i="2"/>
  <c r="AY175" i="2"/>
  <c r="BH233" i="2"/>
  <c r="BD179" i="2"/>
  <c r="BQ69" i="2"/>
  <c r="AV97" i="2"/>
  <c r="BB132" i="2"/>
  <c r="BM178" i="2"/>
  <c r="BG65" i="2"/>
  <c r="BA185" i="2"/>
  <c r="BG188" i="2"/>
  <c r="BP150" i="2"/>
  <c r="BE111" i="2"/>
  <c r="AQ135" i="2"/>
  <c r="BJ70" i="2"/>
  <c r="AR54" i="2"/>
  <c r="BA71" i="2"/>
  <c r="AY181" i="2"/>
  <c r="AX63" i="2"/>
  <c r="BP131" i="2"/>
  <c r="BB63" i="2"/>
  <c r="BR234" i="2"/>
  <c r="AS229" i="2"/>
  <c r="AW121" i="2"/>
  <c r="BE73" i="2"/>
  <c r="BQ140" i="2"/>
  <c r="BN177" i="2"/>
  <c r="AW202" i="2"/>
  <c r="BD79" i="2"/>
  <c r="AU244" i="2"/>
  <c r="AU121" i="2"/>
  <c r="BL200" i="2"/>
  <c r="AS80" i="2"/>
  <c r="BR53" i="2"/>
  <c r="BL129" i="2"/>
  <c r="BI100" i="2"/>
  <c r="BR78" i="2"/>
  <c r="BO206" i="2"/>
  <c r="BJ62" i="2"/>
  <c r="AR155" i="2"/>
  <c r="BK65" i="2"/>
  <c r="BE166" i="2"/>
  <c r="BR101" i="2"/>
  <c r="BI74" i="2"/>
  <c r="BM172" i="2"/>
  <c r="BC206" i="2"/>
  <c r="BD100" i="2"/>
  <c r="BL262" i="2"/>
  <c r="BK151" i="2"/>
  <c r="BC134" i="2"/>
  <c r="BM203" i="2"/>
  <c r="AV200" i="2"/>
  <c r="AX125" i="2"/>
  <c r="BE72" i="2"/>
  <c r="AV153" i="2"/>
  <c r="BF143" i="2"/>
  <c r="AT103" i="2"/>
  <c r="BP104" i="2"/>
  <c r="BG185" i="2"/>
  <c r="BB130" i="2"/>
  <c r="BO238" i="2"/>
  <c r="AS69" i="2"/>
  <c r="AS74" i="2"/>
  <c r="BB96" i="2"/>
  <c r="BM104" i="2"/>
  <c r="AU258" i="2"/>
  <c r="BF90" i="2"/>
  <c r="AV69" i="2"/>
  <c r="BL115" i="2"/>
  <c r="BH183" i="2"/>
  <c r="BP103" i="2"/>
  <c r="BA206" i="2"/>
  <c r="AY210" i="2"/>
  <c r="AV143" i="2"/>
  <c r="AU259" i="2"/>
  <c r="BO156" i="2"/>
  <c r="BF125" i="2"/>
  <c r="BF91" i="2"/>
  <c r="AW124" i="2"/>
  <c r="BL228" i="2"/>
  <c r="BF165" i="2"/>
  <c r="BO212" i="2"/>
  <c r="BK118" i="2"/>
  <c r="AW262" i="2"/>
  <c r="AQ154" i="2"/>
  <c r="BE57" i="2"/>
  <c r="BC161" i="2"/>
  <c r="BD192" i="2"/>
  <c r="BD246" i="2"/>
  <c r="BQ251" i="2"/>
  <c r="BM73" i="2"/>
  <c r="BI161" i="2"/>
  <c r="BL123" i="2"/>
  <c r="AU60" i="2"/>
  <c r="AU130" i="2"/>
  <c r="AY54" i="2"/>
  <c r="BH133" i="2"/>
  <c r="BR61" i="2"/>
  <c r="AV166" i="2"/>
  <c r="BL63" i="2"/>
  <c r="AV213" i="2"/>
  <c r="BM107" i="2"/>
  <c r="AQ68" i="2"/>
  <c r="AU56" i="2"/>
  <c r="AS147" i="2"/>
  <c r="AR160" i="2"/>
  <c r="AW78" i="2"/>
  <c r="BE108" i="2"/>
  <c r="AV75" i="2"/>
  <c r="AU139" i="2"/>
  <c r="BR171" i="2"/>
  <c r="BR190" i="2"/>
  <c r="AV110" i="2"/>
  <c r="BO146" i="2"/>
  <c r="BN87" i="2"/>
  <c r="BE104" i="2"/>
  <c r="BL145" i="2"/>
  <c r="BH163" i="2"/>
  <c r="BC188" i="2"/>
  <c r="BB109" i="2"/>
  <c r="BQ166" i="2"/>
  <c r="BP151" i="2"/>
  <c r="BO58" i="2"/>
  <c r="BK68" i="2"/>
  <c r="BD86" i="2"/>
  <c r="AY207" i="2"/>
  <c r="BR80" i="2"/>
  <c r="BQ94" i="2"/>
  <c r="AV65" i="2"/>
  <c r="BO208" i="2"/>
  <c r="AS162" i="2"/>
  <c r="BE136" i="2"/>
  <c r="BG203" i="2"/>
  <c r="BJ72" i="2"/>
  <c r="BA191" i="2"/>
  <c r="BD174" i="2"/>
  <c r="BG117" i="2"/>
  <c r="BO257" i="2"/>
  <c r="BE135" i="2"/>
  <c r="BH102" i="2"/>
  <c r="BC136" i="2"/>
  <c r="BG140" i="2"/>
  <c r="BJ156" i="2"/>
  <c r="BC212" i="2"/>
  <c r="AV112" i="2"/>
  <c r="AQ162" i="2"/>
  <c r="BH74" i="2"/>
  <c r="BL147" i="2"/>
  <c r="AT67" i="2"/>
  <c r="BR81" i="2"/>
  <c r="BD88" i="2"/>
  <c r="BJ109" i="2"/>
  <c r="BD113" i="2"/>
  <c r="BD212" i="2"/>
  <c r="BR87" i="2"/>
  <c r="BJ128" i="2"/>
  <c r="AV157" i="2"/>
  <c r="BP243" i="2"/>
  <c r="AS197" i="2"/>
  <c r="AU66" i="2"/>
  <c r="BK190" i="2"/>
  <c r="BL78" i="2"/>
  <c r="BO128" i="2"/>
  <c r="BR123" i="2"/>
  <c r="AU71" i="2"/>
  <c r="BQ214" i="2"/>
  <c r="BJ55" i="2"/>
  <c r="AX132" i="2"/>
  <c r="BJ129" i="2"/>
  <c r="BA151" i="2"/>
  <c r="BP154" i="2"/>
  <c r="BP144" i="2"/>
  <c r="BE149" i="2"/>
  <c r="AS184" i="2"/>
  <c r="BJ146" i="2"/>
  <c r="BM85" i="2"/>
  <c r="AU167" i="2"/>
  <c r="AU143" i="2"/>
  <c r="AQ112" i="2"/>
  <c r="BO254" i="2"/>
  <c r="BO263" i="2"/>
  <c r="BF77" i="2"/>
  <c r="AW241" i="2"/>
  <c r="AX98" i="2"/>
  <c r="AY69" i="2"/>
  <c r="AT77" i="2"/>
  <c r="BH67" i="2"/>
  <c r="BF195" i="2"/>
  <c r="AT82" i="2"/>
  <c r="BB131" i="2"/>
  <c r="BP230" i="2"/>
  <c r="BO252" i="2"/>
  <c r="BQ153" i="2"/>
  <c r="BC182" i="2"/>
  <c r="BD96" i="2"/>
  <c r="AR179" i="2"/>
  <c r="BR67" i="2"/>
  <c r="BB86" i="2"/>
  <c r="BQ173" i="2"/>
  <c r="AV138" i="2"/>
  <c r="BQ76" i="2"/>
  <c r="BN100" i="2"/>
  <c r="BF111" i="2"/>
  <c r="BD230" i="2"/>
  <c r="AW144" i="2"/>
  <c r="AQ123" i="2"/>
  <c r="BR205" i="2"/>
  <c r="AS76" i="2"/>
  <c r="BO169" i="2"/>
  <c r="BP78" i="2"/>
  <c r="BN90" i="2"/>
  <c r="BD144" i="2"/>
  <c r="BB158" i="2"/>
  <c r="AS73" i="2"/>
  <c r="AR104" i="2"/>
  <c r="BB221" i="2"/>
  <c r="BR142" i="2"/>
  <c r="BI113" i="2"/>
  <c r="AT56" i="2"/>
  <c r="AV168" i="2"/>
  <c r="AS222" i="2"/>
  <c r="AS156" i="2"/>
  <c r="BA74" i="2"/>
  <c r="AQ171" i="2"/>
  <c r="BQ130" i="2"/>
  <c r="BF97" i="2"/>
  <c r="BG120" i="2"/>
  <c r="AQ118" i="2"/>
  <c r="AQ116" i="2"/>
  <c r="BH115" i="2"/>
  <c r="BE83" i="2"/>
  <c r="BA99" i="2"/>
  <c r="BQ74" i="2"/>
  <c r="AT105" i="2"/>
  <c r="BF206" i="2"/>
  <c r="BG145" i="2"/>
  <c r="BN69" i="2"/>
  <c r="BL58" i="2"/>
  <c r="BA125" i="2"/>
  <c r="BI164" i="2"/>
  <c r="BK145" i="2"/>
  <c r="BI66" i="2"/>
  <c r="AW66" i="2"/>
  <c r="BB196" i="2"/>
  <c r="AW126" i="2"/>
  <c r="BQ155" i="2"/>
  <c r="BE162" i="2"/>
  <c r="BH61" i="2"/>
  <c r="AW127" i="2"/>
  <c r="AV77" i="2"/>
  <c r="BI156" i="2"/>
  <c r="BE86" i="2"/>
  <c r="BM148" i="2"/>
  <c r="BG59" i="2"/>
  <c r="AY134" i="2"/>
  <c r="BN56" i="2"/>
  <c r="BA70" i="2"/>
  <c r="BR267" i="2"/>
  <c r="BQ216" i="2"/>
  <c r="BJ80" i="2"/>
  <c r="BH120" i="2"/>
  <c r="BR193" i="2"/>
  <c r="AS79" i="2"/>
  <c r="BJ137" i="2"/>
  <c r="BO54" i="2"/>
  <c r="BM57" i="2"/>
  <c r="BA60" i="2"/>
  <c r="AY166" i="2"/>
  <c r="BP189" i="2"/>
  <c r="BR89" i="2"/>
  <c r="AS53" i="2"/>
  <c r="BF228" i="2"/>
  <c r="AQ119" i="2"/>
  <c r="BB149" i="2"/>
  <c r="AW140" i="2"/>
  <c r="BR52" i="2"/>
  <c r="BP173" i="2"/>
  <c r="BO235" i="2"/>
  <c r="BP62" i="2"/>
  <c r="BH193" i="2"/>
  <c r="BI178" i="2"/>
  <c r="AW174" i="2"/>
  <c r="BC71" i="2"/>
  <c r="AX113" i="2"/>
  <c r="BF215" i="2"/>
  <c r="AQ54" i="2"/>
  <c r="BL142" i="2"/>
  <c r="BL221" i="2"/>
  <c r="AV210" i="2"/>
  <c r="BH243" i="2"/>
  <c r="BR97" i="2"/>
  <c r="BD264" i="2"/>
  <c r="AS82" i="2"/>
  <c r="BF169" i="2"/>
  <c r="AT127" i="2"/>
  <c r="AW224" i="2"/>
  <c r="AT72" i="2"/>
  <c r="BA94" i="2"/>
  <c r="BB54" i="2"/>
  <c r="BL55" i="2"/>
  <c r="BE204" i="2"/>
  <c r="AU119" i="2"/>
  <c r="BA106" i="2"/>
  <c r="BB123" i="2"/>
  <c r="BJ99" i="2"/>
  <c r="BN63" i="2"/>
  <c r="AT130" i="2"/>
  <c r="BJ151" i="2"/>
  <c r="BO180" i="2"/>
  <c r="BH63" i="2"/>
  <c r="BA182" i="2"/>
  <c r="AR158" i="2"/>
  <c r="BF217" i="2"/>
  <c r="AW153" i="2"/>
  <c r="BR209" i="2"/>
  <c r="BR254" i="2"/>
  <c r="BQ256" i="2"/>
  <c r="BA95" i="2"/>
  <c r="AW205" i="2"/>
  <c r="AU226" i="2"/>
  <c r="BB98" i="2"/>
  <c r="BH70" i="2"/>
  <c r="BP205" i="2"/>
  <c r="BB206" i="2"/>
  <c r="BM76" i="2"/>
  <c r="BR201" i="2"/>
  <c r="BO89" i="2"/>
  <c r="AW65" i="2"/>
  <c r="BD189" i="2"/>
  <c r="BL130" i="2"/>
  <c r="BE189" i="2"/>
  <c r="AX92" i="2"/>
  <c r="BL193" i="2"/>
  <c r="BQ84" i="2"/>
  <c r="BE148" i="2"/>
  <c r="BC60" i="2"/>
  <c r="BI119" i="2"/>
  <c r="AW62" i="2"/>
  <c r="BC147" i="2"/>
  <c r="AS57" i="2"/>
  <c r="BC221" i="2"/>
  <c r="AV100" i="2"/>
  <c r="BF102" i="2"/>
  <c r="BN113" i="2"/>
  <c r="BF138" i="2"/>
  <c r="AX102" i="2"/>
  <c r="BL163" i="2"/>
  <c r="AR68" i="2"/>
  <c r="BL173" i="2"/>
  <c r="AX62" i="2"/>
  <c r="AQ124" i="2"/>
  <c r="BN128" i="2"/>
  <c r="BE112" i="2"/>
  <c r="BO224" i="2"/>
  <c r="BE182" i="2"/>
  <c r="BD149" i="2"/>
  <c r="AR138" i="2"/>
  <c r="BO92" i="2"/>
  <c r="BQ102" i="2"/>
  <c r="BC66" i="2"/>
  <c r="AV161" i="2"/>
  <c r="BQ175" i="2"/>
  <c r="AQ82" i="2"/>
  <c r="BG80" i="2"/>
  <c r="BJ94" i="2"/>
  <c r="BD158" i="2"/>
  <c r="BE118" i="2"/>
  <c r="BJ112" i="2"/>
  <c r="BD238" i="2"/>
  <c r="AW169" i="2"/>
  <c r="BL189" i="2"/>
  <c r="BQ220" i="2"/>
  <c r="BN65" i="2"/>
  <c r="AQ194" i="2"/>
  <c r="BB260" i="2"/>
  <c r="BC217" i="2"/>
  <c r="AU116" i="2"/>
  <c r="AW105" i="2"/>
  <c r="BO174" i="2"/>
  <c r="AY124" i="2"/>
  <c r="AQ60" i="2"/>
  <c r="BK57" i="2"/>
  <c r="BL244" i="2"/>
  <c r="J34" i="2"/>
  <c r="V385" i="2"/>
  <c r="V376" i="2"/>
  <c r="V378" i="2"/>
  <c r="V382" i="2"/>
  <c r="V380" i="2"/>
  <c r="V375" i="2"/>
  <c r="V377" i="2"/>
  <c r="V383" i="2"/>
  <c r="V384" i="2"/>
  <c r="V379" i="2"/>
  <c r="V374" i="2"/>
  <c r="V381"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22" i="2"/>
  <c r="AF326"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22" i="2"/>
  <c r="BC323" i="2"/>
  <c r="BC324" i="2"/>
  <c r="BC325" i="2"/>
  <c r="BC326" i="2"/>
  <c r="BC327" i="2"/>
  <c r="BC328" i="2"/>
  <c r="BC329" i="2"/>
  <c r="BC330" i="2"/>
  <c r="BC331" i="2"/>
  <c r="BC332" i="2"/>
  <c r="BC333" i="2"/>
  <c r="BC334" i="2"/>
  <c r="BC335" i="2"/>
  <c r="BC336" i="2"/>
  <c r="BC337" i="2"/>
  <c r="BC338" i="2"/>
  <c r="BC339" i="2"/>
  <c r="BC340" i="2"/>
  <c r="BC341" i="2"/>
  <c r="BC342" i="2"/>
  <c r="BC343" i="2"/>
  <c r="BC344" i="2"/>
  <c r="BC345" i="2"/>
  <c r="BC346" i="2"/>
  <c r="BC347" i="2"/>
  <c r="BC348" i="2"/>
  <c r="BC349" i="2"/>
  <c r="BC350" i="2"/>
  <c r="BC351" i="2"/>
  <c r="BC352" i="2"/>
  <c r="BC353" i="2"/>
  <c r="BC354" i="2"/>
  <c r="BC355" i="2"/>
  <c r="BC356" i="2"/>
  <c r="BC357" i="2"/>
  <c r="BC358" i="2"/>
  <c r="BC359" i="2"/>
  <c r="BC360" i="2"/>
  <c r="BC361" i="2"/>
  <c r="BC362" i="2"/>
  <c r="BC363" i="2"/>
  <c r="Y359" i="2"/>
  <c r="X360" i="2"/>
  <c r="W358" i="2"/>
  <c r="AZ323" i="2"/>
  <c r="AZ324" i="2"/>
  <c r="AZ325" i="2"/>
  <c r="AZ326" i="2"/>
  <c r="AZ327" i="2"/>
  <c r="AZ328" i="2"/>
  <c r="AZ329" i="2"/>
  <c r="AZ330" i="2"/>
  <c r="AZ331" i="2"/>
  <c r="AZ332" i="2"/>
  <c r="AZ333" i="2"/>
  <c r="AZ334" i="2"/>
  <c r="AZ335" i="2"/>
  <c r="AZ336" i="2"/>
  <c r="AZ337" i="2"/>
  <c r="AZ338" i="2"/>
  <c r="AZ339" i="2"/>
  <c r="AZ340" i="2"/>
  <c r="AZ341" i="2"/>
  <c r="AZ342" i="2"/>
  <c r="AZ343" i="2"/>
  <c r="AZ344" i="2"/>
  <c r="AZ345" i="2"/>
  <c r="AZ346" i="2"/>
  <c r="AZ347" i="2"/>
  <c r="AZ348" i="2"/>
  <c r="AZ349" i="2"/>
  <c r="AZ350" i="2"/>
  <c r="AZ351" i="2"/>
  <c r="AZ352" i="2"/>
  <c r="AZ353" i="2"/>
  <c r="AZ354" i="2"/>
  <c r="AZ355" i="2"/>
  <c r="AZ356" i="2"/>
  <c r="AZ357" i="2"/>
  <c r="AZ358" i="2"/>
  <c r="AZ359" i="2"/>
  <c r="AZ360" i="2"/>
  <c r="AZ361" i="2"/>
  <c r="AZ362" i="2"/>
  <c r="AZ363" i="2"/>
  <c r="AZ322" i="2"/>
  <c r="V358" i="2"/>
  <c r="AY323" i="2"/>
  <c r="AY324" i="2"/>
  <c r="AY325" i="2"/>
  <c r="AY326" i="2"/>
  <c r="AY327" i="2"/>
  <c r="AY328" i="2"/>
  <c r="AY329" i="2"/>
  <c r="AY330" i="2"/>
  <c r="AY331" i="2"/>
  <c r="AY332" i="2"/>
  <c r="AY333" i="2"/>
  <c r="AY334" i="2"/>
  <c r="AY335" i="2"/>
  <c r="AY336" i="2"/>
  <c r="AY337" i="2"/>
  <c r="AY338" i="2"/>
  <c r="AY339" i="2"/>
  <c r="AY340" i="2"/>
  <c r="AY341" i="2"/>
  <c r="AY342" i="2"/>
  <c r="AY343" i="2"/>
  <c r="AY344" i="2"/>
  <c r="AY345" i="2"/>
  <c r="AY346" i="2"/>
  <c r="AY347" i="2"/>
  <c r="AY348" i="2"/>
  <c r="AY349" i="2"/>
  <c r="AY350" i="2"/>
  <c r="AY351" i="2"/>
  <c r="AY352" i="2"/>
  <c r="AY353" i="2"/>
  <c r="AY354" i="2"/>
  <c r="AY355" i="2"/>
  <c r="AY356" i="2"/>
  <c r="AY357" i="2"/>
  <c r="AY358" i="2"/>
  <c r="AY359" i="2"/>
  <c r="AY360" i="2"/>
  <c r="AY361" i="2"/>
  <c r="AY362" i="2"/>
  <c r="AY363" i="2"/>
  <c r="AY322" i="2"/>
  <c r="U357" i="2"/>
  <c r="AX323" i="2"/>
  <c r="AX324" i="2"/>
  <c r="AX325" i="2"/>
  <c r="AX326" i="2"/>
  <c r="AX327" i="2"/>
  <c r="AX328" i="2"/>
  <c r="AX329" i="2"/>
  <c r="AX330" i="2"/>
  <c r="AX331" i="2"/>
  <c r="AX332" i="2"/>
  <c r="AX333" i="2"/>
  <c r="AX334" i="2"/>
  <c r="AX335" i="2"/>
  <c r="AX336" i="2"/>
  <c r="AX337" i="2"/>
  <c r="AX338" i="2"/>
  <c r="AX339" i="2"/>
  <c r="AX340" i="2"/>
  <c r="AX341" i="2"/>
  <c r="AX342" i="2"/>
  <c r="AX343" i="2"/>
  <c r="AX344" i="2"/>
  <c r="AX345" i="2"/>
  <c r="AX346" i="2"/>
  <c r="AX347" i="2"/>
  <c r="AX348" i="2"/>
  <c r="AX349" i="2"/>
  <c r="AX350" i="2"/>
  <c r="AX351" i="2"/>
  <c r="AX352" i="2"/>
  <c r="AX353" i="2"/>
  <c r="AX354" i="2"/>
  <c r="AX355" i="2"/>
  <c r="AX356" i="2"/>
  <c r="AX357" i="2"/>
  <c r="AX358" i="2"/>
  <c r="AX359" i="2"/>
  <c r="AX360" i="2"/>
  <c r="AX361" i="2"/>
  <c r="AX362" i="2"/>
  <c r="AX363" i="2"/>
  <c r="AX322" i="2"/>
  <c r="T357" i="2"/>
  <c r="AV323" i="2"/>
  <c r="AV324" i="2"/>
  <c r="AV325" i="2"/>
  <c r="AV326" i="2"/>
  <c r="AV327" i="2"/>
  <c r="AV328" i="2"/>
  <c r="AV329" i="2"/>
  <c r="AV330" i="2"/>
  <c r="AV331" i="2"/>
  <c r="AV332" i="2"/>
  <c r="AV333" i="2"/>
  <c r="AV334" i="2"/>
  <c r="AV335" i="2"/>
  <c r="AV336" i="2"/>
  <c r="AV337" i="2"/>
  <c r="AV338" i="2"/>
  <c r="AV339" i="2"/>
  <c r="AV340" i="2"/>
  <c r="AV341" i="2"/>
  <c r="AV342" i="2"/>
  <c r="AV343" i="2"/>
  <c r="AV344" i="2"/>
  <c r="AV345" i="2"/>
  <c r="AV346" i="2"/>
  <c r="AV347" i="2"/>
  <c r="AV348" i="2"/>
  <c r="AV349" i="2"/>
  <c r="AV350" i="2"/>
  <c r="AV351" i="2"/>
  <c r="AV352" i="2"/>
  <c r="AV353" i="2"/>
  <c r="AV354" i="2"/>
  <c r="AV355" i="2"/>
  <c r="AV356" i="2"/>
  <c r="AV357" i="2"/>
  <c r="AV358" i="2"/>
  <c r="AV359" i="2"/>
  <c r="AV360" i="2"/>
  <c r="AV361" i="2"/>
  <c r="AV362" i="2"/>
  <c r="AV363" i="2"/>
  <c r="AV322" i="2"/>
  <c r="R355" i="2"/>
  <c r="AU323" i="2"/>
  <c r="AU324" i="2"/>
  <c r="AU325" i="2"/>
  <c r="AU326" i="2"/>
  <c r="AU327" i="2"/>
  <c r="AU328" i="2"/>
  <c r="AU329" i="2"/>
  <c r="AU330" i="2"/>
  <c r="AU331" i="2"/>
  <c r="AU332" i="2"/>
  <c r="AU333" i="2"/>
  <c r="AU334" i="2"/>
  <c r="AU335" i="2"/>
  <c r="AU336" i="2"/>
  <c r="AU337" i="2"/>
  <c r="AU338" i="2"/>
  <c r="AU339" i="2"/>
  <c r="AU340" i="2"/>
  <c r="AU341" i="2"/>
  <c r="AU342" i="2"/>
  <c r="AU343" i="2"/>
  <c r="AU344" i="2"/>
  <c r="AU345" i="2"/>
  <c r="AU346" i="2"/>
  <c r="AU347" i="2"/>
  <c r="AU348" i="2"/>
  <c r="AU349" i="2"/>
  <c r="AU350" i="2"/>
  <c r="AU351" i="2"/>
  <c r="AU352" i="2"/>
  <c r="AU353" i="2"/>
  <c r="AU354" i="2"/>
  <c r="AU355" i="2"/>
  <c r="AU356" i="2"/>
  <c r="AU357" i="2"/>
  <c r="AU358" i="2"/>
  <c r="AU359" i="2"/>
  <c r="AU360" i="2"/>
  <c r="AU361" i="2"/>
  <c r="AU362" i="2"/>
  <c r="AU363" i="2"/>
  <c r="AU322" i="2"/>
  <c r="Q352" i="2"/>
  <c r="AT323" i="2"/>
  <c r="AT324" i="2"/>
  <c r="AT325" i="2"/>
  <c r="AT326" i="2"/>
  <c r="AT327" i="2"/>
  <c r="AT328" i="2"/>
  <c r="AT329" i="2"/>
  <c r="AT330" i="2"/>
  <c r="AT331" i="2"/>
  <c r="AT332" i="2"/>
  <c r="AT333" i="2"/>
  <c r="AT334" i="2"/>
  <c r="AT335" i="2"/>
  <c r="AT336" i="2"/>
  <c r="AT337" i="2"/>
  <c r="AT338" i="2"/>
  <c r="AT339" i="2"/>
  <c r="AT340" i="2"/>
  <c r="AT341" i="2"/>
  <c r="AT342" i="2"/>
  <c r="AT343" i="2"/>
  <c r="AT344" i="2"/>
  <c r="AT345" i="2"/>
  <c r="AT346" i="2"/>
  <c r="AT347" i="2"/>
  <c r="AT348" i="2"/>
  <c r="AT349" i="2"/>
  <c r="AT350" i="2"/>
  <c r="AT351" i="2"/>
  <c r="AT352" i="2"/>
  <c r="AT353" i="2"/>
  <c r="AT354" i="2"/>
  <c r="AT355" i="2"/>
  <c r="AT356" i="2"/>
  <c r="AT357" i="2"/>
  <c r="AT358" i="2"/>
  <c r="AT359" i="2"/>
  <c r="AT360" i="2"/>
  <c r="AT361" i="2"/>
  <c r="AT362" i="2"/>
  <c r="AT363" i="2"/>
  <c r="AT322" i="2"/>
  <c r="P35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22" i="2"/>
  <c r="O351" i="2"/>
  <c r="AQ323" i="2"/>
  <c r="AQ324" i="2"/>
  <c r="AQ325" i="2"/>
  <c r="AQ326" i="2"/>
  <c r="AQ327" i="2"/>
  <c r="AQ328" i="2"/>
  <c r="AQ329" i="2"/>
  <c r="AQ330" i="2"/>
  <c r="AQ331" i="2"/>
  <c r="AQ332" i="2"/>
  <c r="AQ333" i="2"/>
  <c r="AQ334" i="2"/>
  <c r="AQ335" i="2"/>
  <c r="AQ336" i="2"/>
  <c r="AQ337" i="2"/>
  <c r="AQ338" i="2"/>
  <c r="AQ339" i="2"/>
  <c r="AQ340" i="2"/>
  <c r="AQ341" i="2"/>
  <c r="AQ342" i="2"/>
  <c r="AQ343" i="2"/>
  <c r="AQ344" i="2"/>
  <c r="AQ345" i="2"/>
  <c r="AQ346" i="2"/>
  <c r="AQ347" i="2"/>
  <c r="AQ348" i="2"/>
  <c r="AQ349" i="2"/>
  <c r="AQ350" i="2"/>
  <c r="AQ351" i="2"/>
  <c r="AQ352" i="2"/>
  <c r="AQ353" i="2"/>
  <c r="AQ354" i="2"/>
  <c r="AQ355" i="2"/>
  <c r="AQ356" i="2"/>
  <c r="AQ357" i="2"/>
  <c r="AQ358" i="2"/>
  <c r="AQ359" i="2"/>
  <c r="AQ360" i="2"/>
  <c r="AQ361" i="2"/>
  <c r="AQ362" i="2"/>
  <c r="AQ363" i="2"/>
  <c r="AQ322" i="2"/>
  <c r="M348" i="2"/>
  <c r="M347" i="2"/>
  <c r="AP323" i="2"/>
  <c r="AP324" i="2"/>
  <c r="AP325" i="2"/>
  <c r="AP326" i="2"/>
  <c r="AP327" i="2"/>
  <c r="AP328" i="2"/>
  <c r="AP329" i="2"/>
  <c r="AP330" i="2"/>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AP362" i="2"/>
  <c r="AP363" i="2"/>
  <c r="AP322" i="2"/>
  <c r="L344"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22" i="2"/>
  <c r="J34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22" i="2"/>
  <c r="I341"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22" i="2"/>
  <c r="H332" i="2"/>
  <c r="AK327" i="2"/>
  <c r="AK328" i="2"/>
  <c r="AK329" i="2"/>
  <c r="AK330" i="2"/>
  <c r="AK331" i="2"/>
  <c r="AK332" i="2"/>
  <c r="AK333" i="2"/>
  <c r="AK334" i="2"/>
  <c r="AK335" i="2"/>
  <c r="AK336" i="2"/>
  <c r="AK337" i="2"/>
  <c r="AK338" i="2"/>
  <c r="AK339" i="2"/>
  <c r="AK340"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23" i="2"/>
  <c r="AK324" i="2"/>
  <c r="AK325" i="2"/>
  <c r="AK326" i="2"/>
  <c r="AK322" i="2"/>
  <c r="G323" i="2"/>
  <c r="AJ322" i="2"/>
  <c r="AJ323"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24" i="2"/>
  <c r="F324"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E326" i="2"/>
  <c r="F2460" i="1"/>
  <c r="AF362" i="2"/>
  <c r="AF363" i="2"/>
  <c r="Y362" i="2"/>
  <c r="Y363" i="2"/>
  <c r="V362" i="2"/>
  <c r="W362" i="2"/>
  <c r="X362" i="2"/>
  <c r="V363" i="2"/>
  <c r="W363" i="2"/>
  <c r="X363" i="2"/>
  <c r="U362" i="2"/>
  <c r="U363" i="2"/>
  <c r="T362" i="2"/>
  <c r="T363" i="2"/>
  <c r="Q362" i="2"/>
  <c r="Q363" i="2"/>
  <c r="F362" i="2"/>
  <c r="F363" i="2"/>
  <c r="P362" i="2"/>
  <c r="P363" i="2"/>
  <c r="O362" i="2"/>
  <c r="M362" i="2"/>
  <c r="M363" i="2"/>
  <c r="L362" i="2"/>
  <c r="I362" i="2"/>
  <c r="I363" i="2"/>
  <c r="G362" i="2"/>
  <c r="G363" i="2"/>
  <c r="E362" i="2"/>
  <c r="E363" i="2"/>
  <c r="AL29" i="2"/>
  <c r="F29" i="2"/>
  <c r="E29" i="2"/>
  <c r="E27" i="2"/>
  <c r="M15" i="3"/>
  <c r="K15" i="3"/>
  <c r="J15" i="3"/>
  <c r="J19" i="3"/>
  <c r="D27" i="4"/>
  <c r="H34" i="2" l="1"/>
  <c r="I34" i="2"/>
  <c r="K34" i="2"/>
  <c r="A362" i="2"/>
  <c r="A363" i="2"/>
  <c r="B364" i="2" s="1"/>
  <c r="D364" i="2" s="1"/>
  <c r="AH357" i="2"/>
  <c r="AH333" i="2"/>
  <c r="AH349" i="2"/>
  <c r="AH341" i="2"/>
  <c r="AH325" i="2"/>
  <c r="AH324" i="2"/>
  <c r="AH332" i="2"/>
  <c r="AH340" i="2"/>
  <c r="AH348" i="2"/>
  <c r="AH356" i="2"/>
  <c r="AH339" i="2"/>
  <c r="AH346" i="2"/>
  <c r="AH345" i="2"/>
  <c r="AH331" i="2"/>
  <c r="AH354" i="2"/>
  <c r="AH361" i="2"/>
  <c r="AH329" i="2"/>
  <c r="AH360" i="2"/>
  <c r="AH352" i="2"/>
  <c r="AH344" i="2"/>
  <c r="AH336" i="2"/>
  <c r="AH328" i="2"/>
  <c r="AH323" i="2"/>
  <c r="AH338" i="2"/>
  <c r="AH353" i="2"/>
  <c r="AH337" i="2"/>
  <c r="AH359" i="2"/>
  <c r="AH351" i="2"/>
  <c r="AH343" i="2"/>
  <c r="AH335" i="2"/>
  <c r="AH327" i="2"/>
  <c r="AH347" i="2"/>
  <c r="AH330" i="2"/>
  <c r="AH358" i="2"/>
  <c r="AH350" i="2"/>
  <c r="AH342" i="2"/>
  <c r="AH334" i="2"/>
  <c r="AH326" i="2"/>
  <c r="AH363" i="2"/>
  <c r="AH355" i="2"/>
  <c r="AH362" i="2"/>
  <c r="AH322" i="2"/>
  <c r="W374" i="2"/>
  <c r="W381" i="2"/>
  <c r="W385" i="2"/>
  <c r="W376" i="2"/>
  <c r="W378" i="2"/>
  <c r="W382" i="2"/>
  <c r="W380" i="2"/>
  <c r="W375" i="2"/>
  <c r="W377" i="2"/>
  <c r="W383" i="2"/>
  <c r="W384" i="2"/>
  <c r="W379" i="2"/>
  <c r="AL8" i="2"/>
  <c r="AL9" i="2"/>
  <c r="AL10" i="2"/>
  <c r="AL11" i="2"/>
  <c r="AL12" i="2"/>
  <c r="AL14" i="2"/>
  <c r="AL15" i="2"/>
  <c r="AL16" i="2"/>
  <c r="AL17" i="2"/>
  <c r="AL18" i="2"/>
  <c r="AL19" i="2"/>
  <c r="AL20" i="2"/>
  <c r="AL22" i="2"/>
  <c r="AL23" i="2"/>
  <c r="AL24" i="2"/>
  <c r="AL25" i="2"/>
  <c r="AL26" i="2"/>
  <c r="AL27" i="2"/>
  <c r="X379" i="2" l="1"/>
  <c r="X374" i="2"/>
  <c r="X381" i="2"/>
  <c r="X385" i="2"/>
  <c r="X376" i="2"/>
  <c r="X378" i="2"/>
  <c r="X382" i="2"/>
  <c r="X380" i="2"/>
  <c r="X375" i="2"/>
  <c r="X377" i="2"/>
  <c r="X383" i="2"/>
  <c r="X384" i="2"/>
  <c r="B363" i="2"/>
  <c r="D363" i="2" s="1"/>
  <c r="D20" i="2"/>
  <c r="Y377" i="2" l="1"/>
  <c r="Y383" i="2"/>
  <c r="Y384" i="2"/>
  <c r="Y379" i="2"/>
  <c r="Y374" i="2"/>
  <c r="Y381" i="2"/>
  <c r="Y385" i="2"/>
  <c r="Y376" i="2"/>
  <c r="Y378" i="2"/>
  <c r="Y382" i="2"/>
  <c r="Y380" i="2"/>
  <c r="Y375" i="2"/>
  <c r="Y361" i="2"/>
  <c r="Y360" i="2"/>
  <c r="Z375" i="2" l="1"/>
  <c r="Z377" i="2"/>
  <c r="Z383" i="2"/>
  <c r="Z384" i="2"/>
  <c r="Z379" i="2"/>
  <c r="Z374" i="2"/>
  <c r="Z381" i="2"/>
  <c r="Z385" i="2"/>
  <c r="Z376" i="2"/>
  <c r="Z378" i="2"/>
  <c r="Z382" i="2"/>
  <c r="Z380" i="2"/>
  <c r="D24" i="4"/>
  <c r="AA380" i="2" l="1"/>
  <c r="AA375" i="2"/>
  <c r="AA377" i="2"/>
  <c r="AA383" i="2"/>
  <c r="AA384" i="2"/>
  <c r="AA379" i="2"/>
  <c r="AA374" i="2"/>
  <c r="AA381" i="2"/>
  <c r="AA385" i="2"/>
  <c r="AA376" i="2"/>
  <c r="AA378" i="2"/>
  <c r="AA382" i="2"/>
  <c r="M19" i="3"/>
  <c r="K19" i="3"/>
  <c r="AB382" i="2" l="1"/>
  <c r="AB380" i="2"/>
  <c r="AB375" i="2"/>
  <c r="AB377" i="2"/>
  <c r="AB383" i="2"/>
  <c r="AB384" i="2"/>
  <c r="AB379" i="2"/>
  <c r="AB374" i="2"/>
  <c r="AB381" i="2"/>
  <c r="AB385" i="2"/>
  <c r="AB376" i="2"/>
  <c r="AB378" i="2"/>
  <c r="F25" i="2"/>
  <c r="F22" i="2"/>
  <c r="W359" i="2"/>
  <c r="W360" i="2"/>
  <c r="W361" i="2"/>
  <c r="T358" i="2"/>
  <c r="T359" i="2"/>
  <c r="T360" i="2"/>
  <c r="T361" i="2"/>
  <c r="G25" i="2"/>
  <c r="E25" i="2"/>
  <c r="G22" i="2"/>
  <c r="E22" i="2"/>
  <c r="D22" i="2"/>
  <c r="AC376" i="2" l="1"/>
  <c r="AC378" i="2"/>
  <c r="AC382" i="2"/>
  <c r="AC380" i="2"/>
  <c r="AC375" i="2"/>
  <c r="AC377" i="2"/>
  <c r="AC383" i="2"/>
  <c r="AC384" i="2"/>
  <c r="AC379" i="2"/>
  <c r="AC374" i="2"/>
  <c r="AC381" i="2"/>
  <c r="AC385" i="2"/>
  <c r="E20" i="4"/>
  <c r="D20" i="4"/>
  <c r="AD385" i="2" l="1"/>
  <c r="AD376" i="2"/>
  <c r="AD378" i="2"/>
  <c r="AD382" i="2"/>
  <c r="AD380" i="2"/>
  <c r="AD375" i="2"/>
  <c r="AD383" i="2"/>
  <c r="AD377" i="2"/>
  <c r="AD384" i="2"/>
  <c r="AD379" i="2"/>
  <c r="AD374" i="2"/>
  <c r="AD381" i="2"/>
  <c r="D23" i="4"/>
  <c r="E22" i="4"/>
  <c r="D22" i="4"/>
  <c r="AE374" i="2" l="1"/>
  <c r="AE381" i="2"/>
  <c r="AE385" i="2"/>
  <c r="AE376" i="2"/>
  <c r="AE378" i="2"/>
  <c r="AE382" i="2"/>
  <c r="AE380" i="2"/>
  <c r="AE375" i="2"/>
  <c r="AE383" i="2"/>
  <c r="AE377" i="2"/>
  <c r="AE384" i="2"/>
  <c r="AE379" i="2"/>
  <c r="D17" i="4"/>
  <c r="D16" i="4"/>
  <c r="D15" i="4"/>
  <c r="D14" i="4"/>
  <c r="D13" i="4"/>
  <c r="D12" i="4"/>
  <c r="D9" i="4"/>
  <c r="D8" i="4"/>
  <c r="D7" i="4"/>
  <c r="D6" i="4"/>
  <c r="D5" i="4"/>
  <c r="E21" i="4"/>
  <c r="D21" i="4"/>
  <c r="D18" i="4"/>
  <c r="E18" i="4"/>
  <c r="E17" i="4"/>
  <c r="E16" i="4"/>
  <c r="E14" i="4"/>
  <c r="E13" i="4"/>
  <c r="E9" i="4"/>
  <c r="E8" i="4"/>
  <c r="E7" i="4"/>
  <c r="E6" i="4"/>
  <c r="G7" i="2"/>
  <c r="AF379" i="2" l="1"/>
  <c r="AF374" i="2"/>
  <c r="AF381" i="2"/>
  <c r="AF385" i="2"/>
  <c r="AF376" i="2"/>
  <c r="AF378" i="2"/>
  <c r="AF382" i="2"/>
  <c r="AF380" i="2"/>
  <c r="AF375" i="2"/>
  <c r="AF383" i="2"/>
  <c r="AF377" i="2"/>
  <c r="AF384" i="2"/>
  <c r="X80" i="2" a="1"/>
  <c r="X80" i="2" s="1"/>
  <c r="O72" i="2" a="1"/>
  <c r="O72" i="2" s="1"/>
  <c r="AJ67" i="2" a="1"/>
  <c r="AJ67" i="2" s="1"/>
  <c r="I57" i="2" a="1"/>
  <c r="I57" i="2" s="1"/>
  <c r="AD79" i="2" a="1"/>
  <c r="AD79" i="2" s="1"/>
  <c r="I48" i="2" a="1"/>
  <c r="I48" i="2" s="1"/>
  <c r="AJ49" i="2" a="1"/>
  <c r="AJ49" i="2" s="1"/>
  <c r="L53" i="2" a="1"/>
  <c r="L53" i="2" s="1"/>
  <c r="F80" i="2" a="1"/>
  <c r="F80" i="2" s="1"/>
  <c r="O62" i="2" a="1"/>
  <c r="O62" i="2" s="1"/>
  <c r="AG64" i="2" a="1"/>
  <c r="AG64" i="2" s="1"/>
  <c r="R61" i="2" a="1"/>
  <c r="R61" i="2" s="1"/>
  <c r="I85" i="2" a="1"/>
  <c r="I85" i="2" s="1"/>
  <c r="AA81" i="2" a="1"/>
  <c r="AA81" i="2" s="1"/>
  <c r="F83" i="2" a="1"/>
  <c r="F83" i="2" s="1"/>
  <c r="X59" i="2" a="1"/>
  <c r="X59" i="2" s="1"/>
  <c r="AM59" i="2" a="1"/>
  <c r="AM59" i="2" s="1"/>
  <c r="X88" i="2" a="1"/>
  <c r="X88" i="2" s="1"/>
  <c r="O94" i="2" a="1"/>
  <c r="O94" i="2" s="1"/>
  <c r="AJ73" i="2" a="1"/>
  <c r="AJ73" i="2" s="1"/>
  <c r="AG79" i="2" a="1"/>
  <c r="AG79" i="2" s="1"/>
  <c r="AM55" i="2" a="1"/>
  <c r="AM55" i="2" s="1"/>
  <c r="AJ68" i="2" a="1"/>
  <c r="AJ68" i="2" s="1"/>
  <c r="AA58" i="2" a="1"/>
  <c r="AA58" i="2" s="1"/>
  <c r="AD60" i="2" a="1"/>
  <c r="AD60" i="2" s="1"/>
  <c r="U75" i="2" a="1"/>
  <c r="U75" i="2" s="1"/>
  <c r="I60" i="2" a="1"/>
  <c r="I60" i="2" s="1"/>
  <c r="L70" i="2" a="1"/>
  <c r="L70" i="2" s="1"/>
  <c r="AD66" i="2" a="1"/>
  <c r="AD66" i="2" s="1"/>
  <c r="F49" i="2" a="1"/>
  <c r="F49" i="2" s="1"/>
  <c r="AJ91" i="2" a="1"/>
  <c r="AJ91" i="2" s="1"/>
  <c r="F76" i="2" a="1"/>
  <c r="F76" i="2" s="1"/>
  <c r="O85" i="2" a="1"/>
  <c r="O85" i="2" s="1"/>
  <c r="AG84" i="2" a="1"/>
  <c r="AG84" i="2" s="1"/>
  <c r="X60" i="2" a="1"/>
  <c r="X60" i="2" s="1"/>
  <c r="F93" i="2" a="1"/>
  <c r="F93" i="2" s="1"/>
  <c r="O52" i="2" a="1"/>
  <c r="O52" i="2" s="1"/>
  <c r="X63" i="2" a="1"/>
  <c r="X63" i="2" s="1"/>
  <c r="AA52" i="2" a="1"/>
  <c r="AA52" i="2" s="1"/>
  <c r="AD85" i="2" a="1"/>
  <c r="AD85" i="2" s="1"/>
  <c r="AD52" i="2" a="1"/>
  <c r="AD52" i="2" s="1"/>
  <c r="AJ58" i="2" a="1"/>
  <c r="AJ58" i="2" s="1"/>
  <c r="AM57" i="2" a="1"/>
  <c r="AM57" i="2" s="1"/>
  <c r="O55" i="2" a="1"/>
  <c r="O55" i="2" s="1"/>
  <c r="AJ62" i="2" a="1"/>
  <c r="AJ62" i="2" s="1"/>
  <c r="L48" i="2" a="1"/>
  <c r="L48" i="2" s="1"/>
  <c r="I54" i="2" a="1"/>
  <c r="I54" i="2" s="1"/>
  <c r="AD47" i="2" a="1"/>
  <c r="AD47" i="2" s="1"/>
  <c r="AA89" i="2" a="1"/>
  <c r="AA89" i="2" s="1"/>
  <c r="R77" i="2" a="1"/>
  <c r="R77" i="2" s="1"/>
  <c r="R74" i="2" a="1"/>
  <c r="R74" i="2" s="1"/>
  <c r="L68" i="2" a="1"/>
  <c r="L68" i="2" s="1"/>
  <c r="AJ87" i="2" a="1"/>
  <c r="AJ87" i="2" s="1"/>
  <c r="F81" i="2" a="1"/>
  <c r="F81" i="2" s="1"/>
  <c r="AM64" i="2" a="1"/>
  <c r="AM64" i="2" s="1"/>
  <c r="AD56" i="2" a="1"/>
  <c r="AD56" i="2" s="1"/>
  <c r="U83" i="2" a="1"/>
  <c r="U83" i="2" s="1"/>
  <c r="R72" i="2" a="1"/>
  <c r="R72" i="2" s="1"/>
  <c r="AA91" i="2" a="1"/>
  <c r="AA91" i="2" s="1"/>
  <c r="F90" i="2" a="1"/>
  <c r="F90" i="2" s="1"/>
  <c r="R81" i="2" a="1"/>
  <c r="R81" i="2" s="1"/>
  <c r="AJ82" i="2" a="1"/>
  <c r="AJ82" i="2" s="1"/>
  <c r="U80" i="2" a="1"/>
  <c r="U80" i="2" s="1"/>
  <c r="AG86" i="2" a="1"/>
  <c r="AG86" i="2" s="1"/>
  <c r="AA54" i="2" a="1"/>
  <c r="AA54" i="2" s="1"/>
  <c r="X70" i="2" a="1"/>
  <c r="X70" i="2" s="1"/>
  <c r="O65" i="2" a="1"/>
  <c r="O65" i="2" s="1"/>
  <c r="AA87" i="2" a="1"/>
  <c r="AA87" i="2" s="1"/>
  <c r="F70" i="2" a="1"/>
  <c r="F70" i="2" s="1"/>
  <c r="U50" i="2" a="1"/>
  <c r="U50" i="2" s="1"/>
  <c r="F52" i="2" a="1"/>
  <c r="F52" i="2" s="1"/>
  <c r="I70" i="2" a="1"/>
  <c r="I70" i="2" s="1"/>
  <c r="AD88" i="2" a="1"/>
  <c r="AD88" i="2" s="1"/>
  <c r="AJ69" i="2" a="1"/>
  <c r="AJ69" i="2" s="1"/>
  <c r="I69" i="2" a="1"/>
  <c r="I69" i="2" s="1"/>
  <c r="X90" i="2" a="1"/>
  <c r="X90" i="2" s="1"/>
  <c r="F73" i="2" a="1"/>
  <c r="F73" i="2" s="1"/>
  <c r="F78" i="2" a="1"/>
  <c r="F78" i="2" s="1"/>
  <c r="L58" i="2" a="1"/>
  <c r="L58" i="2" s="1"/>
  <c r="O91" i="2" a="1"/>
  <c r="O91" i="2" s="1"/>
  <c r="L86" i="2" a="1"/>
  <c r="L86" i="2" s="1"/>
  <c r="AA60" i="2" a="1"/>
  <c r="AA60" i="2" s="1"/>
  <c r="AA86" i="2" a="1"/>
  <c r="AA86" i="2" s="1"/>
  <c r="AA74" i="2" a="1"/>
  <c r="AA74" i="2" s="1"/>
  <c r="L93" i="2" a="1"/>
  <c r="L93" i="2" s="1"/>
  <c r="O66" i="2" a="1"/>
  <c r="O66" i="2" s="1"/>
  <c r="L54" i="2" a="1"/>
  <c r="L54" i="2" s="1"/>
  <c r="X55" i="2" a="1"/>
  <c r="X55" i="2" s="1"/>
  <c r="O87" i="2" a="1"/>
  <c r="O87" i="2" s="1"/>
  <c r="AM84" i="2" a="1"/>
  <c r="AM84" i="2" s="1"/>
  <c r="AM47" i="2" a="1"/>
  <c r="AM47" i="2" s="1"/>
  <c r="AG53" i="2" a="1"/>
  <c r="AG53" i="2" s="1"/>
  <c r="O53" i="2" a="1"/>
  <c r="O53" i="2" s="1"/>
  <c r="I68" i="2" a="1"/>
  <c r="I68" i="2" s="1"/>
  <c r="AD65" i="2" a="1"/>
  <c r="AD65" i="2" s="1"/>
  <c r="AG90" i="2" a="1"/>
  <c r="AG90" i="2" s="1"/>
  <c r="O46" i="2" a="1"/>
  <c r="O46" i="2" s="1"/>
  <c r="AA82" i="2" a="1"/>
  <c r="AA82" i="2" s="1"/>
  <c r="L79" i="2" a="1"/>
  <c r="L79" i="2" s="1"/>
  <c r="AD59" i="2" a="1"/>
  <c r="AD59" i="2" s="1"/>
  <c r="U56" i="2" a="1"/>
  <c r="U56" i="2" s="1"/>
  <c r="L59" i="2" a="1"/>
  <c r="L59" i="2" s="1"/>
  <c r="AA83" i="2" a="1"/>
  <c r="AA83" i="2" s="1"/>
  <c r="AA57" i="2" a="1"/>
  <c r="AA57" i="2" s="1"/>
  <c r="AM85" i="2" a="1"/>
  <c r="AM85" i="2" s="1"/>
  <c r="X75" i="2" a="1"/>
  <c r="X75" i="2" s="1"/>
  <c r="R55" i="2" a="1"/>
  <c r="R55" i="2" s="1"/>
  <c r="R67" i="2" a="1"/>
  <c r="R67" i="2" s="1"/>
  <c r="R92" i="2" a="1"/>
  <c r="R92" i="2" s="1"/>
  <c r="R78" i="2" a="1"/>
  <c r="R78" i="2" s="1"/>
  <c r="AM52" i="2" a="1"/>
  <c r="AM52" i="2" s="1"/>
  <c r="U53" i="2" a="1"/>
  <c r="U53" i="2" s="1"/>
  <c r="R83" i="2" a="1"/>
  <c r="R83" i="2" s="1"/>
  <c r="U74" i="2" a="1"/>
  <c r="U74" i="2" s="1"/>
  <c r="L52" i="2" a="1"/>
  <c r="L52" i="2" s="1"/>
  <c r="R88" i="2" a="1"/>
  <c r="R88" i="2" s="1"/>
  <c r="AG62" i="2" a="1"/>
  <c r="AG62" i="2" s="1"/>
  <c r="AG55" i="2" a="1"/>
  <c r="AG55" i="2" s="1"/>
  <c r="AJ85" i="2" a="1"/>
  <c r="AJ85" i="2" s="1"/>
  <c r="I86" i="2" a="1"/>
  <c r="I86" i="2" s="1"/>
  <c r="I94" i="2" a="1"/>
  <c r="I94" i="2" s="1"/>
  <c r="O80" i="2" a="1"/>
  <c r="O80" i="2" s="1"/>
  <c r="L82" i="2" a="1"/>
  <c r="L82" i="2" s="1"/>
  <c r="AA55" i="2" a="1"/>
  <c r="AA55" i="2" s="1"/>
  <c r="AJ71" i="2" a="1"/>
  <c r="AJ71" i="2" s="1"/>
  <c r="F79" i="2" a="1"/>
  <c r="F79" i="2" s="1"/>
  <c r="AG47" i="2" a="1"/>
  <c r="AG47" i="2" s="1"/>
  <c r="AM77" i="2" a="1"/>
  <c r="AM77" i="2" s="1"/>
  <c r="AG59" i="2" a="1"/>
  <c r="AG59" i="2" s="1"/>
  <c r="AG68" i="2" a="1"/>
  <c r="AG68" i="2" s="1"/>
  <c r="R75" i="2" a="1"/>
  <c r="R75" i="2" s="1"/>
  <c r="F51" i="2" a="1"/>
  <c r="F51" i="2" s="1"/>
  <c r="AG70" i="2" a="1"/>
  <c r="AG70" i="2" s="1"/>
  <c r="X64" i="2" a="1"/>
  <c r="X64" i="2" s="1"/>
  <c r="AG88" i="2" a="1"/>
  <c r="AG88" i="2" s="1"/>
  <c r="L51" i="2" a="1"/>
  <c r="L51" i="2" s="1"/>
  <c r="R69" i="2" a="1"/>
  <c r="R69" i="2" s="1"/>
  <c r="AM89" i="2" a="1"/>
  <c r="AM89" i="2" s="1"/>
  <c r="U52" i="2" a="1"/>
  <c r="U52" i="2" s="1"/>
  <c r="I72" i="2" a="1"/>
  <c r="I72" i="2" s="1"/>
  <c r="O75" i="2" a="1"/>
  <c r="O75" i="2" s="1"/>
  <c r="F88" i="2" a="1"/>
  <c r="F88" i="2" s="1"/>
  <c r="AM63" i="2" a="1"/>
  <c r="AM63" i="2" s="1"/>
  <c r="L91" i="2" a="1"/>
  <c r="L91" i="2" s="1"/>
  <c r="AJ75" i="2" a="1"/>
  <c r="AJ75" i="2" s="1"/>
  <c r="AJ84" i="2" a="1"/>
  <c r="AJ84" i="2" s="1"/>
  <c r="U95" i="2" a="1"/>
  <c r="U95" i="2" s="1"/>
  <c r="AA61" i="2" a="1"/>
  <c r="AA61" i="2" s="1"/>
  <c r="AM87" i="2" a="1"/>
  <c r="AM87" i="2" s="1"/>
  <c r="AJ79" i="2" a="1"/>
  <c r="AJ79" i="2" s="1"/>
  <c r="AJ52" i="2" a="1"/>
  <c r="AJ52" i="2" s="1"/>
  <c r="O78" i="2" a="1"/>
  <c r="O78" i="2" s="1"/>
  <c r="AD57" i="2" a="1"/>
  <c r="AD57" i="2" s="1"/>
  <c r="U84" i="2" a="1"/>
  <c r="U84" i="2" s="1"/>
  <c r="X69" i="2" a="1"/>
  <c r="X69" i="2" s="1"/>
  <c r="X84" i="2" a="1"/>
  <c r="X84" i="2" s="1"/>
  <c r="AD67" i="2" a="1"/>
  <c r="AD67" i="2" s="1"/>
  <c r="AA65" i="2" a="1"/>
  <c r="AA65" i="2" s="1"/>
  <c r="R45" i="2" a="1"/>
  <c r="R45" i="2" s="1"/>
  <c r="X51" i="2" a="1"/>
  <c r="X51" i="2" s="1"/>
  <c r="AJ83" i="2" a="1"/>
  <c r="AJ83" i="2" s="1"/>
  <c r="F66" i="2" a="1"/>
  <c r="F66" i="2" s="1"/>
  <c r="F68" i="2" a="1"/>
  <c r="F68" i="2" s="1"/>
  <c r="X62" i="2" a="1"/>
  <c r="X62" i="2" s="1"/>
  <c r="R86" i="2" a="1"/>
  <c r="R86" i="2" s="1"/>
  <c r="L74" i="2" a="1"/>
  <c r="L74" i="2" s="1"/>
  <c r="AG74" i="2" a="1"/>
  <c r="AG74" i="2" s="1"/>
  <c r="L67" i="2" a="1"/>
  <c r="L67" i="2" s="1"/>
  <c r="R80" i="2" a="1"/>
  <c r="R80" i="2" s="1"/>
  <c r="I74" i="2" a="1"/>
  <c r="I74" i="2" s="1"/>
  <c r="U46" i="2" a="1"/>
  <c r="U46" i="2" s="1"/>
  <c r="L45" i="2" a="1"/>
  <c r="L45" i="2" s="1"/>
  <c r="F56" i="2" a="1"/>
  <c r="F56" i="2" s="1"/>
  <c r="U71" i="2" a="1"/>
  <c r="U71" i="2" s="1"/>
  <c r="R48" i="2" a="1"/>
  <c r="R48" i="2" s="1"/>
  <c r="R73" i="2" a="1"/>
  <c r="R73" i="2" s="1"/>
  <c r="AA92" i="2" a="1"/>
  <c r="AA92" i="2" s="1"/>
  <c r="F61" i="2" a="1"/>
  <c r="F61" i="2" s="1"/>
  <c r="AJ55" i="2" a="1"/>
  <c r="AJ55" i="2" s="1"/>
  <c r="L47" i="2" a="1"/>
  <c r="L47" i="2" s="1"/>
  <c r="O56" i="2" a="1"/>
  <c r="O56" i="2" s="1"/>
  <c r="AG71" i="2" a="1"/>
  <c r="AG71" i="2" s="1"/>
  <c r="X76" i="2" a="1"/>
  <c r="X76" i="2" s="1"/>
  <c r="O48" i="2" a="1"/>
  <c r="O48" i="2" s="1"/>
  <c r="AJ50" i="2" a="1"/>
  <c r="AJ50" i="2" s="1"/>
  <c r="U47" i="2" a="1"/>
  <c r="U47" i="2" s="1"/>
  <c r="AD90" i="2" a="1"/>
  <c r="AD90" i="2" s="1"/>
  <c r="O70" i="2" a="1"/>
  <c r="O70" i="2" s="1"/>
  <c r="R79" i="2" a="1"/>
  <c r="R79" i="2" s="1"/>
  <c r="AJ89" i="2" a="1"/>
  <c r="AJ89" i="2" s="1"/>
  <c r="AD46" i="2" a="1"/>
  <c r="AD46" i="2" s="1"/>
  <c r="R53" i="2" a="1"/>
  <c r="R53" i="2" s="1"/>
  <c r="U61" i="2" a="1"/>
  <c r="U61" i="2" s="1"/>
  <c r="F82" i="2" a="1"/>
  <c r="F82" i="2" s="1"/>
  <c r="I66" i="2" a="1"/>
  <c r="I66" i="2" s="1"/>
  <c r="U86" i="2" a="1"/>
  <c r="U86" i="2" s="1"/>
  <c r="I53" i="2" a="1"/>
  <c r="I53" i="2" s="1"/>
  <c r="X83" i="2" a="1"/>
  <c r="X83" i="2" s="1"/>
  <c r="U77" i="2" a="1"/>
  <c r="U77" i="2" s="1"/>
  <c r="AD82" i="2" a="1"/>
  <c r="AD82" i="2" s="1"/>
  <c r="AM73" i="2" a="1"/>
  <c r="AM73" i="2" s="1"/>
  <c r="AG60" i="2" a="1"/>
  <c r="AG60" i="2" s="1"/>
  <c r="O89" i="2" a="1"/>
  <c r="O89" i="2" s="1"/>
  <c r="AD45" i="2" a="1"/>
  <c r="AD45" i="2" s="1"/>
  <c r="AM48" i="2" a="1"/>
  <c r="AM48" i="2" s="1"/>
  <c r="O88" i="2" a="1"/>
  <c r="O88" i="2" s="1"/>
  <c r="AA78" i="2" a="1"/>
  <c r="AA78" i="2" s="1"/>
  <c r="I50" i="2" a="1"/>
  <c r="I50" i="2" s="1"/>
  <c r="I63" i="2" a="1"/>
  <c r="I63" i="2" s="1"/>
  <c r="F69" i="2" a="1"/>
  <c r="F69" i="2" s="1"/>
  <c r="AD74" i="2" a="1"/>
  <c r="AD74" i="2" s="1"/>
  <c r="R49" i="2" a="1"/>
  <c r="R49" i="2" s="1"/>
  <c r="X47" i="2" a="1"/>
  <c r="X47" i="2" s="1"/>
  <c r="AA76" i="2" a="1"/>
  <c r="AA76" i="2" s="1"/>
  <c r="AA47" i="2" a="1"/>
  <c r="AA47" i="2" s="1"/>
  <c r="AA48" i="2" a="1"/>
  <c r="AA48" i="2" s="1"/>
  <c r="R63" i="2" a="1"/>
  <c r="R63" i="2" s="1"/>
  <c r="F89" i="2" a="1"/>
  <c r="F89" i="2" s="1"/>
  <c r="AG45" i="2" a="1"/>
  <c r="AG45" i="2" s="1"/>
  <c r="AJ81" i="2" a="1"/>
  <c r="AJ81" i="2" s="1"/>
  <c r="F92" i="2" a="1"/>
  <c r="F92" i="2" s="1"/>
  <c r="O49" i="2" a="1"/>
  <c r="O49" i="2" s="1"/>
  <c r="F74" i="2" a="1"/>
  <c r="F74" i="2" s="1"/>
  <c r="AG92" i="2" a="1"/>
  <c r="AG92" i="2" s="1"/>
  <c r="R85" i="2" a="1"/>
  <c r="R85" i="2" s="1"/>
  <c r="AD81" i="2" a="1"/>
  <c r="AD81" i="2" s="1"/>
  <c r="AA90" i="2" a="1"/>
  <c r="AA90" i="2" s="1"/>
  <c r="AM46" i="2" a="1"/>
  <c r="AM46" i="2" s="1"/>
  <c r="R91" i="2" a="1"/>
  <c r="R91" i="2" s="1"/>
  <c r="AD53" i="2" a="1"/>
  <c r="AD53" i="2" s="1"/>
  <c r="L49" i="2" a="1"/>
  <c r="L49" i="2" s="1"/>
  <c r="O69" i="2" a="1"/>
  <c r="O69" i="2" s="1"/>
  <c r="AG48" i="2" a="1"/>
  <c r="AG48" i="2" s="1"/>
  <c r="U67" i="2" a="1"/>
  <c r="U67" i="2" s="1"/>
  <c r="L77" i="2" a="1"/>
  <c r="L77" i="2" s="1"/>
  <c r="U70" i="2" a="1"/>
  <c r="U70" i="2" s="1"/>
  <c r="AD62" i="2" a="1"/>
  <c r="AD62" i="2" s="1"/>
  <c r="L72" i="2" a="1"/>
  <c r="L72" i="2" s="1"/>
  <c r="L66" i="2" a="1"/>
  <c r="L66" i="2" s="1"/>
  <c r="F59" i="2" a="1"/>
  <c r="F59" i="2" s="1"/>
  <c r="AJ93" i="2" a="1"/>
  <c r="AJ93" i="2" s="1"/>
  <c r="AA64" i="2" a="1"/>
  <c r="AA64" i="2" s="1"/>
  <c r="O92" i="2" a="1"/>
  <c r="O92" i="2" s="1"/>
  <c r="X56" i="2" a="1"/>
  <c r="X56" i="2" s="1"/>
  <c r="R84" i="2" a="1"/>
  <c r="R84" i="2" s="1"/>
  <c r="AG52" i="2" a="1"/>
  <c r="AG52" i="2" s="1"/>
  <c r="R47" i="2" a="1"/>
  <c r="R47" i="2" s="1"/>
  <c r="AA79" i="2" a="1"/>
  <c r="AA79" i="2" s="1"/>
  <c r="AA67" i="2" a="1"/>
  <c r="AA67" i="2" s="1"/>
  <c r="U49" i="2" a="1"/>
  <c r="U49" i="2" s="1"/>
  <c r="AG50" i="2" a="1"/>
  <c r="AG50" i="2" s="1"/>
  <c r="I59" i="2" a="1"/>
  <c r="I59" i="2" s="1"/>
  <c r="U65" i="2" a="1"/>
  <c r="U65" i="2" s="1"/>
  <c r="AM68" i="2" a="1"/>
  <c r="AM68" i="2" s="1"/>
  <c r="L75" i="2" a="1"/>
  <c r="L75" i="2" s="1"/>
  <c r="L84" i="2" a="1"/>
  <c r="L84" i="2" s="1"/>
  <c r="L76" i="2" a="1"/>
  <c r="L76" i="2" s="1"/>
  <c r="AM80" i="2" a="1"/>
  <c r="AM80" i="2" s="1"/>
  <c r="AA77" i="2" a="1"/>
  <c r="AA77" i="2" s="1"/>
  <c r="AD76" i="2" a="1"/>
  <c r="AD76" i="2" s="1"/>
  <c r="I46" i="2" a="1"/>
  <c r="I46" i="2" s="1"/>
  <c r="AD54" i="2" a="1"/>
  <c r="AD54" i="2" s="1"/>
  <c r="L60" i="2" a="1"/>
  <c r="L60" i="2" s="1"/>
  <c r="L73" i="2" a="1"/>
  <c r="L73" i="2" s="1"/>
  <c r="AM86" i="2" a="1"/>
  <c r="AM86" i="2" s="1"/>
  <c r="AM71" i="2" a="1"/>
  <c r="AM71" i="2" s="1"/>
  <c r="AM70" i="2" a="1"/>
  <c r="AM70" i="2" s="1"/>
  <c r="AJ46" i="2" a="1"/>
  <c r="AJ46" i="2" s="1"/>
  <c r="I80" i="2" a="1"/>
  <c r="I80" i="2" s="1"/>
  <c r="L78" i="2" a="1"/>
  <c r="L78" i="2" s="1"/>
  <c r="X82" i="2" a="1"/>
  <c r="X82" i="2" s="1"/>
  <c r="F96" i="2" a="1"/>
  <c r="F96" i="2" s="1"/>
  <c r="AD68" i="2" a="1"/>
  <c r="AD68" i="2" s="1"/>
  <c r="F62" i="2" a="1"/>
  <c r="F62" i="2" s="1"/>
  <c r="AG82" i="2" a="1"/>
  <c r="AG82" i="2" s="1"/>
  <c r="I76" i="2" a="1"/>
  <c r="I76" i="2" s="1"/>
  <c r="U45" i="2" a="1"/>
  <c r="U45" i="2" s="1"/>
  <c r="I83" i="2" a="1"/>
  <c r="I83" i="2" s="1"/>
  <c r="F91" i="2" a="1"/>
  <c r="F91" i="2" s="1"/>
  <c r="U79" i="2" a="1"/>
  <c r="U79" i="2" s="1"/>
  <c r="AG65" i="2" a="1"/>
  <c r="AG65" i="2" s="1"/>
  <c r="AA46" i="2" a="1"/>
  <c r="AA46" i="2" s="1"/>
  <c r="R51" i="2" a="1"/>
  <c r="R51" i="2" s="1"/>
  <c r="AG49" i="2" a="1"/>
  <c r="AG49" i="2" s="1"/>
  <c r="X77" i="2" a="1"/>
  <c r="X77" i="2" s="1"/>
  <c r="R87" i="2" a="1"/>
  <c r="R87" i="2" s="1"/>
  <c r="AD78" i="2" a="1"/>
  <c r="AD78" i="2" s="1"/>
  <c r="U91" i="2" a="1"/>
  <c r="U91" i="2" s="1"/>
  <c r="X45" i="2" a="1"/>
  <c r="X45" i="2" s="1"/>
  <c r="F72" i="2" a="1"/>
  <c r="F72" i="2" s="1"/>
  <c r="U51" i="2" a="1"/>
  <c r="U51" i="2" s="1"/>
  <c r="X46" i="2" a="1"/>
  <c r="X46" i="2" s="1"/>
  <c r="AJ76" i="2" a="1"/>
  <c r="AJ76" i="2" s="1"/>
  <c r="F53" i="2" a="1"/>
  <c r="F53" i="2" s="1"/>
  <c r="U58" i="2" a="1"/>
  <c r="U58" i="2" s="1"/>
  <c r="R57" i="2" a="1"/>
  <c r="R57" i="2" s="1"/>
  <c r="AD96" i="2" a="1"/>
  <c r="AD96" i="2" s="1"/>
  <c r="I71" i="2" a="1"/>
  <c r="I71" i="2" s="1"/>
  <c r="U82" i="2" a="1"/>
  <c r="U82" i="2" s="1"/>
  <c r="R70" i="2" a="1"/>
  <c r="R70" i="2" s="1"/>
  <c r="X54" i="2" a="1"/>
  <c r="X54" i="2" s="1"/>
  <c r="F54" i="2" a="1"/>
  <c r="F54" i="2" s="1"/>
  <c r="AM93" i="2" a="1"/>
  <c r="AM93" i="2" s="1"/>
  <c r="O51" i="2" a="1"/>
  <c r="O51" i="2" s="1"/>
  <c r="AG61" i="2" a="1"/>
  <c r="AG61" i="2" s="1"/>
  <c r="AJ63" i="2" a="1"/>
  <c r="AJ63" i="2" s="1"/>
  <c r="AJ57" i="2" a="1"/>
  <c r="AJ57" i="2" s="1"/>
  <c r="AA85" i="2" a="1"/>
  <c r="AA85" i="2" s="1"/>
  <c r="AJ78" i="2" a="1"/>
  <c r="AJ78" i="2" s="1"/>
  <c r="U57" i="2" a="1"/>
  <c r="U57" i="2" s="1"/>
  <c r="R50" i="2" a="1"/>
  <c r="R50" i="2" s="1"/>
  <c r="I52" i="2" a="1"/>
  <c r="I52" i="2" s="1"/>
  <c r="I65" i="2" a="1"/>
  <c r="I65" i="2" s="1"/>
  <c r="X92" i="2" a="1"/>
  <c r="X92" i="2" s="1"/>
  <c r="L62" i="2" a="1"/>
  <c r="L62" i="2" s="1"/>
  <c r="AM79" i="2" a="1"/>
  <c r="AM79" i="2" s="1"/>
  <c r="F58" i="2" a="1"/>
  <c r="F58" i="2" s="1"/>
  <c r="AM74" i="2" a="1"/>
  <c r="AM74" i="2" s="1"/>
  <c r="AJ59" i="2" a="1"/>
  <c r="AJ59" i="2" s="1"/>
  <c r="R56" i="2" a="1"/>
  <c r="R56" i="2" s="1"/>
  <c r="X67" i="2" a="1"/>
  <c r="X67" i="2" s="1"/>
  <c r="F87" i="2" a="1"/>
  <c r="F87" i="2" s="1"/>
  <c r="AD91" i="2" a="1"/>
  <c r="AD91" i="2" s="1"/>
  <c r="AG67" i="2" a="1"/>
  <c r="AG67" i="2" s="1"/>
  <c r="O59" i="2" a="1"/>
  <c r="O59" i="2" s="1"/>
  <c r="U63" i="2" a="1"/>
  <c r="U63" i="2" s="1"/>
  <c r="AM92" i="2" a="1"/>
  <c r="AM92" i="2" s="1"/>
  <c r="R64" i="2" a="1"/>
  <c r="R64" i="2" s="1"/>
  <c r="F48" i="2" a="1"/>
  <c r="F48" i="2" s="1"/>
  <c r="O93" i="2" a="1"/>
  <c r="O93" i="2" s="1"/>
  <c r="X48" i="2" a="1"/>
  <c r="X48" i="2" s="1"/>
  <c r="AA71" i="2" a="1"/>
  <c r="AA71" i="2" s="1"/>
  <c r="AM51" i="2" a="1"/>
  <c r="AM51" i="2" s="1"/>
  <c r="AG54" i="2" a="1"/>
  <c r="AG54" i="2" s="1"/>
  <c r="O57" i="2" a="1"/>
  <c r="O57" i="2" s="1"/>
  <c r="I64" i="2" a="1"/>
  <c r="I64" i="2" s="1"/>
  <c r="I77" i="2" a="1"/>
  <c r="I77" i="2" s="1"/>
  <c r="R90" i="2" a="1"/>
  <c r="R90" i="2" s="1"/>
  <c r="O60" i="2" a="1"/>
  <c r="O60" i="2" s="1"/>
  <c r="AM50" i="2" a="1"/>
  <c r="AM50" i="2" s="1"/>
  <c r="AM75" i="2" a="1"/>
  <c r="AM75" i="2" s="1"/>
  <c r="U89" i="2" a="1"/>
  <c r="U89" i="2" s="1"/>
  <c r="L50" i="2" a="1"/>
  <c r="L50" i="2" s="1"/>
  <c r="X52" i="2" a="1"/>
  <c r="X52" i="2" s="1"/>
  <c r="U68" i="2" a="1"/>
  <c r="U68" i="2" s="1"/>
  <c r="F94" i="2" a="1"/>
  <c r="F94" i="2" s="1"/>
  <c r="I84" i="2" a="1"/>
  <c r="I84" i="2" s="1"/>
  <c r="AM76" i="2" a="1"/>
  <c r="AM76" i="2" s="1"/>
  <c r="AA56" i="2" a="1"/>
  <c r="AA56" i="2" s="1"/>
  <c r="AM83" i="2" a="1"/>
  <c r="AM83" i="2" s="1"/>
  <c r="AM56" i="2" a="1"/>
  <c r="AM56" i="2" s="1"/>
  <c r="U93" i="2" a="1"/>
  <c r="U93" i="2" s="1"/>
  <c r="AM60" i="2" a="1"/>
  <c r="AM60" i="2" s="1"/>
  <c r="AG46" i="2" a="1"/>
  <c r="AG46" i="2" s="1"/>
  <c r="AD61" i="2" a="1"/>
  <c r="AD61" i="2" s="1"/>
  <c r="L83" i="2" a="1"/>
  <c r="L83" i="2" s="1"/>
  <c r="U81" i="2" a="1"/>
  <c r="U81" i="2" s="1"/>
  <c r="I92" i="2" a="1"/>
  <c r="I92" i="2" s="1"/>
  <c r="O74" i="2" a="1"/>
  <c r="O74" i="2" s="1"/>
  <c r="I45" i="2" a="1"/>
  <c r="I45" i="2" s="1"/>
  <c r="I79" i="2" a="1"/>
  <c r="I79" i="2" s="1"/>
  <c r="AJ80" i="2" a="1"/>
  <c r="AJ80" i="2" s="1"/>
  <c r="AM54" i="2" a="1"/>
  <c r="AM54" i="2" s="1"/>
  <c r="R62" i="2" a="1"/>
  <c r="R62" i="2" s="1"/>
  <c r="X58" i="2" a="1"/>
  <c r="X58" i="2" s="1"/>
  <c r="X53" i="2" a="1"/>
  <c r="X53" i="2" s="1"/>
  <c r="I73" i="2" a="1"/>
  <c r="I73" i="2" s="1"/>
  <c r="AJ70" i="2" a="1"/>
  <c r="AJ70" i="2" s="1"/>
  <c r="AD86" i="2" a="1"/>
  <c r="AD86" i="2" s="1"/>
  <c r="AD63" i="2" a="1"/>
  <c r="AD63" i="2" s="1"/>
  <c r="O61" i="2" a="1"/>
  <c r="O61" i="2" s="1"/>
  <c r="X73" i="2" a="1"/>
  <c r="X73" i="2" s="1"/>
  <c r="X78" i="2" a="1"/>
  <c r="X78" i="2" s="1"/>
  <c r="I58" i="2" a="1"/>
  <c r="I58" i="2" s="1"/>
  <c r="F71" i="2" a="1"/>
  <c r="F71" i="2" s="1"/>
  <c r="AJ64" i="2" a="1"/>
  <c r="AJ64" i="2" s="1"/>
  <c r="R89" i="2" a="1"/>
  <c r="R89" i="2" s="1"/>
  <c r="AJ53" i="2" a="1"/>
  <c r="AJ53" i="2" s="1"/>
  <c r="AJ51" i="2" a="1"/>
  <c r="AJ51" i="2" s="1"/>
  <c r="AA68" i="2" a="1"/>
  <c r="AA68" i="2" s="1"/>
  <c r="AD48" i="2" a="1"/>
  <c r="AD48" i="2" s="1"/>
  <c r="AA50" i="2" a="1"/>
  <c r="AA50" i="2" s="1"/>
  <c r="O71" i="2" a="1"/>
  <c r="O71" i="2" s="1"/>
  <c r="AM82" i="2" a="1"/>
  <c r="AM82" i="2" s="1"/>
  <c r="R66" i="2" a="1"/>
  <c r="R66" i="2" s="1"/>
  <c r="L80" i="2" a="1"/>
  <c r="L80" i="2" s="1"/>
  <c r="I96" i="2" a="1"/>
  <c r="I96" i="2" s="1"/>
  <c r="AD87" i="2" a="1"/>
  <c r="AD87" i="2" s="1"/>
  <c r="AG69" i="2" a="1"/>
  <c r="AG69" i="2" s="1"/>
  <c r="AM96" i="2" a="1"/>
  <c r="AM96" i="2" s="1"/>
  <c r="AD80" i="2" a="1"/>
  <c r="AD80" i="2" s="1"/>
  <c r="AJ45" i="2" a="1"/>
  <c r="AJ45" i="2" s="1"/>
  <c r="AG72" i="2" a="1"/>
  <c r="AG72" i="2" s="1"/>
  <c r="AA70" i="2" a="1"/>
  <c r="AA70" i="2" s="1"/>
  <c r="U59" i="2" a="1"/>
  <c r="U59" i="2" s="1"/>
  <c r="AM58" i="2" a="1"/>
  <c r="AM58" i="2" s="1"/>
  <c r="F46" i="2" a="1"/>
  <c r="F46" i="2" s="1"/>
  <c r="AD94" i="2" a="1"/>
  <c r="AD94" i="2" s="1"/>
  <c r="O73" i="2" a="1"/>
  <c r="O73" i="2" s="1"/>
  <c r="AD64" i="2" a="1"/>
  <c r="AD64" i="2" s="1"/>
  <c r="F65" i="2" a="1"/>
  <c r="F65" i="2" s="1"/>
  <c r="L65" i="2" a="1"/>
  <c r="L65" i="2" s="1"/>
  <c r="I49" i="2" a="1"/>
  <c r="I49" i="2" s="1"/>
  <c r="AA95" i="2" a="1"/>
  <c r="AA95" i="2" s="1"/>
  <c r="X50" i="2" a="1"/>
  <c r="X50" i="2" s="1"/>
  <c r="AG58" i="2" a="1"/>
  <c r="AG58" i="2" s="1"/>
  <c r="I89" i="2" a="1"/>
  <c r="I89" i="2" s="1"/>
  <c r="L69" i="2" a="1"/>
  <c r="L69" i="2" s="1"/>
  <c r="U66" i="2" a="1"/>
  <c r="U66" i="2" s="1"/>
  <c r="R68" i="2" a="1"/>
  <c r="R68" i="2" s="1"/>
  <c r="AM94" i="2" a="1"/>
  <c r="AM94" i="2" s="1"/>
  <c r="AD77" i="2" a="1"/>
  <c r="AD77" i="2" s="1"/>
  <c r="AM78" i="2" a="1"/>
  <c r="AM78" i="2" s="1"/>
  <c r="U62" i="2" a="1"/>
  <c r="U62" i="2" s="1"/>
  <c r="AA69" i="2" a="1"/>
  <c r="AA69" i="2" s="1"/>
  <c r="U87" i="2" a="1"/>
  <c r="U87" i="2" s="1"/>
  <c r="AG87" i="2" a="1"/>
  <c r="AG87" i="2" s="1"/>
  <c r="I75" i="2" a="1"/>
  <c r="I75" i="2" s="1"/>
  <c r="L57" i="2" a="1"/>
  <c r="L57" i="2" s="1"/>
  <c r="I56" i="2" a="1"/>
  <c r="I56" i="2" s="1"/>
  <c r="U85" i="2" a="1"/>
  <c r="U85" i="2" s="1"/>
  <c r="AD55" i="2" a="1"/>
  <c r="AD55" i="2" s="1"/>
  <c r="F77" i="2" a="1"/>
  <c r="F77" i="2" s="1"/>
  <c r="X68" i="2" a="1"/>
  <c r="X68" i="2" s="1"/>
  <c r="AA59" i="2" a="1"/>
  <c r="AA59" i="2" s="1"/>
  <c r="L71" i="2" a="1"/>
  <c r="L71" i="2" s="1"/>
  <c r="O82" i="2" a="1"/>
  <c r="O82" i="2" s="1"/>
  <c r="I78" i="2" a="1"/>
  <c r="I78" i="2" s="1"/>
  <c r="AJ65" i="2" a="1"/>
  <c r="AJ65" i="2" s="1"/>
  <c r="F64" i="2" a="1"/>
  <c r="F64" i="2" s="1"/>
  <c r="R54" i="2" a="1"/>
  <c r="R54" i="2" s="1"/>
  <c r="AJ48" i="2" a="1"/>
  <c r="AJ48" i="2" s="1"/>
  <c r="I90" i="2" a="1"/>
  <c r="I90" i="2" s="1"/>
  <c r="AG51" i="2" a="1"/>
  <c r="AG51" i="2" s="1"/>
  <c r="AG77" i="2" a="1"/>
  <c r="AG77" i="2" s="1"/>
  <c r="L64" i="2" a="1"/>
  <c r="L64" i="2" s="1"/>
  <c r="O96" i="2" a="1"/>
  <c r="O96" i="2" s="1"/>
  <c r="AM66" i="2" a="1"/>
  <c r="AM66" i="2" s="1"/>
  <c r="AA73" i="2" a="1"/>
  <c r="AA73" i="2" s="1"/>
  <c r="X74" i="2" a="1"/>
  <c r="X74" i="2" s="1"/>
  <c r="AG57" i="2" a="1"/>
  <c r="AG57" i="2" s="1"/>
  <c r="AM62" i="2" a="1"/>
  <c r="AM62" i="2" s="1"/>
  <c r="F57" i="2" a="1"/>
  <c r="F57" i="2" s="1"/>
  <c r="X71" i="2" a="1"/>
  <c r="X71" i="2" s="1"/>
  <c r="U54" i="2" a="1"/>
  <c r="U54" i="2" s="1"/>
  <c r="I81" i="2" a="1"/>
  <c r="I81" i="2" s="1"/>
  <c r="F67" i="2" a="1"/>
  <c r="F67" i="2" s="1"/>
  <c r="O58" i="2" a="1"/>
  <c r="O58" i="2" s="1"/>
  <c r="F45" i="2" a="1"/>
  <c r="F45" i="2" s="1"/>
  <c r="O76" i="2" a="1"/>
  <c r="O76" i="2" s="1"/>
  <c r="AA51" i="2" a="1"/>
  <c r="AA51" i="2" s="1"/>
  <c r="U72" i="2" a="1"/>
  <c r="U72" i="2" s="1"/>
  <c r="I67" i="2" a="1"/>
  <c r="I67" i="2" s="1"/>
  <c r="R65" i="2" a="1"/>
  <c r="R65" i="2" s="1"/>
  <c r="F84" i="2" a="1"/>
  <c r="F84" i="2" s="1"/>
  <c r="F47" i="2" a="1"/>
  <c r="F47" i="2" s="1"/>
  <c r="AM65" i="2" a="1"/>
  <c r="AM65" i="2" s="1"/>
  <c r="R82" i="2" a="1"/>
  <c r="R82" i="2" s="1"/>
  <c r="R59" i="2" a="1"/>
  <c r="R59" i="2" s="1"/>
  <c r="AA53" i="2" a="1"/>
  <c r="AA53" i="2" s="1"/>
  <c r="AA49" i="2" a="1"/>
  <c r="AA49" i="2" s="1"/>
  <c r="X65" i="2" a="1"/>
  <c r="X65" i="2" s="1"/>
  <c r="U55" i="2" a="1"/>
  <c r="U55" i="2" s="1"/>
  <c r="U69" i="2" a="1"/>
  <c r="U69" i="2" s="1"/>
  <c r="AD50" i="2" a="1"/>
  <c r="AD50" i="2" s="1"/>
  <c r="F60" i="2" a="1"/>
  <c r="F60" i="2" s="1"/>
  <c r="R60" i="2" a="1"/>
  <c r="R60" i="2" s="1"/>
  <c r="O81" i="2" a="1"/>
  <c r="O81" i="2" s="1"/>
  <c r="X66" i="2" a="1"/>
  <c r="X66" i="2" s="1"/>
  <c r="AM69" i="2" a="1"/>
  <c r="AM69" i="2" s="1"/>
  <c r="X49" i="2" a="1"/>
  <c r="X49" i="2" s="1"/>
  <c r="I62" i="2" a="1"/>
  <c r="I62" i="2" s="1"/>
  <c r="AA88" i="2" a="1"/>
  <c r="AA88" i="2" s="1"/>
  <c r="AD58" i="2" a="1"/>
  <c r="AD58" i="2" s="1"/>
  <c r="AD92" i="2" a="1"/>
  <c r="AD92" i="2" s="1"/>
  <c r="AM88" i="2" a="1"/>
  <c r="AM88" i="2" s="1"/>
  <c r="I55" i="2" a="1"/>
  <c r="I55" i="2" s="1"/>
  <c r="U64" i="2" a="1"/>
  <c r="U64" i="2" s="1"/>
  <c r="AJ74" i="2" a="1"/>
  <c r="AJ74" i="2" s="1"/>
  <c r="AM67" i="2" a="1"/>
  <c r="AM67" i="2" s="1"/>
  <c r="AJ66" i="2" a="1"/>
  <c r="AJ66" i="2" s="1"/>
  <c r="AG63" i="2" a="1"/>
  <c r="AG63" i="2" s="1"/>
  <c r="AM81" i="2" a="1"/>
  <c r="AM81" i="2" s="1"/>
  <c r="R95" i="2" a="1"/>
  <c r="R95" i="2" s="1"/>
  <c r="AJ72" i="2" a="1"/>
  <c r="AJ72" i="2" s="1"/>
  <c r="AG80" i="2" a="1"/>
  <c r="AG80" i="2" s="1"/>
  <c r="U76" i="2" a="1"/>
  <c r="U76" i="2" s="1"/>
  <c r="L61" i="2" a="1"/>
  <c r="L61" i="2" s="1"/>
  <c r="O83" i="2" a="1"/>
  <c r="O83" i="2" s="1"/>
  <c r="F75" i="2" a="1"/>
  <c r="F75" i="2" s="1"/>
  <c r="AA84" i="2" a="1"/>
  <c r="AA84" i="2" s="1"/>
  <c r="O45" i="2" a="1"/>
  <c r="O45" i="2" s="1"/>
  <c r="R93" i="2" a="1"/>
  <c r="R93" i="2" s="1"/>
  <c r="AD72" i="2" a="1"/>
  <c r="AD72" i="2" s="1"/>
  <c r="AD89" i="2" a="1"/>
  <c r="AD89" i="2" s="1"/>
  <c r="AG76" i="2" a="1"/>
  <c r="AG76" i="2" s="1"/>
  <c r="AM90" i="2" a="1"/>
  <c r="AM90" i="2" s="1"/>
  <c r="AJ56" i="2" a="1"/>
  <c r="AJ56" i="2" s="1"/>
  <c r="X86" i="2" a="1"/>
  <c r="X86" i="2" s="1"/>
  <c r="F55" i="2" a="1"/>
  <c r="F55" i="2" s="1"/>
  <c r="AG75" i="2" a="1"/>
  <c r="AG75" i="2" s="1"/>
  <c r="O54" i="2" a="1"/>
  <c r="O54" i="2" s="1"/>
  <c r="O77" i="2" a="1"/>
  <c r="O77" i="2" s="1"/>
  <c r="AD51" i="2" a="1"/>
  <c r="AD51" i="2" s="1"/>
  <c r="R46" i="2" a="1"/>
  <c r="R46" i="2" s="1"/>
  <c r="AM53" i="2" a="1"/>
  <c r="AM53" i="2" s="1"/>
  <c r="R76" i="2" a="1"/>
  <c r="R76" i="2" s="1"/>
  <c r="AD69" i="2" a="1"/>
  <c r="AD69" i="2" s="1"/>
  <c r="L87" i="2" a="1"/>
  <c r="L87" i="2" s="1"/>
  <c r="AG73" i="2" a="1"/>
  <c r="AG73" i="2" s="1"/>
  <c r="O68" i="2" a="1"/>
  <c r="O68" i="2" s="1"/>
  <c r="F85" i="2" a="1"/>
  <c r="F85" i="2" s="1"/>
  <c r="AJ54" i="2" a="1"/>
  <c r="AJ54" i="2" s="1"/>
  <c r="L55" i="2" a="1"/>
  <c r="L55" i="2" s="1"/>
  <c r="I61" i="2" a="1"/>
  <c r="I61" i="2" s="1"/>
  <c r="AD70" i="2" a="1"/>
  <c r="AD70" i="2" s="1"/>
  <c r="I87" i="2" a="1"/>
  <c r="I87" i="2" s="1"/>
  <c r="AJ60" i="2" a="1"/>
  <c r="AJ60" i="2" s="1"/>
  <c r="AA62" i="2" a="1"/>
  <c r="AA62" i="2" s="1"/>
  <c r="L46" i="2" a="1"/>
  <c r="L46" i="2" s="1"/>
  <c r="AJ77" i="2" a="1"/>
  <c r="AJ77" i="2" s="1"/>
  <c r="I47" i="2" a="1"/>
  <c r="I47" i="2" s="1"/>
  <c r="AD73" i="2" a="1"/>
  <c r="AD73" i="2" s="1"/>
  <c r="AG66" i="2" a="1"/>
  <c r="AG66" i="2" s="1"/>
  <c r="I51" i="2" a="1"/>
  <c r="I51" i="2" s="1"/>
  <c r="AJ47" i="2" a="1"/>
  <c r="AJ47" i="2" s="1"/>
  <c r="L85" i="2" a="1"/>
  <c r="L85" i="2" s="1"/>
  <c r="AG85" i="2" a="1"/>
  <c r="AG85" i="2" s="1"/>
  <c r="AM45" i="2" a="1"/>
  <c r="AM45" i="2" s="1"/>
  <c r="AM91" i="2" a="1"/>
  <c r="AM91" i="2" s="1"/>
  <c r="X85" i="2" a="1"/>
  <c r="X85" i="2" s="1"/>
  <c r="X81" i="2" a="1"/>
  <c r="X81" i="2" s="1"/>
  <c r="L56" i="2" a="1"/>
  <c r="L56" i="2" s="1"/>
  <c r="AG94" i="2" a="1"/>
  <c r="AG94" i="2" s="1"/>
  <c r="O50" i="2" a="1"/>
  <c r="O50" i="2" s="1"/>
  <c r="O47" i="2" a="1"/>
  <c r="O47" i="2" s="1"/>
  <c r="AA75" i="2" a="1"/>
  <c r="AA75" i="2" s="1"/>
  <c r="AA45" i="2" a="1"/>
  <c r="AA45" i="2" s="1"/>
  <c r="AM61" i="2" a="1"/>
  <c r="AM61" i="2" s="1"/>
  <c r="O79" i="2" a="1"/>
  <c r="O79" i="2" s="1"/>
  <c r="AD49" i="2" a="1"/>
  <c r="AD49" i="2" s="1"/>
  <c r="I88" i="2" a="1"/>
  <c r="I88" i="2" s="1"/>
  <c r="L81" i="2" a="1"/>
  <c r="L81" i="2" s="1"/>
  <c r="R71" i="2" a="1"/>
  <c r="R71" i="2" s="1"/>
  <c r="U60" i="2" a="1"/>
  <c r="U60" i="2" s="1"/>
  <c r="AM72" i="2" a="1"/>
  <c r="AM72" i="2" s="1"/>
  <c r="AA80" i="2" a="1"/>
  <c r="AA80" i="2" s="1"/>
  <c r="AG81" i="2" a="1"/>
  <c r="AG81" i="2" s="1"/>
  <c r="I82" i="2" a="1"/>
  <c r="I82" i="2" s="1"/>
  <c r="AA97" i="2" a="1"/>
  <c r="AA97" i="2" s="1"/>
  <c r="O63" i="2" a="1"/>
  <c r="O63" i="2" s="1"/>
  <c r="AD71" i="2" a="1"/>
  <c r="AD71" i="2" s="1"/>
  <c r="AG83" i="2" a="1"/>
  <c r="AG83" i="2" s="1"/>
  <c r="O90" i="2" a="1"/>
  <c r="O90" i="2" s="1"/>
  <c r="L89" i="2" a="1"/>
  <c r="L89" i="2" s="1"/>
  <c r="F86" i="2" a="1"/>
  <c r="F86" i="2" s="1"/>
  <c r="AG56" i="2" a="1"/>
  <c r="AG56" i="2" s="1"/>
  <c r="U48" i="2" a="1"/>
  <c r="U48" i="2" s="1"/>
  <c r="O98" i="2" a="1"/>
  <c r="O98" i="2" s="1"/>
  <c r="U88" i="2" a="1"/>
  <c r="U88" i="2" s="1"/>
  <c r="AA63" i="2" a="1"/>
  <c r="AA63" i="2" s="1"/>
  <c r="AJ61" i="2" a="1"/>
  <c r="AJ61" i="2" s="1"/>
  <c r="X72" i="2" a="1"/>
  <c r="X72" i="2" s="1"/>
  <c r="O64" i="2" a="1"/>
  <c r="O64" i="2" s="1"/>
  <c r="O86" i="2" a="1"/>
  <c r="O86" i="2" s="1"/>
  <c r="X79" i="2" a="1"/>
  <c r="X79" i="2" s="1"/>
  <c r="X61" i="2" a="1"/>
  <c r="X61" i="2" s="1"/>
  <c r="AM49" i="2" a="1"/>
  <c r="AM49" i="2" s="1"/>
  <c r="U78" i="2" a="1"/>
  <c r="U78" i="2" s="1"/>
  <c r="AD75" i="2" a="1"/>
  <c r="AD75" i="2" s="1"/>
  <c r="AD83" i="2" a="1"/>
  <c r="AD83" i="2" s="1"/>
  <c r="AD84" i="2" a="1"/>
  <c r="AD84" i="2" s="1"/>
  <c r="L63" i="2" a="1"/>
  <c r="L63" i="2" s="1"/>
  <c r="AA72" i="2" a="1"/>
  <c r="AA72" i="2" s="1"/>
  <c r="R58" i="2" a="1"/>
  <c r="R58" i="2" s="1"/>
  <c r="AA66" i="2" a="1"/>
  <c r="AA66" i="2" s="1"/>
  <c r="AG78" i="2" a="1"/>
  <c r="AG78" i="2" s="1"/>
  <c r="AA93" i="2" a="1"/>
  <c r="AA93" i="2" s="1"/>
  <c r="O84" i="2" a="1"/>
  <c r="O84" i="2" s="1"/>
  <c r="F63" i="2" a="1"/>
  <c r="F63" i="2" s="1"/>
  <c r="F50" i="2" a="1"/>
  <c r="F50" i="2" s="1"/>
  <c r="U73" i="2" a="1"/>
  <c r="U73" i="2" s="1"/>
  <c r="O67" i="2" a="1"/>
  <c r="O67" i="2" s="1"/>
  <c r="R52" i="2" a="1"/>
  <c r="R52" i="2" s="1"/>
  <c r="X57" i="2" a="1"/>
  <c r="X57" i="2" s="1"/>
  <c r="X358" i="2"/>
  <c r="X359" i="2"/>
  <c r="X361" i="2"/>
  <c r="P67" i="2" l="1" a="1"/>
  <c r="P67" i="2" s="1"/>
  <c r="N67" i="2" a="1"/>
  <c r="N67" i="2" s="1"/>
  <c r="AE83" i="2" a="1"/>
  <c r="AE83" i="2" s="1"/>
  <c r="AC83" i="2" a="1"/>
  <c r="AC83" i="2" s="1"/>
  <c r="M89" i="2" a="1"/>
  <c r="M89" i="2" s="1"/>
  <c r="K89" i="2" a="1"/>
  <c r="K89" i="2" s="1"/>
  <c r="Z80" i="2" a="1"/>
  <c r="Z80" i="2" s="1"/>
  <c r="AB80" i="2" a="1"/>
  <c r="AB80" i="2" s="1"/>
  <c r="Y85" i="2" a="1"/>
  <c r="Y85" i="2" s="1"/>
  <c r="W85" i="2" a="1"/>
  <c r="W85" i="2" s="1"/>
  <c r="H61" i="2" a="1"/>
  <c r="H61" i="2" s="1"/>
  <c r="J61" i="2" a="1"/>
  <c r="J61" i="2" s="1"/>
  <c r="Q76" i="2" a="1"/>
  <c r="Q76" i="2" s="1"/>
  <c r="S76" i="2" a="1"/>
  <c r="S76" i="2" s="1"/>
  <c r="Y86" i="2" a="1"/>
  <c r="Y86" i="2" s="1"/>
  <c r="W86" i="2" a="1"/>
  <c r="W86" i="2" s="1"/>
  <c r="Q60" i="2" a="1"/>
  <c r="Q60" i="2" s="1"/>
  <c r="S60" i="2" a="1"/>
  <c r="S60" i="2" s="1"/>
  <c r="Q59" i="2" a="1"/>
  <c r="Q59" i="2" s="1"/>
  <c r="S59" i="2" a="1"/>
  <c r="S59" i="2" s="1"/>
  <c r="AB51" i="2" a="1"/>
  <c r="AB51" i="2" s="1"/>
  <c r="Z51" i="2" a="1"/>
  <c r="Z51" i="2" s="1"/>
  <c r="G57" i="2" a="1"/>
  <c r="G57" i="2" s="1"/>
  <c r="E57" i="2" a="1"/>
  <c r="E57" i="2" s="1"/>
  <c r="AF77" i="2" a="1"/>
  <c r="AF77" i="2" s="1"/>
  <c r="AH77" i="2" a="1"/>
  <c r="AH77" i="2" s="1"/>
  <c r="P82" i="2" a="1"/>
  <c r="P82" i="2" s="1"/>
  <c r="N82" i="2" a="1"/>
  <c r="N82" i="2" s="1"/>
  <c r="M57" i="2" a="1"/>
  <c r="M57" i="2" s="1"/>
  <c r="K57" i="2" a="1"/>
  <c r="K57" i="2" s="1"/>
  <c r="AN94" i="2" a="1"/>
  <c r="AN94" i="2" s="1"/>
  <c r="AL94" i="2" a="1"/>
  <c r="AL94" i="2" s="1"/>
  <c r="H49" i="2" a="1"/>
  <c r="H49" i="2" s="1"/>
  <c r="J49" i="2" a="1"/>
  <c r="J49" i="2" s="1"/>
  <c r="T59" i="2" a="1"/>
  <c r="T59" i="2" s="1"/>
  <c r="V59" i="2" a="1"/>
  <c r="V59" i="2" s="1"/>
  <c r="H96" i="2" a="1"/>
  <c r="H96" i="2" s="1"/>
  <c r="J96" i="2" a="1"/>
  <c r="J96" i="2" s="1"/>
  <c r="AI51" i="2" a="1"/>
  <c r="AI51" i="2" s="1"/>
  <c r="AK51" i="2" a="1"/>
  <c r="AK51" i="2" s="1"/>
  <c r="P61" i="2" a="1"/>
  <c r="P61" i="2" s="1"/>
  <c r="N61" i="2" a="1"/>
  <c r="N61" i="2" s="1"/>
  <c r="AN54" i="2" a="1"/>
  <c r="AN54" i="2" s="1"/>
  <c r="AL54" i="2" a="1"/>
  <c r="AL54" i="2" s="1"/>
  <c r="AC61" i="2" a="1"/>
  <c r="AC61" i="2" s="1"/>
  <c r="AE61" i="2" a="1"/>
  <c r="AE61" i="2" s="1"/>
  <c r="H84" i="2" a="1"/>
  <c r="H84" i="2" s="1"/>
  <c r="J84" i="2" a="1"/>
  <c r="J84" i="2" s="1"/>
  <c r="N60" i="2" a="1"/>
  <c r="N60" i="2" s="1"/>
  <c r="P60" i="2" a="1"/>
  <c r="P60" i="2" s="1"/>
  <c r="W48" i="2" a="1"/>
  <c r="W48" i="2" s="1"/>
  <c r="Y48" i="2" a="1"/>
  <c r="Y48" i="2" s="1"/>
  <c r="AC91" i="2" a="1"/>
  <c r="AC91" i="2" s="1"/>
  <c r="AE91" i="2" a="1"/>
  <c r="AE91" i="2" s="1"/>
  <c r="M62" i="2" a="1"/>
  <c r="M62" i="2" s="1"/>
  <c r="K62" i="2" a="1"/>
  <c r="K62" i="2" s="1"/>
  <c r="AI57" i="2" a="1"/>
  <c r="AI57" i="2" s="1"/>
  <c r="AK57" i="2" a="1"/>
  <c r="AK57" i="2" s="1"/>
  <c r="V82" i="2" a="1"/>
  <c r="V82" i="2" s="1"/>
  <c r="T82" i="2" a="1"/>
  <c r="T82" i="2" s="1"/>
  <c r="V51" i="2" a="1"/>
  <c r="V51" i="2" s="1"/>
  <c r="T51" i="2" a="1"/>
  <c r="T51" i="2" s="1"/>
  <c r="S51" i="2" a="1"/>
  <c r="S51" i="2" s="1"/>
  <c r="Q51" i="2" a="1"/>
  <c r="Q51" i="2" s="1"/>
  <c r="AH82" i="2" a="1"/>
  <c r="AH82" i="2" s="1"/>
  <c r="AF82" i="2" a="1"/>
  <c r="AF82" i="2" s="1"/>
  <c r="AN70" i="2" a="1"/>
  <c r="AN70" i="2" s="1"/>
  <c r="AL70" i="2" a="1"/>
  <c r="AL70" i="2" s="1"/>
  <c r="Z77" i="2" a="1"/>
  <c r="Z77" i="2" s="1"/>
  <c r="AB77" i="2" a="1"/>
  <c r="AB77" i="2" s="1"/>
  <c r="AF50" i="2" a="1"/>
  <c r="AF50" i="2" s="1"/>
  <c r="AH50" i="2" a="1"/>
  <c r="AH50" i="2" s="1"/>
  <c r="N92" i="2" a="1"/>
  <c r="N92" i="2" s="1"/>
  <c r="P92" i="2" a="1"/>
  <c r="P92" i="2" s="1"/>
  <c r="K77" i="2" a="1"/>
  <c r="K77" i="2" s="1"/>
  <c r="M77" i="2" a="1"/>
  <c r="M77" i="2" s="1"/>
  <c r="AB90" i="2" a="1"/>
  <c r="AB90" i="2" s="1"/>
  <c r="Z90" i="2" a="1"/>
  <c r="Z90" i="2" s="1"/>
  <c r="AF45" i="2" a="1"/>
  <c r="AF45" i="2" s="1"/>
  <c r="AH45" i="2" a="1"/>
  <c r="AH45" i="2" s="1"/>
  <c r="AE74" i="2" a="1"/>
  <c r="AE74" i="2" s="1"/>
  <c r="AC74" i="2" a="1"/>
  <c r="AC74" i="2" s="1"/>
  <c r="N89" i="2" a="1"/>
  <c r="N89" i="2" s="1"/>
  <c r="P89" i="2" a="1"/>
  <c r="P89" i="2" s="1"/>
  <c r="J66" i="2" a="1"/>
  <c r="J66" i="2" s="1"/>
  <c r="H66" i="2" a="1"/>
  <c r="H66" i="2" s="1"/>
  <c r="AE90" i="2" a="1"/>
  <c r="AE90" i="2" s="1"/>
  <c r="AC90" i="2" a="1"/>
  <c r="AC90" i="2" s="1"/>
  <c r="AK55" i="2" a="1"/>
  <c r="AK55" i="2" s="1"/>
  <c r="AI55" i="2" a="1"/>
  <c r="AI55" i="2" s="1"/>
  <c r="T46" i="2" a="1"/>
  <c r="T46" i="2" s="1"/>
  <c r="V46" i="2" a="1"/>
  <c r="V46" i="2" s="1"/>
  <c r="G68" i="2" a="1"/>
  <c r="G68" i="2" s="1"/>
  <c r="E68" i="2" a="1"/>
  <c r="E68" i="2" s="1"/>
  <c r="Y69" i="2" a="1"/>
  <c r="Y69" i="2" s="1"/>
  <c r="W69" i="2" a="1"/>
  <c r="W69" i="2" s="1"/>
  <c r="V95" i="2" a="1"/>
  <c r="V95" i="2" s="1"/>
  <c r="T95" i="2" a="1"/>
  <c r="T95" i="2" s="1"/>
  <c r="T52" i="2" a="1"/>
  <c r="T52" i="2" s="1"/>
  <c r="V52" i="2" a="1"/>
  <c r="V52" i="2" s="1"/>
  <c r="Q75" i="2" a="1"/>
  <c r="Q75" i="2" s="1"/>
  <c r="S75" i="2" a="1"/>
  <c r="S75" i="2" s="1"/>
  <c r="K82" i="2" a="1"/>
  <c r="K82" i="2" s="1"/>
  <c r="M82" i="2" a="1"/>
  <c r="M82" i="2" s="1"/>
  <c r="K52" i="2" a="1"/>
  <c r="K52" i="2" s="1"/>
  <c r="M52" i="2" a="1"/>
  <c r="M52" i="2" s="1"/>
  <c r="S55" i="2" a="1"/>
  <c r="S55" i="2" s="1"/>
  <c r="Q55" i="2" a="1"/>
  <c r="Q55" i="2" s="1"/>
  <c r="K79" i="2" a="1"/>
  <c r="K79" i="2" s="1"/>
  <c r="M79" i="2" a="1"/>
  <c r="M79" i="2" s="1"/>
  <c r="AL47" i="2" a="1"/>
  <c r="AL47" i="2" s="1"/>
  <c r="AN47" i="2" a="1"/>
  <c r="AN47" i="2" s="1"/>
  <c r="Z86" i="2" a="1"/>
  <c r="Z86" i="2" s="1"/>
  <c r="AB86" i="2" a="1"/>
  <c r="AB86" i="2" s="1"/>
  <c r="J69" i="2" a="1"/>
  <c r="J69" i="2" s="1"/>
  <c r="H69" i="2" a="1"/>
  <c r="H69" i="2" s="1"/>
  <c r="N65" i="2" a="1"/>
  <c r="N65" i="2" s="1"/>
  <c r="P65" i="2" a="1"/>
  <c r="P65" i="2" s="1"/>
  <c r="AB91" i="2" a="1"/>
  <c r="AB91" i="2" s="1"/>
  <c r="Z91" i="2" a="1"/>
  <c r="Z91" i="2" s="1"/>
  <c r="S74" i="2" a="1"/>
  <c r="S74" i="2" s="1"/>
  <c r="Q74" i="2" a="1"/>
  <c r="Q74" i="2" s="1"/>
  <c r="AL57" i="2" a="1"/>
  <c r="AL57" i="2" s="1"/>
  <c r="AN57" i="2" a="1"/>
  <c r="AN57" i="2" s="1"/>
  <c r="W60" i="2" a="1"/>
  <c r="W60" i="2" s="1"/>
  <c r="Y60" i="2" a="1"/>
  <c r="Y60" i="2" s="1"/>
  <c r="H60" i="2" a="1"/>
  <c r="H60" i="2" s="1"/>
  <c r="J60" i="2" a="1"/>
  <c r="J60" i="2" s="1"/>
  <c r="P94" i="2" a="1"/>
  <c r="P94" i="2" s="1"/>
  <c r="N94" i="2" a="1"/>
  <c r="N94" i="2" s="1"/>
  <c r="AF64" i="2" a="1"/>
  <c r="AF64" i="2" s="1"/>
  <c r="AH64" i="2" a="1"/>
  <c r="AH64" i="2" s="1"/>
  <c r="AI67" i="2" a="1"/>
  <c r="AI67" i="2" s="1"/>
  <c r="AK67" i="2" a="1"/>
  <c r="AK67" i="2" s="1"/>
  <c r="N84" i="2" a="1"/>
  <c r="N84" i="2" s="1"/>
  <c r="P84" i="2" a="1"/>
  <c r="P84" i="2" s="1"/>
  <c r="Z84" i="2" a="1"/>
  <c r="Z84" i="2" s="1"/>
  <c r="AB84" i="2" a="1"/>
  <c r="AB84" i="2" s="1"/>
  <c r="AC92" i="2" a="1"/>
  <c r="AC92" i="2" s="1"/>
  <c r="AE92" i="2" a="1"/>
  <c r="AE92" i="2" s="1"/>
  <c r="AB93" i="2" a="1"/>
  <c r="AB93" i="2" s="1"/>
  <c r="Z93" i="2" a="1"/>
  <c r="Z93" i="2" s="1"/>
  <c r="AC75" i="2" a="1"/>
  <c r="AC75" i="2" s="1"/>
  <c r="AE75" i="2" a="1"/>
  <c r="AE75" i="2" s="1"/>
  <c r="AK61" i="2" a="1"/>
  <c r="AK61" i="2" s="1"/>
  <c r="AI61" i="2" a="1"/>
  <c r="AI61" i="2" s="1"/>
  <c r="P90" i="2" a="1"/>
  <c r="P90" i="2" s="1"/>
  <c r="N90" i="2" a="1"/>
  <c r="N90" i="2" s="1"/>
  <c r="AN72" i="2" a="1"/>
  <c r="AN72" i="2" s="1"/>
  <c r="AL72" i="2" a="1"/>
  <c r="AL72" i="2" s="1"/>
  <c r="Z45" i="2" a="1"/>
  <c r="Z45" i="2" s="1"/>
  <c r="AB45" i="2" a="1"/>
  <c r="AB45" i="2" s="1"/>
  <c r="AL91" i="2" a="1"/>
  <c r="AL91" i="2" s="1"/>
  <c r="AN91" i="2" a="1"/>
  <c r="AN91" i="2" s="1"/>
  <c r="H47" i="2" a="1"/>
  <c r="H47" i="2" s="1"/>
  <c r="J47" i="2" a="1"/>
  <c r="J47" i="2" s="1"/>
  <c r="K55" i="2" a="1"/>
  <c r="K55" i="2" s="1"/>
  <c r="M55" i="2" a="1"/>
  <c r="M55" i="2" s="1"/>
  <c r="AL53" i="2" a="1"/>
  <c r="AL53" i="2" s="1"/>
  <c r="AN53" i="2" a="1"/>
  <c r="AN53" i="2" s="1"/>
  <c r="AI56" i="2" a="1"/>
  <c r="AI56" i="2" s="1"/>
  <c r="AK56" i="2" a="1"/>
  <c r="AK56" i="2" s="1"/>
  <c r="E75" i="2" a="1"/>
  <c r="E75" i="2" s="1"/>
  <c r="G75" i="2" a="1"/>
  <c r="G75" i="2" s="1"/>
  <c r="AF63" i="2" a="1"/>
  <c r="AF63" i="2" s="1"/>
  <c r="AH63" i="2" a="1"/>
  <c r="AH63" i="2" s="1"/>
  <c r="AE58" i="2" a="1"/>
  <c r="AE58" i="2" s="1"/>
  <c r="AC58" i="2" a="1"/>
  <c r="AC58" i="2" s="1"/>
  <c r="G60" i="2" a="1"/>
  <c r="G60" i="2" s="1"/>
  <c r="E60" i="2" a="1"/>
  <c r="E60" i="2" s="1"/>
  <c r="Q82" i="2" a="1"/>
  <c r="Q82" i="2" s="1"/>
  <c r="S82" i="2" a="1"/>
  <c r="S82" i="2" s="1"/>
  <c r="P76" i="2" a="1"/>
  <c r="P76" i="2" s="1"/>
  <c r="N76" i="2" a="1"/>
  <c r="N76" i="2" s="1"/>
  <c r="AN62" i="2" a="1"/>
  <c r="AN62" i="2" s="1"/>
  <c r="AL62" i="2" a="1"/>
  <c r="AL62" i="2" s="1"/>
  <c r="AF51" i="2" a="1"/>
  <c r="AF51" i="2" s="1"/>
  <c r="AH51" i="2" a="1"/>
  <c r="AH51" i="2" s="1"/>
  <c r="K71" i="2" a="1"/>
  <c r="K71" i="2" s="1"/>
  <c r="M71" i="2" a="1"/>
  <c r="M71" i="2" s="1"/>
  <c r="H75" i="2" a="1"/>
  <c r="H75" i="2" s="1"/>
  <c r="J75" i="2" a="1"/>
  <c r="J75" i="2" s="1"/>
  <c r="Q68" i="2" a="1"/>
  <c r="Q68" i="2" s="1"/>
  <c r="S68" i="2" a="1"/>
  <c r="S68" i="2" s="1"/>
  <c r="K65" i="2" a="1"/>
  <c r="K65" i="2" s="1"/>
  <c r="M65" i="2" a="1"/>
  <c r="M65" i="2" s="1"/>
  <c r="Z70" i="2" a="1"/>
  <c r="Z70" i="2" s="1"/>
  <c r="AB70" i="2" a="1"/>
  <c r="AB70" i="2" s="1"/>
  <c r="K80" i="2" a="1"/>
  <c r="K80" i="2" s="1"/>
  <c r="M80" i="2" a="1"/>
  <c r="M80" i="2" s="1"/>
  <c r="AK53" i="2" a="1"/>
  <c r="AK53" i="2" s="1"/>
  <c r="AI53" i="2" a="1"/>
  <c r="AI53" i="2" s="1"/>
  <c r="AE63" i="2" a="1"/>
  <c r="AE63" i="2" s="1"/>
  <c r="AC63" i="2" a="1"/>
  <c r="AC63" i="2" s="1"/>
  <c r="AK80" i="2" a="1"/>
  <c r="AK80" i="2" s="1"/>
  <c r="AI80" i="2" a="1"/>
  <c r="AI80" i="2" s="1"/>
  <c r="AF46" i="2" a="1"/>
  <c r="AF46" i="2" s="1"/>
  <c r="AH46" i="2" a="1"/>
  <c r="AH46" i="2" s="1"/>
  <c r="G94" i="2" a="1"/>
  <c r="G94" i="2" s="1"/>
  <c r="E94" i="2" a="1"/>
  <c r="E94" i="2" s="1"/>
  <c r="Q90" i="2" a="1"/>
  <c r="Q90" i="2" s="1"/>
  <c r="S90" i="2" a="1"/>
  <c r="S90" i="2" s="1"/>
  <c r="P93" i="2" a="1"/>
  <c r="P93" i="2" s="1"/>
  <c r="N93" i="2" a="1"/>
  <c r="N93" i="2" s="1"/>
  <c r="G87" i="2" a="1"/>
  <c r="G87" i="2" s="1"/>
  <c r="E87" i="2" a="1"/>
  <c r="E87" i="2" s="1"/>
  <c r="W92" i="2" a="1"/>
  <c r="W92" i="2" s="1"/>
  <c r="Y92" i="2" a="1"/>
  <c r="Y92" i="2" s="1"/>
  <c r="AI63" i="2" a="1"/>
  <c r="AI63" i="2" s="1"/>
  <c r="AK63" i="2" a="1"/>
  <c r="AK63" i="2" s="1"/>
  <c r="H71" i="2" a="1"/>
  <c r="H71" i="2" s="1"/>
  <c r="J71" i="2" a="1"/>
  <c r="J71" i="2" s="1"/>
  <c r="E72" i="2" a="1"/>
  <c r="E72" i="2" s="1"/>
  <c r="G72" i="2" a="1"/>
  <c r="G72" i="2" s="1"/>
  <c r="Z46" i="2" a="1"/>
  <c r="Z46" i="2" s="1"/>
  <c r="AB46" i="2" a="1"/>
  <c r="AB46" i="2" s="1"/>
  <c r="E62" i="2" a="1"/>
  <c r="E62" i="2" s="1"/>
  <c r="G62" i="2" a="1"/>
  <c r="G62" i="2" s="1"/>
  <c r="AN71" i="2" a="1"/>
  <c r="AN71" i="2" s="1"/>
  <c r="AL71" i="2" a="1"/>
  <c r="AL71" i="2" s="1"/>
  <c r="AL80" i="2" a="1"/>
  <c r="AL80" i="2" s="1"/>
  <c r="AN80" i="2" a="1"/>
  <c r="AN80" i="2" s="1"/>
  <c r="T49" i="2" a="1"/>
  <c r="T49" i="2" s="1"/>
  <c r="V49" i="2" a="1"/>
  <c r="V49" i="2" s="1"/>
  <c r="AB64" i="2" a="1"/>
  <c r="AB64" i="2" s="1"/>
  <c r="Z64" i="2" a="1"/>
  <c r="Z64" i="2" s="1"/>
  <c r="V67" i="2" a="1"/>
  <c r="V67" i="2" s="1"/>
  <c r="T67" i="2" a="1"/>
  <c r="T67" i="2" s="1"/>
  <c r="AE81" i="2" a="1"/>
  <c r="AE81" i="2" s="1"/>
  <c r="AC81" i="2" a="1"/>
  <c r="AC81" i="2" s="1"/>
  <c r="E89" i="2" a="1"/>
  <c r="E89" i="2" s="1"/>
  <c r="G89" i="2" a="1"/>
  <c r="G89" i="2" s="1"/>
  <c r="G69" i="2" a="1"/>
  <c r="G69" i="2" s="1"/>
  <c r="E69" i="2" a="1"/>
  <c r="E69" i="2" s="1"/>
  <c r="AF60" i="2" a="1"/>
  <c r="AF60" i="2" s="1"/>
  <c r="AH60" i="2" a="1"/>
  <c r="AH60" i="2" s="1"/>
  <c r="E82" i="2" a="1"/>
  <c r="E82" i="2" s="1"/>
  <c r="G82" i="2" a="1"/>
  <c r="G82" i="2" s="1"/>
  <c r="T47" i="2" a="1"/>
  <c r="T47" i="2" s="1"/>
  <c r="V47" i="2" a="1"/>
  <c r="V47" i="2" s="1"/>
  <c r="E61" i="2" a="1"/>
  <c r="E61" i="2" s="1"/>
  <c r="G61" i="2" a="1"/>
  <c r="G61" i="2" s="1"/>
  <c r="J74" i="2" a="1"/>
  <c r="J74" i="2" s="1"/>
  <c r="H74" i="2" a="1"/>
  <c r="H74" i="2" s="1"/>
  <c r="E66" i="2" a="1"/>
  <c r="E66" i="2" s="1"/>
  <c r="G66" i="2" a="1"/>
  <c r="G66" i="2" s="1"/>
  <c r="V84" i="2" a="1"/>
  <c r="V84" i="2" s="1"/>
  <c r="T84" i="2" a="1"/>
  <c r="T84" i="2" s="1"/>
  <c r="AI84" i="2" a="1"/>
  <c r="AI84" i="2" s="1"/>
  <c r="AK84" i="2" a="1"/>
  <c r="AK84" i="2" s="1"/>
  <c r="AL89" i="2" a="1"/>
  <c r="AL89" i="2" s="1"/>
  <c r="AN89" i="2" a="1"/>
  <c r="AN89" i="2" s="1"/>
  <c r="AH68" i="2" a="1"/>
  <c r="AH68" i="2" s="1"/>
  <c r="AF68" i="2" a="1"/>
  <c r="AF68" i="2" s="1"/>
  <c r="N80" i="2" a="1"/>
  <c r="N80" i="2" s="1"/>
  <c r="P80" i="2" a="1"/>
  <c r="P80" i="2" s="1"/>
  <c r="V74" i="2" a="1"/>
  <c r="V74" i="2" s="1"/>
  <c r="T74" i="2" a="1"/>
  <c r="T74" i="2" s="1"/>
  <c r="W75" i="2" a="1"/>
  <c r="W75" i="2" s="1"/>
  <c r="Y75" i="2" a="1"/>
  <c r="Y75" i="2" s="1"/>
  <c r="Z82" i="2" a="1"/>
  <c r="Z82" i="2" s="1"/>
  <c r="AB82" i="2" a="1"/>
  <c r="AB82" i="2" s="1"/>
  <c r="AN84" i="2" a="1"/>
  <c r="AN84" i="2" s="1"/>
  <c r="AL84" i="2" a="1"/>
  <c r="AL84" i="2" s="1"/>
  <c r="Z60" i="2" a="1"/>
  <c r="Z60" i="2" s="1"/>
  <c r="AB60" i="2" a="1"/>
  <c r="AB60" i="2" s="1"/>
  <c r="AI69" i="2" a="1"/>
  <c r="AI69" i="2" s="1"/>
  <c r="AK69" i="2" a="1"/>
  <c r="AK69" i="2" s="1"/>
  <c r="W70" i="2" a="1"/>
  <c r="W70" i="2" s="1"/>
  <c r="Y70" i="2" a="1"/>
  <c r="Y70" i="2" s="1"/>
  <c r="S72" i="2" a="1"/>
  <c r="S72" i="2" s="1"/>
  <c r="Q72" i="2" a="1"/>
  <c r="Q72" i="2" s="1"/>
  <c r="S77" i="2" a="1"/>
  <c r="S77" i="2" s="1"/>
  <c r="Q77" i="2" a="1"/>
  <c r="Q77" i="2" s="1"/>
  <c r="AK58" i="2" a="1"/>
  <c r="AK58" i="2" s="1"/>
  <c r="AI58" i="2" a="1"/>
  <c r="AI58" i="2" s="1"/>
  <c r="AF84" i="2" a="1"/>
  <c r="AF84" i="2" s="1"/>
  <c r="AH84" i="2" a="1"/>
  <c r="AH84" i="2" s="1"/>
  <c r="T75" i="2" a="1"/>
  <c r="T75" i="2" s="1"/>
  <c r="V75" i="2" a="1"/>
  <c r="V75" i="2" s="1"/>
  <c r="Y88" i="2" a="1"/>
  <c r="Y88" i="2" s="1"/>
  <c r="W88" i="2" a="1"/>
  <c r="W88" i="2" s="1"/>
  <c r="P62" i="2" a="1"/>
  <c r="P62" i="2" s="1"/>
  <c r="N62" i="2" a="1"/>
  <c r="N62" i="2" s="1"/>
  <c r="N72" i="2" a="1"/>
  <c r="N72" i="2" s="1"/>
  <c r="P72" i="2" a="1"/>
  <c r="P72" i="2" s="1"/>
  <c r="Y72" i="2" a="1"/>
  <c r="Y72" i="2" s="1"/>
  <c r="W72" i="2" a="1"/>
  <c r="W72" i="2" s="1"/>
  <c r="AN61" i="2" a="1"/>
  <c r="AN61" i="2" s="1"/>
  <c r="AL61" i="2" a="1"/>
  <c r="AL61" i="2" s="1"/>
  <c r="AE73" i="2" a="1"/>
  <c r="AE73" i="2" s="1"/>
  <c r="AC73" i="2" a="1"/>
  <c r="AC73" i="2" s="1"/>
  <c r="AL81" i="2" a="1"/>
  <c r="AL81" i="2" s="1"/>
  <c r="AN81" i="2" a="1"/>
  <c r="AN81" i="2" s="1"/>
  <c r="Y57" i="2" a="1"/>
  <c r="Y57" i="2" s="1"/>
  <c r="W57" i="2" a="1"/>
  <c r="W57" i="2" s="1"/>
  <c r="AF78" i="2" a="1"/>
  <c r="AF78" i="2" s="1"/>
  <c r="AH78" i="2" a="1"/>
  <c r="AH78" i="2" s="1"/>
  <c r="T78" i="2" a="1"/>
  <c r="T78" i="2" s="1"/>
  <c r="V78" i="2" a="1"/>
  <c r="V78" i="2" s="1"/>
  <c r="AB63" i="2" a="1"/>
  <c r="AB63" i="2" s="1"/>
  <c r="Z63" i="2" a="1"/>
  <c r="Z63" i="2" s="1"/>
  <c r="AH83" i="2" a="1"/>
  <c r="AH83" i="2" s="1"/>
  <c r="AF83" i="2" a="1"/>
  <c r="AF83" i="2" s="1"/>
  <c r="T60" i="2" a="1"/>
  <c r="T60" i="2" s="1"/>
  <c r="V60" i="2" a="1"/>
  <c r="V60" i="2" s="1"/>
  <c r="AB75" i="2" a="1"/>
  <c r="AB75" i="2" s="1"/>
  <c r="Z75" i="2" a="1"/>
  <c r="Z75" i="2" s="1"/>
  <c r="AL45" i="2" a="1"/>
  <c r="AL45" i="2" s="1"/>
  <c r="AN45" i="2" a="1"/>
  <c r="AN45" i="2" s="1"/>
  <c r="AI77" i="2" a="1"/>
  <c r="AI77" i="2" s="1"/>
  <c r="AK77" i="2" a="1"/>
  <c r="AK77" i="2" s="1"/>
  <c r="AK54" i="2" a="1"/>
  <c r="AK54" i="2" s="1"/>
  <c r="AI54" i="2" a="1"/>
  <c r="AI54" i="2" s="1"/>
  <c r="Q46" i="2" a="1"/>
  <c r="Q46" i="2" s="1"/>
  <c r="S46" i="2" a="1"/>
  <c r="S46" i="2" s="1"/>
  <c r="AL90" i="2" a="1"/>
  <c r="AL90" i="2" s="1"/>
  <c r="AN90" i="2" a="1"/>
  <c r="AN90" i="2" s="1"/>
  <c r="P83" i="2" a="1"/>
  <c r="P83" i="2" s="1"/>
  <c r="N83" i="2" a="1"/>
  <c r="N83" i="2" s="1"/>
  <c r="AK66" i="2" a="1"/>
  <c r="AK66" i="2" s="1"/>
  <c r="AI66" i="2" a="1"/>
  <c r="AI66" i="2" s="1"/>
  <c r="Z88" i="2" a="1"/>
  <c r="Z88" i="2" s="1"/>
  <c r="AB88" i="2" a="1"/>
  <c r="AB88" i="2" s="1"/>
  <c r="AC50" i="2" a="1"/>
  <c r="AC50" i="2" s="1"/>
  <c r="AE50" i="2" a="1"/>
  <c r="AE50" i="2" s="1"/>
  <c r="AL65" i="2" a="1"/>
  <c r="AL65" i="2" s="1"/>
  <c r="AN65" i="2" a="1"/>
  <c r="AN65" i="2" s="1"/>
  <c r="G45" i="2" a="1"/>
  <c r="G45" i="2" s="1"/>
  <c r="E45" i="2" a="1"/>
  <c r="E45" i="2" s="1"/>
  <c r="AF57" i="2" a="1"/>
  <c r="AF57" i="2" s="1"/>
  <c r="AH57" i="2" a="1"/>
  <c r="AH57" i="2" s="1"/>
  <c r="H90" i="2" a="1"/>
  <c r="H90" i="2" s="1"/>
  <c r="J90" i="2" a="1"/>
  <c r="J90" i="2" s="1"/>
  <c r="AB59" i="2" a="1"/>
  <c r="AB59" i="2" s="1"/>
  <c r="Z59" i="2" a="1"/>
  <c r="Z59" i="2" s="1"/>
  <c r="AF87" i="2" a="1"/>
  <c r="AF87" i="2" s="1"/>
  <c r="AH87" i="2" a="1"/>
  <c r="AH87" i="2" s="1"/>
  <c r="T66" i="2" a="1"/>
  <c r="T66" i="2" s="1"/>
  <c r="V66" i="2" a="1"/>
  <c r="V66" i="2" s="1"/>
  <c r="E65" i="2" a="1"/>
  <c r="E65" i="2" s="1"/>
  <c r="G65" i="2" a="1"/>
  <c r="G65" i="2" s="1"/>
  <c r="AF72" i="2" a="1"/>
  <c r="AF72" i="2" s="1"/>
  <c r="AH72" i="2" a="1"/>
  <c r="AH72" i="2" s="1"/>
  <c r="S66" i="2" a="1"/>
  <c r="S66" i="2" s="1"/>
  <c r="Q66" i="2" a="1"/>
  <c r="Q66" i="2" s="1"/>
  <c r="Q89" i="2" a="1"/>
  <c r="Q89" i="2" s="1"/>
  <c r="S89" i="2" a="1"/>
  <c r="S89" i="2" s="1"/>
  <c r="AC86" i="2" a="1"/>
  <c r="AC86" i="2" s="1"/>
  <c r="AE86" i="2" a="1"/>
  <c r="AE86" i="2" s="1"/>
  <c r="J79" i="2" a="1"/>
  <c r="J79" i="2" s="1"/>
  <c r="H79" i="2" a="1"/>
  <c r="H79" i="2" s="1"/>
  <c r="AN60" i="2" a="1"/>
  <c r="AN60" i="2" s="1"/>
  <c r="AL60" i="2" a="1"/>
  <c r="AL60" i="2" s="1"/>
  <c r="T68" i="2" a="1"/>
  <c r="T68" i="2" s="1"/>
  <c r="V68" i="2" a="1"/>
  <c r="V68" i="2" s="1"/>
  <c r="J77" i="2" a="1"/>
  <c r="J77" i="2" s="1"/>
  <c r="H77" i="2" a="1"/>
  <c r="H77" i="2" s="1"/>
  <c r="G48" i="2" a="1"/>
  <c r="G48" i="2" s="1"/>
  <c r="E48" i="2" a="1"/>
  <c r="E48" i="2" s="1"/>
  <c r="Y67" i="2" a="1"/>
  <c r="Y67" i="2" s="1"/>
  <c r="W67" i="2" a="1"/>
  <c r="W67" i="2" s="1"/>
  <c r="J65" i="2" a="1"/>
  <c r="J65" i="2" s="1"/>
  <c r="H65" i="2" a="1"/>
  <c r="H65" i="2" s="1"/>
  <c r="AF61" i="2" a="1"/>
  <c r="AF61" i="2" s="1"/>
  <c r="AH61" i="2" a="1"/>
  <c r="AH61" i="2" s="1"/>
  <c r="AE96" i="2" a="1"/>
  <c r="AE96" i="2" s="1"/>
  <c r="AC96" i="2" a="1"/>
  <c r="AC96" i="2" s="1"/>
  <c r="Y45" i="2" a="1"/>
  <c r="Y45" i="2" s="1"/>
  <c r="W45" i="2" a="1"/>
  <c r="W45" i="2" s="1"/>
  <c r="AF65" i="2" a="1"/>
  <c r="AF65" i="2" s="1"/>
  <c r="AH65" i="2" a="1"/>
  <c r="AH65" i="2" s="1"/>
  <c r="AC68" i="2" a="1"/>
  <c r="AC68" i="2" s="1"/>
  <c r="AE68" i="2" a="1"/>
  <c r="AE68" i="2" s="1"/>
  <c r="AL86" i="2" a="1"/>
  <c r="AL86" i="2" s="1"/>
  <c r="AN86" i="2" a="1"/>
  <c r="AN86" i="2" s="1"/>
  <c r="K76" i="2" a="1"/>
  <c r="K76" i="2" s="1"/>
  <c r="M76" i="2" a="1"/>
  <c r="M76" i="2" s="1"/>
  <c r="Z67" i="2" a="1"/>
  <c r="Z67" i="2" s="1"/>
  <c r="AB67" i="2" a="1"/>
  <c r="AB67" i="2" s="1"/>
  <c r="AK93" i="2" a="1"/>
  <c r="AK93" i="2" s="1"/>
  <c r="AI93" i="2" a="1"/>
  <c r="AI93" i="2" s="1"/>
  <c r="AF48" i="2" a="1"/>
  <c r="AF48" i="2" s="1"/>
  <c r="AH48" i="2" a="1"/>
  <c r="AH48" i="2" s="1"/>
  <c r="S85" i="2" a="1"/>
  <c r="S85" i="2" s="1"/>
  <c r="Q85" i="2" a="1"/>
  <c r="Q85" i="2" s="1"/>
  <c r="Q63" i="2" a="1"/>
  <c r="Q63" i="2" s="1"/>
  <c r="S63" i="2" a="1"/>
  <c r="S63" i="2" s="1"/>
  <c r="H63" i="2" a="1"/>
  <c r="H63" i="2" s="1"/>
  <c r="J63" i="2" a="1"/>
  <c r="J63" i="2" s="1"/>
  <c r="AN73" i="2" a="1"/>
  <c r="AN73" i="2" s="1"/>
  <c r="AL73" i="2" a="1"/>
  <c r="AL73" i="2" s="1"/>
  <c r="T61" i="2" a="1"/>
  <c r="T61" i="2" s="1"/>
  <c r="V61" i="2" a="1"/>
  <c r="V61" i="2" s="1"/>
  <c r="AK50" i="2" a="1"/>
  <c r="AK50" i="2" s="1"/>
  <c r="AI50" i="2" a="1"/>
  <c r="AI50" i="2" s="1"/>
  <c r="AB92" i="2" a="1"/>
  <c r="AB92" i="2" s="1"/>
  <c r="Z92" i="2" a="1"/>
  <c r="Z92" i="2" s="1"/>
  <c r="S80" i="2" a="1"/>
  <c r="S80" i="2" s="1"/>
  <c r="Q80" i="2" a="1"/>
  <c r="Q80" i="2" s="1"/>
  <c r="AI83" i="2" a="1"/>
  <c r="AI83" i="2" s="1"/>
  <c r="AK83" i="2" a="1"/>
  <c r="AK83" i="2" s="1"/>
  <c r="AC57" i="2" a="1"/>
  <c r="AC57" i="2" s="1"/>
  <c r="AE57" i="2" a="1"/>
  <c r="AE57" i="2" s="1"/>
  <c r="AK75" i="2" a="1"/>
  <c r="AK75" i="2" s="1"/>
  <c r="AI75" i="2" a="1"/>
  <c r="AI75" i="2" s="1"/>
  <c r="Q69" i="2" a="1"/>
  <c r="Q69" i="2" s="1"/>
  <c r="S69" i="2" a="1"/>
  <c r="S69" i="2" s="1"/>
  <c r="AH59" i="2" a="1"/>
  <c r="AH59" i="2" s="1"/>
  <c r="AF59" i="2" a="1"/>
  <c r="AF59" i="2" s="1"/>
  <c r="H94" i="2" a="1"/>
  <c r="H94" i="2" s="1"/>
  <c r="J94" i="2" a="1"/>
  <c r="J94" i="2" s="1"/>
  <c r="S83" i="2" a="1"/>
  <c r="S83" i="2" s="1"/>
  <c r="Q83" i="2" a="1"/>
  <c r="Q83" i="2" s="1"/>
  <c r="AL85" i="2" a="1"/>
  <c r="AL85" i="2" s="1"/>
  <c r="AN85" i="2" a="1"/>
  <c r="AN85" i="2" s="1"/>
  <c r="P46" i="2" a="1"/>
  <c r="P46" i="2" s="1"/>
  <c r="N46" i="2" a="1"/>
  <c r="N46" i="2" s="1"/>
  <c r="P87" i="2" a="1"/>
  <c r="P87" i="2" s="1"/>
  <c r="N87" i="2" a="1"/>
  <c r="N87" i="2" s="1"/>
  <c r="K86" i="2" a="1"/>
  <c r="K86" i="2" s="1"/>
  <c r="M86" i="2" a="1"/>
  <c r="M86" i="2" s="1"/>
  <c r="AE88" i="2" a="1"/>
  <c r="AE88" i="2" s="1"/>
  <c r="AC88" i="2" a="1"/>
  <c r="AC88" i="2" s="1"/>
  <c r="Z54" i="2" a="1"/>
  <c r="Z54" i="2" s="1"/>
  <c r="AB54" i="2" a="1"/>
  <c r="AB54" i="2" s="1"/>
  <c r="V83" i="2" a="1"/>
  <c r="V83" i="2" s="1"/>
  <c r="T83" i="2" a="1"/>
  <c r="T83" i="2" s="1"/>
  <c r="Z89" i="2" a="1"/>
  <c r="Z89" i="2" s="1"/>
  <c r="AB89" i="2" a="1"/>
  <c r="AB89" i="2" s="1"/>
  <c r="AC52" i="2" a="1"/>
  <c r="AC52" i="2" s="1"/>
  <c r="AE52" i="2" a="1"/>
  <c r="AE52" i="2" s="1"/>
  <c r="P85" i="2" a="1"/>
  <c r="P85" i="2" s="1"/>
  <c r="N85" i="2" a="1"/>
  <c r="N85" i="2" s="1"/>
  <c r="AC60" i="2" a="1"/>
  <c r="AC60" i="2" s="1"/>
  <c r="AE60" i="2" a="1"/>
  <c r="AE60" i="2" s="1"/>
  <c r="AN59" i="2" a="1"/>
  <c r="AN59" i="2" s="1"/>
  <c r="AL59" i="2" a="1"/>
  <c r="AL59" i="2" s="1"/>
  <c r="E80" i="2" a="1"/>
  <c r="E80" i="2" s="1"/>
  <c r="G80" i="2" a="1"/>
  <c r="G80" i="2" s="1"/>
  <c r="W80" i="2" a="1"/>
  <c r="W80" i="2" s="1"/>
  <c r="Y80" i="2" a="1"/>
  <c r="Y80" i="2" s="1"/>
  <c r="AB66" i="2" a="1"/>
  <c r="AB66" i="2" s="1"/>
  <c r="Z66" i="2" a="1"/>
  <c r="Z66" i="2" s="1"/>
  <c r="AN49" i="2" a="1"/>
  <c r="AN49" i="2" s="1"/>
  <c r="AL49" i="2" a="1"/>
  <c r="AL49" i="2" s="1"/>
  <c r="V88" i="2" a="1"/>
  <c r="V88" i="2" s="1"/>
  <c r="T88" i="2" a="1"/>
  <c r="T88" i="2" s="1"/>
  <c r="AC71" i="2" a="1"/>
  <c r="AC71" i="2" s="1"/>
  <c r="AE71" i="2" a="1"/>
  <c r="AE71" i="2" s="1"/>
  <c r="Q71" i="2" a="1"/>
  <c r="Q71" i="2" s="1"/>
  <c r="S71" i="2" a="1"/>
  <c r="S71" i="2" s="1"/>
  <c r="P47" i="2" a="1"/>
  <c r="P47" i="2" s="1"/>
  <c r="N47" i="2" a="1"/>
  <c r="N47" i="2" s="1"/>
  <c r="AH85" i="2" a="1"/>
  <c r="AH85" i="2" s="1"/>
  <c r="AF85" i="2" a="1"/>
  <c r="AF85" i="2" s="1"/>
  <c r="K46" i="2" a="1"/>
  <c r="K46" i="2" s="1"/>
  <c r="M46" i="2" a="1"/>
  <c r="M46" i="2" s="1"/>
  <c r="G85" i="2" a="1"/>
  <c r="G85" i="2" s="1"/>
  <c r="E85" i="2" a="1"/>
  <c r="E85" i="2" s="1"/>
  <c r="AC51" i="2" a="1"/>
  <c r="AC51" i="2" s="1"/>
  <c r="AE51" i="2" a="1"/>
  <c r="AE51" i="2" s="1"/>
  <c r="AH76" i="2" a="1"/>
  <c r="AH76" i="2" s="1"/>
  <c r="AF76" i="2" a="1"/>
  <c r="AF76" i="2" s="1"/>
  <c r="K61" i="2" a="1"/>
  <c r="K61" i="2" s="1"/>
  <c r="M61" i="2" a="1"/>
  <c r="M61" i="2" s="1"/>
  <c r="AL67" i="2" a="1"/>
  <c r="AL67" i="2" s="1"/>
  <c r="AN67" i="2" a="1"/>
  <c r="AN67" i="2" s="1"/>
  <c r="H62" i="2" a="1"/>
  <c r="H62" i="2" s="1"/>
  <c r="J62" i="2" a="1"/>
  <c r="J62" i="2" s="1"/>
  <c r="V69" i="2" a="1"/>
  <c r="V69" i="2" s="1"/>
  <c r="T69" i="2" a="1"/>
  <c r="T69" i="2" s="1"/>
  <c r="G47" i="2" a="1"/>
  <c r="G47" i="2" s="1"/>
  <c r="E47" i="2" a="1"/>
  <c r="E47" i="2" s="1"/>
  <c r="N58" i="2" a="1"/>
  <c r="N58" i="2" s="1"/>
  <c r="P58" i="2" a="1"/>
  <c r="P58" i="2" s="1"/>
  <c r="W74" i="2" a="1"/>
  <c r="W74" i="2" s="1"/>
  <c r="Y74" i="2" a="1"/>
  <c r="Y74" i="2" s="1"/>
  <c r="AI48" i="2" a="1"/>
  <c r="AI48" i="2" s="1"/>
  <c r="AK48" i="2" a="1"/>
  <c r="AK48" i="2" s="1"/>
  <c r="Y68" i="2" a="1"/>
  <c r="Y68" i="2" s="1"/>
  <c r="W68" i="2" a="1"/>
  <c r="W68" i="2" s="1"/>
  <c r="T87" i="2" a="1"/>
  <c r="T87" i="2" s="1"/>
  <c r="V87" i="2" a="1"/>
  <c r="V87" i="2" s="1"/>
  <c r="M69" i="2" a="1"/>
  <c r="M69" i="2" s="1"/>
  <c r="K69" i="2" a="1"/>
  <c r="K69" i="2" s="1"/>
  <c r="AC64" i="2" a="1"/>
  <c r="AC64" i="2" s="1"/>
  <c r="AE64" i="2" a="1"/>
  <c r="AE64" i="2" s="1"/>
  <c r="AI45" i="2" a="1"/>
  <c r="AI45" i="2" s="1"/>
  <c r="AK45" i="2" a="1"/>
  <c r="AK45" i="2" s="1"/>
  <c r="AN82" i="2" a="1"/>
  <c r="AN82" i="2" s="1"/>
  <c r="AL82" i="2" a="1"/>
  <c r="AL82" i="2" s="1"/>
  <c r="AK64" i="2" a="1"/>
  <c r="AK64" i="2" s="1"/>
  <c r="AI64" i="2" a="1"/>
  <c r="AI64" i="2" s="1"/>
  <c r="AI70" i="2" a="1"/>
  <c r="AI70" i="2" s="1"/>
  <c r="AK70" i="2" a="1"/>
  <c r="AK70" i="2" s="1"/>
  <c r="H45" i="2" a="1"/>
  <c r="H45" i="2" s="1"/>
  <c r="J45" i="2" a="1"/>
  <c r="J45" i="2" s="1"/>
  <c r="T93" i="2" a="1"/>
  <c r="T93" i="2" s="1"/>
  <c r="V93" i="2" a="1"/>
  <c r="V93" i="2" s="1"/>
  <c r="W52" i="2" a="1"/>
  <c r="W52" i="2" s="1"/>
  <c r="Y52" i="2" a="1"/>
  <c r="Y52" i="2" s="1"/>
  <c r="J64" i="2" a="1"/>
  <c r="J64" i="2" s="1"/>
  <c r="H64" i="2" a="1"/>
  <c r="H64" i="2" s="1"/>
  <c r="S64" i="2" a="1"/>
  <c r="S64" i="2" s="1"/>
  <c r="Q64" i="2" a="1"/>
  <c r="Q64" i="2" s="1"/>
  <c r="Q56" i="2" a="1"/>
  <c r="Q56" i="2" s="1"/>
  <c r="S56" i="2" a="1"/>
  <c r="S56" i="2" s="1"/>
  <c r="H52" i="2" a="1"/>
  <c r="H52" i="2" s="1"/>
  <c r="J52" i="2" a="1"/>
  <c r="J52" i="2" s="1"/>
  <c r="N51" i="2" a="1"/>
  <c r="N51" i="2" s="1"/>
  <c r="P51" i="2" a="1"/>
  <c r="P51" i="2" s="1"/>
  <c r="Q57" i="2" a="1"/>
  <c r="Q57" i="2" s="1"/>
  <c r="S57" i="2" a="1"/>
  <c r="S57" i="2" s="1"/>
  <c r="T91" i="2" a="1"/>
  <c r="T91" i="2" s="1"/>
  <c r="V91" i="2" a="1"/>
  <c r="V91" i="2" s="1"/>
  <c r="T79" i="2" a="1"/>
  <c r="T79" i="2" s="1"/>
  <c r="V79" i="2" a="1"/>
  <c r="V79" i="2" s="1"/>
  <c r="G96" i="2" a="1"/>
  <c r="G96" i="2" s="1"/>
  <c r="E96" i="2" a="1"/>
  <c r="E96" i="2" s="1"/>
  <c r="K73" i="2" a="1"/>
  <c r="K73" i="2" s="1"/>
  <c r="M73" i="2" a="1"/>
  <c r="M73" i="2" s="1"/>
  <c r="M84" i="2" a="1"/>
  <c r="M84" i="2" s="1"/>
  <c r="K84" i="2" a="1"/>
  <c r="K84" i="2" s="1"/>
  <c r="AB79" i="2" a="1"/>
  <c r="AB79" i="2" s="1"/>
  <c r="Z79" i="2" a="1"/>
  <c r="Z79" i="2" s="1"/>
  <c r="G59" i="2" a="1"/>
  <c r="G59" i="2" s="1"/>
  <c r="E59" i="2" a="1"/>
  <c r="E59" i="2" s="1"/>
  <c r="P69" i="2" a="1"/>
  <c r="P69" i="2" s="1"/>
  <c r="N69" i="2" a="1"/>
  <c r="N69" i="2" s="1"/>
  <c r="AF92" i="2" a="1"/>
  <c r="AF92" i="2" s="1"/>
  <c r="AH92" i="2" a="1"/>
  <c r="AH92" i="2" s="1"/>
  <c r="AB48" i="2" a="1"/>
  <c r="AB48" i="2" s="1"/>
  <c r="Z48" i="2" a="1"/>
  <c r="Z48" i="2" s="1"/>
  <c r="H50" i="2" a="1"/>
  <c r="H50" i="2" s="1"/>
  <c r="J50" i="2" a="1"/>
  <c r="J50" i="2" s="1"/>
  <c r="AC82" i="2" a="1"/>
  <c r="AC82" i="2" s="1"/>
  <c r="AE82" i="2" a="1"/>
  <c r="AE82" i="2" s="1"/>
  <c r="S53" i="2" a="1"/>
  <c r="S53" i="2" s="1"/>
  <c r="Q53" i="2" a="1"/>
  <c r="Q53" i="2" s="1"/>
  <c r="P48" i="2" a="1"/>
  <c r="P48" i="2" s="1"/>
  <c r="N48" i="2" a="1"/>
  <c r="N48" i="2" s="1"/>
  <c r="Q73" i="2" a="1"/>
  <c r="Q73" i="2" s="1"/>
  <c r="S73" i="2" a="1"/>
  <c r="S73" i="2" s="1"/>
  <c r="K67" i="2" a="1"/>
  <c r="K67" i="2" s="1"/>
  <c r="M67" i="2" a="1"/>
  <c r="M67" i="2" s="1"/>
  <c r="W51" i="2" a="1"/>
  <c r="W51" i="2" s="1"/>
  <c r="Y51" i="2" a="1"/>
  <c r="Y51" i="2" s="1"/>
  <c r="P78" i="2" a="1"/>
  <c r="P78" i="2" s="1"/>
  <c r="N78" i="2" a="1"/>
  <c r="N78" i="2" s="1"/>
  <c r="M91" i="2" a="1"/>
  <c r="M91" i="2" s="1"/>
  <c r="K91" i="2" a="1"/>
  <c r="K91" i="2" s="1"/>
  <c r="K51" i="2" a="1"/>
  <c r="K51" i="2" s="1"/>
  <c r="M51" i="2" a="1"/>
  <c r="M51" i="2" s="1"/>
  <c r="AN77" i="2" a="1"/>
  <c r="AN77" i="2" s="1"/>
  <c r="AL77" i="2" a="1"/>
  <c r="AL77" i="2" s="1"/>
  <c r="H86" i="2" a="1"/>
  <c r="H86" i="2" s="1"/>
  <c r="J86" i="2" a="1"/>
  <c r="J86" i="2" s="1"/>
  <c r="T53" i="2" a="1"/>
  <c r="T53" i="2" s="1"/>
  <c r="V53" i="2" a="1"/>
  <c r="V53" i="2" s="1"/>
  <c r="AB57" i="2" a="1"/>
  <c r="AB57" i="2" s="1"/>
  <c r="Z57" i="2" a="1"/>
  <c r="Z57" i="2" s="1"/>
  <c r="AF90" i="2" a="1"/>
  <c r="AF90" i="2" s="1"/>
  <c r="AH90" i="2" a="1"/>
  <c r="AH90" i="2" s="1"/>
  <c r="W55" i="2" a="1"/>
  <c r="W55" i="2" s="1"/>
  <c r="Y55" i="2" a="1"/>
  <c r="Y55" i="2" s="1"/>
  <c r="N91" i="2" a="1"/>
  <c r="N91" i="2" s="1"/>
  <c r="P91" i="2" a="1"/>
  <c r="P91" i="2" s="1"/>
  <c r="J70" i="2" a="1"/>
  <c r="J70" i="2" s="1"/>
  <c r="H70" i="2" a="1"/>
  <c r="H70" i="2" s="1"/>
  <c r="AH86" i="2" a="1"/>
  <c r="AH86" i="2" s="1"/>
  <c r="AF86" i="2" a="1"/>
  <c r="AF86" i="2" s="1"/>
  <c r="AC56" i="2" a="1"/>
  <c r="AC56" i="2" s="1"/>
  <c r="AE56" i="2" a="1"/>
  <c r="AE56" i="2" s="1"/>
  <c r="AC47" i="2" a="1"/>
  <c r="AC47" i="2" s="1"/>
  <c r="AE47" i="2" a="1"/>
  <c r="AE47" i="2" s="1"/>
  <c r="AC85" i="2" a="1"/>
  <c r="AC85" i="2" s="1"/>
  <c r="AE85" i="2" a="1"/>
  <c r="AE85" i="2" s="1"/>
  <c r="E76" i="2" a="1"/>
  <c r="E76" i="2" s="1"/>
  <c r="G76" i="2" a="1"/>
  <c r="G76" i="2" s="1"/>
  <c r="AB58" i="2" a="1"/>
  <c r="AB58" i="2" s="1"/>
  <c r="Z58" i="2" a="1"/>
  <c r="Z58" i="2" s="1"/>
  <c r="Y59" i="2" a="1"/>
  <c r="Y59" i="2" s="1"/>
  <c r="W59" i="2" a="1"/>
  <c r="W59" i="2" s="1"/>
  <c r="K53" i="2" a="1"/>
  <c r="K53" i="2" s="1"/>
  <c r="M53" i="2" a="1"/>
  <c r="M53" i="2" s="1"/>
  <c r="Q52" i="2" a="1"/>
  <c r="Q52" i="2" s="1"/>
  <c r="S52" i="2" a="1"/>
  <c r="S52" i="2" s="1"/>
  <c r="N63" i="2" a="1"/>
  <c r="N63" i="2" s="1"/>
  <c r="P63" i="2" a="1"/>
  <c r="P63" i="2" s="1"/>
  <c r="K81" i="2" a="1"/>
  <c r="K81" i="2" s="1"/>
  <c r="M81" i="2" a="1"/>
  <c r="M81" i="2" s="1"/>
  <c r="P50" i="2" a="1"/>
  <c r="P50" i="2" s="1"/>
  <c r="N50" i="2" a="1"/>
  <c r="N50" i="2" s="1"/>
  <c r="M85" i="2" a="1"/>
  <c r="M85" i="2" s="1"/>
  <c r="K85" i="2" a="1"/>
  <c r="K85" i="2" s="1"/>
  <c r="AB62" i="2" a="1"/>
  <c r="AB62" i="2" s="1"/>
  <c r="Z62" i="2" a="1"/>
  <c r="Z62" i="2" s="1"/>
  <c r="P68" i="2" a="1"/>
  <c r="P68" i="2" s="1"/>
  <c r="N68" i="2" a="1"/>
  <c r="N68" i="2" s="1"/>
  <c r="P77" i="2" a="1"/>
  <c r="P77" i="2" s="1"/>
  <c r="N77" i="2" a="1"/>
  <c r="N77" i="2" s="1"/>
  <c r="AE89" i="2" a="1"/>
  <c r="AE89" i="2" s="1"/>
  <c r="AC89" i="2" a="1"/>
  <c r="AC89" i="2" s="1"/>
  <c r="T76" i="2" a="1"/>
  <c r="T76" i="2" s="1"/>
  <c r="V76" i="2" a="1"/>
  <c r="V76" i="2" s="1"/>
  <c r="AK74" i="2" a="1"/>
  <c r="AK74" i="2" s="1"/>
  <c r="AI74" i="2" a="1"/>
  <c r="AI74" i="2" s="1"/>
  <c r="Y49" i="2" a="1"/>
  <c r="Y49" i="2" s="1"/>
  <c r="W49" i="2" a="1"/>
  <c r="W49" i="2" s="1"/>
  <c r="T55" i="2" a="1"/>
  <c r="T55" i="2" s="1"/>
  <c r="V55" i="2" a="1"/>
  <c r="V55" i="2" s="1"/>
  <c r="E84" i="2" a="1"/>
  <c r="E84" i="2" s="1"/>
  <c r="G84" i="2" a="1"/>
  <c r="G84" i="2" s="1"/>
  <c r="G67" i="2" a="1"/>
  <c r="G67" i="2" s="1"/>
  <c r="E67" i="2" a="1"/>
  <c r="E67" i="2" s="1"/>
  <c r="Z73" i="2" a="1"/>
  <c r="Z73" i="2" s="1"/>
  <c r="AB73" i="2" a="1"/>
  <c r="AB73" i="2" s="1"/>
  <c r="S54" i="2" a="1"/>
  <c r="S54" i="2" s="1"/>
  <c r="Q54" i="2" a="1"/>
  <c r="Q54" i="2" s="1"/>
  <c r="G77" i="2" a="1"/>
  <c r="G77" i="2" s="1"/>
  <c r="E77" i="2" a="1"/>
  <c r="E77" i="2" s="1"/>
  <c r="Z69" i="2" a="1"/>
  <c r="Z69" i="2" s="1"/>
  <c r="AB69" i="2" a="1"/>
  <c r="AB69" i="2" s="1"/>
  <c r="H89" i="2" a="1"/>
  <c r="H89" i="2" s="1"/>
  <c r="J89" i="2" a="1"/>
  <c r="J89" i="2" s="1"/>
  <c r="N73" i="2" a="1"/>
  <c r="N73" i="2" s="1"/>
  <c r="P73" i="2" a="1"/>
  <c r="P73" i="2" s="1"/>
  <c r="AE80" i="2" a="1"/>
  <c r="AE80" i="2" s="1"/>
  <c r="AC80" i="2" a="1"/>
  <c r="AC80" i="2" s="1"/>
  <c r="P71" i="2" a="1"/>
  <c r="P71" i="2" s="1"/>
  <c r="N71" i="2" a="1"/>
  <c r="N71" i="2" s="1"/>
  <c r="E71" i="2" a="1"/>
  <c r="E71" i="2" s="1"/>
  <c r="G71" i="2" a="1"/>
  <c r="G71" i="2" s="1"/>
  <c r="J73" i="2" a="1"/>
  <c r="J73" i="2" s="1"/>
  <c r="H73" i="2" a="1"/>
  <c r="H73" i="2" s="1"/>
  <c r="N74" i="2" a="1"/>
  <c r="N74" i="2" s="1"/>
  <c r="P74" i="2" a="1"/>
  <c r="P74" i="2" s="1"/>
  <c r="AL56" i="2" a="1"/>
  <c r="AL56" i="2" s="1"/>
  <c r="AN56" i="2" a="1"/>
  <c r="AN56" i="2" s="1"/>
  <c r="K50" i="2" a="1"/>
  <c r="K50" i="2" s="1"/>
  <c r="M50" i="2" a="1"/>
  <c r="M50" i="2" s="1"/>
  <c r="N57" i="2" a="1"/>
  <c r="N57" i="2" s="1"/>
  <c r="P57" i="2" a="1"/>
  <c r="P57" i="2" s="1"/>
  <c r="AL92" i="2" a="1"/>
  <c r="AL92" i="2" s="1"/>
  <c r="AN92" i="2" a="1"/>
  <c r="AN92" i="2" s="1"/>
  <c r="AK59" i="2" a="1"/>
  <c r="AK59" i="2" s="1"/>
  <c r="AI59" i="2" a="1"/>
  <c r="AI59" i="2" s="1"/>
  <c r="Q50" i="2" a="1"/>
  <c r="Q50" i="2" s="1"/>
  <c r="S50" i="2" a="1"/>
  <c r="S50" i="2" s="1"/>
  <c r="AL93" i="2" a="1"/>
  <c r="AL93" i="2" s="1"/>
  <c r="AN93" i="2" a="1"/>
  <c r="AN93" i="2" s="1"/>
  <c r="T58" i="2" a="1"/>
  <c r="T58" i="2" s="1"/>
  <c r="V58" i="2" a="1"/>
  <c r="V58" i="2" s="1"/>
  <c r="AE78" i="2" a="1"/>
  <c r="AE78" i="2" s="1"/>
  <c r="AC78" i="2" a="1"/>
  <c r="AC78" i="2" s="1"/>
  <c r="E91" i="2" a="1"/>
  <c r="E91" i="2" s="1"/>
  <c r="G91" i="2" a="1"/>
  <c r="G91" i="2" s="1"/>
  <c r="Y82" i="2" a="1"/>
  <c r="Y82" i="2" s="1"/>
  <c r="W82" i="2" a="1"/>
  <c r="W82" i="2" s="1"/>
  <c r="K60" i="2" a="1"/>
  <c r="K60" i="2" s="1"/>
  <c r="M60" i="2" a="1"/>
  <c r="M60" i="2" s="1"/>
  <c r="M75" i="2" a="1"/>
  <c r="M75" i="2" s="1"/>
  <c r="K75" i="2" a="1"/>
  <c r="K75" i="2" s="1"/>
  <c r="Q47" i="2" a="1"/>
  <c r="Q47" i="2" s="1"/>
  <c r="S47" i="2" a="1"/>
  <c r="S47" i="2" s="1"/>
  <c r="K66" i="2" a="1"/>
  <c r="K66" i="2" s="1"/>
  <c r="M66" i="2" a="1"/>
  <c r="M66" i="2" s="1"/>
  <c r="K49" i="2" a="1"/>
  <c r="K49" i="2" s="1"/>
  <c r="M49" i="2" a="1"/>
  <c r="M49" i="2" s="1"/>
  <c r="E74" i="2" a="1"/>
  <c r="E74" i="2" s="1"/>
  <c r="G74" i="2" a="1"/>
  <c r="G74" i="2" s="1"/>
  <c r="AB47" i="2" a="1"/>
  <c r="AB47" i="2" s="1"/>
  <c r="Z47" i="2" a="1"/>
  <c r="Z47" i="2" s="1"/>
  <c r="AB78" i="2" a="1"/>
  <c r="AB78" i="2" s="1"/>
  <c r="Z78" i="2" a="1"/>
  <c r="Z78" i="2" s="1"/>
  <c r="V77" i="2" a="1"/>
  <c r="V77" i="2" s="1"/>
  <c r="T77" i="2" a="1"/>
  <c r="T77" i="2" s="1"/>
  <c r="AE46" i="2" a="1"/>
  <c r="AE46" i="2" s="1"/>
  <c r="AC46" i="2" a="1"/>
  <c r="AC46" i="2" s="1"/>
  <c r="W76" i="2" a="1"/>
  <c r="W76" i="2" s="1"/>
  <c r="Y76" i="2" a="1"/>
  <c r="Y76" i="2" s="1"/>
  <c r="Q48" i="2" a="1"/>
  <c r="Q48" i="2" s="1"/>
  <c r="S48" i="2" a="1"/>
  <c r="S48" i="2" s="1"/>
  <c r="AF74" i="2" a="1"/>
  <c r="AF74" i="2" s="1"/>
  <c r="AH74" i="2" a="1"/>
  <c r="AH74" i="2" s="1"/>
  <c r="S45" i="2" a="1"/>
  <c r="S45" i="2" s="1"/>
  <c r="Q45" i="2" a="1"/>
  <c r="Q45" i="2" s="1"/>
  <c r="AI52" i="2" a="1"/>
  <c r="AI52" i="2" s="1"/>
  <c r="AK52" i="2" a="1"/>
  <c r="AK52" i="2" s="1"/>
  <c r="AN63" i="2" a="1"/>
  <c r="AN63" i="2" s="1"/>
  <c r="AL63" i="2" a="1"/>
  <c r="AL63" i="2" s="1"/>
  <c r="AF88" i="2" a="1"/>
  <c r="AF88" i="2" s="1"/>
  <c r="AH88" i="2" a="1"/>
  <c r="AH88" i="2" s="1"/>
  <c r="AF47" i="2" a="1"/>
  <c r="AF47" i="2" s="1"/>
  <c r="AH47" i="2" a="1"/>
  <c r="AH47" i="2" s="1"/>
  <c r="AK85" i="2" a="1"/>
  <c r="AK85" i="2" s="1"/>
  <c r="AI85" i="2" a="1"/>
  <c r="AI85" i="2" s="1"/>
  <c r="AN52" i="2" a="1"/>
  <c r="AN52" i="2" s="1"/>
  <c r="AL52" i="2" a="1"/>
  <c r="AL52" i="2" s="1"/>
  <c r="Z83" i="2" a="1"/>
  <c r="Z83" i="2" s="1"/>
  <c r="AB83" i="2" a="1"/>
  <c r="AB83" i="2" s="1"/>
  <c r="AC65" i="2" a="1"/>
  <c r="AC65" i="2" s="1"/>
  <c r="AE65" i="2" a="1"/>
  <c r="AE65" i="2" s="1"/>
  <c r="M54" i="2" a="1"/>
  <c r="M54" i="2" s="1"/>
  <c r="K54" i="2" a="1"/>
  <c r="K54" i="2" s="1"/>
  <c r="M58" i="2" a="1"/>
  <c r="M58" i="2" s="1"/>
  <c r="K58" i="2" a="1"/>
  <c r="K58" i="2" s="1"/>
  <c r="E52" i="2" a="1"/>
  <c r="E52" i="2" s="1"/>
  <c r="G52" i="2" a="1"/>
  <c r="G52" i="2" s="1"/>
  <c r="T80" i="2" a="1"/>
  <c r="T80" i="2" s="1"/>
  <c r="V80" i="2" a="1"/>
  <c r="V80" i="2" s="1"/>
  <c r="AL64" i="2" a="1"/>
  <c r="AL64" i="2" s="1"/>
  <c r="AN64" i="2" a="1"/>
  <c r="AN64" i="2" s="1"/>
  <c r="H54" i="2" a="1"/>
  <c r="H54" i="2" s="1"/>
  <c r="J54" i="2" a="1"/>
  <c r="J54" i="2" s="1"/>
  <c r="AB52" i="2" a="1"/>
  <c r="AB52" i="2" s="1"/>
  <c r="Z52" i="2" a="1"/>
  <c r="Z52" i="2" s="1"/>
  <c r="AK91" i="2" a="1"/>
  <c r="AK91" i="2" s="1"/>
  <c r="AI91" i="2" a="1"/>
  <c r="AI91" i="2" s="1"/>
  <c r="AI68" i="2" a="1"/>
  <c r="AI68" i="2" s="1"/>
  <c r="AK68" i="2" a="1"/>
  <c r="AK68" i="2" s="1"/>
  <c r="E83" i="2" a="1"/>
  <c r="E83" i="2" s="1"/>
  <c r="G83" i="2" a="1"/>
  <c r="G83" i="2" s="1"/>
  <c r="AI49" i="2" a="1"/>
  <c r="AI49" i="2" s="1"/>
  <c r="AK49" i="2" a="1"/>
  <c r="AK49" i="2" s="1"/>
  <c r="Y61" i="2" a="1"/>
  <c r="Y61" i="2" s="1"/>
  <c r="W61" i="2" a="1"/>
  <c r="W61" i="2" s="1"/>
  <c r="N98" i="2" a="1"/>
  <c r="N98" i="2" s="1"/>
  <c r="P98" i="2" a="1"/>
  <c r="P98" i="2" s="1"/>
  <c r="T73" i="2" a="1"/>
  <c r="T73" i="2" s="1"/>
  <c r="V73" i="2" a="1"/>
  <c r="V73" i="2" s="1"/>
  <c r="Z72" i="2" a="1"/>
  <c r="Z72" i="2" s="1"/>
  <c r="AB72" i="2" a="1"/>
  <c r="AB72" i="2" s="1"/>
  <c r="Y79" i="2" a="1"/>
  <c r="Y79" i="2" s="1"/>
  <c r="W79" i="2" a="1"/>
  <c r="W79" i="2" s="1"/>
  <c r="T48" i="2" a="1"/>
  <c r="T48" i="2" s="1"/>
  <c r="V48" i="2" a="1"/>
  <c r="V48" i="2" s="1"/>
  <c r="AB97" i="2" a="1"/>
  <c r="AB97" i="2" s="1"/>
  <c r="Z97" i="2" a="1"/>
  <c r="Z97" i="2" s="1"/>
  <c r="H88" i="2" a="1"/>
  <c r="H88" i="2" s="1"/>
  <c r="J88" i="2" a="1"/>
  <c r="J88" i="2" s="1"/>
  <c r="AH94" i="2" a="1"/>
  <c r="AH94" i="2" s="1"/>
  <c r="AF94" i="2" a="1"/>
  <c r="AF94" i="2" s="1"/>
  <c r="AI47" i="2" a="1"/>
  <c r="AI47" i="2" s="1"/>
  <c r="AK47" i="2" a="1"/>
  <c r="AK47" i="2" s="1"/>
  <c r="AI60" i="2" a="1"/>
  <c r="AI60" i="2" s="1"/>
  <c r="AK60" i="2" a="1"/>
  <c r="AK60" i="2" s="1"/>
  <c r="AF73" i="2" a="1"/>
  <c r="AF73" i="2" s="1"/>
  <c r="AH73" i="2" a="1"/>
  <c r="AH73" i="2" s="1"/>
  <c r="N54" i="2" a="1"/>
  <c r="N54" i="2" s="1"/>
  <c r="P54" i="2" a="1"/>
  <c r="P54" i="2" s="1"/>
  <c r="AE72" i="2" a="1"/>
  <c r="AE72" i="2" s="1"/>
  <c r="AC72" i="2" a="1"/>
  <c r="AC72" i="2" s="1"/>
  <c r="AF80" i="2" a="1"/>
  <c r="AF80" i="2" s="1"/>
  <c r="AH80" i="2" a="1"/>
  <c r="AH80" i="2" s="1"/>
  <c r="V64" i="2" a="1"/>
  <c r="V64" i="2" s="1"/>
  <c r="T64" i="2" a="1"/>
  <c r="T64" i="2" s="1"/>
  <c r="AN69" i="2" a="1"/>
  <c r="AN69" i="2" s="1"/>
  <c r="AL69" i="2" a="1"/>
  <c r="AL69" i="2" s="1"/>
  <c r="W65" i="2" a="1"/>
  <c r="W65" i="2" s="1"/>
  <c r="Y65" i="2" a="1"/>
  <c r="Y65" i="2" s="1"/>
  <c r="S65" i="2" a="1"/>
  <c r="S65" i="2" s="1"/>
  <c r="Q65" i="2" a="1"/>
  <c r="Q65" i="2" s="1"/>
  <c r="J81" i="2" a="1"/>
  <c r="J81" i="2" s="1"/>
  <c r="H81" i="2" a="1"/>
  <c r="H81" i="2" s="1"/>
  <c r="AL66" i="2" a="1"/>
  <c r="AL66" i="2" s="1"/>
  <c r="AN66" i="2" a="1"/>
  <c r="AN66" i="2" s="1"/>
  <c r="E64" i="2" a="1"/>
  <c r="E64" i="2" s="1"/>
  <c r="G64" i="2" a="1"/>
  <c r="G64" i="2" s="1"/>
  <c r="AC55" i="2" a="1"/>
  <c r="AC55" i="2" s="1"/>
  <c r="AE55" i="2" a="1"/>
  <c r="AE55" i="2" s="1"/>
  <c r="T62" i="2" a="1"/>
  <c r="T62" i="2" s="1"/>
  <c r="V62" i="2" a="1"/>
  <c r="V62" i="2" s="1"/>
  <c r="AH58" i="2" a="1"/>
  <c r="AH58" i="2" s="1"/>
  <c r="AF58" i="2" a="1"/>
  <c r="AF58" i="2" s="1"/>
  <c r="AC94" i="2" a="1"/>
  <c r="AC94" i="2" s="1"/>
  <c r="AE94" i="2" a="1"/>
  <c r="AE94" i="2" s="1"/>
  <c r="AN96" i="2" a="1"/>
  <c r="AN96" i="2" s="1"/>
  <c r="AL96" i="2" a="1"/>
  <c r="AL96" i="2" s="1"/>
  <c r="AB50" i="2" a="1"/>
  <c r="AB50" i="2" s="1"/>
  <c r="Z50" i="2" a="1"/>
  <c r="Z50" i="2" s="1"/>
  <c r="H58" i="2" a="1"/>
  <c r="H58" i="2" s="1"/>
  <c r="J58" i="2" a="1"/>
  <c r="J58" i="2" s="1"/>
  <c r="W53" i="2" a="1"/>
  <c r="W53" i="2" s="1"/>
  <c r="Y53" i="2" a="1"/>
  <c r="Y53" i="2" s="1"/>
  <c r="J92" i="2" a="1"/>
  <c r="J92" i="2" s="1"/>
  <c r="H92" i="2" a="1"/>
  <c r="H92" i="2" s="1"/>
  <c r="AN83" i="2" a="1"/>
  <c r="AN83" i="2" s="1"/>
  <c r="AL83" i="2" a="1"/>
  <c r="AL83" i="2" s="1"/>
  <c r="V89" i="2" a="1"/>
  <c r="V89" i="2" s="1"/>
  <c r="T89" i="2" a="1"/>
  <c r="T89" i="2" s="1"/>
  <c r="AF54" i="2" a="1"/>
  <c r="AF54" i="2" s="1"/>
  <c r="AH54" i="2" a="1"/>
  <c r="AH54" i="2" s="1"/>
  <c r="V63" i="2" a="1"/>
  <c r="V63" i="2" s="1"/>
  <c r="T63" i="2" a="1"/>
  <c r="T63" i="2" s="1"/>
  <c r="AN74" i="2" a="1"/>
  <c r="AN74" i="2" s="1"/>
  <c r="AL74" i="2" a="1"/>
  <c r="AL74" i="2" s="1"/>
  <c r="T57" i="2" a="1"/>
  <c r="T57" i="2" s="1"/>
  <c r="V57" i="2" a="1"/>
  <c r="V57" i="2" s="1"/>
  <c r="E54" i="2" a="1"/>
  <c r="E54" i="2" s="1"/>
  <c r="G54" i="2" a="1"/>
  <c r="G54" i="2" s="1"/>
  <c r="E53" i="2" a="1"/>
  <c r="E53" i="2" s="1"/>
  <c r="G53" i="2" a="1"/>
  <c r="G53" i="2" s="1"/>
  <c r="Q87" i="2" a="1"/>
  <c r="Q87" i="2" s="1"/>
  <c r="S87" i="2" a="1"/>
  <c r="S87" i="2" s="1"/>
  <c r="H83" i="2" a="1"/>
  <c r="H83" i="2" s="1"/>
  <c r="J83" i="2" a="1"/>
  <c r="J83" i="2" s="1"/>
  <c r="M78" i="2" a="1"/>
  <c r="M78" i="2" s="1"/>
  <c r="K78" i="2" a="1"/>
  <c r="K78" i="2" s="1"/>
  <c r="AE54" i="2" a="1"/>
  <c r="AE54" i="2" s="1"/>
  <c r="AC54" i="2" a="1"/>
  <c r="AC54" i="2" s="1"/>
  <c r="AN68" i="2" a="1"/>
  <c r="AN68" i="2" s="1"/>
  <c r="AL68" i="2" a="1"/>
  <c r="AL68" i="2" s="1"/>
  <c r="AH52" i="2" a="1"/>
  <c r="AH52" i="2" s="1"/>
  <c r="AF52" i="2" a="1"/>
  <c r="AF52" i="2" s="1"/>
  <c r="K72" i="2" a="1"/>
  <c r="K72" i="2" s="1"/>
  <c r="M72" i="2" a="1"/>
  <c r="M72" i="2" s="1"/>
  <c r="AC53" i="2" a="1"/>
  <c r="AC53" i="2" s="1"/>
  <c r="AE53" i="2" a="1"/>
  <c r="AE53" i="2" s="1"/>
  <c r="P49" i="2" a="1"/>
  <c r="P49" i="2" s="1"/>
  <c r="N49" i="2" a="1"/>
  <c r="N49" i="2" s="1"/>
  <c r="AB76" i="2" a="1"/>
  <c r="AB76" i="2" s="1"/>
  <c r="Z76" i="2" a="1"/>
  <c r="Z76" i="2" s="1"/>
  <c r="N88" i="2" a="1"/>
  <c r="N88" i="2" s="1"/>
  <c r="P88" i="2" a="1"/>
  <c r="P88" i="2" s="1"/>
  <c r="Y83" i="2" a="1"/>
  <c r="Y83" i="2" s="1"/>
  <c r="W83" i="2" a="1"/>
  <c r="W83" i="2" s="1"/>
  <c r="AI89" i="2" a="1"/>
  <c r="AI89" i="2" s="1"/>
  <c r="AK89" i="2" a="1"/>
  <c r="AK89" i="2" s="1"/>
  <c r="AH71" i="2" a="1"/>
  <c r="AH71" i="2" s="1"/>
  <c r="AF71" i="2" a="1"/>
  <c r="AF71" i="2" s="1"/>
  <c r="V71" i="2" a="1"/>
  <c r="V71" i="2" s="1"/>
  <c r="T71" i="2" a="1"/>
  <c r="T71" i="2" s="1"/>
  <c r="K74" i="2" a="1"/>
  <c r="K74" i="2" s="1"/>
  <c r="M74" i="2" a="1"/>
  <c r="M74" i="2" s="1"/>
  <c r="AB65" i="2" a="1"/>
  <c r="AB65" i="2" s="1"/>
  <c r="Z65" i="2" a="1"/>
  <c r="Z65" i="2" s="1"/>
  <c r="AK79" i="2" a="1"/>
  <c r="AK79" i="2" s="1"/>
  <c r="AI79" i="2" a="1"/>
  <c r="AI79" i="2" s="1"/>
  <c r="G88" i="2" a="1"/>
  <c r="G88" i="2" s="1"/>
  <c r="E88" i="2" a="1"/>
  <c r="E88" i="2" s="1"/>
  <c r="W64" i="2" a="1"/>
  <c r="W64" i="2" s="1"/>
  <c r="Y64" i="2" a="1"/>
  <c r="Y64" i="2" s="1"/>
  <c r="E79" i="2" a="1"/>
  <c r="E79" i="2" s="1"/>
  <c r="G79" i="2" a="1"/>
  <c r="G79" i="2" s="1"/>
  <c r="AH55" i="2" a="1"/>
  <c r="AH55" i="2" s="1"/>
  <c r="AF55" i="2" a="1"/>
  <c r="AF55" i="2" s="1"/>
  <c r="Q78" i="2" a="1"/>
  <c r="Q78" i="2" s="1"/>
  <c r="S78" i="2" a="1"/>
  <c r="S78" i="2" s="1"/>
  <c r="M59" i="2" a="1"/>
  <c r="M59" i="2" s="1"/>
  <c r="K59" i="2" a="1"/>
  <c r="K59" i="2" s="1"/>
  <c r="H68" i="2" a="1"/>
  <c r="H68" i="2" s="1"/>
  <c r="J68" i="2" a="1"/>
  <c r="J68" i="2" s="1"/>
  <c r="P66" i="2" a="1"/>
  <c r="P66" i="2" s="1"/>
  <c r="N66" i="2" a="1"/>
  <c r="N66" i="2" s="1"/>
  <c r="G78" i="2" a="1"/>
  <c r="G78" i="2" s="1"/>
  <c r="E78" i="2" a="1"/>
  <c r="E78" i="2" s="1"/>
  <c r="T50" i="2" a="1"/>
  <c r="T50" i="2" s="1"/>
  <c r="V50" i="2" a="1"/>
  <c r="V50" i="2" s="1"/>
  <c r="AI82" i="2" a="1"/>
  <c r="AI82" i="2" s="1"/>
  <c r="AK82" i="2" a="1"/>
  <c r="AK82" i="2" s="1"/>
  <c r="E81" i="2" a="1"/>
  <c r="E81" i="2" s="1"/>
  <c r="G81" i="2" a="1"/>
  <c r="G81" i="2" s="1"/>
  <c r="M48" i="2" a="1"/>
  <c r="M48" i="2" s="1"/>
  <c r="K48" i="2" a="1"/>
  <c r="K48" i="2" s="1"/>
  <c r="W63" i="2" a="1"/>
  <c r="W63" i="2" s="1"/>
  <c r="Y63" i="2" a="1"/>
  <c r="Y63" i="2" s="1"/>
  <c r="E49" i="2" a="1"/>
  <c r="E49" i="2" s="1"/>
  <c r="G49" i="2" a="1"/>
  <c r="G49" i="2" s="1"/>
  <c r="AL55" i="2" a="1"/>
  <c r="AL55" i="2" s="1"/>
  <c r="AN55" i="2" a="1"/>
  <c r="AN55" i="2" s="1"/>
  <c r="AB81" i="2" a="1"/>
  <c r="AB81" i="2" s="1"/>
  <c r="Z81" i="2" a="1"/>
  <c r="Z81" i="2" s="1"/>
  <c r="H48" i="2" a="1"/>
  <c r="H48" i="2" s="1"/>
  <c r="J48" i="2" a="1"/>
  <c r="J48" i="2" s="1"/>
  <c r="G50" i="2" a="1"/>
  <c r="G50" i="2" s="1"/>
  <c r="E50" i="2" a="1"/>
  <c r="E50" i="2" s="1"/>
  <c r="M63" i="2" a="1"/>
  <c r="M63" i="2" s="1"/>
  <c r="K63" i="2" a="1"/>
  <c r="K63" i="2" s="1"/>
  <c r="P86" i="2" a="1"/>
  <c r="P86" i="2" s="1"/>
  <c r="N86" i="2" a="1"/>
  <c r="N86" i="2" s="1"/>
  <c r="AH56" i="2" a="1"/>
  <c r="AH56" i="2" s="1"/>
  <c r="AF56" i="2" a="1"/>
  <c r="AF56" i="2" s="1"/>
  <c r="H82" i="2" a="1"/>
  <c r="H82" i="2" s="1"/>
  <c r="J82" i="2" a="1"/>
  <c r="J82" i="2" s="1"/>
  <c r="K56" i="2" a="1"/>
  <c r="K56" i="2" s="1"/>
  <c r="M56" i="2" a="1"/>
  <c r="M56" i="2" s="1"/>
  <c r="H87" i="2" a="1"/>
  <c r="H87" i="2" s="1"/>
  <c r="J87" i="2" a="1"/>
  <c r="J87" i="2" s="1"/>
  <c r="K87" i="2" a="1"/>
  <c r="K87" i="2" s="1"/>
  <c r="M87" i="2" a="1"/>
  <c r="M87" i="2" s="1"/>
  <c r="AH75" i="2" a="1"/>
  <c r="AH75" i="2" s="1"/>
  <c r="AF75" i="2" a="1"/>
  <c r="AF75" i="2" s="1"/>
  <c r="S93" i="2" a="1"/>
  <c r="S93" i="2" s="1"/>
  <c r="Q93" i="2" a="1"/>
  <c r="Q93" i="2" s="1"/>
  <c r="AI72" i="2" a="1"/>
  <c r="AI72" i="2" s="1"/>
  <c r="AK72" i="2" a="1"/>
  <c r="AK72" i="2" s="1"/>
  <c r="J55" i="2" a="1"/>
  <c r="J55" i="2" s="1"/>
  <c r="H55" i="2" a="1"/>
  <c r="H55" i="2" s="1"/>
  <c r="Y66" i="2" a="1"/>
  <c r="Y66" i="2" s="1"/>
  <c r="W66" i="2" a="1"/>
  <c r="W66" i="2" s="1"/>
  <c r="AB49" i="2" a="1"/>
  <c r="AB49" i="2" s="1"/>
  <c r="Z49" i="2" a="1"/>
  <c r="Z49" i="2" s="1"/>
  <c r="J67" i="2" a="1"/>
  <c r="J67" i="2" s="1"/>
  <c r="H67" i="2" a="1"/>
  <c r="H67" i="2" s="1"/>
  <c r="T54" i="2" a="1"/>
  <c r="T54" i="2" s="1"/>
  <c r="V54" i="2" a="1"/>
  <c r="V54" i="2" s="1"/>
  <c r="P96" i="2" a="1"/>
  <c r="P96" i="2" s="1"/>
  <c r="N96" i="2" a="1"/>
  <c r="N96" i="2" s="1"/>
  <c r="AK65" i="2" a="1"/>
  <c r="AK65" i="2" s="1"/>
  <c r="AI65" i="2" a="1"/>
  <c r="AI65" i="2" s="1"/>
  <c r="V85" i="2" a="1"/>
  <c r="V85" i="2" s="1"/>
  <c r="T85" i="2" a="1"/>
  <c r="T85" i="2" s="1"/>
  <c r="AN78" i="2" a="1"/>
  <c r="AN78" i="2" s="1"/>
  <c r="AL78" i="2" a="1"/>
  <c r="AL78" i="2" s="1"/>
  <c r="W50" i="2" a="1"/>
  <c r="W50" i="2" s="1"/>
  <c r="Y50" i="2" a="1"/>
  <c r="Y50" i="2" s="1"/>
  <c r="E46" i="2" a="1"/>
  <c r="E46" i="2" s="1"/>
  <c r="G46" i="2" a="1"/>
  <c r="G46" i="2" s="1"/>
  <c r="AH69" i="2" a="1"/>
  <c r="AH69" i="2" s="1"/>
  <c r="AF69" i="2" a="1"/>
  <c r="AF69" i="2" s="1"/>
  <c r="AE48" i="2" a="1"/>
  <c r="AE48" i="2" s="1"/>
  <c r="AC48" i="2" a="1"/>
  <c r="AC48" i="2" s="1"/>
  <c r="Y78" i="2" a="1"/>
  <c r="Y78" i="2" s="1"/>
  <c r="W78" i="2" a="1"/>
  <c r="W78" i="2" s="1"/>
  <c r="W58" i="2" a="1"/>
  <c r="W58" i="2" s="1"/>
  <c r="Y58" i="2" a="1"/>
  <c r="Y58" i="2" s="1"/>
  <c r="T81" i="2" a="1"/>
  <c r="T81" i="2" s="1"/>
  <c r="V81" i="2" a="1"/>
  <c r="V81" i="2" s="1"/>
  <c r="Z56" i="2" a="1"/>
  <c r="Z56" i="2" s="1"/>
  <c r="AB56" i="2" a="1"/>
  <c r="AB56" i="2" s="1"/>
  <c r="AN75" i="2" a="1"/>
  <c r="AN75" i="2" s="1"/>
  <c r="AL75" i="2" a="1"/>
  <c r="AL75" i="2" s="1"/>
  <c r="AN51" i="2" a="1"/>
  <c r="AN51" i="2" s="1"/>
  <c r="AL51" i="2" a="1"/>
  <c r="AL51" i="2" s="1"/>
  <c r="P59" i="2" a="1"/>
  <c r="P59" i="2" s="1"/>
  <c r="N59" i="2" a="1"/>
  <c r="N59" i="2" s="1"/>
  <c r="E58" i="2" a="1"/>
  <c r="E58" i="2" s="1"/>
  <c r="G58" i="2" a="1"/>
  <c r="G58" i="2" s="1"/>
  <c r="AI78" i="2" a="1"/>
  <c r="AI78" i="2" s="1"/>
  <c r="AK78" i="2" a="1"/>
  <c r="AK78" i="2" s="1"/>
  <c r="W54" i="2" a="1"/>
  <c r="W54" i="2" s="1"/>
  <c r="Y54" i="2" a="1"/>
  <c r="Y54" i="2" s="1"/>
  <c r="AK76" i="2" a="1"/>
  <c r="AK76" i="2" s="1"/>
  <c r="AI76" i="2" a="1"/>
  <c r="AI76" i="2" s="1"/>
  <c r="W77" i="2" a="1"/>
  <c r="W77" i="2" s="1"/>
  <c r="Y77" i="2" a="1"/>
  <c r="Y77" i="2" s="1"/>
  <c r="T45" i="2" a="1"/>
  <c r="T45" i="2" s="1"/>
  <c r="V45" i="2" a="1"/>
  <c r="V45" i="2" s="1"/>
  <c r="H80" i="2" a="1"/>
  <c r="H80" i="2" s="1"/>
  <c r="J80" i="2" a="1"/>
  <c r="J80" i="2" s="1"/>
  <c r="H46" i="2" a="1"/>
  <c r="H46" i="2" s="1"/>
  <c r="J46" i="2" a="1"/>
  <c r="J46" i="2" s="1"/>
  <c r="T65" i="2" a="1"/>
  <c r="T65" i="2" s="1"/>
  <c r="V65" i="2" a="1"/>
  <c r="V65" i="2" s="1"/>
  <c r="Q84" i="2" a="1"/>
  <c r="Q84" i="2" s="1"/>
  <c r="S84" i="2" a="1"/>
  <c r="S84" i="2" s="1"/>
  <c r="AE62" i="2" a="1"/>
  <c r="AE62" i="2" s="1"/>
  <c r="AC62" i="2" a="1"/>
  <c r="AC62" i="2" s="1"/>
  <c r="S91" i="2" a="1"/>
  <c r="S91" i="2" s="1"/>
  <c r="Q91" i="2" a="1"/>
  <c r="Q91" i="2" s="1"/>
  <c r="E92" i="2" a="1"/>
  <c r="E92" i="2" s="1"/>
  <c r="G92" i="2" a="1"/>
  <c r="G92" i="2" s="1"/>
  <c r="W47" i="2" a="1"/>
  <c r="W47" i="2" s="1"/>
  <c r="Y47" i="2" a="1"/>
  <c r="Y47" i="2" s="1"/>
  <c r="AN48" i="2" a="1"/>
  <c r="AN48" i="2" s="1"/>
  <c r="AL48" i="2" a="1"/>
  <c r="AL48" i="2" s="1"/>
  <c r="H53" i="2" a="1"/>
  <c r="H53" i="2" s="1"/>
  <c r="J53" i="2" a="1"/>
  <c r="J53" i="2" s="1"/>
  <c r="Q79" i="2" a="1"/>
  <c r="Q79" i="2" s="1"/>
  <c r="S79" i="2" a="1"/>
  <c r="S79" i="2" s="1"/>
  <c r="P56" i="2" a="1"/>
  <c r="P56" i="2" s="1"/>
  <c r="N56" i="2" a="1"/>
  <c r="N56" i="2" s="1"/>
  <c r="G56" i="2" a="1"/>
  <c r="G56" i="2" s="1"/>
  <c r="E56" i="2" a="1"/>
  <c r="E56" i="2" s="1"/>
  <c r="Q86" i="2" a="1"/>
  <c r="Q86" i="2" s="1"/>
  <c r="S86" i="2" a="1"/>
  <c r="S86" i="2" s="1"/>
  <c r="AC67" i="2" a="1"/>
  <c r="AC67" i="2" s="1"/>
  <c r="AE67" i="2" a="1"/>
  <c r="AE67" i="2" s="1"/>
  <c r="AN87" i="2" a="1"/>
  <c r="AN87" i="2" s="1"/>
  <c r="AL87" i="2" a="1"/>
  <c r="AL87" i="2" s="1"/>
  <c r="P75" i="2" a="1"/>
  <c r="P75" i="2" s="1"/>
  <c r="N75" i="2" a="1"/>
  <c r="N75" i="2" s="1"/>
  <c r="AF70" i="2" a="1"/>
  <c r="AF70" i="2" s="1"/>
  <c r="AH70" i="2" a="1"/>
  <c r="AH70" i="2" s="1"/>
  <c r="AK71" i="2" a="1"/>
  <c r="AK71" i="2" s="1"/>
  <c r="AI71" i="2" a="1"/>
  <c r="AI71" i="2" s="1"/>
  <c r="AF62" i="2" a="1"/>
  <c r="AF62" i="2" s="1"/>
  <c r="AH62" i="2" a="1"/>
  <c r="AH62" i="2" s="1"/>
  <c r="S92" i="2" a="1"/>
  <c r="S92" i="2" s="1"/>
  <c r="Q92" i="2" a="1"/>
  <c r="Q92" i="2" s="1"/>
  <c r="T56" i="2" a="1"/>
  <c r="T56" i="2" s="1"/>
  <c r="V56" i="2" a="1"/>
  <c r="V56" i="2" s="1"/>
  <c r="P53" i="2" a="1"/>
  <c r="P53" i="2" s="1"/>
  <c r="N53" i="2" a="1"/>
  <c r="N53" i="2" s="1"/>
  <c r="K93" i="2" a="1"/>
  <c r="K93" i="2" s="1"/>
  <c r="M93" i="2" a="1"/>
  <c r="M93" i="2" s="1"/>
  <c r="E73" i="2" a="1"/>
  <c r="E73" i="2" s="1"/>
  <c r="G73" i="2" a="1"/>
  <c r="G73" i="2" s="1"/>
  <c r="E70" i="2" a="1"/>
  <c r="E70" i="2" s="1"/>
  <c r="G70" i="2" a="1"/>
  <c r="G70" i="2" s="1"/>
  <c r="S81" i="2" a="1"/>
  <c r="S81" i="2" s="1"/>
  <c r="Q81" i="2" a="1"/>
  <c r="Q81" i="2" s="1"/>
  <c r="AI87" i="2" a="1"/>
  <c r="AI87" i="2" s="1"/>
  <c r="AK87" i="2" a="1"/>
  <c r="AK87" i="2" s="1"/>
  <c r="AI62" i="2" a="1"/>
  <c r="AI62" i="2" s="1"/>
  <c r="AK62" i="2" a="1"/>
  <c r="AK62" i="2" s="1"/>
  <c r="N52" i="2" a="1"/>
  <c r="N52" i="2" s="1"/>
  <c r="P52" i="2" a="1"/>
  <c r="P52" i="2" s="1"/>
  <c r="AC66" i="2" a="1"/>
  <c r="AC66" i="2" s="1"/>
  <c r="AE66" i="2" a="1"/>
  <c r="AE66" i="2" s="1"/>
  <c r="AH79" i="2" a="1"/>
  <c r="AH79" i="2" s="1"/>
  <c r="AF79" i="2" a="1"/>
  <c r="AF79" i="2" s="1"/>
  <c r="J85" i="2" a="1"/>
  <c r="J85" i="2" s="1"/>
  <c r="H85" i="2" a="1"/>
  <c r="H85" i="2" s="1"/>
  <c r="AC79" i="2" a="1"/>
  <c r="AC79" i="2" s="1"/>
  <c r="AE79" i="2" a="1"/>
  <c r="AE79" i="2" s="1"/>
  <c r="S58" i="2" a="1"/>
  <c r="S58" i="2" s="1"/>
  <c r="Q58" i="2" a="1"/>
  <c r="Q58" i="2" s="1"/>
  <c r="AC49" i="2" a="1"/>
  <c r="AC49" i="2" s="1"/>
  <c r="AE49" i="2" a="1"/>
  <c r="AE49" i="2" s="1"/>
  <c r="H51" i="2" a="1"/>
  <c r="H51" i="2" s="1"/>
  <c r="J51" i="2" a="1"/>
  <c r="J51" i="2" s="1"/>
  <c r="E63" i="2" a="1"/>
  <c r="E63" i="2" s="1"/>
  <c r="G63" i="2" a="1"/>
  <c r="G63" i="2" s="1"/>
  <c r="AE84" i="2" a="1"/>
  <c r="AE84" i="2" s="1"/>
  <c r="AC84" i="2" a="1"/>
  <c r="AC84" i="2" s="1"/>
  <c r="N64" i="2" a="1"/>
  <c r="N64" i="2" s="1"/>
  <c r="P64" i="2" a="1"/>
  <c r="P64" i="2" s="1"/>
  <c r="G86" i="2" a="1"/>
  <c r="G86" i="2" s="1"/>
  <c r="E86" i="2" a="1"/>
  <c r="E86" i="2" s="1"/>
  <c r="AF81" i="2" a="1"/>
  <c r="AF81" i="2" s="1"/>
  <c r="AH81" i="2" a="1"/>
  <c r="AH81" i="2" s="1"/>
  <c r="N79" i="2" a="1"/>
  <c r="N79" i="2" s="1"/>
  <c r="P79" i="2" a="1"/>
  <c r="P79" i="2" s="1"/>
  <c r="Y81" i="2" a="1"/>
  <c r="Y81" i="2" s="1"/>
  <c r="W81" i="2" a="1"/>
  <c r="W81" i="2" s="1"/>
  <c r="AH66" i="2" a="1"/>
  <c r="AH66" i="2" s="1"/>
  <c r="AF66" i="2" a="1"/>
  <c r="AF66" i="2" s="1"/>
  <c r="AE70" i="2" a="1"/>
  <c r="AE70" i="2" s="1"/>
  <c r="AC70" i="2" a="1"/>
  <c r="AC70" i="2" s="1"/>
  <c r="AE69" i="2" a="1"/>
  <c r="AE69" i="2" s="1"/>
  <c r="AC69" i="2" a="1"/>
  <c r="AC69" i="2" s="1"/>
  <c r="E55" i="2" a="1"/>
  <c r="E55" i="2" s="1"/>
  <c r="G55" i="2" a="1"/>
  <c r="G55" i="2" s="1"/>
  <c r="N45" i="2" a="1"/>
  <c r="N45" i="2" s="1"/>
  <c r="P45" i="2" a="1"/>
  <c r="P45" i="2" s="1"/>
  <c r="Q95" i="2" a="1"/>
  <c r="Q95" i="2" s="1"/>
  <c r="S95" i="2" a="1"/>
  <c r="S95" i="2" s="1"/>
  <c r="AN88" i="2" a="1"/>
  <c r="AN88" i="2" s="1"/>
  <c r="AL88" i="2" a="1"/>
  <c r="AL88" i="2" s="1"/>
  <c r="P81" i="2" a="1"/>
  <c r="P81" i="2" s="1"/>
  <c r="N81" i="2" a="1"/>
  <c r="N81" i="2" s="1"/>
  <c r="Z53" i="2" a="1"/>
  <c r="Z53" i="2" s="1"/>
  <c r="AB53" i="2" a="1"/>
  <c r="AB53" i="2" s="1"/>
  <c r="T72" i="2" a="1"/>
  <c r="T72" i="2" s="1"/>
  <c r="V72" i="2" a="1"/>
  <c r="V72" i="2" s="1"/>
  <c r="W71" i="2" a="1"/>
  <c r="W71" i="2" s="1"/>
  <c r="Y71" i="2" a="1"/>
  <c r="Y71" i="2" s="1"/>
  <c r="M64" i="2" a="1"/>
  <c r="M64" i="2" s="1"/>
  <c r="K64" i="2" a="1"/>
  <c r="K64" i="2" s="1"/>
  <c r="H78" i="2" a="1"/>
  <c r="H78" i="2" s="1"/>
  <c r="J78" i="2" a="1"/>
  <c r="J78" i="2" s="1"/>
  <c r="J56" i="2" a="1"/>
  <c r="J56" i="2" s="1"/>
  <c r="H56" i="2" a="1"/>
  <c r="H56" i="2" s="1"/>
  <c r="AE77" i="2" a="1"/>
  <c r="AE77" i="2" s="1"/>
  <c r="AC77" i="2" a="1"/>
  <c r="AC77" i="2" s="1"/>
  <c r="Z95" i="2" a="1"/>
  <c r="Z95" i="2" s="1"/>
  <c r="AB95" i="2" a="1"/>
  <c r="AB95" i="2" s="1"/>
  <c r="AN58" i="2" a="1"/>
  <c r="AN58" i="2" s="1"/>
  <c r="AL58" i="2" a="1"/>
  <c r="AL58" i="2" s="1"/>
  <c r="AC87" i="2" a="1"/>
  <c r="AC87" i="2" s="1"/>
  <c r="AE87" i="2" a="1"/>
  <c r="AE87" i="2" s="1"/>
  <c r="AB68" i="2" a="1"/>
  <c r="AB68" i="2" s="1"/>
  <c r="Z68" i="2" a="1"/>
  <c r="Z68" i="2" s="1"/>
  <c r="W73" i="2" a="1"/>
  <c r="W73" i="2" s="1"/>
  <c r="Y73" i="2" a="1"/>
  <c r="Y73" i="2" s="1"/>
  <c r="Q62" i="2" a="1"/>
  <c r="Q62" i="2" s="1"/>
  <c r="S62" i="2" a="1"/>
  <c r="S62" i="2" s="1"/>
  <c r="K83" i="2" a="1"/>
  <c r="K83" i="2" s="1"/>
  <c r="M83" i="2" a="1"/>
  <c r="M83" i="2" s="1"/>
  <c r="AL76" i="2" a="1"/>
  <c r="AL76" i="2" s="1"/>
  <c r="AN76" i="2" a="1"/>
  <c r="AN76" i="2" s="1"/>
  <c r="AN50" i="2" a="1"/>
  <c r="AN50" i="2" s="1"/>
  <c r="AL50" i="2" a="1"/>
  <c r="AL50" i="2" s="1"/>
  <c r="AB71" i="2" a="1"/>
  <c r="AB71" i="2" s="1"/>
  <c r="Z71" i="2" a="1"/>
  <c r="Z71" i="2" s="1"/>
  <c r="AH67" i="2" a="1"/>
  <c r="AH67" i="2" s="1"/>
  <c r="AF67" i="2" a="1"/>
  <c r="AF67" i="2" s="1"/>
  <c r="AL79" i="2" a="1"/>
  <c r="AL79" i="2" s="1"/>
  <c r="AN79" i="2" a="1"/>
  <c r="AN79" i="2" s="1"/>
  <c r="AB85" i="2" a="1"/>
  <c r="AB85" i="2" s="1"/>
  <c r="Z85" i="2" a="1"/>
  <c r="Z85" i="2" s="1"/>
  <c r="S70" i="2" a="1"/>
  <c r="S70" i="2" s="1"/>
  <c r="Q70" i="2" a="1"/>
  <c r="Q70" i="2" s="1"/>
  <c r="W46" i="2" a="1"/>
  <c r="W46" i="2" s="1"/>
  <c r="Y46" i="2" a="1"/>
  <c r="Y46" i="2" s="1"/>
  <c r="AF49" i="2" a="1"/>
  <c r="AF49" i="2" s="1"/>
  <c r="AH49" i="2" a="1"/>
  <c r="AH49" i="2" s="1"/>
  <c r="H76" i="2" a="1"/>
  <c r="H76" i="2" s="1"/>
  <c r="J76" i="2" a="1"/>
  <c r="J76" i="2" s="1"/>
  <c r="AI46" i="2" a="1"/>
  <c r="AI46" i="2" s="1"/>
  <c r="AK46" i="2" a="1"/>
  <c r="AK46" i="2" s="1"/>
  <c r="AC76" i="2" a="1"/>
  <c r="AC76" i="2" s="1"/>
  <c r="AE76" i="2" a="1"/>
  <c r="AE76" i="2" s="1"/>
  <c r="J59" i="2" a="1"/>
  <c r="J59" i="2" s="1"/>
  <c r="H59" i="2" a="1"/>
  <c r="H59" i="2" s="1"/>
  <c r="Y56" i="2" a="1"/>
  <c r="Y56" i="2" s="1"/>
  <c r="W56" i="2" a="1"/>
  <c r="W56" i="2" s="1"/>
  <c r="T70" i="2" a="1"/>
  <c r="T70" i="2" s="1"/>
  <c r="V70" i="2" a="1"/>
  <c r="V70" i="2" s="1"/>
  <c r="AN46" i="2" a="1"/>
  <c r="AN46" i="2" s="1"/>
  <c r="AL46" i="2" a="1"/>
  <c r="AL46" i="2" s="1"/>
  <c r="AK81" i="2" a="1"/>
  <c r="AK81" i="2" s="1"/>
  <c r="AI81" i="2" a="1"/>
  <c r="AI81" i="2" s="1"/>
  <c r="Q49" i="2" a="1"/>
  <c r="Q49" i="2" s="1"/>
  <c r="S49" i="2" a="1"/>
  <c r="S49" i="2" s="1"/>
  <c r="AC45" i="2" a="1"/>
  <c r="AC45" i="2" s="1"/>
  <c r="AE45" i="2" a="1"/>
  <c r="AE45" i="2" s="1"/>
  <c r="T86" i="2" a="1"/>
  <c r="T86" i="2" s="1"/>
  <c r="V86" i="2" a="1"/>
  <c r="V86" i="2" s="1"/>
  <c r="N70" i="2" a="1"/>
  <c r="N70" i="2" s="1"/>
  <c r="P70" i="2" a="1"/>
  <c r="P70" i="2" s="1"/>
  <c r="K47" i="2" a="1"/>
  <c r="K47" i="2" s="1"/>
  <c r="M47" i="2" a="1"/>
  <c r="M47" i="2" s="1"/>
  <c r="K45" i="2" a="1"/>
  <c r="K45" i="2" s="1"/>
  <c r="M45" i="2" a="1"/>
  <c r="M45" i="2" s="1"/>
  <c r="W62" i="2" a="1"/>
  <c r="W62" i="2" s="1"/>
  <c r="Y62" i="2" a="1"/>
  <c r="Y62" i="2" s="1"/>
  <c r="W84" i="2" a="1"/>
  <c r="W84" i="2" s="1"/>
  <c r="Y84" i="2" a="1"/>
  <c r="Y84" i="2" s="1"/>
  <c r="AB61" i="2" a="1"/>
  <c r="AB61" i="2" s="1"/>
  <c r="Z61" i="2" a="1"/>
  <c r="Z61" i="2" s="1"/>
  <c r="J72" i="2" a="1"/>
  <c r="J72" i="2" s="1"/>
  <c r="H72" i="2" a="1"/>
  <c r="H72" i="2" s="1"/>
  <c r="E51" i="2" a="1"/>
  <c r="E51" i="2" s="1"/>
  <c r="G51" i="2" a="1"/>
  <c r="G51" i="2" s="1"/>
  <c r="AB55" i="2" a="1"/>
  <c r="AB55" i="2" s="1"/>
  <c r="Z55" i="2" a="1"/>
  <c r="Z55" i="2" s="1"/>
  <c r="Q88" i="2" a="1"/>
  <c r="Q88" i="2" s="1"/>
  <c r="S88" i="2" a="1"/>
  <c r="S88" i="2" s="1"/>
  <c r="S67" i="2" a="1"/>
  <c r="S67" i="2" s="1"/>
  <c r="Q67" i="2" a="1"/>
  <c r="Q67" i="2" s="1"/>
  <c r="AC59" i="2" a="1"/>
  <c r="AC59" i="2" s="1"/>
  <c r="AE59" i="2" a="1"/>
  <c r="AE59" i="2" s="1"/>
  <c r="AH53" i="2" a="1"/>
  <c r="AH53" i="2" s="1"/>
  <c r="AF53" i="2" a="1"/>
  <c r="AF53" i="2" s="1"/>
  <c r="AB74" i="2" a="1"/>
  <c r="AB74" i="2" s="1"/>
  <c r="Z74" i="2" a="1"/>
  <c r="Z74" i="2" s="1"/>
  <c r="W90" i="2" a="1"/>
  <c r="W90" i="2" s="1"/>
  <c r="Y90" i="2" a="1"/>
  <c r="Y90" i="2" s="1"/>
  <c r="Z87" i="2" a="1"/>
  <c r="Z87" i="2" s="1"/>
  <c r="AB87" i="2" a="1"/>
  <c r="AB87" i="2" s="1"/>
  <c r="E90" i="2" a="1"/>
  <c r="E90" i="2" s="1"/>
  <c r="G90" i="2" a="1"/>
  <c r="G90" i="2" s="1"/>
  <c r="K68" i="2" a="1"/>
  <c r="K68" i="2" s="1"/>
  <c r="M68" i="2" a="1"/>
  <c r="M68" i="2" s="1"/>
  <c r="P55" i="2" a="1"/>
  <c r="P55" i="2" s="1"/>
  <c r="N55" i="2" a="1"/>
  <c r="N55" i="2" s="1"/>
  <c r="E93" i="2" a="1"/>
  <c r="E93" i="2" s="1"/>
  <c r="G93" i="2" a="1"/>
  <c r="G93" i="2" s="1"/>
  <c r="M70" i="2" a="1"/>
  <c r="M70" i="2" s="1"/>
  <c r="K70" i="2" a="1"/>
  <c r="K70" i="2" s="1"/>
  <c r="AI73" i="2" a="1"/>
  <c r="AI73" i="2" s="1"/>
  <c r="AK73" i="2" a="1"/>
  <c r="AK73" i="2" s="1"/>
  <c r="S61" i="2" a="1"/>
  <c r="S61" i="2" s="1"/>
  <c r="Q61" i="2" a="1"/>
  <c r="Q61" i="2" s="1"/>
  <c r="H57" i="2" a="1"/>
  <c r="H57" i="2" s="1"/>
  <c r="J57" i="2" a="1"/>
  <c r="J57" i="2" s="1"/>
  <c r="AG377" i="2"/>
  <c r="AG384" i="2"/>
  <c r="AG379" i="2"/>
  <c r="AG374" i="2"/>
  <c r="AG381" i="2"/>
  <c r="AG385" i="2"/>
  <c r="AG376" i="2"/>
  <c r="AG378" i="2"/>
  <c r="AG382" i="2"/>
  <c r="AG380" i="2"/>
  <c r="AG375" i="2"/>
  <c r="AG383" i="2"/>
  <c r="U155" i="2" a="1"/>
  <c r="U155" i="2" s="1"/>
  <c r="AJ266" i="2" a="1"/>
  <c r="AJ266" i="2" s="1"/>
  <c r="X143" i="2" a="1"/>
  <c r="X143" i="2" s="1"/>
  <c r="AD164" i="2" a="1"/>
  <c r="AD164" i="2" s="1"/>
  <c r="I210" i="2" a="1"/>
  <c r="I210" i="2" s="1"/>
  <c r="X217" i="2" a="1"/>
  <c r="X217" i="2" s="1"/>
  <c r="I104" i="2" a="1"/>
  <c r="I104" i="2" s="1"/>
  <c r="U189" i="2" a="1"/>
  <c r="U189" i="2" s="1"/>
  <c r="U169" i="2" a="1"/>
  <c r="U169" i="2" s="1"/>
  <c r="AM227" i="2" a="1"/>
  <c r="AM227" i="2" s="1"/>
  <c r="AJ108" i="2" a="1"/>
  <c r="AJ108" i="2" s="1"/>
  <c r="X159" i="2" a="1"/>
  <c r="X159" i="2" s="1"/>
  <c r="AJ253" i="2" a="1"/>
  <c r="AJ253" i="2" s="1"/>
  <c r="O157" i="2" a="1"/>
  <c r="O157" i="2" s="1"/>
  <c r="AM185" i="2" a="1"/>
  <c r="AM185" i="2" s="1"/>
  <c r="U99" i="2" a="1"/>
  <c r="U99" i="2" s="1"/>
  <c r="F266" i="2" a="1"/>
  <c r="F266" i="2" s="1"/>
  <c r="AM103" i="2" a="1"/>
  <c r="AM103" i="2" s="1"/>
  <c r="O153" i="2" a="1"/>
  <c r="O153" i="2" s="1"/>
  <c r="AD121" i="2" a="1"/>
  <c r="AD121" i="2" s="1"/>
  <c r="R240" i="2" a="1"/>
  <c r="R240" i="2" s="1"/>
  <c r="AJ173" i="2" a="1"/>
  <c r="AJ173" i="2" s="1"/>
  <c r="F132" i="2" a="1"/>
  <c r="F132" i="2" s="1"/>
  <c r="AJ121" i="2" a="1"/>
  <c r="AJ121" i="2" s="1"/>
  <c r="L251" i="2" a="1"/>
  <c r="L251" i="2" s="1"/>
  <c r="U142" i="2" a="1"/>
  <c r="U142" i="2" s="1"/>
  <c r="X249" i="2" a="1"/>
  <c r="X249" i="2" s="1"/>
  <c r="F193" i="2" a="1"/>
  <c r="F193" i="2" s="1"/>
  <c r="AJ187" i="2" a="1"/>
  <c r="AJ187" i="2" s="1"/>
  <c r="U243" i="2" a="1"/>
  <c r="U243" i="2" s="1"/>
  <c r="AA273" i="2" a="1"/>
  <c r="AA273" i="2" s="1"/>
  <c r="L134" i="2" a="1"/>
  <c r="L134" i="2" s="1"/>
  <c r="F106" i="2" a="1"/>
  <c r="F106" i="2" s="1"/>
  <c r="U270" i="2" a="1"/>
  <c r="U270" i="2" s="1"/>
  <c r="AA259" i="2" a="1"/>
  <c r="AA259" i="2" s="1"/>
  <c r="AJ159" i="2" a="1"/>
  <c r="AJ159" i="2" s="1"/>
  <c r="AM249" i="2" a="1"/>
  <c r="AM249" i="2" s="1"/>
  <c r="I244" i="2" a="1"/>
  <c r="I244" i="2" s="1"/>
  <c r="L193" i="2" a="1"/>
  <c r="L193" i="2" s="1"/>
  <c r="I121" i="2" a="1"/>
  <c r="I121" i="2" s="1"/>
  <c r="AJ174" i="2" a="1"/>
  <c r="AJ174" i="2" s="1"/>
  <c r="X156" i="2" a="1"/>
  <c r="X156" i="2" s="1"/>
  <c r="L186" i="2" a="1"/>
  <c r="L186" i="2" s="1"/>
  <c r="I120" i="2" a="1"/>
  <c r="I120" i="2" s="1"/>
  <c r="O115" i="2" a="1"/>
  <c r="O115" i="2" s="1"/>
  <c r="F135" i="2" a="1"/>
  <c r="F135" i="2" s="1"/>
  <c r="U197" i="2" a="1"/>
  <c r="U197" i="2" s="1"/>
  <c r="I190" i="2" a="1"/>
  <c r="I190" i="2" s="1"/>
  <c r="AA218" i="2" a="1"/>
  <c r="AA218" i="2" s="1"/>
  <c r="X141" i="2" a="1"/>
  <c r="X141" i="2" s="1"/>
  <c r="X235" i="2" a="1"/>
  <c r="X235" i="2" s="1"/>
  <c r="L210" i="2" a="1"/>
  <c r="L210" i="2" s="1"/>
  <c r="AM224" i="2" a="1"/>
  <c r="AM224" i="2" s="1"/>
  <c r="F138" i="2" a="1"/>
  <c r="F138" i="2" s="1"/>
  <c r="F222" i="2" a="1"/>
  <c r="F222" i="2" s="1"/>
  <c r="L147" i="2" a="1"/>
  <c r="L147" i="2" s="1"/>
  <c r="AG107" i="2" a="1"/>
  <c r="AG107" i="2" s="1"/>
  <c r="F206" i="2" a="1"/>
  <c r="F206" i="2" s="1"/>
  <c r="O223" i="2" a="1"/>
  <c r="O223" i="2" s="1"/>
  <c r="F181" i="2" a="1"/>
  <c r="F181" i="2" s="1"/>
  <c r="AD194" i="2" a="1"/>
  <c r="AD194" i="2" s="1"/>
  <c r="X164" i="2" a="1"/>
  <c r="X164" i="2" s="1"/>
  <c r="I138" i="2" a="1"/>
  <c r="I138" i="2" s="1"/>
  <c r="AM247" i="2" a="1"/>
  <c r="AM247" i="2" s="1"/>
  <c r="U138" i="2" a="1"/>
  <c r="U138" i="2" s="1"/>
  <c r="R203" i="2" a="1"/>
  <c r="R203" i="2" s="1"/>
  <c r="AA193" i="2" a="1"/>
  <c r="AA193" i="2" s="1"/>
  <c r="AJ213" i="2" a="1"/>
  <c r="AJ213" i="2" s="1"/>
  <c r="X231" i="2" a="1"/>
  <c r="X231" i="2" s="1"/>
  <c r="AG188" i="2" a="1"/>
  <c r="AG188" i="2" s="1"/>
  <c r="X260" i="2" a="1"/>
  <c r="X260" i="2" s="1"/>
  <c r="R148" i="2" a="1"/>
  <c r="R148" i="2" s="1"/>
  <c r="L103" i="2" a="1"/>
  <c r="L103" i="2" s="1"/>
  <c r="O255" i="2" a="1"/>
  <c r="O255" i="2" s="1"/>
  <c r="AM184" i="2" a="1"/>
  <c r="AM184" i="2" s="1"/>
  <c r="X252" i="2" a="1"/>
  <c r="X252" i="2" s="1"/>
  <c r="AD249" i="2" a="1"/>
  <c r="AD249" i="2" s="1"/>
  <c r="F148" i="2" a="1"/>
  <c r="F148" i="2" s="1"/>
  <c r="AM150" i="2" a="1"/>
  <c r="AM150" i="2" s="1"/>
  <c r="O151" i="2" a="1"/>
  <c r="O151" i="2" s="1"/>
  <c r="AG160" i="2" a="1"/>
  <c r="AG160" i="2" s="1"/>
  <c r="AD166" i="2" a="1"/>
  <c r="AD166" i="2" s="1"/>
  <c r="R184" i="2" a="1"/>
  <c r="R184" i="2" s="1"/>
  <c r="F257" i="2" a="1"/>
  <c r="F257" i="2" s="1"/>
  <c r="AA109" i="2" a="1"/>
  <c r="AA109" i="2" s="1"/>
  <c r="L145" i="2" a="1"/>
  <c r="L145" i="2" s="1"/>
  <c r="I257" i="2" a="1"/>
  <c r="I257" i="2" s="1"/>
  <c r="AG169" i="2" a="1"/>
  <c r="AG169" i="2" s="1"/>
  <c r="AM239" i="2" a="1"/>
  <c r="AM239" i="2" s="1"/>
  <c r="F107" i="2" a="1"/>
  <c r="F107" i="2" s="1"/>
  <c r="O259" i="2" a="1"/>
  <c r="O259" i="2" s="1"/>
  <c r="AD226" i="2" a="1"/>
  <c r="AD226" i="2" s="1"/>
  <c r="AG105" i="2" a="1"/>
  <c r="AG105" i="2" s="1"/>
  <c r="L143" i="2" a="1"/>
  <c r="L143" i="2" s="1"/>
  <c r="AD100" i="2" a="1"/>
  <c r="AD100" i="2" s="1"/>
  <c r="F179" i="2" a="1"/>
  <c r="F179" i="2" s="1"/>
  <c r="X113" i="2" a="1"/>
  <c r="X113" i="2" s="1"/>
  <c r="I114" i="2" a="1"/>
  <c r="I114" i="2" s="1"/>
  <c r="X220" i="2" a="1"/>
  <c r="X220" i="2" s="1"/>
  <c r="AD195" i="2" a="1"/>
  <c r="AD195" i="2" s="1"/>
  <c r="F141" i="2" a="1"/>
  <c r="F141" i="2" s="1"/>
  <c r="AJ126" i="2" a="1"/>
  <c r="AJ126" i="2" s="1"/>
  <c r="O146" i="2" a="1"/>
  <c r="O146" i="2" s="1"/>
  <c r="R269" i="2" a="1"/>
  <c r="R269" i="2" s="1"/>
  <c r="L156" i="2" a="1"/>
  <c r="L156" i="2" s="1"/>
  <c r="R260" i="2" a="1"/>
  <c r="R260" i="2" s="1"/>
  <c r="R160" i="2" a="1"/>
  <c r="R160" i="2" s="1"/>
  <c r="I248" i="2" a="1"/>
  <c r="I248" i="2" s="1"/>
  <c r="AD150" i="2" a="1"/>
  <c r="AD150" i="2" s="1"/>
  <c r="U199" i="2" a="1"/>
  <c r="U199" i="2" s="1"/>
  <c r="I229" i="2" a="1"/>
  <c r="I229" i="2" s="1"/>
  <c r="F248" i="2" a="1"/>
  <c r="F248" i="2" s="1"/>
  <c r="AG91" i="2" a="1"/>
  <c r="AG91" i="2" s="1"/>
  <c r="AD160" i="2" a="1"/>
  <c r="AD160" i="2" s="1"/>
  <c r="X237" i="2" a="1"/>
  <c r="X237" i="2" s="1"/>
  <c r="I246" i="2" a="1"/>
  <c r="I246" i="2" s="1"/>
  <c r="R219" i="2" a="1"/>
  <c r="R219" i="2" s="1"/>
  <c r="AA102" i="2" a="1"/>
  <c r="AA102" i="2" s="1"/>
  <c r="AG173" i="2" a="1"/>
  <c r="AG173" i="2" s="1"/>
  <c r="X179" i="2" a="1"/>
  <c r="X179" i="2" s="1"/>
  <c r="I170" i="2" a="1"/>
  <c r="I170" i="2" s="1"/>
  <c r="AD250" i="2" a="1"/>
  <c r="AD250" i="2" s="1"/>
  <c r="AM140" i="2" a="1"/>
  <c r="AM140" i="2" s="1"/>
  <c r="I105" i="2" a="1"/>
  <c r="I105" i="2" s="1"/>
  <c r="AJ160" i="2" a="1"/>
  <c r="AJ160" i="2" s="1"/>
  <c r="F225" i="2" a="1"/>
  <c r="F225" i="2" s="1"/>
  <c r="AA205" i="2" a="1"/>
  <c r="AA205" i="2" s="1"/>
  <c r="U105" i="2" a="1"/>
  <c r="U105" i="2" s="1"/>
  <c r="AG171" i="2" a="1"/>
  <c r="AG171" i="2" s="1"/>
  <c r="AJ248" i="2" a="1"/>
  <c r="AJ248" i="2" s="1"/>
  <c r="AD162" i="2" a="1"/>
  <c r="AD162" i="2" s="1"/>
  <c r="X266" i="2" a="1"/>
  <c r="X266" i="2" s="1"/>
  <c r="R195" i="2" a="1"/>
  <c r="R195" i="2" s="1"/>
  <c r="AM153" i="2" a="1"/>
  <c r="AM153" i="2" s="1"/>
  <c r="I127" i="2" a="1"/>
  <c r="I127" i="2" s="1"/>
  <c r="L165" i="2" a="1"/>
  <c r="L165" i="2" s="1"/>
  <c r="AM127" i="2" a="1"/>
  <c r="AM127" i="2" s="1"/>
  <c r="X208" i="2" a="1"/>
  <c r="X208" i="2" s="1"/>
  <c r="U215" i="2" a="1"/>
  <c r="U215" i="2" s="1"/>
  <c r="U272" i="2" a="1"/>
  <c r="U272" i="2" s="1"/>
  <c r="O236" i="2" a="1"/>
  <c r="O236" i="2" s="1"/>
  <c r="U205" i="2" a="1"/>
  <c r="U205" i="2" s="1"/>
  <c r="AD186" i="2" a="1"/>
  <c r="AD186" i="2" s="1"/>
  <c r="F233" i="2" a="1"/>
  <c r="F233" i="2" s="1"/>
  <c r="X107" i="2" a="1"/>
  <c r="X107" i="2" s="1"/>
  <c r="O179" i="2" a="1"/>
  <c r="O179" i="2" s="1"/>
  <c r="R117" i="2" a="1"/>
  <c r="R117" i="2" s="1"/>
  <c r="I93" i="2" a="1"/>
  <c r="I93" i="2" s="1"/>
  <c r="O170" i="2" a="1"/>
  <c r="O170" i="2" s="1"/>
  <c r="F99" i="2" a="1"/>
  <c r="F99" i="2" s="1"/>
  <c r="AD206" i="2" a="1"/>
  <c r="AD206" i="2" s="1"/>
  <c r="AM151" i="2" a="1"/>
  <c r="AM151" i="2" s="1"/>
  <c r="AD212" i="2" a="1"/>
  <c r="AD212" i="2" s="1"/>
  <c r="L179" i="2" a="1"/>
  <c r="L179" i="2" s="1"/>
  <c r="AM219" i="2" a="1"/>
  <c r="AM219" i="2" s="1"/>
  <c r="F256" i="2" a="1"/>
  <c r="F256" i="2" s="1"/>
  <c r="AD218" i="2" a="1"/>
  <c r="AD218" i="2" s="1"/>
  <c r="R124" i="2" a="1"/>
  <c r="R124" i="2" s="1"/>
  <c r="R251" i="2" a="1"/>
  <c r="R251" i="2" s="1"/>
  <c r="L122" i="2" a="1"/>
  <c r="L122" i="2" s="1"/>
  <c r="I97" i="2" a="1"/>
  <c r="I97" i="2" s="1"/>
  <c r="AJ172" i="2" a="1"/>
  <c r="AJ172" i="2" s="1"/>
  <c r="F235" i="2" a="1"/>
  <c r="F235" i="2" s="1"/>
  <c r="AD247" i="2" a="1"/>
  <c r="AD247" i="2" s="1"/>
  <c r="X118" i="2" a="1"/>
  <c r="X118" i="2" s="1"/>
  <c r="X106" i="2" a="1"/>
  <c r="X106" i="2" s="1"/>
  <c r="X257" i="2" a="1"/>
  <c r="X257" i="2" s="1"/>
  <c r="AJ249" i="2" a="1"/>
  <c r="AJ249" i="2" s="1"/>
  <c r="AG129" i="2" a="1"/>
  <c r="AG129" i="2" s="1"/>
  <c r="U131" i="2" a="1"/>
  <c r="U131" i="2" s="1"/>
  <c r="U222" i="2" a="1"/>
  <c r="U222" i="2" s="1"/>
  <c r="U158" i="2" a="1"/>
  <c r="U158" i="2" s="1"/>
  <c r="AJ175" i="2" a="1"/>
  <c r="AJ175" i="2" s="1"/>
  <c r="O171" i="2" a="1"/>
  <c r="O171" i="2" s="1"/>
  <c r="AA244" i="2" a="1"/>
  <c r="AA244" i="2" s="1"/>
  <c r="O257" i="2" a="1"/>
  <c r="O257" i="2" s="1"/>
  <c r="L102" i="2" a="1"/>
  <c r="L102" i="2" s="1"/>
  <c r="AG184" i="2" a="1"/>
  <c r="AG184" i="2" s="1"/>
  <c r="R252" i="2" a="1"/>
  <c r="R252" i="2" s="1"/>
  <c r="F207" i="2" a="1"/>
  <c r="F207" i="2" s="1"/>
  <c r="AA113" i="2" a="1"/>
  <c r="AA113" i="2" s="1"/>
  <c r="L114" i="2" a="1"/>
  <c r="L114" i="2" s="1"/>
  <c r="F267" i="2" a="1"/>
  <c r="F267" i="2" s="1"/>
  <c r="X184" i="2" a="1"/>
  <c r="X184" i="2" s="1"/>
  <c r="L95" i="2" a="1"/>
  <c r="L95" i="2" s="1"/>
  <c r="AA234" i="2" a="1"/>
  <c r="AA234" i="2" s="1"/>
  <c r="O253" i="2" a="1"/>
  <c r="O253" i="2" s="1"/>
  <c r="AJ236" i="2" a="1"/>
  <c r="AJ236" i="2" s="1"/>
  <c r="O130" i="2" a="1"/>
  <c r="O130" i="2" s="1"/>
  <c r="R177" i="2" a="1"/>
  <c r="R177" i="2" s="1"/>
  <c r="AM223" i="2" a="1"/>
  <c r="AM223" i="2" s="1"/>
  <c r="R267" i="2" a="1"/>
  <c r="R267" i="2" s="1"/>
  <c r="AG132" i="2" a="1"/>
  <c r="AG132" i="2" s="1"/>
  <c r="F178" i="2" a="1"/>
  <c r="F178" i="2" s="1"/>
  <c r="AD103" i="2" a="1"/>
  <c r="AD103" i="2" s="1"/>
  <c r="AA201" i="2" a="1"/>
  <c r="AA201" i="2" s="1"/>
  <c r="AA256" i="2" a="1"/>
  <c r="AA256" i="2" s="1"/>
  <c r="U106" i="2" a="1"/>
  <c r="U106" i="2" s="1"/>
  <c r="AM208" i="2" a="1"/>
  <c r="AM208" i="2" s="1"/>
  <c r="L183" i="2" a="1"/>
  <c r="L183" i="2" s="1"/>
  <c r="F114" i="2" a="1"/>
  <c r="F114" i="2" s="1"/>
  <c r="L96" i="2" a="1"/>
  <c r="L96" i="2" s="1"/>
  <c r="AD151" i="2" a="1"/>
  <c r="AD151" i="2" s="1"/>
  <c r="R270" i="2" a="1"/>
  <c r="R270" i="2" s="1"/>
  <c r="U234" i="2" a="1"/>
  <c r="U234" i="2" s="1"/>
  <c r="L180" i="2" a="1"/>
  <c r="L180" i="2" s="1"/>
  <c r="AG134" i="2" a="1"/>
  <c r="AG134" i="2" s="1"/>
  <c r="AD98" i="2" a="1"/>
  <c r="AD98" i="2" s="1"/>
  <c r="F156" i="2" a="1"/>
  <c r="F156" i="2" s="1"/>
  <c r="AA136" i="2" a="1"/>
  <c r="AA136" i="2" s="1"/>
  <c r="AM173" i="2" a="1"/>
  <c r="AM173" i="2" s="1"/>
  <c r="AA111" i="2" a="1"/>
  <c r="AA111" i="2" s="1"/>
  <c r="U141" i="2" a="1"/>
  <c r="U141" i="2" s="1"/>
  <c r="AD204" i="2" a="1"/>
  <c r="AD204" i="2" s="1"/>
  <c r="R243" i="2" a="1"/>
  <c r="R243" i="2" s="1"/>
  <c r="I91" i="2" a="1"/>
  <c r="I91" i="2" s="1"/>
  <c r="AA112" i="2" a="1"/>
  <c r="AA112" i="2" s="1"/>
  <c r="AA185" i="2" a="1"/>
  <c r="AA185" i="2" s="1"/>
  <c r="U163" i="2" a="1"/>
  <c r="U163" i="2" s="1"/>
  <c r="AD140" i="2" a="1"/>
  <c r="AD140" i="2" s="1"/>
  <c r="U204" i="2" a="1"/>
  <c r="U204" i="2" s="1"/>
  <c r="L227" i="2" a="1"/>
  <c r="L227" i="2" s="1"/>
  <c r="AD190" i="2" a="1"/>
  <c r="AD190" i="2" s="1"/>
  <c r="AJ205" i="2" a="1"/>
  <c r="AJ205" i="2" s="1"/>
  <c r="U96" i="2" a="1"/>
  <c r="U96" i="2" s="1"/>
  <c r="AJ263" i="2" a="1"/>
  <c r="AJ263" i="2" s="1"/>
  <c r="U239" i="2" a="1"/>
  <c r="U239" i="2" s="1"/>
  <c r="R187" i="2" a="1"/>
  <c r="R187" i="2" s="1"/>
  <c r="AA232" i="2" a="1"/>
  <c r="AA232" i="2" s="1"/>
  <c r="R255" i="2" a="1"/>
  <c r="R255" i="2" s="1"/>
  <c r="AJ208" i="2" a="1"/>
  <c r="AJ208" i="2" s="1"/>
  <c r="AD255" i="2" a="1"/>
  <c r="AD255" i="2" s="1"/>
  <c r="AJ244" i="2" a="1"/>
  <c r="AJ244" i="2" s="1"/>
  <c r="AG197" i="2" a="1"/>
  <c r="AG197" i="2" s="1"/>
  <c r="AA142" i="2" a="1"/>
  <c r="AA142" i="2" s="1"/>
  <c r="I201" i="2" a="1"/>
  <c r="I201" i="2" s="1"/>
  <c r="L209" i="2" a="1"/>
  <c r="L209" i="2" s="1"/>
  <c r="O142" i="2" a="1"/>
  <c r="O142" i="2" s="1"/>
  <c r="I165" i="2" a="1"/>
  <c r="I165" i="2" s="1"/>
  <c r="AD115" i="2" a="1"/>
  <c r="AD115" i="2" s="1"/>
  <c r="R166" i="2" a="1"/>
  <c r="R166" i="2" s="1"/>
  <c r="AA188" i="2" a="1"/>
  <c r="AA188" i="2" s="1"/>
  <c r="X95" i="2" a="1"/>
  <c r="X95" i="2" s="1"/>
  <c r="R235" i="2" a="1"/>
  <c r="R235" i="2" s="1"/>
  <c r="AM263" i="2" a="1"/>
  <c r="AM263" i="2" s="1"/>
  <c r="O112" i="2" a="1"/>
  <c r="O112" i="2" s="1"/>
  <c r="AD113" i="2" a="1"/>
  <c r="AD113" i="2" s="1"/>
  <c r="AG212" i="2" a="1"/>
  <c r="AG212" i="2" s="1"/>
  <c r="R205" i="2" a="1"/>
  <c r="R205" i="2" s="1"/>
  <c r="L94" i="2" a="1"/>
  <c r="L94" i="2" s="1"/>
  <c r="AM169" i="2" a="1"/>
  <c r="AM169" i="2" s="1"/>
  <c r="L163" i="2" a="1"/>
  <c r="L163" i="2" s="1"/>
  <c r="U245" i="2" a="1"/>
  <c r="U245" i="2" s="1"/>
  <c r="AG270" i="2" a="1"/>
  <c r="AG270" i="2" s="1"/>
  <c r="X170" i="2" a="1"/>
  <c r="X170" i="2" s="1"/>
  <c r="O110" i="2" a="1"/>
  <c r="O110" i="2" s="1"/>
  <c r="AJ226" i="2" a="1"/>
  <c r="AJ226" i="2" s="1"/>
  <c r="O158" i="2" a="1"/>
  <c r="O158" i="2" s="1"/>
  <c r="AG189" i="2" a="1"/>
  <c r="AG189" i="2" s="1"/>
  <c r="F140" i="2" a="1"/>
  <c r="F140" i="2" s="1"/>
  <c r="AM191" i="2" a="1"/>
  <c r="AM191" i="2" s="1"/>
  <c r="AA130" i="2" a="1"/>
  <c r="AA130" i="2" s="1"/>
  <c r="X117" i="2" a="1"/>
  <c r="X117" i="2" s="1"/>
  <c r="U217" i="2" a="1"/>
  <c r="U217" i="2" s="1"/>
  <c r="U257" i="2" a="1"/>
  <c r="U257" i="2" s="1"/>
  <c r="L200" i="2" a="1"/>
  <c r="L200" i="2" s="1"/>
  <c r="R127" i="2" a="1"/>
  <c r="R127" i="2" s="1"/>
  <c r="F127" i="2" a="1"/>
  <c r="F127" i="2" s="1"/>
  <c r="I270" i="2" a="1"/>
  <c r="I270" i="2" s="1"/>
  <c r="AJ181" i="2" a="1"/>
  <c r="AJ181" i="2" s="1"/>
  <c r="X129" i="2" a="1"/>
  <c r="X129" i="2" s="1"/>
  <c r="F196" i="2" a="1"/>
  <c r="F196" i="2" s="1"/>
  <c r="AG153" i="2" a="1"/>
  <c r="AG153" i="2" s="1"/>
  <c r="L128" i="2" a="1"/>
  <c r="L128" i="2" s="1"/>
  <c r="F217" i="2" a="1"/>
  <c r="F217" i="2" s="1"/>
  <c r="L225" i="2" a="1"/>
  <c r="L225" i="2" s="1"/>
  <c r="R223" i="2" a="1"/>
  <c r="R223" i="2" s="1"/>
  <c r="AA241" i="2" a="1"/>
  <c r="AA241" i="2" s="1"/>
  <c r="I273" i="2" a="1"/>
  <c r="I273" i="2" s="1"/>
  <c r="F121" i="2" a="1"/>
  <c r="F121" i="2" s="1"/>
  <c r="AJ250" i="2" a="1"/>
  <c r="AJ250" i="2" s="1"/>
  <c r="AA131" i="2" a="1"/>
  <c r="AA131" i="2" s="1"/>
  <c r="F169" i="2" a="1"/>
  <c r="F169" i="2" s="1"/>
  <c r="AM266" i="2" a="1"/>
  <c r="AM266" i="2" s="1"/>
  <c r="AA225" i="2" a="1"/>
  <c r="AA225" i="2" s="1"/>
  <c r="F198" i="2" a="1"/>
  <c r="F198" i="2" s="1"/>
  <c r="U90" i="2" a="1"/>
  <c r="U90" i="2" s="1"/>
  <c r="AJ211" i="2" a="1"/>
  <c r="AJ211" i="2" s="1"/>
  <c r="O95" i="2" a="1"/>
  <c r="O95" i="2" s="1"/>
  <c r="AD211" i="2" a="1"/>
  <c r="AD211" i="2" s="1"/>
  <c r="I141" i="2" a="1"/>
  <c r="I141" i="2" s="1"/>
  <c r="AD196" i="2" a="1"/>
  <c r="AD196" i="2" s="1"/>
  <c r="O264" i="2" a="1"/>
  <c r="O264" i="2" s="1"/>
  <c r="AJ128" i="2" a="1"/>
  <c r="AJ128" i="2" s="1"/>
  <c r="I203" i="2" a="1"/>
  <c r="I203" i="2" s="1"/>
  <c r="R228" i="2" a="1"/>
  <c r="R228" i="2" s="1"/>
  <c r="O150" i="2" a="1"/>
  <c r="O150" i="2" s="1"/>
  <c r="AM119" i="2" a="1"/>
  <c r="AM119" i="2" s="1"/>
  <c r="AM237" i="2" a="1"/>
  <c r="AM237" i="2" s="1"/>
  <c r="X162" i="2" a="1"/>
  <c r="X162" i="2" s="1"/>
  <c r="I194" i="2" a="1"/>
  <c r="I194" i="2" s="1"/>
  <c r="AA158" i="2" a="1"/>
  <c r="AA158" i="2" s="1"/>
  <c r="AA228" i="2" a="1"/>
  <c r="AA228" i="2" s="1"/>
  <c r="AG93" i="2" a="1"/>
  <c r="AG93" i="2" s="1"/>
  <c r="X265" i="2" a="1"/>
  <c r="X265" i="2" s="1"/>
  <c r="X213" i="2" a="1"/>
  <c r="X213" i="2" s="1"/>
  <c r="AA191" i="2" a="1"/>
  <c r="AA191" i="2" s="1"/>
  <c r="AM195" i="2" a="1"/>
  <c r="AM195" i="2" s="1"/>
  <c r="AA258" i="2" a="1"/>
  <c r="AA258" i="2" s="1"/>
  <c r="AG222" i="2" a="1"/>
  <c r="AG222" i="2" s="1"/>
  <c r="F119" i="2" a="1"/>
  <c r="F119" i="2" s="1"/>
  <c r="AG219" i="2" a="1"/>
  <c r="AG219" i="2" s="1"/>
  <c r="L241" i="2" a="1"/>
  <c r="L241" i="2" s="1"/>
  <c r="L264" i="2" a="1"/>
  <c r="L264" i="2" s="1"/>
  <c r="AM187" i="2" a="1"/>
  <c r="AM187" i="2" s="1"/>
  <c r="I225" i="2" a="1"/>
  <c r="I225" i="2" s="1"/>
  <c r="R213" i="2" a="1"/>
  <c r="R213" i="2" s="1"/>
  <c r="F171" i="2" a="1"/>
  <c r="F171" i="2" s="1"/>
  <c r="I113" i="2" a="1"/>
  <c r="I113" i="2" s="1"/>
  <c r="AA150" i="2" a="1"/>
  <c r="AA150" i="2" s="1"/>
  <c r="X124" i="2" a="1"/>
  <c r="X124" i="2" s="1"/>
  <c r="R170" i="2" a="1"/>
  <c r="R170" i="2" s="1"/>
  <c r="X272" i="2" a="1"/>
  <c r="X272" i="2" s="1"/>
  <c r="X137" i="2" a="1"/>
  <c r="X137" i="2" s="1"/>
  <c r="X269" i="2" a="1"/>
  <c r="X269" i="2" s="1"/>
  <c r="O123" i="2" a="1"/>
  <c r="O123" i="2" s="1"/>
  <c r="AM188" i="2" a="1"/>
  <c r="AM188" i="2" s="1"/>
  <c r="O191" i="2" a="1"/>
  <c r="O191" i="2" s="1"/>
  <c r="F230" i="2" a="1"/>
  <c r="F230" i="2" s="1"/>
  <c r="R96" i="2" a="1"/>
  <c r="R96" i="2" s="1"/>
  <c r="U271" i="2" a="1"/>
  <c r="U271" i="2" s="1"/>
  <c r="AG145" i="2" a="1"/>
  <c r="AG145" i="2" s="1"/>
  <c r="AD265" i="2" a="1"/>
  <c r="AD265" i="2" s="1"/>
  <c r="U144" i="2" a="1"/>
  <c r="U144" i="2" s="1"/>
  <c r="F191" i="2" a="1"/>
  <c r="F191" i="2" s="1"/>
  <c r="X256" i="2" a="1"/>
  <c r="X256" i="2" s="1"/>
  <c r="O185" i="2" a="1"/>
  <c r="O185" i="2" s="1"/>
  <c r="X115" i="2" a="1"/>
  <c r="X115" i="2" s="1"/>
  <c r="U206" i="2" a="1"/>
  <c r="U206" i="2" s="1"/>
  <c r="L258" i="2" a="1"/>
  <c r="L258" i="2" s="1"/>
  <c r="R230" i="2" a="1"/>
  <c r="R230" i="2" s="1"/>
  <c r="L90" i="2" a="1"/>
  <c r="L90" i="2" s="1"/>
  <c r="F239" i="2" a="1"/>
  <c r="F239" i="2" s="1"/>
  <c r="AD210" i="2" a="1"/>
  <c r="AD210" i="2" s="1"/>
  <c r="I160" i="2" a="1"/>
  <c r="I160" i="2" s="1"/>
  <c r="R217" i="2" a="1"/>
  <c r="R217" i="2" s="1"/>
  <c r="AD197" i="2" a="1"/>
  <c r="AD197" i="2" s="1"/>
  <c r="R97" i="2" a="1"/>
  <c r="R97" i="2" s="1"/>
  <c r="U149" i="2" a="1"/>
  <c r="U149" i="2" s="1"/>
  <c r="L150" i="2" a="1"/>
  <c r="L150" i="2" s="1"/>
  <c r="I241" i="2" a="1"/>
  <c r="I241" i="2" s="1"/>
  <c r="AJ254" i="2" a="1"/>
  <c r="AJ254" i="2" s="1"/>
  <c r="I134" i="2" a="1"/>
  <c r="I134" i="2" s="1"/>
  <c r="AG168" i="2" a="1"/>
  <c r="AG168" i="2" s="1"/>
  <c r="F108" i="2" a="1"/>
  <c r="F108" i="2" s="1"/>
  <c r="X195" i="2" a="1"/>
  <c r="X195" i="2" s="1"/>
  <c r="AG240" i="2" a="1"/>
  <c r="AG240" i="2" s="1"/>
  <c r="U213" i="2" a="1"/>
  <c r="U213" i="2" s="1"/>
  <c r="AJ134" i="2" a="1"/>
  <c r="AJ134" i="2" s="1"/>
  <c r="F162" i="2" a="1"/>
  <c r="F162" i="2" s="1"/>
  <c r="AJ246" i="2" a="1"/>
  <c r="AJ246" i="2" s="1"/>
  <c r="AG208" i="2" a="1"/>
  <c r="AG208" i="2" s="1"/>
  <c r="U253" i="2" a="1"/>
  <c r="U253" i="2" s="1"/>
  <c r="U209" i="2" a="1"/>
  <c r="U209" i="2" s="1"/>
  <c r="O143" i="2" a="1"/>
  <c r="O143" i="2" s="1"/>
  <c r="X99" i="2" a="1"/>
  <c r="X99" i="2" s="1"/>
  <c r="O209" i="2" a="1"/>
  <c r="O209" i="2" s="1"/>
  <c r="R108" i="2" a="1"/>
  <c r="R108" i="2" s="1"/>
  <c r="L189" i="2" a="1"/>
  <c r="L189" i="2" s="1"/>
  <c r="AG245" i="2" a="1"/>
  <c r="AG245" i="2" s="1"/>
  <c r="AA255" i="2" a="1"/>
  <c r="AA255" i="2" s="1"/>
  <c r="AD198" i="2" a="1"/>
  <c r="AD198" i="2" s="1"/>
  <c r="I227" i="2" a="1"/>
  <c r="I227" i="2" s="1"/>
  <c r="L195" i="2" a="1"/>
  <c r="L195" i="2" s="1"/>
  <c r="AD264" i="2" a="1"/>
  <c r="AD264" i="2" s="1"/>
  <c r="O192" i="2" a="1"/>
  <c r="O192" i="2" s="1"/>
  <c r="L116" i="2" a="1"/>
  <c r="L116" i="2" s="1"/>
  <c r="AG180" i="2" a="1"/>
  <c r="AG180" i="2" s="1"/>
  <c r="F128" i="2" a="1"/>
  <c r="F128" i="2" s="1"/>
  <c r="L256" i="2" a="1"/>
  <c r="L256" i="2" s="1"/>
  <c r="AA148" i="2" a="1"/>
  <c r="AA148" i="2" s="1"/>
  <c r="AD168" i="2" a="1"/>
  <c r="AD168" i="2" s="1"/>
  <c r="AM175" i="2" a="1"/>
  <c r="AM175" i="2" s="1"/>
  <c r="I266" i="2" a="1"/>
  <c r="I266" i="2" s="1"/>
  <c r="R149" i="2" a="1"/>
  <c r="R149" i="2" s="1"/>
  <c r="O120" i="2" a="1"/>
  <c r="O120" i="2" s="1"/>
  <c r="AM258" i="2" a="1"/>
  <c r="AM258" i="2" s="1"/>
  <c r="AG154" i="2" a="1"/>
  <c r="AG154" i="2" s="1"/>
  <c r="I129" i="2" a="1"/>
  <c r="I129" i="2" s="1"/>
  <c r="F110" i="2" a="1"/>
  <c r="F110" i="2" s="1"/>
  <c r="AG206" i="2" a="1"/>
  <c r="AG206" i="2" s="1"/>
  <c r="O267" i="2" a="1"/>
  <c r="O267" i="2" s="1"/>
  <c r="AJ142" i="2" a="1"/>
  <c r="AJ142" i="2" s="1"/>
  <c r="AG182" i="2" a="1"/>
  <c r="AG182" i="2" s="1"/>
  <c r="AG150" i="2" a="1"/>
  <c r="AG150" i="2" s="1"/>
  <c r="L260" i="2" a="1"/>
  <c r="L260" i="2" s="1"/>
  <c r="L123" i="2" a="1"/>
  <c r="L123" i="2" s="1"/>
  <c r="I217" i="2" a="1"/>
  <c r="I217" i="2" s="1"/>
  <c r="F102" i="2" a="1"/>
  <c r="F102" i="2" s="1"/>
  <c r="AD191" i="2" a="1"/>
  <c r="AD191" i="2" s="1"/>
  <c r="AD269" i="2" a="1"/>
  <c r="AD269" i="2" s="1"/>
  <c r="R248" i="2" a="1"/>
  <c r="R248" i="2" s="1"/>
  <c r="AD137" i="2" a="1"/>
  <c r="AD137" i="2" s="1"/>
  <c r="L161" i="2" a="1"/>
  <c r="L161" i="2" s="1"/>
  <c r="R256" i="2" a="1"/>
  <c r="R256" i="2" s="1"/>
  <c r="R193" i="2" a="1"/>
  <c r="R193" i="2" s="1"/>
  <c r="U244" i="2" a="1"/>
  <c r="U244" i="2" s="1"/>
  <c r="X185" i="2" a="1"/>
  <c r="X185" i="2" s="1"/>
  <c r="AG247" i="2" a="1"/>
  <c r="AG247" i="2" s="1"/>
  <c r="AJ221" i="2" a="1"/>
  <c r="AJ221" i="2" s="1"/>
  <c r="R192" i="2" a="1"/>
  <c r="R192" i="2" s="1"/>
  <c r="AM106" i="2" a="1"/>
  <c r="AM106" i="2" s="1"/>
  <c r="O154" i="2" a="1"/>
  <c r="O154" i="2" s="1"/>
  <c r="AG179" i="2" a="1"/>
  <c r="AG179" i="2" s="1"/>
  <c r="R119" i="2" a="1"/>
  <c r="R119" i="2" s="1"/>
  <c r="F218" i="2" a="1"/>
  <c r="F218" i="2" s="1"/>
  <c r="AD224" i="2" a="1"/>
  <c r="AD224" i="2" s="1"/>
  <c r="AD273" i="2" a="1"/>
  <c r="AD273" i="2" s="1"/>
  <c r="AJ273" i="2" a="1"/>
  <c r="AJ273" i="2" s="1"/>
  <c r="AG128" i="2" a="1"/>
  <c r="AG128" i="2" s="1"/>
  <c r="AG207" i="2" a="1"/>
  <c r="AG207" i="2" s="1"/>
  <c r="O266" i="2" a="1"/>
  <c r="O266" i="2" s="1"/>
  <c r="AJ101" i="2" a="1"/>
  <c r="AJ101" i="2" s="1"/>
  <c r="AJ193" i="2" a="1"/>
  <c r="AJ193" i="2" s="1"/>
  <c r="AG271" i="2" a="1"/>
  <c r="AG271" i="2" s="1"/>
  <c r="U236" i="2" a="1"/>
  <c r="U236" i="2" s="1"/>
  <c r="AG198" i="2" a="1"/>
  <c r="AG198" i="2" s="1"/>
  <c r="O156" i="2" a="1"/>
  <c r="O156" i="2" s="1"/>
  <c r="O122" i="2" a="1"/>
  <c r="O122" i="2" s="1"/>
  <c r="AA243" i="2" a="1"/>
  <c r="AA243" i="2" s="1"/>
  <c r="AG187" i="2" a="1"/>
  <c r="AG187" i="2" s="1"/>
  <c r="R234" i="2" a="1"/>
  <c r="R234" i="2" s="1"/>
  <c r="AA149" i="2" a="1"/>
  <c r="AA149" i="2" s="1"/>
  <c r="AJ238" i="2" a="1"/>
  <c r="AJ238" i="2" s="1"/>
  <c r="U223" i="2" a="1"/>
  <c r="U223" i="2" s="1"/>
  <c r="X251" i="2" a="1"/>
  <c r="X251" i="2" s="1"/>
  <c r="AA105" i="2" a="1"/>
  <c r="AA105" i="2" s="1"/>
  <c r="O181" i="2" a="1"/>
  <c r="O181" i="2" s="1"/>
  <c r="F273" i="2" a="1"/>
  <c r="F273" i="2" s="1"/>
  <c r="R146" i="2" a="1"/>
  <c r="R146" i="2" s="1"/>
  <c r="O239" i="2" a="1"/>
  <c r="O239" i="2" s="1"/>
  <c r="X206" i="2" a="1"/>
  <c r="X206" i="2" s="1"/>
  <c r="AG216" i="2" a="1"/>
  <c r="AG216" i="2" s="1"/>
  <c r="R141" i="2" a="1"/>
  <c r="R141" i="2" s="1"/>
  <c r="O186" i="2" a="1"/>
  <c r="O186" i="2" s="1"/>
  <c r="O152" i="2" a="1"/>
  <c r="O152" i="2" s="1"/>
  <c r="AJ154" i="2" a="1"/>
  <c r="AJ154" i="2" s="1"/>
  <c r="AD131" i="2" a="1"/>
  <c r="AD131" i="2" s="1"/>
  <c r="AA123" i="2" a="1"/>
  <c r="AA123" i="2" s="1"/>
  <c r="L159" i="2" a="1"/>
  <c r="L159" i="2" s="1"/>
  <c r="F208" i="2" a="1"/>
  <c r="F208" i="2" s="1"/>
  <c r="X242" i="2" a="1"/>
  <c r="X242" i="2" s="1"/>
  <c r="X221" i="2" a="1"/>
  <c r="X221" i="2" s="1"/>
  <c r="O244" i="2" a="1"/>
  <c r="O244" i="2" s="1"/>
  <c r="AJ190" i="2" a="1"/>
  <c r="AJ190" i="2" s="1"/>
  <c r="F143" i="2" a="1"/>
  <c r="F143" i="2" s="1"/>
  <c r="L267" i="2" a="1"/>
  <c r="L267" i="2" s="1"/>
  <c r="O237" i="2" a="1"/>
  <c r="O237" i="2" s="1"/>
  <c r="R153" i="2" a="1"/>
  <c r="R153" i="2" s="1"/>
  <c r="O168" i="2" a="1"/>
  <c r="O168" i="2" s="1"/>
  <c r="AG101" i="2" a="1"/>
  <c r="AG101" i="2" s="1"/>
  <c r="F95" i="2" a="1"/>
  <c r="F95" i="2" s="1"/>
  <c r="AJ252" i="2" a="1"/>
  <c r="AJ252" i="2" s="1"/>
  <c r="AD119" i="2" a="1"/>
  <c r="AD119" i="2" s="1"/>
  <c r="AG204" i="2" a="1"/>
  <c r="AG204" i="2" s="1"/>
  <c r="I207" i="2" a="1"/>
  <c r="I207" i="2" s="1"/>
  <c r="AA152" i="2" a="1"/>
  <c r="AA152" i="2" s="1"/>
  <c r="U190" i="2" a="1"/>
  <c r="U190" i="2" s="1"/>
  <c r="L221" i="2" a="1"/>
  <c r="L221" i="2" s="1"/>
  <c r="X165" i="2" a="1"/>
  <c r="X165" i="2" s="1"/>
  <c r="L151" i="2" a="1"/>
  <c r="L151" i="2" s="1"/>
  <c r="AG267" i="2" a="1"/>
  <c r="AG267" i="2" s="1"/>
  <c r="AD127" i="2" a="1"/>
  <c r="AD127" i="2" s="1"/>
  <c r="AA164" i="2" a="1"/>
  <c r="AA164" i="2" s="1"/>
  <c r="O213" i="2" a="1"/>
  <c r="O213" i="2" s="1"/>
  <c r="F170" i="2" a="1"/>
  <c r="F170" i="2" s="1"/>
  <c r="O190" i="2" a="1"/>
  <c r="O190" i="2" s="1"/>
  <c r="U186" i="2" a="1"/>
  <c r="U186" i="2" s="1"/>
  <c r="AM257" i="2" a="1"/>
  <c r="AM257" i="2" s="1"/>
  <c r="F246" i="2" a="1"/>
  <c r="F246" i="2" s="1"/>
  <c r="AG236" i="2" a="1"/>
  <c r="AG236" i="2" s="1"/>
  <c r="X223" i="2" a="1"/>
  <c r="X223" i="2" s="1"/>
  <c r="AG109" i="2" a="1"/>
  <c r="AG109" i="2" s="1"/>
  <c r="AJ243" i="2" a="1"/>
  <c r="AJ243" i="2" s="1"/>
  <c r="AA214" i="2" a="1"/>
  <c r="AA214" i="2" s="1"/>
  <c r="R135" i="2" a="1"/>
  <c r="R135" i="2" s="1"/>
  <c r="R111" i="2" a="1"/>
  <c r="R111" i="2" s="1"/>
  <c r="AA251" i="2" a="1"/>
  <c r="AA251" i="2" s="1"/>
  <c r="I117" i="2" a="1"/>
  <c r="I117" i="2" s="1"/>
  <c r="AM216" i="2" a="1"/>
  <c r="AM216" i="2" s="1"/>
  <c r="U162" i="2" a="1"/>
  <c r="U162" i="2" s="1"/>
  <c r="F186" i="2" a="1"/>
  <c r="F186" i="2" s="1"/>
  <c r="F221" i="2" a="1"/>
  <c r="F221" i="2" s="1"/>
  <c r="U214" i="2" a="1"/>
  <c r="U214" i="2" s="1"/>
  <c r="U200" i="2" a="1"/>
  <c r="U200" i="2" s="1"/>
  <c r="R209" i="2" a="1"/>
  <c r="R209" i="2" s="1"/>
  <c r="O211" i="2" a="1"/>
  <c r="O211" i="2" s="1"/>
  <c r="O219" i="2" a="1"/>
  <c r="O219" i="2" s="1"/>
  <c r="U216" i="2" a="1"/>
  <c r="U216" i="2" s="1"/>
  <c r="I159" i="2" a="1"/>
  <c r="I159" i="2" s="1"/>
  <c r="R237" i="2" a="1"/>
  <c r="R237" i="2" s="1"/>
  <c r="AM122" i="2" a="1"/>
  <c r="AM122" i="2" s="1"/>
  <c r="O202" i="2" a="1"/>
  <c r="O202" i="2" s="1"/>
  <c r="X168" i="2" a="1"/>
  <c r="X168" i="2" s="1"/>
  <c r="AJ156" i="2" a="1"/>
  <c r="AJ156" i="2" s="1"/>
  <c r="R107" i="2" a="1"/>
  <c r="R107" i="2" s="1"/>
  <c r="U173" i="2" a="1"/>
  <c r="U173" i="2" s="1"/>
  <c r="AM115" i="2" a="1"/>
  <c r="AM115" i="2" s="1"/>
  <c r="AM164" i="2" a="1"/>
  <c r="AM164" i="2" s="1"/>
  <c r="X192" i="2" a="1"/>
  <c r="X192" i="2" s="1"/>
  <c r="AA211" i="2" a="1"/>
  <c r="AA211" i="2" s="1"/>
  <c r="AM118" i="2" a="1"/>
  <c r="AM118" i="2" s="1"/>
  <c r="U260" i="2" a="1"/>
  <c r="U260" i="2" s="1"/>
  <c r="O125" i="2" a="1"/>
  <c r="O125" i="2" s="1"/>
  <c r="U227" i="2" a="1"/>
  <c r="U227" i="2" s="1"/>
  <c r="AJ261" i="2" a="1"/>
  <c r="AJ261" i="2" s="1"/>
  <c r="AJ272" i="2" a="1"/>
  <c r="AJ272" i="2" s="1"/>
  <c r="O201" i="2" a="1"/>
  <c r="O201" i="2" s="1"/>
  <c r="L149" i="2" a="1"/>
  <c r="L149" i="2" s="1"/>
  <c r="AJ136" i="2" a="1"/>
  <c r="AJ136" i="2" s="1"/>
  <c r="R147" i="2" a="1"/>
  <c r="R147" i="2" s="1"/>
  <c r="AA208" i="2" a="1"/>
  <c r="AA208" i="2" s="1"/>
  <c r="AJ222" i="2" a="1"/>
  <c r="AJ222" i="2" s="1"/>
  <c r="F251" i="2" a="1"/>
  <c r="F251" i="2" s="1"/>
  <c r="AJ194" i="2" a="1"/>
  <c r="AJ194" i="2" s="1"/>
  <c r="AD122" i="2" a="1"/>
  <c r="AD122" i="2" s="1"/>
  <c r="U237" i="2" a="1"/>
  <c r="U237" i="2" s="1"/>
  <c r="AG233" i="2" a="1"/>
  <c r="AG233" i="2" s="1"/>
  <c r="AG273" i="2" a="1"/>
  <c r="AG273" i="2" s="1"/>
  <c r="AJ92" i="2" a="1"/>
  <c r="AJ92" i="2" s="1"/>
  <c r="AG211" i="2" a="1"/>
  <c r="AG211" i="2" s="1"/>
  <c r="X172" i="2" a="1"/>
  <c r="X172" i="2" s="1"/>
  <c r="AA264" i="2" a="1"/>
  <c r="AA264" i="2" s="1"/>
  <c r="AD238" i="2" a="1"/>
  <c r="AD238" i="2" s="1"/>
  <c r="L111" i="2" a="1"/>
  <c r="L111" i="2" s="1"/>
  <c r="AA198" i="2" a="1"/>
  <c r="AA198" i="2" s="1"/>
  <c r="F145" i="2" a="1"/>
  <c r="F145" i="2" s="1"/>
  <c r="R226" i="2" a="1"/>
  <c r="R226" i="2" s="1"/>
  <c r="AM271" i="2" a="1"/>
  <c r="AM271" i="2" s="1"/>
  <c r="AA257" i="2" a="1"/>
  <c r="AA257" i="2" s="1"/>
  <c r="U108" i="2" a="1"/>
  <c r="U108" i="2" s="1"/>
  <c r="AA127" i="2" a="1"/>
  <c r="AA127" i="2" s="1"/>
  <c r="O135" i="2" a="1"/>
  <c r="O135" i="2" s="1"/>
  <c r="AG253" i="2" a="1"/>
  <c r="AG253" i="2" s="1"/>
  <c r="AJ139" i="2" a="1"/>
  <c r="AJ139" i="2" s="1"/>
  <c r="AM243" i="2" a="1"/>
  <c r="AM243" i="2" s="1"/>
  <c r="I202" i="2" a="1"/>
  <c r="I202" i="2" s="1"/>
  <c r="AA138" i="2" a="1"/>
  <c r="AA138" i="2" s="1"/>
  <c r="U221" i="2" a="1"/>
  <c r="U221" i="2" s="1"/>
  <c r="L136" i="2" a="1"/>
  <c r="L136" i="2" s="1"/>
  <c r="AD108" i="2" a="1"/>
  <c r="AD108" i="2" s="1"/>
  <c r="O218" i="2" a="1"/>
  <c r="O218" i="2" s="1"/>
  <c r="AM242" i="2" a="1"/>
  <c r="AM242" i="2" s="1"/>
  <c r="AJ107" i="2" a="1"/>
  <c r="AJ107" i="2" s="1"/>
  <c r="X128" i="2" a="1"/>
  <c r="X128" i="2" s="1"/>
  <c r="AD245" i="2" a="1"/>
  <c r="AD245" i="2" s="1"/>
  <c r="AD148" i="2" a="1"/>
  <c r="AD148" i="2" s="1"/>
  <c r="F205" i="2" a="1"/>
  <c r="F205" i="2" s="1"/>
  <c r="U177" i="2" a="1"/>
  <c r="U177" i="2" s="1"/>
  <c r="U258" i="2" a="1"/>
  <c r="U258" i="2" s="1"/>
  <c r="L273" i="2" a="1"/>
  <c r="L273" i="2" s="1"/>
  <c r="U180" i="2" a="1"/>
  <c r="U180" i="2" s="1"/>
  <c r="U159" i="2" a="1"/>
  <c r="U159" i="2" s="1"/>
  <c r="R186" i="2" a="1"/>
  <c r="R186" i="2" s="1"/>
  <c r="AD220" i="2" a="1"/>
  <c r="AD220" i="2" s="1"/>
  <c r="R239" i="2" a="1"/>
  <c r="R239" i="2" s="1"/>
  <c r="L120" i="2" a="1"/>
  <c r="L120" i="2" s="1"/>
  <c r="AD158" i="2" a="1"/>
  <c r="AD158" i="2" s="1"/>
  <c r="AG237" i="2" a="1"/>
  <c r="AG237" i="2" s="1"/>
  <c r="AM236" i="2" a="1"/>
  <c r="AM236" i="2" s="1"/>
  <c r="AD199" i="2" a="1"/>
  <c r="AD199" i="2" s="1"/>
  <c r="R211" i="2" a="1"/>
  <c r="R211" i="2" s="1"/>
  <c r="AM259" i="2" a="1"/>
  <c r="AM259" i="2" s="1"/>
  <c r="X91" i="2" a="1"/>
  <c r="X91" i="2" s="1"/>
  <c r="AA169" i="2" a="1"/>
  <c r="AA169" i="2" s="1"/>
  <c r="I195" i="2" a="1"/>
  <c r="I195" i="2" s="1"/>
  <c r="AA223" i="2" a="1"/>
  <c r="AA223" i="2" s="1"/>
  <c r="AG161" i="2" a="1"/>
  <c r="AG161" i="2" s="1"/>
  <c r="AD118" i="2" a="1"/>
  <c r="AD118" i="2" s="1"/>
  <c r="AG115" i="2" a="1"/>
  <c r="AG115" i="2" s="1"/>
  <c r="X147" i="2" a="1"/>
  <c r="X147" i="2" s="1"/>
  <c r="I161" i="2" a="1"/>
  <c r="I161" i="2" s="1"/>
  <c r="L202" i="2" a="1"/>
  <c r="L202" i="2" s="1"/>
  <c r="F237" i="2" a="1"/>
  <c r="F237" i="2" s="1"/>
  <c r="AA100" i="2" a="1"/>
  <c r="AA100" i="2" s="1"/>
  <c r="R154" i="2" a="1"/>
  <c r="R154" i="2" s="1"/>
  <c r="X153" i="2" a="1"/>
  <c r="X153" i="2" s="1"/>
  <c r="O227" i="2" a="1"/>
  <c r="O227" i="2" s="1"/>
  <c r="R259" i="2" a="1"/>
  <c r="R259" i="2" s="1"/>
  <c r="R268" i="2" a="1"/>
  <c r="R268" i="2" s="1"/>
  <c r="F194" i="2" a="1"/>
  <c r="F194" i="2" s="1"/>
  <c r="I135" i="2" a="1"/>
  <c r="I135" i="2" s="1"/>
  <c r="AJ97" i="2" a="1"/>
  <c r="AJ97" i="2" s="1"/>
  <c r="L220" i="2" a="1"/>
  <c r="L220" i="2" s="1"/>
  <c r="F229" i="2" a="1"/>
  <c r="F229" i="2" s="1"/>
  <c r="I112" i="2" a="1"/>
  <c r="I112" i="2" s="1"/>
  <c r="R150" i="2" a="1"/>
  <c r="R150" i="2" s="1"/>
  <c r="U154" i="2" a="1"/>
  <c r="U154" i="2" s="1"/>
  <c r="O215" i="2" a="1"/>
  <c r="O215" i="2" s="1"/>
  <c r="I103" i="2" a="1"/>
  <c r="I103" i="2" s="1"/>
  <c r="AM124" i="2" a="1"/>
  <c r="AM124" i="2" s="1"/>
  <c r="O229" i="2" a="1"/>
  <c r="O229" i="2" s="1"/>
  <c r="O148" i="2" a="1"/>
  <c r="O148" i="2" s="1"/>
  <c r="F172" i="2" a="1"/>
  <c r="F172" i="2" s="1"/>
  <c r="X144" i="2" a="1"/>
  <c r="X144" i="2" s="1"/>
  <c r="AJ140" i="2" a="1"/>
  <c r="AJ140" i="2" s="1"/>
  <c r="AM113" i="2" a="1"/>
  <c r="AM113" i="2" s="1"/>
  <c r="AG255" i="2" a="1"/>
  <c r="AG255" i="2" s="1"/>
  <c r="AM157" i="2" a="1"/>
  <c r="AM157" i="2" s="1"/>
  <c r="F214" i="2" a="1"/>
  <c r="F214" i="2" s="1"/>
  <c r="AA229" i="2" a="1"/>
  <c r="AA229" i="2" s="1"/>
  <c r="AA104" i="2" a="1"/>
  <c r="AA104" i="2" s="1"/>
  <c r="R202" i="2" a="1"/>
  <c r="R202" i="2" s="1"/>
  <c r="F270" i="2" a="1"/>
  <c r="F270" i="2" s="1"/>
  <c r="AM180" i="2" a="1"/>
  <c r="AM180" i="2" s="1"/>
  <c r="AJ152" i="2" a="1"/>
  <c r="AJ152" i="2" s="1"/>
  <c r="R262" i="2" a="1"/>
  <c r="R262" i="2" s="1"/>
  <c r="AD213" i="2" a="1"/>
  <c r="AD213" i="2" s="1"/>
  <c r="AA180" i="2" a="1"/>
  <c r="AA180" i="2" s="1"/>
  <c r="AG149" i="2" a="1"/>
  <c r="AG149" i="2" s="1"/>
  <c r="I116" i="2" a="1"/>
  <c r="I116" i="2" s="1"/>
  <c r="U254" i="2" a="1"/>
  <c r="U254" i="2" s="1"/>
  <c r="F120" i="2" a="1"/>
  <c r="F120" i="2" s="1"/>
  <c r="X142" i="2" a="1"/>
  <c r="X142" i="2" s="1"/>
  <c r="O230" i="2" a="1"/>
  <c r="O230" i="2" s="1"/>
  <c r="AG272" i="2" a="1"/>
  <c r="AG272" i="2" s="1"/>
  <c r="O210" i="2" a="1"/>
  <c r="O210" i="2" s="1"/>
  <c r="AD258" i="2" a="1"/>
  <c r="AD258" i="2" s="1"/>
  <c r="AG96" i="2" a="1"/>
  <c r="AG96" i="2" s="1"/>
  <c r="X160" i="2" a="1"/>
  <c r="X160" i="2" s="1"/>
  <c r="AJ265" i="2" a="1"/>
  <c r="AJ265" i="2" s="1"/>
  <c r="AG157" i="2" a="1"/>
  <c r="AG157" i="2" s="1"/>
  <c r="L127" i="2" a="1"/>
  <c r="L127" i="2" s="1"/>
  <c r="R98" i="2" a="1"/>
  <c r="R98" i="2" s="1"/>
  <c r="I249" i="2" a="1"/>
  <c r="I249" i="2" s="1"/>
  <c r="U212" i="2" a="1"/>
  <c r="U212" i="2" s="1"/>
  <c r="O177" i="2" a="1"/>
  <c r="O177" i="2" s="1"/>
  <c r="R271" i="2" a="1"/>
  <c r="R271" i="2" s="1"/>
  <c r="U114" i="2" a="1"/>
  <c r="U114" i="2" s="1"/>
  <c r="R247" i="2" a="1"/>
  <c r="R247" i="2" s="1"/>
  <c r="O197" i="2" a="1"/>
  <c r="O197" i="2" s="1"/>
  <c r="AM238" i="2" a="1"/>
  <c r="AM238" i="2" s="1"/>
  <c r="F100" i="2" a="1"/>
  <c r="F100" i="2" s="1"/>
  <c r="I131" i="2" a="1"/>
  <c r="I131" i="2" s="1"/>
  <c r="U194" i="2" a="1"/>
  <c r="U194" i="2" s="1"/>
  <c r="F197" i="2" a="1"/>
  <c r="F197" i="2" s="1"/>
  <c r="AJ271" i="2" a="1"/>
  <c r="AJ271" i="2" s="1"/>
  <c r="I186" i="2" a="1"/>
  <c r="I186" i="2" s="1"/>
  <c r="AD153" i="2" a="1"/>
  <c r="AD153" i="2" s="1"/>
  <c r="AG213" i="2" a="1"/>
  <c r="AG213" i="2" s="1"/>
  <c r="U259" i="2" a="1"/>
  <c r="U259" i="2" s="1"/>
  <c r="AD228" i="2" a="1"/>
  <c r="AD228" i="2" s="1"/>
  <c r="F199" i="2" a="1"/>
  <c r="F199" i="2" s="1"/>
  <c r="I212" i="2" a="1"/>
  <c r="I212" i="2" s="1"/>
  <c r="AG166" i="2" a="1"/>
  <c r="AG166" i="2" s="1"/>
  <c r="O235" i="2" a="1"/>
  <c r="O235" i="2" s="1"/>
  <c r="AD223" i="2" a="1"/>
  <c r="AD223" i="2" s="1"/>
  <c r="F142" i="2" a="1"/>
  <c r="F142" i="2" s="1"/>
  <c r="AG221" i="2" a="1"/>
  <c r="AG221" i="2" s="1"/>
  <c r="AJ262" i="2" a="1"/>
  <c r="AJ262" i="2" s="1"/>
  <c r="R133" i="2" a="1"/>
  <c r="R133" i="2" s="1"/>
  <c r="AG122" i="2" a="1"/>
  <c r="AG122" i="2" s="1"/>
  <c r="L182" i="2" a="1"/>
  <c r="L182" i="2" s="1"/>
  <c r="L245" i="2" a="1"/>
  <c r="L245" i="2" s="1"/>
  <c r="U135" i="2" a="1"/>
  <c r="U135" i="2" s="1"/>
  <c r="F265" i="2" a="1"/>
  <c r="F265" i="2" s="1"/>
  <c r="AJ109" i="2" a="1"/>
  <c r="AJ109" i="2" s="1"/>
  <c r="F180" i="2" a="1"/>
  <c r="F180" i="2" s="1"/>
  <c r="AA110" i="2" a="1"/>
  <c r="AA110" i="2" s="1"/>
  <c r="I226" i="2" a="1"/>
  <c r="I226" i="2" s="1"/>
  <c r="U132" i="2" a="1"/>
  <c r="U132" i="2" s="1"/>
  <c r="I247" i="2" a="1"/>
  <c r="I247" i="2" s="1"/>
  <c r="O260" i="2" a="1"/>
  <c r="O260" i="2" s="1"/>
  <c r="AG133" i="2" a="1"/>
  <c r="AG133" i="2" s="1"/>
  <c r="R207" i="2" a="1"/>
  <c r="R207" i="2" s="1"/>
  <c r="R134" i="2" a="1"/>
  <c r="R134" i="2" s="1"/>
  <c r="O193" i="2" a="1"/>
  <c r="O193" i="2" s="1"/>
  <c r="AG138" i="2" a="1"/>
  <c r="AG138" i="2" s="1"/>
  <c r="AJ143" i="2" a="1"/>
  <c r="AJ143" i="2" s="1"/>
  <c r="F226" i="2" a="1"/>
  <c r="F226" i="2" s="1"/>
  <c r="AJ155" i="2" a="1"/>
  <c r="AJ155" i="2" s="1"/>
  <c r="X138" i="2" a="1"/>
  <c r="X138" i="2" s="1"/>
  <c r="AG148" i="2" a="1"/>
  <c r="AG148" i="2" s="1"/>
  <c r="O247" i="2" a="1"/>
  <c r="O247" i="2" s="1"/>
  <c r="O225" i="2" a="1"/>
  <c r="O225" i="2" s="1"/>
  <c r="AA212" i="2" a="1"/>
  <c r="AA212" i="2" s="1"/>
  <c r="L92" i="2" a="1"/>
  <c r="L92" i="2" s="1"/>
  <c r="AJ148" i="2" a="1"/>
  <c r="AJ148" i="2" s="1"/>
  <c r="U192" i="2" a="1"/>
  <c r="U192" i="2" s="1"/>
  <c r="AD254" i="2" a="1"/>
  <c r="AD254" i="2" s="1"/>
  <c r="AD101" i="2" a="1"/>
  <c r="AD101" i="2" s="1"/>
  <c r="L215" i="2" a="1"/>
  <c r="L215" i="2" s="1"/>
  <c r="R104" i="2" a="1"/>
  <c r="R104" i="2" s="1"/>
  <c r="U264" i="2" a="1"/>
  <c r="U264" i="2" s="1"/>
  <c r="F210" i="2" a="1"/>
  <c r="F210" i="2" s="1"/>
  <c r="AM233" i="2" a="1"/>
  <c r="AM233" i="2" s="1"/>
  <c r="AJ111" i="2" a="1"/>
  <c r="AJ111" i="2" s="1"/>
  <c r="L254" i="2" a="1"/>
  <c r="L254" i="2" s="1"/>
  <c r="I245" i="2" a="1"/>
  <c r="I245" i="2" s="1"/>
  <c r="AM177" i="2" a="1"/>
  <c r="AM177" i="2" s="1"/>
  <c r="AD241" i="2" a="1"/>
  <c r="AD241" i="2" s="1"/>
  <c r="U265" i="2" a="1"/>
  <c r="U265" i="2" s="1"/>
  <c r="AJ120" i="2" a="1"/>
  <c r="AJ120" i="2" s="1"/>
  <c r="X239" i="2" a="1"/>
  <c r="X239" i="2" s="1"/>
  <c r="AA161" i="2" a="1"/>
  <c r="AA161" i="2" s="1"/>
  <c r="U118" i="2" a="1"/>
  <c r="U118" i="2" s="1"/>
  <c r="L126" i="2" a="1"/>
  <c r="L126" i="2" s="1"/>
  <c r="R94" i="2" a="1"/>
  <c r="R94" i="2" s="1"/>
  <c r="AJ267" i="2" a="1"/>
  <c r="AJ267" i="2" s="1"/>
  <c r="AM117" i="2" a="1"/>
  <c r="AM117" i="2" s="1"/>
  <c r="L196" i="2" a="1"/>
  <c r="L196" i="2" s="1"/>
  <c r="AD208" i="2" a="1"/>
  <c r="AD208" i="2" s="1"/>
  <c r="L203" i="2" a="1"/>
  <c r="L203" i="2" s="1"/>
  <c r="R265" i="2" a="1"/>
  <c r="R265" i="2" s="1"/>
  <c r="L109" i="2" a="1"/>
  <c r="L109" i="2" s="1"/>
  <c r="AM211" i="2" a="1"/>
  <c r="AM211" i="2" s="1"/>
  <c r="AD174" i="2" a="1"/>
  <c r="AD174" i="2" s="1"/>
  <c r="AA144" i="2" a="1"/>
  <c r="AA144" i="2" s="1"/>
  <c r="U266" i="2" a="1"/>
  <c r="U266" i="2" s="1"/>
  <c r="AG135" i="2" a="1"/>
  <c r="AG135" i="2" s="1"/>
  <c r="U119" i="2" a="1"/>
  <c r="U119" i="2" s="1"/>
  <c r="F215" i="2" a="1"/>
  <c r="F215" i="2" s="1"/>
  <c r="AA116" i="2" a="1"/>
  <c r="AA116" i="2" s="1"/>
  <c r="AA172" i="2" a="1"/>
  <c r="AA172" i="2" s="1"/>
  <c r="AM107" i="2" a="1"/>
  <c r="AM107" i="2" s="1"/>
  <c r="I228" i="2" a="1"/>
  <c r="I228" i="2" s="1"/>
  <c r="X214" i="2" a="1"/>
  <c r="X214" i="2" s="1"/>
  <c r="AA217" i="2" a="1"/>
  <c r="AA217" i="2" s="1"/>
  <c r="L125" i="2" a="1"/>
  <c r="L125" i="2" s="1"/>
  <c r="L272" i="2" a="1"/>
  <c r="L272" i="2" s="1"/>
  <c r="AA155" i="2" a="1"/>
  <c r="AA155" i="2" s="1"/>
  <c r="F188" i="2" a="1"/>
  <c r="F188" i="2" s="1"/>
  <c r="U139" i="2" a="1"/>
  <c r="U139" i="2" s="1"/>
  <c r="R220" i="2" a="1"/>
  <c r="R220" i="2" s="1"/>
  <c r="F153" i="2" a="1"/>
  <c r="F153" i="2" s="1"/>
  <c r="AJ137" i="2" a="1"/>
  <c r="AJ137" i="2" s="1"/>
  <c r="R122" i="2" a="1"/>
  <c r="R122" i="2" s="1"/>
  <c r="L239" i="2" a="1"/>
  <c r="L239" i="2" s="1"/>
  <c r="AG193" i="2" a="1"/>
  <c r="AG193" i="2" s="1"/>
  <c r="AM162" i="2" a="1"/>
  <c r="AM162" i="2" s="1"/>
  <c r="L118" i="2" a="1"/>
  <c r="L118" i="2" s="1"/>
  <c r="AM201" i="2" a="1"/>
  <c r="AM201" i="2" s="1"/>
  <c r="U94" i="2" a="1"/>
  <c r="U94" i="2" s="1"/>
  <c r="X205" i="2" a="1"/>
  <c r="X205" i="2" s="1"/>
  <c r="F203" i="2" a="1"/>
  <c r="F203" i="2" s="1"/>
  <c r="U202" i="2" a="1"/>
  <c r="U202" i="2" s="1"/>
  <c r="F129" i="2" a="1"/>
  <c r="F129" i="2" s="1"/>
  <c r="AG209" i="2" a="1"/>
  <c r="AG209" i="2" s="1"/>
  <c r="U249" i="2" a="1"/>
  <c r="U249" i="2" s="1"/>
  <c r="O97" i="2" a="1"/>
  <c r="O97" i="2" s="1"/>
  <c r="F139" i="2" a="1"/>
  <c r="F139" i="2" s="1"/>
  <c r="L243" i="2" a="1"/>
  <c r="L243" i="2" s="1"/>
  <c r="R257" i="2" a="1"/>
  <c r="R257" i="2" s="1"/>
  <c r="AM206" i="2" a="1"/>
  <c r="AM206" i="2" s="1"/>
  <c r="R176" i="2" a="1"/>
  <c r="R176" i="2" s="1"/>
  <c r="L230" i="2" a="1"/>
  <c r="L230" i="2" s="1"/>
  <c r="I177" i="2" a="1"/>
  <c r="I177" i="2" s="1"/>
  <c r="I155" i="2" a="1"/>
  <c r="I155" i="2" s="1"/>
  <c r="AD132" i="2" a="1"/>
  <c r="AD132" i="2" s="1"/>
  <c r="U161" i="2" a="1"/>
  <c r="U161" i="2" s="1"/>
  <c r="R169" i="2" a="1"/>
  <c r="R169" i="2" s="1"/>
  <c r="X194" i="2" a="1"/>
  <c r="X194" i="2" s="1"/>
  <c r="F112" i="2" a="1"/>
  <c r="F112" i="2" s="1"/>
  <c r="U121" i="2" a="1"/>
  <c r="U121" i="2" s="1"/>
  <c r="I192" i="2" a="1"/>
  <c r="I192" i="2" s="1"/>
  <c r="X268" i="2" a="1"/>
  <c r="X268" i="2" s="1"/>
  <c r="R261" i="2" a="1"/>
  <c r="R261" i="2" s="1"/>
  <c r="F202" i="2" a="1"/>
  <c r="F202" i="2" s="1"/>
  <c r="O166" i="2" a="1"/>
  <c r="O166" i="2" s="1"/>
  <c r="AG258" i="2" a="1"/>
  <c r="AG258" i="2" s="1"/>
  <c r="F117" i="2" a="1"/>
  <c r="F117" i="2" s="1"/>
  <c r="AA125" i="2" a="1"/>
  <c r="AA125" i="2" s="1"/>
  <c r="X102" i="2" a="1"/>
  <c r="X102" i="2" s="1"/>
  <c r="R145" i="2" a="1"/>
  <c r="R145" i="2" s="1"/>
  <c r="AG244" i="2" a="1"/>
  <c r="AG244" i="2" s="1"/>
  <c r="AM108" i="2" a="1"/>
  <c r="AM108" i="2" s="1"/>
  <c r="L172" i="2" a="1"/>
  <c r="L172" i="2" s="1"/>
  <c r="R164" i="2" a="1"/>
  <c r="R164" i="2" s="1"/>
  <c r="R250" i="2" a="1"/>
  <c r="R250" i="2" s="1"/>
  <c r="U124" i="2" a="1"/>
  <c r="U124" i="2" s="1"/>
  <c r="AG120" i="2" a="1"/>
  <c r="AG120" i="2" s="1"/>
  <c r="AG259" i="2" a="1"/>
  <c r="AG259" i="2" s="1"/>
  <c r="X146" i="2" a="1"/>
  <c r="X146" i="2" s="1"/>
  <c r="L178" i="2" a="1"/>
  <c r="L178" i="2" s="1"/>
  <c r="F211" i="2" a="1"/>
  <c r="F211" i="2" s="1"/>
  <c r="AD117" i="2" a="1"/>
  <c r="AD117" i="2" s="1"/>
  <c r="O44" i="2" a="1"/>
  <c r="O44" i="2" s="1"/>
  <c r="R189" i="2" a="1"/>
  <c r="R189" i="2" s="1"/>
  <c r="X228" i="2" a="1"/>
  <c r="X228" i="2" s="1"/>
  <c r="AA118" i="2" a="1"/>
  <c r="AA118" i="2" s="1"/>
  <c r="AG162" i="2" a="1"/>
  <c r="AG162" i="2" s="1"/>
  <c r="AA271" i="2" a="1"/>
  <c r="AA271" i="2" s="1"/>
  <c r="U115" i="2" a="1"/>
  <c r="U115" i="2" s="1"/>
  <c r="L119" i="2" a="1"/>
  <c r="L119" i="2" s="1"/>
  <c r="AD225" i="2" a="1"/>
  <c r="AD225" i="2" s="1"/>
  <c r="AD252" i="2" a="1"/>
  <c r="AD252" i="2" s="1"/>
  <c r="AA117" i="2" a="1"/>
  <c r="AA117" i="2" s="1"/>
  <c r="U246" i="2" a="1"/>
  <c r="U246" i="2" s="1"/>
  <c r="X197" i="2" a="1"/>
  <c r="X197" i="2" s="1"/>
  <c r="O188" i="2" a="1"/>
  <c r="O188" i="2" s="1"/>
  <c r="AD139" i="2" a="1"/>
  <c r="AD139" i="2" s="1"/>
  <c r="AM144" i="2" a="1"/>
  <c r="AM144" i="2" s="1"/>
  <c r="AM182" i="2" a="1"/>
  <c r="AM182" i="2" s="1"/>
  <c r="AG269" i="2" a="1"/>
  <c r="AG269" i="2" s="1"/>
  <c r="AM104" i="2" a="1"/>
  <c r="AM104" i="2" s="1"/>
  <c r="R156" i="2" a="1"/>
  <c r="R156" i="2" s="1"/>
  <c r="AG228" i="2" a="1"/>
  <c r="AG228" i="2" s="1"/>
  <c r="AM213" i="2" a="1"/>
  <c r="AM213" i="2" s="1"/>
  <c r="I240" i="2" a="1"/>
  <c r="I240" i="2" s="1"/>
  <c r="U129" i="2" a="1"/>
  <c r="U129" i="2" s="1"/>
  <c r="X134" i="2" a="1"/>
  <c r="X134" i="2" s="1"/>
  <c r="O217" i="2" a="1"/>
  <c r="O217" i="2" s="1"/>
  <c r="F204" i="2" a="1"/>
  <c r="F204" i="2" s="1"/>
  <c r="F134" i="2" a="1"/>
  <c r="F134" i="2" s="1"/>
  <c r="AG112" i="2" a="1"/>
  <c r="AG112" i="2" s="1"/>
  <c r="R197" i="2" a="1"/>
  <c r="R197" i="2" s="1"/>
  <c r="U172" i="2" a="1"/>
  <c r="U172" i="2" s="1"/>
  <c r="I262" i="2" a="1"/>
  <c r="I262" i="2" s="1"/>
  <c r="AJ132" i="2" a="1"/>
  <c r="AJ132" i="2" s="1"/>
  <c r="O140" i="2" a="1"/>
  <c r="O140" i="2" s="1"/>
  <c r="F137" i="2" a="1"/>
  <c r="F137" i="2" s="1"/>
  <c r="AG266" i="2" a="1"/>
  <c r="AG266" i="2" s="1"/>
  <c r="AA157" i="2" a="1"/>
  <c r="AA157" i="2" s="1"/>
  <c r="AA195" i="2" a="1"/>
  <c r="AA195" i="2" s="1"/>
  <c r="L249" i="2" a="1"/>
  <c r="L249" i="2" s="1"/>
  <c r="X154" i="2" a="1"/>
  <c r="X154" i="2" s="1"/>
  <c r="AG227" i="2" a="1"/>
  <c r="AG227" i="2" s="1"/>
  <c r="O207" i="2" a="1"/>
  <c r="O207" i="2" s="1"/>
  <c r="X133" i="2" a="1"/>
  <c r="X133" i="2" s="1"/>
  <c r="AA246" i="2" a="1"/>
  <c r="AA246" i="2" s="1"/>
  <c r="AD138" i="2" a="1"/>
  <c r="AD138" i="2" s="1"/>
  <c r="F227" i="2" a="1"/>
  <c r="F227" i="2" s="1"/>
  <c r="AM145" i="2" a="1"/>
  <c r="AM145" i="2" s="1"/>
  <c r="U262" i="2" a="1"/>
  <c r="U262" i="2" s="1"/>
  <c r="U147" i="2" a="1"/>
  <c r="U147" i="2" s="1"/>
  <c r="AD248" i="2" a="1"/>
  <c r="AD248" i="2" s="1"/>
  <c r="AA219" i="2" a="1"/>
  <c r="AA219" i="2" s="1"/>
  <c r="L160" i="2" a="1"/>
  <c r="L160" i="2" s="1"/>
  <c r="AD256" i="2" a="1"/>
  <c r="AD256" i="2" s="1"/>
  <c r="AG147" i="2" a="1"/>
  <c r="AG147" i="2" s="1"/>
  <c r="AD134" i="2" a="1"/>
  <c r="AD134" i="2" s="1"/>
  <c r="R113" i="2" a="1"/>
  <c r="R113" i="2" s="1"/>
  <c r="O254" i="2" a="1"/>
  <c r="O254" i="2" s="1"/>
  <c r="AA122" i="2" a="1"/>
  <c r="AA122" i="2" s="1"/>
  <c r="F187" i="2" a="1"/>
  <c r="F187" i="2" s="1"/>
  <c r="AM190" i="2" a="1"/>
  <c r="AM190" i="2" s="1"/>
  <c r="AA132" i="2" a="1"/>
  <c r="AA132" i="2" s="1"/>
  <c r="AJ123" i="2" a="1"/>
  <c r="AJ123" i="2" s="1"/>
  <c r="AM174" i="2" a="1"/>
  <c r="AM174" i="2" s="1"/>
  <c r="O113" i="2" a="1"/>
  <c r="O113" i="2" s="1"/>
  <c r="O194" i="2" a="1"/>
  <c r="O194" i="2" s="1"/>
  <c r="AG205" i="2" a="1"/>
  <c r="AG205" i="2" s="1"/>
  <c r="R157" i="2" a="1"/>
  <c r="R157" i="2" s="1"/>
  <c r="X152" i="2" a="1"/>
  <c r="X152" i="2" s="1"/>
  <c r="AD116" i="2" a="1"/>
  <c r="AD116" i="2" s="1"/>
  <c r="O234" i="2" a="1"/>
  <c r="O234" i="2" s="1"/>
  <c r="AM209" i="2" a="1"/>
  <c r="AM209" i="2" s="1"/>
  <c r="AM114" i="2" a="1"/>
  <c r="AM114" i="2" s="1"/>
  <c r="O196" i="2" a="1"/>
  <c r="O196" i="2" s="1"/>
  <c r="R204" i="2" a="1"/>
  <c r="R204" i="2" s="1"/>
  <c r="AD165" i="2" a="1"/>
  <c r="AD165" i="2" s="1"/>
  <c r="U146" i="2" a="1"/>
  <c r="U146" i="2" s="1"/>
  <c r="AJ255" i="2" a="1"/>
  <c r="AJ255" i="2" s="1"/>
  <c r="U268" i="2" a="1"/>
  <c r="U268" i="2" s="1"/>
  <c r="AA197" i="2" a="1"/>
  <c r="AA197" i="2" s="1"/>
  <c r="I152" i="2" a="1"/>
  <c r="I152" i="2" s="1"/>
  <c r="AM148" i="2" a="1"/>
  <c r="AM148" i="2" s="1"/>
  <c r="AD189" i="2" a="1"/>
  <c r="AD189" i="2" s="1"/>
  <c r="I272" i="2" a="1"/>
  <c r="I272" i="2" s="1"/>
  <c r="AJ169" i="2" a="1"/>
  <c r="AJ169" i="2" s="1"/>
  <c r="R238" i="2" a="1"/>
  <c r="R238" i="2" s="1"/>
  <c r="R115" i="2" a="1"/>
  <c r="R115" i="2" s="1"/>
  <c r="AJ268" i="2" a="1"/>
  <c r="AJ268" i="2" s="1"/>
  <c r="U160" i="2" a="1"/>
  <c r="U160" i="2" s="1"/>
  <c r="AD184" i="2" a="1"/>
  <c r="AD184" i="2" s="1"/>
  <c r="AA254" i="2" a="1"/>
  <c r="AA254" i="2" s="1"/>
  <c r="F244" i="2" a="1"/>
  <c r="F244" i="2" s="1"/>
  <c r="AG196" i="2" a="1"/>
  <c r="AG196" i="2" s="1"/>
  <c r="AA272" i="2" a="1"/>
  <c r="AA272" i="2" s="1"/>
  <c r="L135" i="2" a="1"/>
  <c r="L135" i="2" s="1"/>
  <c r="X248" i="2" a="1"/>
  <c r="X248" i="2" s="1"/>
  <c r="AJ115" i="2" a="1"/>
  <c r="AJ115" i="2" s="1"/>
  <c r="F231" i="2" a="1"/>
  <c r="F231" i="2" s="1"/>
  <c r="AG141" i="2" a="1"/>
  <c r="AG141" i="2" s="1"/>
  <c r="AA114" i="2" a="1"/>
  <c r="AA114" i="2" s="1"/>
  <c r="X110" i="2" a="1"/>
  <c r="X110" i="2" s="1"/>
  <c r="AM272" i="2" a="1"/>
  <c r="AM272" i="2" s="1"/>
  <c r="AD185" i="2" a="1"/>
  <c r="AD185" i="2" s="1"/>
  <c r="O204" i="2" a="1"/>
  <c r="O204" i="2" s="1"/>
  <c r="I163" i="2" a="1"/>
  <c r="I163" i="2" s="1"/>
  <c r="L158" i="2" a="1"/>
  <c r="L158" i="2" s="1"/>
  <c r="F150" i="2" a="1"/>
  <c r="F150" i="2" s="1"/>
  <c r="I171" i="2" a="1"/>
  <c r="I171" i="2" s="1"/>
  <c r="AJ216" i="2" a="1"/>
  <c r="AJ216" i="2" s="1"/>
  <c r="O226" i="2" a="1"/>
  <c r="O226" i="2" s="1"/>
  <c r="O270" i="2" a="1"/>
  <c r="O270" i="2" s="1"/>
  <c r="AA103" i="2" a="1"/>
  <c r="AA103" i="2" s="1"/>
  <c r="AM137" i="2" a="1"/>
  <c r="AM137" i="2" s="1"/>
  <c r="F264" i="2" a="1"/>
  <c r="F264" i="2" s="1"/>
  <c r="I251" i="2" a="1"/>
  <c r="I251" i="2" s="1"/>
  <c r="L104" i="2" a="1"/>
  <c r="L104" i="2" s="1"/>
  <c r="O233" i="2" a="1"/>
  <c r="O233" i="2" s="1"/>
  <c r="AA268" i="2" a="1"/>
  <c r="AA268" i="2" s="1"/>
  <c r="O271" i="2" a="1"/>
  <c r="O271" i="2" s="1"/>
  <c r="AG195" i="2" a="1"/>
  <c r="AG195" i="2" s="1"/>
  <c r="I137" i="2" a="1"/>
  <c r="I137" i="2" s="1"/>
  <c r="O163" i="2" a="1"/>
  <c r="O163" i="2" s="1"/>
  <c r="R263" i="2" a="1"/>
  <c r="R263" i="2" s="1"/>
  <c r="O248" i="2" a="1"/>
  <c r="O248" i="2" s="1"/>
  <c r="X180" i="2" a="1"/>
  <c r="X180" i="2" s="1"/>
  <c r="L148" i="2" a="1"/>
  <c r="L148" i="2" s="1"/>
  <c r="AJ224" i="2" a="1"/>
  <c r="AJ224" i="2" s="1"/>
  <c r="AJ110" i="2" a="1"/>
  <c r="AJ110" i="2" s="1"/>
  <c r="AJ166" i="2" a="1"/>
  <c r="AJ166" i="2" s="1"/>
  <c r="F212" i="2" a="1"/>
  <c r="F212" i="2" s="1"/>
  <c r="R266" i="2" a="1"/>
  <c r="R266" i="2" s="1"/>
  <c r="AJ44" i="2" a="1"/>
  <c r="AJ44" i="2" s="1"/>
  <c r="U123" i="2" a="1"/>
  <c r="U123" i="2" s="1"/>
  <c r="AJ235" i="2" a="1"/>
  <c r="AJ235" i="2" s="1"/>
  <c r="I151" i="2" a="1"/>
  <c r="I151" i="2" s="1"/>
  <c r="AD152" i="2" a="1"/>
  <c r="AD152" i="2" s="1"/>
  <c r="U109" i="2" a="1"/>
  <c r="U109" i="2" s="1"/>
  <c r="O134" i="2" a="1"/>
  <c r="O134" i="2" s="1"/>
  <c r="AJ131" i="2" a="1"/>
  <c r="AJ131" i="2" s="1"/>
  <c r="R129" i="2" a="1"/>
  <c r="R129" i="2" s="1"/>
  <c r="L133" i="2" a="1"/>
  <c r="L133" i="2" s="1"/>
  <c r="AG163" i="2" a="1"/>
  <c r="AG163" i="2" s="1"/>
  <c r="F220" i="2" a="1"/>
  <c r="F220" i="2" s="1"/>
  <c r="AM264" i="2" a="1"/>
  <c r="AM264" i="2" s="1"/>
  <c r="F183" i="2" a="1"/>
  <c r="F183" i="2" s="1"/>
  <c r="X148" i="2" a="1"/>
  <c r="X148" i="2" s="1"/>
  <c r="AA238" i="2" a="1"/>
  <c r="AA238" i="2" s="1"/>
  <c r="X273" i="2" a="1"/>
  <c r="X273" i="2" s="1"/>
  <c r="AG254" i="2" a="1"/>
  <c r="AG254" i="2" s="1"/>
  <c r="AJ119" i="2" a="1"/>
  <c r="AJ119" i="2" s="1"/>
  <c r="AJ218" i="2" a="1"/>
  <c r="AJ218" i="2" s="1"/>
  <c r="L205" i="2" a="1"/>
  <c r="L205" i="2" s="1"/>
  <c r="U261" i="2" a="1"/>
  <c r="U261" i="2" s="1"/>
  <c r="AM131" i="2" a="1"/>
  <c r="AM131" i="2" s="1"/>
  <c r="X186" i="2" a="1"/>
  <c r="X186" i="2" s="1"/>
  <c r="AM194" i="2" a="1"/>
  <c r="AM194" i="2" s="1"/>
  <c r="AJ233" i="2" a="1"/>
  <c r="AJ233" i="2" s="1"/>
  <c r="I236" i="2" a="1"/>
  <c r="I236" i="2" s="1"/>
  <c r="X114" i="2" a="1"/>
  <c r="X114" i="2" s="1"/>
  <c r="U218" i="2" a="1"/>
  <c r="U218" i="2" s="1"/>
  <c r="AG178" i="2" a="1"/>
  <c r="AG178" i="2" s="1"/>
  <c r="AA107" i="2" a="1"/>
  <c r="AA107" i="2" s="1"/>
  <c r="AG191" i="2" a="1"/>
  <c r="AG191" i="2" s="1"/>
  <c r="R178" i="2" a="1"/>
  <c r="R178" i="2" s="1"/>
  <c r="L232" i="2" a="1"/>
  <c r="L232" i="2" s="1"/>
  <c r="L176" i="2" a="1"/>
  <c r="L176" i="2" s="1"/>
  <c r="F165" i="2" a="1"/>
  <c r="F165" i="2" s="1"/>
  <c r="L97" i="2" a="1"/>
  <c r="L97" i="2" s="1"/>
  <c r="AG201" i="2" a="1"/>
  <c r="AG201" i="2" s="1"/>
  <c r="AG172" i="2" a="1"/>
  <c r="AG172" i="2" s="1"/>
  <c r="AA124" i="2" a="1"/>
  <c r="AA124" i="2" s="1"/>
  <c r="O99" i="2" a="1"/>
  <c r="O99" i="2" s="1"/>
  <c r="AG106" i="2" a="1"/>
  <c r="AG106" i="2" s="1"/>
  <c r="X240" i="2" a="1"/>
  <c r="X240" i="2" s="1"/>
  <c r="AJ183" i="2" a="1"/>
  <c r="AJ183" i="2" s="1"/>
  <c r="R116" i="2" a="1"/>
  <c r="R116" i="2" s="1"/>
  <c r="F176" i="2" a="1"/>
  <c r="F176" i="2" s="1"/>
  <c r="L44" i="2" a="1"/>
  <c r="L44" i="2" s="1"/>
  <c r="I139" i="2" a="1"/>
  <c r="I139" i="2" s="1"/>
  <c r="R167" i="2" a="1"/>
  <c r="R167" i="2" s="1"/>
  <c r="O242" i="2" a="1"/>
  <c r="O242" i="2" s="1"/>
  <c r="X111" i="2" a="1"/>
  <c r="X111" i="2" s="1"/>
  <c r="U233" i="2" a="1"/>
  <c r="U233" i="2" s="1"/>
  <c r="O141" i="2" a="1"/>
  <c r="O141" i="2" s="1"/>
  <c r="AA247" i="2" a="1"/>
  <c r="AA247" i="2" s="1"/>
  <c r="AJ103" i="2" a="1"/>
  <c r="AJ103" i="2" s="1"/>
  <c r="AD159" i="2" a="1"/>
  <c r="AD159" i="2" s="1"/>
  <c r="F182" i="2" a="1"/>
  <c r="F182" i="2" s="1"/>
  <c r="AM168" i="2" a="1"/>
  <c r="AM168" i="2" s="1"/>
  <c r="I122" i="2" a="1"/>
  <c r="I122" i="2" s="1"/>
  <c r="X216" i="2" a="1"/>
  <c r="X216" i="2" s="1"/>
  <c r="U111" i="2" a="1"/>
  <c r="U111" i="2" s="1"/>
  <c r="R109" i="2" a="1"/>
  <c r="R109" i="2" s="1"/>
  <c r="O205" i="2" a="1"/>
  <c r="O205" i="2" s="1"/>
  <c r="L208" i="2" a="1"/>
  <c r="L208" i="2" s="1"/>
  <c r="F159" i="2" a="1"/>
  <c r="F159" i="2" s="1"/>
  <c r="F213" i="2" a="1"/>
  <c r="F213" i="2" s="1"/>
  <c r="X181" i="2" a="1"/>
  <c r="X181" i="2" s="1"/>
  <c r="U102" i="2" a="1"/>
  <c r="U102" i="2" s="1"/>
  <c r="AD183" i="2" a="1"/>
  <c r="AD183" i="2" s="1"/>
  <c r="AM217" i="2" a="1"/>
  <c r="AM217" i="2" s="1"/>
  <c r="F223" i="2" a="1"/>
  <c r="F223" i="2" s="1"/>
  <c r="AA200" i="2" a="1"/>
  <c r="AA200" i="2" s="1"/>
  <c r="X131" i="2" a="1"/>
  <c r="X131" i="2" s="1"/>
  <c r="R137" i="2" a="1"/>
  <c r="R137" i="2" s="1"/>
  <c r="F101" i="2" a="1"/>
  <c r="F101" i="2" s="1"/>
  <c r="AM44" i="2" a="1"/>
  <c r="AM44" i="2" s="1"/>
  <c r="F152" i="2" a="1"/>
  <c r="F152" i="2" s="1"/>
  <c r="I110" i="2" a="1"/>
  <c r="I110" i="2" s="1"/>
  <c r="I223" i="2" a="1"/>
  <c r="I223" i="2" s="1"/>
  <c r="L213" i="2" a="1"/>
  <c r="L213" i="2" s="1"/>
  <c r="AJ116" i="2" a="1"/>
  <c r="AJ116" i="2" s="1"/>
  <c r="U231" i="2" a="1"/>
  <c r="U231" i="2" s="1"/>
  <c r="I118" i="2" a="1"/>
  <c r="I118" i="2" s="1"/>
  <c r="AA143" i="2" a="1"/>
  <c r="AA143" i="2" s="1"/>
  <c r="AD167" i="2" a="1"/>
  <c r="AD167" i="2" s="1"/>
  <c r="AJ168" i="2" a="1"/>
  <c r="AJ168" i="2" s="1"/>
  <c r="X87" i="2" a="1"/>
  <c r="X87" i="2" s="1"/>
  <c r="U157" i="2" a="1"/>
  <c r="U157" i="2" s="1"/>
  <c r="R200" i="2" a="1"/>
  <c r="R200" i="2" s="1"/>
  <c r="L170" i="2" a="1"/>
  <c r="L170" i="2" s="1"/>
  <c r="AM141" i="2" a="1"/>
  <c r="AM141" i="2" s="1"/>
  <c r="AM267" i="2" a="1"/>
  <c r="AM267" i="2" s="1"/>
  <c r="X267" i="2" a="1"/>
  <c r="X267" i="2" s="1"/>
  <c r="F124" i="2" a="1"/>
  <c r="F124" i="2" s="1"/>
  <c r="AJ106" i="2" a="1"/>
  <c r="AJ106" i="2" s="1"/>
  <c r="L144" i="2" a="1"/>
  <c r="L144" i="2" s="1"/>
  <c r="R249" i="2" a="1"/>
  <c r="R249" i="2" s="1"/>
  <c r="U175" i="2" a="1"/>
  <c r="U175" i="2" s="1"/>
  <c r="AD251" i="2" a="1"/>
  <c r="AD251" i="2" s="1"/>
  <c r="O199" i="2" a="1"/>
  <c r="O199" i="2" s="1"/>
  <c r="I156" i="2" a="1"/>
  <c r="I156" i="2" s="1"/>
  <c r="X94" i="2" a="1"/>
  <c r="X94" i="2" s="1"/>
  <c r="X271" i="2" a="1"/>
  <c r="X271" i="2" s="1"/>
  <c r="X229" i="2" a="1"/>
  <c r="X229" i="2" s="1"/>
  <c r="L98" i="2" a="1"/>
  <c r="L98" i="2" s="1"/>
  <c r="AA245" i="2" a="1"/>
  <c r="AA245" i="2" s="1"/>
  <c r="I232" i="2" a="1"/>
  <c r="I232" i="2" s="1"/>
  <c r="L229" i="2" a="1"/>
  <c r="L229" i="2" s="1"/>
  <c r="U179" i="2" a="1"/>
  <c r="U179" i="2" s="1"/>
  <c r="U168" i="2" a="1"/>
  <c r="U168" i="2" s="1"/>
  <c r="X207" i="2" a="1"/>
  <c r="X207" i="2" s="1"/>
  <c r="L270" i="2" a="1"/>
  <c r="L270" i="2" s="1"/>
  <c r="AJ122" i="2" a="1"/>
  <c r="AJ122" i="2" s="1"/>
  <c r="AM105" i="2" a="1"/>
  <c r="AM105" i="2" s="1"/>
  <c r="L188" i="2" a="1"/>
  <c r="L188" i="2" s="1"/>
  <c r="R208" i="2" a="1"/>
  <c r="R208" i="2" s="1"/>
  <c r="AJ209" i="2" a="1"/>
  <c r="AJ209" i="2" s="1"/>
  <c r="I143" i="2" a="1"/>
  <c r="I143" i="2" s="1"/>
  <c r="L100" i="2" a="1"/>
  <c r="L100" i="2" s="1"/>
  <c r="I168" i="2" a="1"/>
  <c r="I168" i="2" s="1"/>
  <c r="R231" i="2" a="1"/>
  <c r="R231" i="2" s="1"/>
  <c r="AJ99" i="2" a="1"/>
  <c r="AJ99" i="2" s="1"/>
  <c r="F161" i="2" a="1"/>
  <c r="F161" i="2" s="1"/>
  <c r="AJ242" i="2" a="1"/>
  <c r="AJ242" i="2" s="1"/>
  <c r="AG251" i="2" a="1"/>
  <c r="AG251" i="2" s="1"/>
  <c r="AJ149" i="2" a="1"/>
  <c r="AJ149" i="2" s="1"/>
  <c r="L185" i="2" a="1"/>
  <c r="L185" i="2" s="1"/>
  <c r="I243" i="2" a="1"/>
  <c r="I243" i="2" s="1"/>
  <c r="R132" i="2" a="1"/>
  <c r="R132" i="2" s="1"/>
  <c r="AJ150" i="2" a="1"/>
  <c r="AJ150" i="2" s="1"/>
  <c r="I261" i="2" a="1"/>
  <c r="I261" i="2" s="1"/>
  <c r="I209" i="2" a="1"/>
  <c r="I209" i="2" s="1"/>
  <c r="AA141" i="2" a="1"/>
  <c r="AA141" i="2" s="1"/>
  <c r="R174" i="2" a="1"/>
  <c r="R174" i="2" s="1"/>
  <c r="F155" i="2" a="1"/>
  <c r="F155" i="2" s="1"/>
  <c r="U167" i="2" a="1"/>
  <c r="U167" i="2" s="1"/>
  <c r="O268" i="2" a="1"/>
  <c r="O268" i="2" s="1"/>
  <c r="F245" i="2" a="1"/>
  <c r="F245" i="2" s="1"/>
  <c r="AJ227" i="2" a="1"/>
  <c r="AJ227" i="2" s="1"/>
  <c r="I164" i="2" a="1"/>
  <c r="I164" i="2" s="1"/>
  <c r="F209" i="2" a="1"/>
  <c r="F209" i="2" s="1"/>
  <c r="O184" i="2" a="1"/>
  <c r="O184" i="2" s="1"/>
  <c r="AM255" i="2" a="1"/>
  <c r="AM255" i="2" s="1"/>
  <c r="AD193" i="2" a="1"/>
  <c r="AD193" i="2" s="1"/>
  <c r="AJ259" i="2" a="1"/>
  <c r="AJ259" i="2" s="1"/>
  <c r="AD143" i="2" a="1"/>
  <c r="AD143" i="2" s="1"/>
  <c r="O200" i="2" a="1"/>
  <c r="O200" i="2" s="1"/>
  <c r="AA98" i="2" a="1"/>
  <c r="AA98" i="2" s="1"/>
  <c r="I206" i="2" a="1"/>
  <c r="I206" i="2" s="1"/>
  <c r="AA226" i="2" a="1"/>
  <c r="AA226" i="2" s="1"/>
  <c r="AM161" i="2" a="1"/>
  <c r="AM161" i="2" s="1"/>
  <c r="F167" i="2" a="1"/>
  <c r="F167" i="2" s="1"/>
  <c r="AG176" i="2" a="1"/>
  <c r="AG176" i="2" s="1"/>
  <c r="O258" i="2" a="1"/>
  <c r="O258" i="2" s="1"/>
  <c r="O178" i="2" a="1"/>
  <c r="O178" i="2" s="1"/>
  <c r="F115" i="2" a="1"/>
  <c r="F115" i="2" s="1"/>
  <c r="I95" i="2" a="1"/>
  <c r="I95" i="2" s="1"/>
  <c r="R254" i="2" a="1"/>
  <c r="R254" i="2" s="1"/>
  <c r="X188" i="2" a="1"/>
  <c r="X188" i="2" s="1"/>
  <c r="AD126" i="2" a="1"/>
  <c r="AD126" i="2" s="1"/>
  <c r="X212" i="2" a="1"/>
  <c r="X212" i="2" s="1"/>
  <c r="AD272" i="2" a="1"/>
  <c r="AD272" i="2" s="1"/>
  <c r="AD178" i="2" a="1"/>
  <c r="AD178" i="2" s="1"/>
  <c r="AA156" i="2" a="1"/>
  <c r="AA156" i="2" s="1"/>
  <c r="AM221" i="2" a="1"/>
  <c r="AM221" i="2" s="1"/>
  <c r="AJ202" i="2" a="1"/>
  <c r="AJ202" i="2" s="1"/>
  <c r="AD201" i="2" a="1"/>
  <c r="AD201" i="2" s="1"/>
  <c r="AJ96" i="2" a="1"/>
  <c r="AJ96" i="2" s="1"/>
  <c r="F175" i="2" a="1"/>
  <c r="F175" i="2" s="1"/>
  <c r="AM262" i="2" a="1"/>
  <c r="AM262" i="2" s="1"/>
  <c r="U136" i="2" a="1"/>
  <c r="U136" i="2" s="1"/>
  <c r="AD244" i="2" a="1"/>
  <c r="AD244" i="2" s="1"/>
  <c r="O224" i="2" a="1"/>
  <c r="O224" i="2" s="1"/>
  <c r="AM228" i="2" a="1"/>
  <c r="AM228" i="2" s="1"/>
  <c r="AM129" i="2" a="1"/>
  <c r="AM129" i="2" s="1"/>
  <c r="AM165" i="2" a="1"/>
  <c r="AM165" i="2" s="1"/>
  <c r="I130" i="2" a="1"/>
  <c r="I130" i="2" s="1"/>
  <c r="I259" i="2" a="1"/>
  <c r="I259" i="2" s="1"/>
  <c r="U182" i="2" a="1"/>
  <c r="U182" i="2" s="1"/>
  <c r="R245" i="2" a="1"/>
  <c r="R245" i="2" s="1"/>
  <c r="AG99" i="2" a="1"/>
  <c r="AG99" i="2" s="1"/>
  <c r="I198" i="2" a="1"/>
  <c r="I198" i="2" s="1"/>
  <c r="L207" i="2" a="1"/>
  <c r="L207" i="2" s="1"/>
  <c r="L101" i="2" a="1"/>
  <c r="L101" i="2" s="1"/>
  <c r="O107" i="2" a="1"/>
  <c r="O107" i="2" s="1"/>
  <c r="R183" i="2" a="1"/>
  <c r="R183" i="2" s="1"/>
  <c r="I224" i="2" a="1"/>
  <c r="I224" i="2" s="1"/>
  <c r="O212" i="2" a="1"/>
  <c r="O212" i="2" s="1"/>
  <c r="X174" i="2" a="1"/>
  <c r="X174" i="2" s="1"/>
  <c r="AM186" i="2" a="1"/>
  <c r="AM186" i="2" s="1"/>
  <c r="I44" i="2" a="1"/>
  <c r="I44" i="2" s="1"/>
  <c r="X244" i="2" a="1"/>
  <c r="X244" i="2" s="1"/>
  <c r="AA115" i="2" a="1"/>
  <c r="AA115" i="2" s="1"/>
  <c r="F253" i="2" a="1"/>
  <c r="F253" i="2" s="1"/>
  <c r="AM154" i="2" a="1"/>
  <c r="AM154" i="2" s="1"/>
  <c r="X250" i="2" a="1"/>
  <c r="X250" i="2" s="1"/>
  <c r="AM143" i="2" a="1"/>
  <c r="AM143" i="2" s="1"/>
  <c r="I222" i="2" a="1"/>
  <c r="I222" i="2" s="1"/>
  <c r="U153" i="2" a="1"/>
  <c r="U153" i="2" s="1"/>
  <c r="I183" i="2" a="1"/>
  <c r="I183" i="2" s="1"/>
  <c r="AG243" i="2" a="1"/>
  <c r="AG243" i="2" s="1"/>
  <c r="U198" i="2" a="1"/>
  <c r="U198" i="2" s="1"/>
  <c r="AJ118" i="2" a="1"/>
  <c r="AJ118" i="2" s="1"/>
  <c r="AA270" i="2" a="1"/>
  <c r="AA270" i="2" s="1"/>
  <c r="F272" i="2" a="1"/>
  <c r="F272" i="2" s="1"/>
  <c r="AA153" i="2" a="1"/>
  <c r="AA153" i="2" s="1"/>
  <c r="O105" i="2" a="1"/>
  <c r="O105" i="2" s="1"/>
  <c r="AJ239" i="2" a="1"/>
  <c r="AJ239" i="2" s="1"/>
  <c r="F44" i="2" a="1"/>
  <c r="F44" i="2" s="1"/>
  <c r="R99" i="2" a="1"/>
  <c r="R99" i="2" s="1"/>
  <c r="AM212" i="2" a="1"/>
  <c r="AM212" i="2" s="1"/>
  <c r="AM178" i="2" a="1"/>
  <c r="AM178" i="2" s="1"/>
  <c r="AA44" i="2" a="1"/>
  <c r="AA44" i="2" s="1"/>
  <c r="AM126" i="2" a="1"/>
  <c r="AM126" i="2" s="1"/>
  <c r="O165" i="2" a="1"/>
  <c r="O165" i="2" s="1"/>
  <c r="O129" i="2" a="1"/>
  <c r="O129" i="2" s="1"/>
  <c r="AA242" i="2" a="1"/>
  <c r="AA242" i="2" s="1"/>
  <c r="AD177" i="2" a="1"/>
  <c r="AD177" i="2" s="1"/>
  <c r="AG170" i="2" a="1"/>
  <c r="AG170" i="2" s="1"/>
  <c r="U150" i="2" a="1"/>
  <c r="U150" i="2" s="1"/>
  <c r="AG252" i="2" a="1"/>
  <c r="AG252" i="2" s="1"/>
  <c r="U201" i="2" a="1"/>
  <c r="U201" i="2" s="1"/>
  <c r="AM102" i="2" a="1"/>
  <c r="AM102" i="2" s="1"/>
  <c r="X211" i="2" a="1"/>
  <c r="X211" i="2" s="1"/>
  <c r="U181" i="2" a="1"/>
  <c r="U181" i="2" s="1"/>
  <c r="F190" i="2" a="1"/>
  <c r="F190" i="2" s="1"/>
  <c r="I204" i="2" a="1"/>
  <c r="I204" i="2" s="1"/>
  <c r="AJ207" i="2" a="1"/>
  <c r="AJ207" i="2" s="1"/>
  <c r="AA186" i="2" a="1"/>
  <c r="AA186" i="2" s="1"/>
  <c r="AA237" i="2" a="1"/>
  <c r="AA237" i="2" s="1"/>
  <c r="L124" i="2" a="1"/>
  <c r="L124" i="2" s="1"/>
  <c r="L137" i="2" a="1"/>
  <c r="L137" i="2" s="1"/>
  <c r="AG137" i="2" a="1"/>
  <c r="AG137" i="2" s="1"/>
  <c r="AJ180" i="2" a="1"/>
  <c r="AJ180" i="2" s="1"/>
  <c r="X189" i="2" a="1"/>
  <c r="X189" i="2" s="1"/>
  <c r="AD235" i="2" a="1"/>
  <c r="AD235" i="2" s="1"/>
  <c r="AA106" i="2" a="1"/>
  <c r="AA106" i="2" s="1"/>
  <c r="O221" i="2" a="1"/>
  <c r="O221" i="2" s="1"/>
  <c r="AA221" i="2" a="1"/>
  <c r="AA221" i="2" s="1"/>
  <c r="F262" i="2" a="1"/>
  <c r="F262" i="2" s="1"/>
  <c r="X96" i="2" a="1"/>
  <c r="X96" i="2" s="1"/>
  <c r="AD97" i="2" a="1"/>
  <c r="AD97" i="2" s="1"/>
  <c r="AD239" i="2" a="1"/>
  <c r="AD239" i="2" s="1"/>
  <c r="F131" i="2" a="1"/>
  <c r="F131" i="2" s="1"/>
  <c r="AD236" i="2" a="1"/>
  <c r="AD236" i="2" s="1"/>
  <c r="AA128" i="2" a="1"/>
  <c r="AA128" i="2" s="1"/>
  <c r="X127" i="2" a="1"/>
  <c r="X127" i="2" s="1"/>
  <c r="AJ114" i="2" a="1"/>
  <c r="AJ114" i="2" s="1"/>
  <c r="I167" i="2" a="1"/>
  <c r="I167" i="2" s="1"/>
  <c r="R206" i="2" a="1"/>
  <c r="R206" i="2" s="1"/>
  <c r="X112" i="2" a="1"/>
  <c r="X112" i="2" s="1"/>
  <c r="AG241" i="2" a="1"/>
  <c r="AG241" i="2" s="1"/>
  <c r="AA253" i="2" a="1"/>
  <c r="AA253" i="2" s="1"/>
  <c r="AM123" i="2" a="1"/>
  <c r="AM123" i="2" s="1"/>
  <c r="X98" i="2" a="1"/>
  <c r="X98" i="2" s="1"/>
  <c r="U255" i="2" a="1"/>
  <c r="U255" i="2" s="1"/>
  <c r="O180" i="2" a="1"/>
  <c r="O180" i="2" s="1"/>
  <c r="AG218" i="2" a="1"/>
  <c r="AG218" i="2" s="1"/>
  <c r="AM130" i="2" a="1"/>
  <c r="AM130" i="2" s="1"/>
  <c r="AM155" i="2" a="1"/>
  <c r="AM155" i="2" s="1"/>
  <c r="R210" i="2" a="1"/>
  <c r="R210" i="2" s="1"/>
  <c r="AG248" i="2" a="1"/>
  <c r="AG248" i="2" s="1"/>
  <c r="AG118" i="2" a="1"/>
  <c r="AG118" i="2" s="1"/>
  <c r="AD106" i="2" a="1"/>
  <c r="AD106" i="2" s="1"/>
  <c r="I179" i="2" a="1"/>
  <c r="I179" i="2" s="1"/>
  <c r="AD175" i="2" a="1"/>
  <c r="AD175" i="2" s="1"/>
  <c r="AG175" i="2" a="1"/>
  <c r="AG175" i="2" s="1"/>
  <c r="AJ141" i="2" a="1"/>
  <c r="AJ141" i="2" s="1"/>
  <c r="AJ241" i="2" a="1"/>
  <c r="AJ241" i="2" s="1"/>
  <c r="L173" i="2" a="1"/>
  <c r="L173" i="2" s="1"/>
  <c r="AA213" i="2" a="1"/>
  <c r="AA213" i="2" s="1"/>
  <c r="I154" i="2" a="1"/>
  <c r="I154" i="2" s="1"/>
  <c r="I211" i="2" a="1"/>
  <c r="I211" i="2" s="1"/>
  <c r="R180" i="2" a="1"/>
  <c r="R180" i="2" s="1"/>
  <c r="AG268" i="2" a="1"/>
  <c r="AG268" i="2" s="1"/>
  <c r="AD133" i="2" a="1"/>
  <c r="AD133" i="2" s="1"/>
  <c r="U152" i="2" a="1"/>
  <c r="U152" i="2" s="1"/>
  <c r="X261" i="2" a="1"/>
  <c r="X261" i="2" s="1"/>
  <c r="AM189" i="2" a="1"/>
  <c r="AM189" i="2" s="1"/>
  <c r="X126" i="2" a="1"/>
  <c r="X126" i="2" s="1"/>
  <c r="AD125" i="2" a="1"/>
  <c r="AD125" i="2" s="1"/>
  <c r="R241" i="2" a="1"/>
  <c r="R241" i="2" s="1"/>
  <c r="AG194" i="2" a="1"/>
  <c r="AG194" i="2" s="1"/>
  <c r="R161" i="2" a="1"/>
  <c r="R161" i="2" s="1"/>
  <c r="O240" i="2" a="1"/>
  <c r="O240" i="2" s="1"/>
  <c r="AD229" i="2" a="1"/>
  <c r="AD229" i="2" s="1"/>
  <c r="AA196" i="2" a="1"/>
  <c r="AA196" i="2" s="1"/>
  <c r="I136" i="2" a="1"/>
  <c r="I136" i="2" s="1"/>
  <c r="AJ179" i="2" a="1"/>
  <c r="AJ179" i="2" s="1"/>
  <c r="R233" i="2" a="1"/>
  <c r="R233" i="2" s="1"/>
  <c r="AJ199" i="2" a="1"/>
  <c r="AJ199" i="2" s="1"/>
  <c r="R171" i="2" a="1"/>
  <c r="R171" i="2" s="1"/>
  <c r="AM128" i="2" a="1"/>
  <c r="AM128" i="2" s="1"/>
  <c r="F111" i="2" a="1"/>
  <c r="F111" i="2" s="1"/>
  <c r="F250" i="2" a="1"/>
  <c r="F250" i="2" s="1"/>
  <c r="AA260" i="2" a="1"/>
  <c r="AA260" i="2" s="1"/>
  <c r="AM226" i="2" a="1"/>
  <c r="AM226" i="2" s="1"/>
  <c r="AM152" i="2" a="1"/>
  <c r="AM152" i="2" s="1"/>
  <c r="R175" i="2" a="1"/>
  <c r="R175" i="2" s="1"/>
  <c r="AJ146" i="2" a="1"/>
  <c r="AJ146" i="2" s="1"/>
  <c r="O101" i="2" a="1"/>
  <c r="O101" i="2" s="1"/>
  <c r="L237" i="2" a="1"/>
  <c r="L237" i="2" s="1"/>
  <c r="AA194" i="2" a="1"/>
  <c r="AA194" i="2" s="1"/>
  <c r="I220" i="2" a="1"/>
  <c r="I220" i="2" s="1"/>
  <c r="AM179" i="2" a="1"/>
  <c r="AM179" i="2" s="1"/>
  <c r="AA135" i="2" a="1"/>
  <c r="AA135" i="2" s="1"/>
  <c r="X203" i="2" a="1"/>
  <c r="X203" i="2" s="1"/>
  <c r="X238" i="2" a="1"/>
  <c r="X238" i="2" s="1"/>
  <c r="X123" i="2" a="1"/>
  <c r="X123" i="2" s="1"/>
  <c r="AM218" i="2" a="1"/>
  <c r="AM218" i="2" s="1"/>
  <c r="AA139" i="2" a="1"/>
  <c r="AA139" i="2" s="1"/>
  <c r="I216" i="2" a="1"/>
  <c r="I216" i="2" s="1"/>
  <c r="I146" i="2" a="1"/>
  <c r="I146" i="2" s="1"/>
  <c r="R121" i="2" a="1"/>
  <c r="R121" i="2" s="1"/>
  <c r="R168" i="2" a="1"/>
  <c r="R168" i="2" s="1"/>
  <c r="L262" i="2" a="1"/>
  <c r="L262" i="2" s="1"/>
  <c r="AG121" i="2" a="1"/>
  <c r="AG121" i="2" s="1"/>
  <c r="I125" i="2" a="1"/>
  <c r="I125" i="2" s="1"/>
  <c r="AM244" i="2" a="1"/>
  <c r="AM244" i="2" s="1"/>
  <c r="R227" i="2" a="1"/>
  <c r="R227" i="2" s="1"/>
  <c r="R181" i="2" a="1"/>
  <c r="R181" i="2" s="1"/>
  <c r="AM147" i="2" a="1"/>
  <c r="AM147" i="2" s="1"/>
  <c r="O203" i="2" a="1"/>
  <c r="O203" i="2" s="1"/>
  <c r="AM146" i="2" a="1"/>
  <c r="AM146" i="2" s="1"/>
  <c r="AM248" i="2" a="1"/>
  <c r="AM248" i="2" s="1"/>
  <c r="AA174" i="2" a="1"/>
  <c r="AA174" i="2" s="1"/>
  <c r="X100" i="2" a="1"/>
  <c r="X100" i="2" s="1"/>
  <c r="F259" i="2" a="1"/>
  <c r="F259" i="2" s="1"/>
  <c r="U248" i="2" a="1"/>
  <c r="U248" i="2" s="1"/>
  <c r="AA126" i="2" a="1"/>
  <c r="AA126" i="2" s="1"/>
  <c r="AJ151" i="2" a="1"/>
  <c r="AJ151" i="2" s="1"/>
  <c r="I106" i="2" a="1"/>
  <c r="I106" i="2" s="1"/>
  <c r="AG238" i="2" a="1"/>
  <c r="AG238" i="2" s="1"/>
  <c r="F174" i="2" a="1"/>
  <c r="F174" i="2" s="1"/>
  <c r="X258" i="2" a="1"/>
  <c r="X258" i="2" s="1"/>
  <c r="U133" i="2" a="1"/>
  <c r="U133" i="2" s="1"/>
  <c r="AM176" i="2" a="1"/>
  <c r="AM176" i="2" s="1"/>
  <c r="L204" i="2" a="1"/>
  <c r="L204" i="2" s="1"/>
  <c r="AM270" i="2" a="1"/>
  <c r="AM270" i="2" s="1"/>
  <c r="L166" i="2" a="1"/>
  <c r="L166" i="2" s="1"/>
  <c r="L206" i="2" a="1"/>
  <c r="L206" i="2" s="1"/>
  <c r="R246" i="2" a="1"/>
  <c r="R246" i="2" s="1"/>
  <c r="U137" i="2" a="1"/>
  <c r="U137" i="2" s="1"/>
  <c r="AA170" i="2" a="1"/>
  <c r="AA170" i="2" s="1"/>
  <c r="AD237" i="2" a="1"/>
  <c r="AD237" i="2" s="1"/>
  <c r="X183" i="2" a="1"/>
  <c r="X183" i="2" s="1"/>
  <c r="L238" i="2" a="1"/>
  <c r="L238" i="2" s="1"/>
  <c r="AG124" i="2" a="1"/>
  <c r="AG124" i="2" s="1"/>
  <c r="AG152" i="2" a="1"/>
  <c r="AG152" i="2" s="1"/>
  <c r="L107" i="2" a="1"/>
  <c r="L107" i="2" s="1"/>
  <c r="R139" i="2" a="1"/>
  <c r="R139" i="2" s="1"/>
  <c r="O272" i="2" a="1"/>
  <c r="O272" i="2" s="1"/>
  <c r="AM256" i="2" a="1"/>
  <c r="AM256" i="2" s="1"/>
  <c r="L197" i="2" a="1"/>
  <c r="L197" i="2" s="1"/>
  <c r="R106" i="2" a="1"/>
  <c r="R106" i="2" s="1"/>
  <c r="O195" i="2" a="1"/>
  <c r="O195" i="2" s="1"/>
  <c r="AM241" i="2" a="1"/>
  <c r="AM241" i="2" s="1"/>
  <c r="R253" i="2" a="1"/>
  <c r="R253" i="2" s="1"/>
  <c r="X122" i="2" a="1"/>
  <c r="X122" i="2" s="1"/>
  <c r="L191" i="2" a="1"/>
  <c r="L191" i="2" s="1"/>
  <c r="AA176" i="2" a="1"/>
  <c r="AA176" i="2" s="1"/>
  <c r="AD179" i="2" a="1"/>
  <c r="AD179" i="2" s="1"/>
  <c r="X145" i="2" a="1"/>
  <c r="X145" i="2" s="1"/>
  <c r="X119" i="2" a="1"/>
  <c r="X119" i="2" s="1"/>
  <c r="AA184" i="2" a="1"/>
  <c r="AA184" i="2" s="1"/>
  <c r="F258" i="2" a="1"/>
  <c r="F258" i="2" s="1"/>
  <c r="O246" i="2" a="1"/>
  <c r="O246" i="2" s="1"/>
  <c r="AJ98" i="2" a="1"/>
  <c r="AJ98" i="2" s="1"/>
  <c r="X190" i="2" a="1"/>
  <c r="X190" i="2" s="1"/>
  <c r="I184" i="2" a="1"/>
  <c r="I184" i="2" s="1"/>
  <c r="AG140" i="2" a="1"/>
  <c r="AG140" i="2" s="1"/>
  <c r="X104" i="2" a="1"/>
  <c r="X104" i="2" s="1"/>
  <c r="I172" i="2" a="1"/>
  <c r="I172" i="2" s="1"/>
  <c r="F164" i="2" a="1"/>
  <c r="F164" i="2" s="1"/>
  <c r="L233" i="2" a="1"/>
  <c r="L233" i="2" s="1"/>
  <c r="AD182" i="2" a="1"/>
  <c r="AD182" i="2" s="1"/>
  <c r="O245" i="2" a="1"/>
  <c r="O245" i="2" s="1"/>
  <c r="AG97" i="2" a="1"/>
  <c r="AG97" i="2" s="1"/>
  <c r="AA269" i="2" a="1"/>
  <c r="AA269" i="2" s="1"/>
  <c r="AJ237" i="2" a="1"/>
  <c r="AJ237" i="2" s="1"/>
  <c r="L117" i="2" a="1"/>
  <c r="L117" i="2" s="1"/>
  <c r="R110" i="2" a="1"/>
  <c r="R110" i="2" s="1"/>
  <c r="AD181" i="2" a="1"/>
  <c r="AD181" i="2" s="1"/>
  <c r="AA179" i="2" a="1"/>
  <c r="AA179" i="2" s="1"/>
  <c r="X209" i="2" a="1"/>
  <c r="X209" i="2" s="1"/>
  <c r="AJ138" i="2" a="1"/>
  <c r="AJ138" i="2" s="1"/>
  <c r="I101" i="2" a="1"/>
  <c r="I101" i="2" s="1"/>
  <c r="AG117" i="2" a="1"/>
  <c r="AG117" i="2" s="1"/>
  <c r="R158" i="2" a="1"/>
  <c r="R158" i="2" s="1"/>
  <c r="AJ240" i="2" a="1"/>
  <c r="AJ240" i="2" s="1"/>
  <c r="AG110" i="2" a="1"/>
  <c r="AG110" i="2" s="1"/>
  <c r="AJ90" i="2" a="1"/>
  <c r="AJ90" i="2" s="1"/>
  <c r="AD216" i="2" a="1"/>
  <c r="AD216" i="2" s="1"/>
  <c r="L201" i="2" a="1"/>
  <c r="L201" i="2" s="1"/>
  <c r="L234" i="2" a="1"/>
  <c r="L234" i="2" s="1"/>
  <c r="X120" i="2" a="1"/>
  <c r="X120" i="2" s="1"/>
  <c r="F105" i="2" a="1"/>
  <c r="F105" i="2" s="1"/>
  <c r="AG256" i="2" a="1"/>
  <c r="AG256" i="2" s="1"/>
  <c r="R131" i="2" a="1"/>
  <c r="R131" i="2" s="1"/>
  <c r="AM170" i="2" a="1"/>
  <c r="AM170" i="2" s="1"/>
  <c r="X140" i="2" a="1"/>
  <c r="X140" i="2" s="1"/>
  <c r="O250" i="2" a="1"/>
  <c r="O250" i="2" s="1"/>
  <c r="AG89" i="2" a="1"/>
  <c r="AG89" i="2" s="1"/>
  <c r="AA166" i="2" a="1"/>
  <c r="AA166" i="2" s="1"/>
  <c r="AA203" i="2" a="1"/>
  <c r="AA203" i="2" s="1"/>
  <c r="AD207" i="2" a="1"/>
  <c r="AD207" i="2" s="1"/>
  <c r="AM120" i="2" a="1"/>
  <c r="AM120" i="2" s="1"/>
  <c r="I208" i="2" a="1"/>
  <c r="I208" i="2" s="1"/>
  <c r="U252" i="2" a="1"/>
  <c r="U252" i="2" s="1"/>
  <c r="F201" i="2" a="1"/>
  <c r="F201" i="2" s="1"/>
  <c r="AG139" i="2" a="1"/>
  <c r="AG139" i="2" s="1"/>
  <c r="F185" i="2" a="1"/>
  <c r="F185" i="2" s="1"/>
  <c r="R140" i="2" a="1"/>
  <c r="R140" i="2" s="1"/>
  <c r="AJ223" i="2" a="1"/>
  <c r="AJ223" i="2" s="1"/>
  <c r="AA96" i="2" a="1"/>
  <c r="AA96" i="2" s="1"/>
  <c r="AD173" i="2" a="1"/>
  <c r="AD173" i="2" s="1"/>
  <c r="L219" i="2" a="1"/>
  <c r="L219" i="2" s="1"/>
  <c r="I252" i="2" a="1"/>
  <c r="I252" i="2" s="1"/>
  <c r="F98" i="2" a="1"/>
  <c r="F98" i="2" s="1"/>
  <c r="I107" i="2" a="1"/>
  <c r="I107" i="2" s="1"/>
  <c r="AJ185" i="2" a="1"/>
  <c r="AJ185" i="2" s="1"/>
  <c r="AM273" i="2" a="1"/>
  <c r="AM273" i="2" s="1"/>
  <c r="I237" i="2" a="1"/>
  <c r="I237" i="2" s="1"/>
  <c r="AJ95" i="2" a="1"/>
  <c r="AJ95" i="2" s="1"/>
  <c r="I157" i="2" a="1"/>
  <c r="I157" i="2" s="1"/>
  <c r="AD231" i="2" a="1"/>
  <c r="AD231" i="2" s="1"/>
  <c r="AJ112" i="2" a="1"/>
  <c r="AJ112" i="2" s="1"/>
  <c r="AM98" i="2" a="1"/>
  <c r="AM98" i="2" s="1"/>
  <c r="AG100" i="2" a="1"/>
  <c r="AG100" i="2" s="1"/>
  <c r="F160" i="2" a="1"/>
  <c r="F160" i="2" s="1"/>
  <c r="AG44" i="2" a="1"/>
  <c r="AG44" i="2" s="1"/>
  <c r="U98" i="2" a="1"/>
  <c r="U98" i="2" s="1"/>
  <c r="U195" i="2" a="1"/>
  <c r="U195" i="2" s="1"/>
  <c r="X204" i="2" a="1"/>
  <c r="X204" i="2" s="1"/>
  <c r="AM133" i="2" a="1"/>
  <c r="AM133" i="2" s="1"/>
  <c r="X254" i="2" a="1"/>
  <c r="X254" i="2" s="1"/>
  <c r="AD154" i="2" a="1"/>
  <c r="AD154" i="2" s="1"/>
  <c r="U188" i="2" a="1"/>
  <c r="U188" i="2" s="1"/>
  <c r="F168" i="2" a="1"/>
  <c r="F168" i="2" s="1"/>
  <c r="AM163" i="2" a="1"/>
  <c r="AM163" i="2" s="1"/>
  <c r="AM268" i="2" a="1"/>
  <c r="AM268" i="2" s="1"/>
  <c r="L131" i="2" a="1"/>
  <c r="L131" i="2" s="1"/>
  <c r="F136" i="2" a="1"/>
  <c r="F136" i="2" s="1"/>
  <c r="AM204" i="2" a="1"/>
  <c r="AM204" i="2" s="1"/>
  <c r="AJ200" i="2" a="1"/>
  <c r="AJ200" i="2" s="1"/>
  <c r="R188" i="2" a="1"/>
  <c r="R188" i="2" s="1"/>
  <c r="R152" i="2" a="1"/>
  <c r="R152" i="2" s="1"/>
  <c r="X130" i="2" a="1"/>
  <c r="X130" i="2" s="1"/>
  <c r="AD209" i="2" a="1"/>
  <c r="AD209" i="2" s="1"/>
  <c r="O104" i="2" a="1"/>
  <c r="O104" i="2" s="1"/>
  <c r="AJ217" i="2" a="1"/>
  <c r="AJ217" i="2" s="1"/>
  <c r="AA173" i="2" a="1"/>
  <c r="AA173" i="2" s="1"/>
  <c r="U232" i="2" a="1"/>
  <c r="U232" i="2" s="1"/>
  <c r="AG239" i="2" a="1"/>
  <c r="AG239" i="2" s="1"/>
  <c r="I119" i="2" a="1"/>
  <c r="I119" i="2" s="1"/>
  <c r="I185" i="2" a="1"/>
  <c r="I185" i="2" s="1"/>
  <c r="U165" i="2" a="1"/>
  <c r="U165" i="2" s="1"/>
  <c r="AJ230" i="2" a="1"/>
  <c r="AJ230" i="2" s="1"/>
  <c r="AA175" i="2" a="1"/>
  <c r="AA175" i="2" s="1"/>
  <c r="O198" i="2" a="1"/>
  <c r="O198" i="2" s="1"/>
  <c r="AD110" i="2" a="1"/>
  <c r="AD110" i="2" s="1"/>
  <c r="F268" i="2" a="1"/>
  <c r="F268" i="2" s="1"/>
  <c r="AG230" i="2" a="1"/>
  <c r="AG230" i="2" s="1"/>
  <c r="AA181" i="2" a="1"/>
  <c r="AA181" i="2" s="1"/>
  <c r="AG98" i="2" a="1"/>
  <c r="AG98" i="2" s="1"/>
  <c r="AA265" i="2" a="1"/>
  <c r="AA265" i="2" s="1"/>
  <c r="AA252" i="2" a="1"/>
  <c r="AA252" i="2" s="1"/>
  <c r="U117" i="2" a="1"/>
  <c r="U117" i="2" s="1"/>
  <c r="R100" i="2" a="1"/>
  <c r="R100" i="2" s="1"/>
  <c r="I253" i="2" a="1"/>
  <c r="I253" i="2" s="1"/>
  <c r="L263" i="2" a="1"/>
  <c r="L263" i="2" s="1"/>
  <c r="X150" i="2" a="1"/>
  <c r="X150" i="2" s="1"/>
  <c r="F195" i="2" a="1"/>
  <c r="F195" i="2" s="1"/>
  <c r="AD109" i="2" a="1"/>
  <c r="AD109" i="2" s="1"/>
  <c r="O262" i="2" a="1"/>
  <c r="O262" i="2" s="1"/>
  <c r="AG202" i="2" a="1"/>
  <c r="AG202" i="2" s="1"/>
  <c r="AA99" i="2" a="1"/>
  <c r="AA99" i="2" s="1"/>
  <c r="U103" i="2" a="1"/>
  <c r="U103" i="2" s="1"/>
  <c r="U251" i="2" a="1"/>
  <c r="U251" i="2" s="1"/>
  <c r="AJ214" i="2" a="1"/>
  <c r="AJ214" i="2" s="1"/>
  <c r="AD171" i="2" a="1"/>
  <c r="AD171" i="2" s="1"/>
  <c r="O119" i="2" a="1"/>
  <c r="O119" i="2" s="1"/>
  <c r="I187" i="2" a="1"/>
  <c r="I187" i="2" s="1"/>
  <c r="AM156" i="2" a="1"/>
  <c r="AM156" i="2" s="1"/>
  <c r="AJ130" i="2" a="1"/>
  <c r="AJ130" i="2" s="1"/>
  <c r="L155" i="2" a="1"/>
  <c r="L155" i="2" s="1"/>
  <c r="AA190" i="2" a="1"/>
  <c r="AA190" i="2" s="1"/>
  <c r="L162" i="2" a="1"/>
  <c r="L162" i="2" s="1"/>
  <c r="I191" i="2" a="1"/>
  <c r="I191" i="2" s="1"/>
  <c r="F116" i="2" a="1"/>
  <c r="F116" i="2" s="1"/>
  <c r="I99" i="2" a="1"/>
  <c r="I99" i="2" s="1"/>
  <c r="X255" i="2" a="1"/>
  <c r="X255" i="2" s="1"/>
  <c r="F146" i="2" a="1"/>
  <c r="F146" i="2" s="1"/>
  <c r="I239" i="2" a="1"/>
  <c r="I239" i="2" s="1"/>
  <c r="O137" i="2" a="1"/>
  <c r="O137" i="2" s="1"/>
  <c r="I102" i="2" a="1"/>
  <c r="I102" i="2" s="1"/>
  <c r="AD271" i="2" a="1"/>
  <c r="AD271" i="2" s="1"/>
  <c r="R232" i="2" a="1"/>
  <c r="R232" i="2" s="1"/>
  <c r="O108" i="2" a="1"/>
  <c r="O108" i="2" s="1"/>
  <c r="F263" i="2" a="1"/>
  <c r="F263" i="2" s="1"/>
  <c r="AA261" i="2" a="1"/>
  <c r="AA261" i="2" s="1"/>
  <c r="AD124" i="2" a="1"/>
  <c r="AD124" i="2" s="1"/>
  <c r="AA121" i="2" a="1"/>
  <c r="AA121" i="2" s="1"/>
  <c r="AD123" i="2" a="1"/>
  <c r="AD123" i="2" s="1"/>
  <c r="AG155" i="2" a="1"/>
  <c r="AG155" i="2" s="1"/>
  <c r="L140" i="2" a="1"/>
  <c r="L140" i="2" s="1"/>
  <c r="L218" i="2" a="1"/>
  <c r="L218" i="2" s="1"/>
  <c r="AM109" i="2" a="1"/>
  <c r="AM109" i="2" s="1"/>
  <c r="AM235" i="2" a="1"/>
  <c r="AM235" i="2" s="1"/>
  <c r="X202" i="2" a="1"/>
  <c r="X202" i="2" s="1"/>
  <c r="U134" i="2" a="1"/>
  <c r="U134" i="2" s="1"/>
  <c r="X233" i="2" a="1"/>
  <c r="X233" i="2" s="1"/>
  <c r="O117" i="2" a="1"/>
  <c r="O117" i="2" s="1"/>
  <c r="O127" i="2" a="1"/>
  <c r="O127" i="2" s="1"/>
  <c r="R221" i="2" a="1"/>
  <c r="R221" i="2" s="1"/>
  <c r="I162" i="2" a="1"/>
  <c r="I162" i="2" s="1"/>
  <c r="AG127" i="2" a="1"/>
  <c r="AG127" i="2" s="1"/>
  <c r="X109" i="2" a="1"/>
  <c r="X109" i="2" s="1"/>
  <c r="U219" i="2" a="1"/>
  <c r="U219" i="2" s="1"/>
  <c r="R258" i="2" a="1"/>
  <c r="R258" i="2" s="1"/>
  <c r="AJ215" i="2" a="1"/>
  <c r="AJ215" i="2" s="1"/>
  <c r="R165" i="2" a="1"/>
  <c r="R165" i="2" s="1"/>
  <c r="U104" i="2" a="1"/>
  <c r="U104" i="2" s="1"/>
  <c r="AJ186" i="2" a="1"/>
  <c r="AJ186" i="2" s="1"/>
  <c r="L169" i="2" a="1"/>
  <c r="L169" i="2" s="1"/>
  <c r="R120" i="2" a="1"/>
  <c r="R120" i="2" s="1"/>
  <c r="O216" i="2" a="1"/>
  <c r="O216" i="2" s="1"/>
  <c r="F255" i="2" a="1"/>
  <c r="F255" i="2" s="1"/>
  <c r="U170" i="2" a="1"/>
  <c r="U170" i="2" s="1"/>
  <c r="AA133" i="2" a="1"/>
  <c r="AA133" i="2" s="1"/>
  <c r="AD233" i="2" a="1"/>
  <c r="AD233" i="2" s="1"/>
  <c r="AM197" i="2" a="1"/>
  <c r="AM197" i="2" s="1"/>
  <c r="AD246" i="2" a="1"/>
  <c r="AD246" i="2" s="1"/>
  <c r="O187" i="2" a="1"/>
  <c r="O187" i="2" s="1"/>
  <c r="F103" i="2" a="1"/>
  <c r="F103" i="2" s="1"/>
  <c r="AJ153" i="2" a="1"/>
  <c r="AJ153" i="2" s="1"/>
  <c r="F242" i="2" a="1"/>
  <c r="F242" i="2" s="1"/>
  <c r="I148" i="2" a="1"/>
  <c r="I148" i="2" s="1"/>
  <c r="X259" i="2" a="1"/>
  <c r="X259" i="2" s="1"/>
  <c r="X227" i="2" a="1"/>
  <c r="X227" i="2" s="1"/>
  <c r="AA239" i="2" a="1"/>
  <c r="AA239" i="2" s="1"/>
  <c r="R201" i="2" a="1"/>
  <c r="R201" i="2" s="1"/>
  <c r="AJ191" i="2" a="1"/>
  <c r="AJ191" i="2" s="1"/>
  <c r="O167" i="2" a="1"/>
  <c r="O167" i="2" s="1"/>
  <c r="AJ258" i="2" a="1"/>
  <c r="AJ258" i="2" s="1"/>
  <c r="AM210" i="2" a="1"/>
  <c r="AM210" i="2" s="1"/>
  <c r="I180" i="2" a="1"/>
  <c r="I180" i="2" s="1"/>
  <c r="AG123" i="2" a="1"/>
  <c r="AG123" i="2" s="1"/>
  <c r="O241" i="2" a="1"/>
  <c r="O241" i="2" s="1"/>
  <c r="U250" i="2" a="1"/>
  <c r="U250" i="2" s="1"/>
  <c r="O220" i="2" a="1"/>
  <c r="O220" i="2" s="1"/>
  <c r="AG185" i="2" a="1"/>
  <c r="AG185" i="2" s="1"/>
  <c r="R214" i="2" a="1"/>
  <c r="R214" i="2" s="1"/>
  <c r="L212" i="2" a="1"/>
  <c r="L212" i="2" s="1"/>
  <c r="AM142" i="2" a="1"/>
  <c r="AM142" i="2" s="1"/>
  <c r="AM260" i="2" a="1"/>
  <c r="AM260" i="2" s="1"/>
  <c r="AJ192" i="2" a="1"/>
  <c r="AJ192" i="2" s="1"/>
  <c r="L121" i="2" a="1"/>
  <c r="L121" i="2" s="1"/>
  <c r="F189" i="2" a="1"/>
  <c r="F189" i="2" s="1"/>
  <c r="O251" i="2" a="1"/>
  <c r="O251" i="2" s="1"/>
  <c r="AJ167" i="2" a="1"/>
  <c r="AJ167" i="2" s="1"/>
  <c r="X215" i="2" a="1"/>
  <c r="X215" i="2" s="1"/>
  <c r="X151" i="2" a="1"/>
  <c r="X151" i="2" s="1"/>
  <c r="F122" i="2" a="1"/>
  <c r="F122" i="2" s="1"/>
  <c r="I188" i="2" a="1"/>
  <c r="I188" i="2" s="1"/>
  <c r="AJ232" i="2" a="1"/>
  <c r="AJ232" i="2" s="1"/>
  <c r="L187" i="2" a="1"/>
  <c r="L187" i="2" s="1"/>
  <c r="AJ135" i="2" a="1"/>
  <c r="AJ135" i="2" s="1"/>
  <c r="AG130" i="2" a="1"/>
  <c r="AG130" i="2" s="1"/>
  <c r="O261" i="2" a="1"/>
  <c r="O261" i="2" s="1"/>
  <c r="X222" i="2" a="1"/>
  <c r="X222" i="2" s="1"/>
  <c r="I233" i="2" a="1"/>
  <c r="I233" i="2" s="1"/>
  <c r="AG104" i="2" a="1"/>
  <c r="AG104" i="2" s="1"/>
  <c r="R185" i="2" a="1"/>
  <c r="R185" i="2" s="1"/>
  <c r="I108" i="2" a="1"/>
  <c r="I108" i="2" s="1"/>
  <c r="L139" i="2" a="1"/>
  <c r="L139" i="2" s="1"/>
  <c r="AA233" i="2" a="1"/>
  <c r="AA233" i="2" s="1"/>
  <c r="AM232" i="2" a="1"/>
  <c r="AM232" i="2" s="1"/>
  <c r="U211" i="2" a="1"/>
  <c r="U211" i="2" s="1"/>
  <c r="AM252" i="2" a="1"/>
  <c r="AM252" i="2" s="1"/>
  <c r="AJ161" i="2" a="1"/>
  <c r="AJ161" i="2" s="1"/>
  <c r="F149" i="2" a="1"/>
  <c r="F149" i="2" s="1"/>
  <c r="AM269" i="2" a="1"/>
  <c r="AM269" i="2" s="1"/>
  <c r="AG102" i="2" a="1"/>
  <c r="AG102" i="2" s="1"/>
  <c r="AA178" i="2" a="1"/>
  <c r="AA178" i="2" s="1"/>
  <c r="X264" i="2" a="1"/>
  <c r="X264" i="2" s="1"/>
  <c r="AA199" i="2" a="1"/>
  <c r="AA199" i="2" s="1"/>
  <c r="R229" i="2" a="1"/>
  <c r="R229" i="2" s="1"/>
  <c r="AM202" i="2" a="1"/>
  <c r="AM202" i="2" s="1"/>
  <c r="AD146" i="2" a="1"/>
  <c r="AD146" i="2" s="1"/>
  <c r="AJ198" i="2" a="1"/>
  <c r="AJ198" i="2" s="1"/>
  <c r="AM231" i="2" a="1"/>
  <c r="AM231" i="2" s="1"/>
  <c r="I267" i="2" a="1"/>
  <c r="I267" i="2" s="1"/>
  <c r="F166" i="2" a="1"/>
  <c r="F166" i="2" s="1"/>
  <c r="AG265" i="2" a="1"/>
  <c r="AG265" i="2" s="1"/>
  <c r="R225" i="2" a="1"/>
  <c r="R225" i="2" s="1"/>
  <c r="F228" i="2" a="1"/>
  <c r="F228" i="2" s="1"/>
  <c r="O145" i="2" a="1"/>
  <c r="O145" i="2" s="1"/>
  <c r="AD99" i="2" a="1"/>
  <c r="AD99" i="2" s="1"/>
  <c r="R44" i="2" a="1"/>
  <c r="R44" i="2" s="1"/>
  <c r="I142" i="2" a="1"/>
  <c r="I142" i="2" s="1"/>
  <c r="L194" i="2" a="1"/>
  <c r="L194" i="2" s="1"/>
  <c r="X116" i="2" a="1"/>
  <c r="X116" i="2" s="1"/>
  <c r="L257" i="2" a="1"/>
  <c r="L257" i="2" s="1"/>
  <c r="AD111" i="2" a="1"/>
  <c r="AD111" i="2" s="1"/>
  <c r="AA220" i="2" a="1"/>
  <c r="AA220" i="2" s="1"/>
  <c r="AJ157" i="2" a="1"/>
  <c r="AJ157" i="2" s="1"/>
  <c r="AG181" i="2" a="1"/>
  <c r="AG181" i="2" s="1"/>
  <c r="AJ257" i="2" a="1"/>
  <c r="AJ257" i="2" s="1"/>
  <c r="L106" i="2" a="1"/>
  <c r="L106" i="2" s="1"/>
  <c r="R173" i="2" a="1"/>
  <c r="R173" i="2" s="1"/>
  <c r="U269" i="2" a="1"/>
  <c r="U269" i="2" s="1"/>
  <c r="R264" i="2" a="1"/>
  <c r="R264" i="2" s="1"/>
  <c r="O164" i="2" a="1"/>
  <c r="O164" i="2" s="1"/>
  <c r="U92" i="2" a="1"/>
  <c r="U92" i="2" s="1"/>
  <c r="AM215" i="2" a="1"/>
  <c r="AM215" i="2" s="1"/>
  <c r="AM158" i="2" a="1"/>
  <c r="AM158" i="2" s="1"/>
  <c r="L129" i="2" a="1"/>
  <c r="L129" i="2" s="1"/>
  <c r="L105" i="2" a="1"/>
  <c r="L105" i="2" s="1"/>
  <c r="F254" i="2" a="1"/>
  <c r="F254" i="2" s="1"/>
  <c r="X182" i="2" a="1"/>
  <c r="X182" i="2" s="1"/>
  <c r="AJ203" i="2" a="1"/>
  <c r="AJ203" i="2" s="1"/>
  <c r="AG190" i="2" a="1"/>
  <c r="AG190" i="2" s="1"/>
  <c r="AA192" i="2" a="1"/>
  <c r="AA192" i="2" s="1"/>
  <c r="I260" i="2" a="1"/>
  <c r="I260" i="2" s="1"/>
  <c r="AD107" i="2" a="1"/>
  <c r="AD107" i="2" s="1"/>
  <c r="AM229" i="2" a="1"/>
  <c r="AM229" i="2" s="1"/>
  <c r="I231" i="2" a="1"/>
  <c r="I231" i="2" s="1"/>
  <c r="AJ177" i="2" a="1"/>
  <c r="AJ177" i="2" s="1"/>
  <c r="AG164" i="2" a="1"/>
  <c r="AG164" i="2" s="1"/>
  <c r="U128" i="2" a="1"/>
  <c r="U128" i="2" s="1"/>
  <c r="AA101" i="2" a="1"/>
  <c r="AA101" i="2" s="1"/>
  <c r="I234" i="2" a="1"/>
  <c r="I234" i="2" s="1"/>
  <c r="I150" i="2" a="1"/>
  <c r="I150" i="2" s="1"/>
  <c r="AA250" i="2" a="1"/>
  <c r="AA250" i="2" s="1"/>
  <c r="O263" i="2" a="1"/>
  <c r="O263" i="2" s="1"/>
  <c r="L217" i="2" a="1"/>
  <c r="L217" i="2" s="1"/>
  <c r="O176" i="2" a="1"/>
  <c r="O176" i="2" s="1"/>
  <c r="L244" i="2" a="1"/>
  <c r="L244" i="2" s="1"/>
  <c r="U125" i="2" a="1"/>
  <c r="U125" i="2" s="1"/>
  <c r="I254" i="2" a="1"/>
  <c r="I254" i="2" s="1"/>
  <c r="AA154" i="2" a="1"/>
  <c r="AA154" i="2" s="1"/>
  <c r="AA119" i="2" a="1"/>
  <c r="AA119" i="2" s="1"/>
  <c r="R136" i="2" a="1"/>
  <c r="R136" i="2" s="1"/>
  <c r="AA263" i="2" a="1"/>
  <c r="AA263" i="2" s="1"/>
  <c r="U183" i="2" a="1"/>
  <c r="U183" i="2" s="1"/>
  <c r="AM200" i="2" a="1"/>
  <c r="AM200" i="2" s="1"/>
  <c r="L130" i="2" a="1"/>
  <c r="L130" i="2" s="1"/>
  <c r="F219" i="2" a="1"/>
  <c r="F219" i="2" s="1"/>
  <c r="AM251" i="2" a="1"/>
  <c r="AM251" i="2" s="1"/>
  <c r="I221" i="2" a="1"/>
  <c r="I221" i="2" s="1"/>
  <c r="AA236" i="2" a="1"/>
  <c r="AA236" i="2" s="1"/>
  <c r="U140" i="2" a="1"/>
  <c r="U140" i="2" s="1"/>
  <c r="X169" i="2" a="1"/>
  <c r="X169" i="2" s="1"/>
  <c r="L168" i="2" a="1"/>
  <c r="L168" i="2" s="1"/>
  <c r="AG165" i="2" a="1"/>
  <c r="AG165" i="2" s="1"/>
  <c r="X108" i="2" a="1"/>
  <c r="X108" i="2" s="1"/>
  <c r="AD155" i="2" a="1"/>
  <c r="AD155" i="2" s="1"/>
  <c r="X234" i="2" a="1"/>
  <c r="X234" i="2" s="1"/>
  <c r="F236" i="2" a="1"/>
  <c r="F236" i="2" s="1"/>
  <c r="O138" i="2" a="1"/>
  <c r="O138" i="2" s="1"/>
  <c r="F151" i="2" a="1"/>
  <c r="F151" i="2" s="1"/>
  <c r="I218" i="2" a="1"/>
  <c r="I218" i="2" s="1"/>
  <c r="AA151" i="2" a="1"/>
  <c r="AA151" i="2" s="1"/>
  <c r="L235" i="2" a="1"/>
  <c r="L235" i="2" s="1"/>
  <c r="R155" i="2" a="1"/>
  <c r="R155" i="2" s="1"/>
  <c r="AJ163" i="2" a="1"/>
  <c r="AJ163" i="2" s="1"/>
  <c r="AA189" i="2" a="1"/>
  <c r="AA189" i="2" s="1"/>
  <c r="AA207" i="2" a="1"/>
  <c r="AA207" i="2" s="1"/>
  <c r="AG113" i="2" a="1"/>
  <c r="AG113" i="2" s="1"/>
  <c r="O243" i="2" a="1"/>
  <c r="O243" i="2" s="1"/>
  <c r="U240" i="2" a="1"/>
  <c r="U240" i="2" s="1"/>
  <c r="AM198" i="2" a="1"/>
  <c r="AM198" i="2" s="1"/>
  <c r="O116" i="2" a="1"/>
  <c r="O116" i="2" s="1"/>
  <c r="AD243" i="2" a="1"/>
  <c r="AD243" i="2" s="1"/>
  <c r="AD149" i="2" a="1"/>
  <c r="AD149" i="2" s="1"/>
  <c r="U210" i="2" a="1"/>
  <c r="U210" i="2" s="1"/>
  <c r="L152" i="2" a="1"/>
  <c r="L152" i="2" s="1"/>
  <c r="AJ129" i="2" a="1"/>
  <c r="AJ129" i="2" s="1"/>
  <c r="L253" i="2" a="1"/>
  <c r="L253" i="2" s="1"/>
  <c r="I197" i="2" a="1"/>
  <c r="I197" i="2" s="1"/>
  <c r="L190" i="2" a="1"/>
  <c r="L190" i="2" s="1"/>
  <c r="I145" i="2" a="1"/>
  <c r="I145" i="2" s="1"/>
  <c r="O273" i="2" a="1"/>
  <c r="O273" i="2" s="1"/>
  <c r="X193" i="2" a="1"/>
  <c r="X193" i="2" s="1"/>
  <c r="U174" i="2" a="1"/>
  <c r="U174" i="2" s="1"/>
  <c r="AJ225" i="2" a="1"/>
  <c r="AJ225" i="2" s="1"/>
  <c r="AD144" i="2" a="1"/>
  <c r="AD144" i="2" s="1"/>
  <c r="R218" i="2" a="1"/>
  <c r="R218" i="2" s="1"/>
  <c r="F271" i="2" a="1"/>
  <c r="F271" i="2" s="1"/>
  <c r="U97" i="2" a="1"/>
  <c r="U97" i="2" s="1"/>
  <c r="F118" i="2" a="1"/>
  <c r="F118" i="2" s="1"/>
  <c r="I242" i="2" a="1"/>
  <c r="I242" i="2" s="1"/>
  <c r="U229" i="2" a="1"/>
  <c r="U229" i="2" s="1"/>
  <c r="L175" i="2" a="1"/>
  <c r="L175" i="2" s="1"/>
  <c r="L110" i="2" a="1"/>
  <c r="L110" i="2" s="1"/>
  <c r="I174" i="2" a="1"/>
  <c r="I174" i="2" s="1"/>
  <c r="L266" i="2" a="1"/>
  <c r="L266" i="2" s="1"/>
  <c r="X270" i="2" a="1"/>
  <c r="X270" i="2" s="1"/>
  <c r="O102" i="2" a="1"/>
  <c r="O102" i="2" s="1"/>
  <c r="AD156" i="2" a="1"/>
  <c r="AD156" i="2" s="1"/>
  <c r="AG257" i="2" a="1"/>
  <c r="AG257" i="2" s="1"/>
  <c r="I153" i="2" a="1"/>
  <c r="I153" i="2" s="1"/>
  <c r="AD135" i="2" a="1"/>
  <c r="AD135" i="2" s="1"/>
  <c r="AG136" i="2" a="1"/>
  <c r="AG136" i="2" s="1"/>
  <c r="U107" i="2" a="1"/>
  <c r="U107" i="2" s="1"/>
  <c r="AM225" i="2" a="1"/>
  <c r="AM225" i="2" s="1"/>
  <c r="AG210" i="2" a="1"/>
  <c r="AG210" i="2" s="1"/>
  <c r="AJ124" i="2" a="1"/>
  <c r="AJ124" i="2" s="1"/>
  <c r="L99" i="2" a="1"/>
  <c r="L99" i="2" s="1"/>
  <c r="AM136" i="2" a="1"/>
  <c r="AM136" i="2" s="1"/>
  <c r="X243" i="2" a="1"/>
  <c r="X243" i="2" s="1"/>
  <c r="AM111" i="2" a="1"/>
  <c r="AM111" i="2" s="1"/>
  <c r="AJ105" i="2" a="1"/>
  <c r="AJ105" i="2" s="1"/>
  <c r="R163" i="2" a="1"/>
  <c r="R163" i="2" s="1"/>
  <c r="R194" i="2" a="1"/>
  <c r="R194" i="2" s="1"/>
  <c r="AD187" i="2" a="1"/>
  <c r="AD187" i="2" s="1"/>
  <c r="O161" i="2" a="1"/>
  <c r="O161" i="2" s="1"/>
  <c r="AJ158" i="2" a="1"/>
  <c r="AJ158" i="2" s="1"/>
  <c r="R196" i="2" a="1"/>
  <c r="R196" i="2" s="1"/>
  <c r="AJ127" i="2" a="1"/>
  <c r="AJ127" i="2" s="1"/>
  <c r="R212" i="2" a="1"/>
  <c r="R212" i="2" s="1"/>
  <c r="O128" i="2" a="1"/>
  <c r="O128" i="2" s="1"/>
  <c r="F200" i="2" a="1"/>
  <c r="F200" i="2" s="1"/>
  <c r="AG200" i="2" a="1"/>
  <c r="AG200" i="2" s="1"/>
  <c r="R118" i="2" a="1"/>
  <c r="R118" i="2" s="1"/>
  <c r="R162" i="2" a="1"/>
  <c r="R162" i="2" s="1"/>
  <c r="AJ256" i="2" a="1"/>
  <c r="AJ256" i="2" s="1"/>
  <c r="F192" i="2" a="1"/>
  <c r="F192" i="2" s="1"/>
  <c r="X176" i="2" a="1"/>
  <c r="X176" i="2" s="1"/>
  <c r="R273" i="2" a="1"/>
  <c r="R273" i="2" s="1"/>
  <c r="L164" i="2" a="1"/>
  <c r="L164" i="2" s="1"/>
  <c r="I109" i="2" a="1"/>
  <c r="I109" i="2" s="1"/>
  <c r="F97" i="2" a="1"/>
  <c r="F97" i="2" s="1"/>
  <c r="AJ212" i="2" a="1"/>
  <c r="AJ212" i="2" s="1"/>
  <c r="L271" i="2" a="1"/>
  <c r="L271" i="2" s="1"/>
  <c r="X166" i="2" a="1"/>
  <c r="X166" i="2" s="1"/>
  <c r="AM138" i="2" a="1"/>
  <c r="AM138" i="2" s="1"/>
  <c r="AM149" i="2" a="1"/>
  <c r="AM149" i="2" s="1"/>
  <c r="L112" i="2" a="1"/>
  <c r="L112" i="2" s="1"/>
  <c r="AM203" i="2" a="1"/>
  <c r="AM203" i="2" s="1"/>
  <c r="F157" i="2" a="1"/>
  <c r="F157" i="2" s="1"/>
  <c r="U191" i="2" a="1"/>
  <c r="U191" i="2" s="1"/>
  <c r="X236" i="2" a="1"/>
  <c r="X236" i="2" s="1"/>
  <c r="F252" i="2" a="1"/>
  <c r="F252" i="2" s="1"/>
  <c r="AA167" i="2" a="1"/>
  <c r="AA167" i="2" s="1"/>
  <c r="AD259" i="2" a="1"/>
  <c r="AD259" i="2" s="1"/>
  <c r="I166" i="2" a="1"/>
  <c r="I166" i="2" s="1"/>
  <c r="AM110" i="2" a="1"/>
  <c r="AM110" i="2" s="1"/>
  <c r="I256" i="2" a="1"/>
  <c r="I256" i="2" s="1"/>
  <c r="U176" i="2" a="1"/>
  <c r="U176" i="2" s="1"/>
  <c r="AJ162" i="2" a="1"/>
  <c r="AJ162" i="2" s="1"/>
  <c r="F224" i="2" a="1"/>
  <c r="F224" i="2" s="1"/>
  <c r="F240" i="2" a="1"/>
  <c r="F240" i="2" s="1"/>
  <c r="L222" i="2" a="1"/>
  <c r="L222" i="2" s="1"/>
  <c r="AG174" i="2" a="1"/>
  <c r="AG174" i="2" s="1"/>
  <c r="AD93" i="2" a="1"/>
  <c r="AD93" i="2" s="1"/>
  <c r="AA230" i="2" a="1"/>
  <c r="AA230" i="2" s="1"/>
  <c r="AA171" i="2" a="1"/>
  <c r="AA171" i="2" s="1"/>
  <c r="AG264" i="2" a="1"/>
  <c r="AG264" i="2" s="1"/>
  <c r="F133" i="2" a="1"/>
  <c r="F133" i="2" s="1"/>
  <c r="I219" i="2" a="1"/>
  <c r="I219" i="2" s="1"/>
  <c r="AJ104" i="2" a="1"/>
  <c r="AJ104" i="2" s="1"/>
  <c r="F261" i="2" a="1"/>
  <c r="F261" i="2" s="1"/>
  <c r="AD266" i="2" a="1"/>
  <c r="AD266" i="2" s="1"/>
  <c r="AG223" i="2" a="1"/>
  <c r="AG223" i="2" s="1"/>
  <c r="AD270" i="2" a="1"/>
  <c r="AD270" i="2" s="1"/>
  <c r="L113" i="2" a="1"/>
  <c r="L113" i="2" s="1"/>
  <c r="L153" i="2" a="1"/>
  <c r="L153" i="2" s="1"/>
  <c r="AD157" i="2" a="1"/>
  <c r="AD157" i="2" s="1"/>
  <c r="AM160" i="2" a="1"/>
  <c r="AM160" i="2" s="1"/>
  <c r="AA206" i="2" a="1"/>
  <c r="AA206" i="2" s="1"/>
  <c r="AA160" i="2" a="1"/>
  <c r="AA160" i="2" s="1"/>
  <c r="AA222" i="2" a="1"/>
  <c r="AA222" i="2" s="1"/>
  <c r="U273" i="2" a="1"/>
  <c r="U273" i="2" s="1"/>
  <c r="L198" i="2" a="1"/>
  <c r="L198" i="2" s="1"/>
  <c r="AG159" i="2" a="1"/>
  <c r="AG159" i="2" s="1"/>
  <c r="AD188" i="2" a="1"/>
  <c r="AD188" i="2" s="1"/>
  <c r="AD203" i="2" a="1"/>
  <c r="AD203" i="2" s="1"/>
  <c r="L171" i="2" a="1"/>
  <c r="L171" i="2" s="1"/>
  <c r="AM265" i="2" a="1"/>
  <c r="AM265" i="2" s="1"/>
  <c r="AG177" i="2" a="1"/>
  <c r="AG177" i="2" s="1"/>
  <c r="I258" i="2" a="1"/>
  <c r="I258" i="2" s="1"/>
  <c r="AM112" i="2" a="1"/>
  <c r="AM112" i="2" s="1"/>
  <c r="R123" i="2" a="1"/>
  <c r="R123" i="2" s="1"/>
  <c r="U156" i="2" a="1"/>
  <c r="U156" i="2" s="1"/>
  <c r="U116" i="2" a="1"/>
  <c r="U116" i="2" s="1"/>
  <c r="U238" i="2" a="1"/>
  <c r="U238" i="2" s="1"/>
  <c r="AG146" i="2" a="1"/>
  <c r="AG146" i="2" s="1"/>
  <c r="AA168" i="2" a="1"/>
  <c r="AA168" i="2" s="1"/>
  <c r="U193" i="2" a="1"/>
  <c r="U193" i="2" s="1"/>
  <c r="I175" i="2" a="1"/>
  <c r="I175" i="2" s="1"/>
  <c r="AA146" i="2" a="1"/>
  <c r="AA146" i="2" s="1"/>
  <c r="X97" i="2" a="1"/>
  <c r="X97" i="2" s="1"/>
  <c r="AD262" i="2" a="1"/>
  <c r="AD262" i="2" s="1"/>
  <c r="AG119" i="2" a="1"/>
  <c r="AG119" i="2" s="1"/>
  <c r="X226" i="2" a="1"/>
  <c r="X226" i="2" s="1"/>
  <c r="U228" i="2" a="1"/>
  <c r="U228" i="2" s="1"/>
  <c r="AM181" i="2" a="1"/>
  <c r="AM181" i="2" s="1"/>
  <c r="X178" i="2" a="1"/>
  <c r="X178" i="2" s="1"/>
  <c r="AJ269" i="2" a="1"/>
  <c r="AJ269" i="2" s="1"/>
  <c r="U113" i="2" a="1"/>
  <c r="U113" i="2" s="1"/>
  <c r="R236" i="2" a="1"/>
  <c r="R236" i="2" s="1"/>
  <c r="O249" i="2" a="1"/>
  <c r="O249" i="2" s="1"/>
  <c r="L211" i="2" a="1"/>
  <c r="L211" i="2" s="1"/>
  <c r="AD161" i="2" a="1"/>
  <c r="AD161" i="2" s="1"/>
  <c r="F232" i="2" a="1"/>
  <c r="F232" i="2" s="1"/>
  <c r="AD112" i="2" a="1"/>
  <c r="AD112" i="2" s="1"/>
  <c r="F144" i="2" a="1"/>
  <c r="F144" i="2" s="1"/>
  <c r="O103" i="2" a="1"/>
  <c r="O103" i="2" s="1"/>
  <c r="X241" i="2" a="1"/>
  <c r="X241" i="2" s="1"/>
  <c r="AD120" i="2" a="1"/>
  <c r="AD120" i="2" s="1"/>
  <c r="AA262" i="2" a="1"/>
  <c r="AA262" i="2" s="1"/>
  <c r="U242" i="2" a="1"/>
  <c r="U242" i="2" s="1"/>
  <c r="AA94" i="2" a="1"/>
  <c r="AA94" i="2" s="1"/>
  <c r="AJ178" i="2" a="1"/>
  <c r="AJ178" i="2" s="1"/>
  <c r="F249" i="2" a="1"/>
  <c r="F249" i="2" s="1"/>
  <c r="O114" i="2" a="1"/>
  <c r="O114" i="2" s="1"/>
  <c r="O269" i="2" a="1"/>
  <c r="O269" i="2" s="1"/>
  <c r="L146" i="2" a="1"/>
  <c r="L146" i="2" s="1"/>
  <c r="I213" i="2" a="1"/>
  <c r="I213" i="2" s="1"/>
  <c r="L199" i="2" a="1"/>
  <c r="L199" i="2" s="1"/>
  <c r="AJ220" i="2" a="1"/>
  <c r="AJ220" i="2" s="1"/>
  <c r="L247" i="2" a="1"/>
  <c r="L247" i="2" s="1"/>
  <c r="AJ219" i="2" a="1"/>
  <c r="AJ219" i="2" s="1"/>
  <c r="I123" i="2" a="1"/>
  <c r="I123" i="2" s="1"/>
  <c r="O265" i="2" a="1"/>
  <c r="O265" i="2" s="1"/>
  <c r="AA145" i="2" a="1"/>
  <c r="AA145" i="2" s="1"/>
  <c r="R142" i="2" a="1"/>
  <c r="R142" i="2" s="1"/>
  <c r="AD130" i="2" a="1"/>
  <c r="AD130" i="2" s="1"/>
  <c r="AM171" i="2" a="1"/>
  <c r="AM171" i="2" s="1"/>
  <c r="O155" i="2" a="1"/>
  <c r="O155" i="2" s="1"/>
  <c r="F147" i="2" a="1"/>
  <c r="F147" i="2" s="1"/>
  <c r="R222" i="2" a="1"/>
  <c r="R222" i="2" s="1"/>
  <c r="AG192" i="2" a="1"/>
  <c r="AG192" i="2" s="1"/>
  <c r="F158" i="2" a="1"/>
  <c r="F158" i="2" s="1"/>
  <c r="AG183" i="2" a="1"/>
  <c r="AG183" i="2" s="1"/>
  <c r="X149" i="2" a="1"/>
  <c r="X149" i="2" s="1"/>
  <c r="AD205" i="2" a="1"/>
  <c r="AD205" i="2" s="1"/>
  <c r="AD104" i="2" a="1"/>
  <c r="AD104" i="2" s="1"/>
  <c r="AD202" i="2" a="1"/>
  <c r="AD202" i="2" s="1"/>
  <c r="AD142" i="2" a="1"/>
  <c r="AD142" i="2" s="1"/>
  <c r="AG220" i="2" a="1"/>
  <c r="AG220" i="2" s="1"/>
  <c r="AJ170" i="2" a="1"/>
  <c r="AJ170" i="2" s="1"/>
  <c r="AM222" i="2" a="1"/>
  <c r="AM222" i="2" s="1"/>
  <c r="U224" i="2" a="1"/>
  <c r="U224" i="2" s="1"/>
  <c r="I235" i="2" a="1"/>
  <c r="I235" i="2" s="1"/>
  <c r="AA165" i="2" a="1"/>
  <c r="AA165" i="2" s="1"/>
  <c r="O149" i="2" a="1"/>
  <c r="O149" i="2" s="1"/>
  <c r="AM193" i="2" a="1"/>
  <c r="AM193" i="2" s="1"/>
  <c r="AM135" i="2" a="1"/>
  <c r="AM135" i="2" s="1"/>
  <c r="AM253" i="2" a="1"/>
  <c r="AM253" i="2" s="1"/>
  <c r="L177" i="2" a="1"/>
  <c r="L177" i="2" s="1"/>
  <c r="X103" i="2" a="1"/>
  <c r="X103" i="2" s="1"/>
  <c r="X121" i="2" a="1"/>
  <c r="X121" i="2" s="1"/>
  <c r="U203" i="2" a="1"/>
  <c r="U203" i="2" s="1"/>
  <c r="AM172" i="2" a="1"/>
  <c r="AM172" i="2" s="1"/>
  <c r="F163" i="2" a="1"/>
  <c r="F163" i="2" s="1"/>
  <c r="F269" i="2" a="1"/>
  <c r="F269" i="2" s="1"/>
  <c r="AG116" i="2" a="1"/>
  <c r="AG116" i="2" s="1"/>
  <c r="U263" i="2" a="1"/>
  <c r="U263" i="2" s="1"/>
  <c r="AJ176" i="2" a="1"/>
  <c r="AJ176" i="2" s="1"/>
  <c r="AA215" i="2" a="1"/>
  <c r="AA215" i="2" s="1"/>
  <c r="U247" i="2" a="1"/>
  <c r="U247" i="2" s="1"/>
  <c r="R216" i="2" a="1"/>
  <c r="R216" i="2" s="1"/>
  <c r="AD180" i="2" a="1"/>
  <c r="AD180" i="2" s="1"/>
  <c r="I265" i="2" a="1"/>
  <c r="I265" i="2" s="1"/>
  <c r="I124" i="2" a="1"/>
  <c r="I124" i="2" s="1"/>
  <c r="AA163" i="2" a="1"/>
  <c r="AA163" i="2" s="1"/>
  <c r="AD169" i="2" a="1"/>
  <c r="AD169" i="2" s="1"/>
  <c r="AJ133" i="2" a="1"/>
  <c r="AJ133" i="2" s="1"/>
  <c r="AG214" i="2" a="1"/>
  <c r="AG214" i="2" s="1"/>
  <c r="U187" i="2" a="1"/>
  <c r="U187" i="2" s="1"/>
  <c r="I215" i="2" a="1"/>
  <c r="I215" i="2" s="1"/>
  <c r="I111" i="2" a="1"/>
  <c r="I111" i="2" s="1"/>
  <c r="F177" i="2" a="1"/>
  <c r="F177" i="2" s="1"/>
  <c r="AG261" i="2" a="1"/>
  <c r="AG261" i="2" s="1"/>
  <c r="X247" i="2" a="1"/>
  <c r="X247" i="2" s="1"/>
  <c r="AA224" i="2" a="1"/>
  <c r="AA224" i="2" s="1"/>
  <c r="AD192" i="2" a="1"/>
  <c r="AD192" i="2" s="1"/>
  <c r="AM207" i="2" a="1"/>
  <c r="AM207" i="2" s="1"/>
  <c r="L223" i="2" a="1"/>
  <c r="L223" i="2" s="1"/>
  <c r="F130" i="2" a="1"/>
  <c r="F130" i="2" s="1"/>
  <c r="AG249" i="2" a="1"/>
  <c r="AG249" i="2" s="1"/>
  <c r="L181" i="2" a="1"/>
  <c r="L181" i="2" s="1"/>
  <c r="AM245" i="2" a="1"/>
  <c r="AM245" i="2" s="1"/>
  <c r="AM240" i="2" a="1"/>
  <c r="AM240" i="2" s="1"/>
  <c r="L226" i="2" a="1"/>
  <c r="L226" i="2" s="1"/>
  <c r="U120" i="2" a="1"/>
  <c r="U120" i="2" s="1"/>
  <c r="R272" i="2" a="1"/>
  <c r="R272" i="2" s="1"/>
  <c r="O159" i="2" a="1"/>
  <c r="O159" i="2" s="1"/>
  <c r="AD227" i="2" a="1"/>
  <c r="AD227" i="2" s="1"/>
  <c r="U44" i="2" a="1"/>
  <c r="U44" i="2" s="1"/>
  <c r="AG215" i="2" a="1"/>
  <c r="AG215" i="2" s="1"/>
  <c r="AG234" i="2" a="1"/>
  <c r="AG234" i="2" s="1"/>
  <c r="AD253" i="2" a="1"/>
  <c r="AD253" i="2" s="1"/>
  <c r="U166" i="2" a="1"/>
  <c r="U166" i="2" s="1"/>
  <c r="AJ184" i="2" a="1"/>
  <c r="AJ184" i="2" s="1"/>
  <c r="AA267" i="2" a="1"/>
  <c r="AA267" i="2" s="1"/>
  <c r="X125" i="2" a="1"/>
  <c r="X125" i="2" s="1"/>
  <c r="I176" i="2" a="1"/>
  <c r="I176" i="2" s="1"/>
  <c r="AM167" i="2" a="1"/>
  <c r="AM167" i="2" s="1"/>
  <c r="F154" i="2" a="1"/>
  <c r="F154" i="2" s="1"/>
  <c r="AM246" i="2" a="1"/>
  <c r="AM246" i="2" s="1"/>
  <c r="I181" i="2" a="1"/>
  <c r="I181" i="2" s="1"/>
  <c r="AA134" i="2" a="1"/>
  <c r="AA134" i="2" s="1"/>
  <c r="X218" i="2" a="1"/>
  <c r="X218" i="2" s="1"/>
  <c r="AM95" i="2" a="1"/>
  <c r="AM95" i="2" s="1"/>
  <c r="AM139" i="2" a="1"/>
  <c r="AM139" i="2" s="1"/>
  <c r="AG142" i="2" a="1"/>
  <c r="AG142" i="2" s="1"/>
  <c r="AG226" i="2" a="1"/>
  <c r="AG226" i="2" s="1"/>
  <c r="U208" i="2" a="1"/>
  <c r="U208" i="2" s="1"/>
  <c r="AJ247" i="2" a="1"/>
  <c r="AJ247" i="2" s="1"/>
  <c r="U122" i="2" a="1"/>
  <c r="U122" i="2" s="1"/>
  <c r="AG263" i="2" a="1"/>
  <c r="AG263" i="2" s="1"/>
  <c r="R179" i="2" a="1"/>
  <c r="R179" i="2" s="1"/>
  <c r="R182" i="2" a="1"/>
  <c r="R182" i="2" s="1"/>
  <c r="R242" i="2" a="1"/>
  <c r="R242" i="2" s="1"/>
  <c r="O121" i="2" a="1"/>
  <c r="O121" i="2" s="1"/>
  <c r="R125" i="2" a="1"/>
  <c r="R125" i="2" s="1"/>
  <c r="O222" i="2" a="1"/>
  <c r="O222" i="2" s="1"/>
  <c r="AG167" i="2" a="1"/>
  <c r="AG167" i="2" s="1"/>
  <c r="AJ204" i="2" a="1"/>
  <c r="AJ204" i="2" s="1"/>
  <c r="F173" i="2" a="1"/>
  <c r="F173" i="2" s="1"/>
  <c r="L157" i="2" a="1"/>
  <c r="L157" i="2" s="1"/>
  <c r="O172" i="2" a="1"/>
  <c r="O172" i="2" s="1"/>
  <c r="AG203" i="2" a="1"/>
  <c r="AG203" i="2" s="1"/>
  <c r="AD215" i="2" a="1"/>
  <c r="AD215" i="2" s="1"/>
  <c r="R114" i="2" a="1"/>
  <c r="R114" i="2" s="1"/>
  <c r="O160" i="2" a="1"/>
  <c r="O160" i="2" s="1"/>
  <c r="AG229" i="2" a="1"/>
  <c r="AG229" i="2" s="1"/>
  <c r="F241" i="2" a="1"/>
  <c r="F241" i="2" s="1"/>
  <c r="AG143" i="2" a="1"/>
  <c r="AG143" i="2" s="1"/>
  <c r="AA204" i="2" a="1"/>
  <c r="AA204" i="2" s="1"/>
  <c r="AA216" i="2" a="1"/>
  <c r="AA216" i="2" s="1"/>
  <c r="AD128" i="2" a="1"/>
  <c r="AD128" i="2" s="1"/>
  <c r="F104" i="2" a="1"/>
  <c r="F104" i="2" s="1"/>
  <c r="AA202" i="2" a="1"/>
  <c r="AA202" i="2" s="1"/>
  <c r="U164" i="2" a="1"/>
  <c r="U164" i="2" s="1"/>
  <c r="AJ251" i="2" a="1"/>
  <c r="AJ251" i="2" s="1"/>
  <c r="I133" i="2" a="1"/>
  <c r="I133" i="2" s="1"/>
  <c r="R103" i="2" a="1"/>
  <c r="R103" i="2" s="1"/>
  <c r="AJ171" i="2" a="1"/>
  <c r="AJ171" i="2" s="1"/>
  <c r="U220" i="2" a="1"/>
  <c r="U220" i="2" s="1"/>
  <c r="I147" i="2" a="1"/>
  <c r="I147" i="2" s="1"/>
  <c r="L228" i="2" a="1"/>
  <c r="L228" i="2" s="1"/>
  <c r="I205" i="2" a="1"/>
  <c r="I205" i="2" s="1"/>
  <c r="I158" i="2" a="1"/>
  <c r="I158" i="2" s="1"/>
  <c r="AG108" i="2" a="1"/>
  <c r="AG108" i="2" s="1"/>
  <c r="AJ147" i="2" a="1"/>
  <c r="AJ147" i="2" s="1"/>
  <c r="F113" i="2" a="1"/>
  <c r="F113" i="2" s="1"/>
  <c r="X101" i="2" a="1"/>
  <c r="X101" i="2" s="1"/>
  <c r="F109" i="2" a="1"/>
  <c r="F109" i="2" s="1"/>
  <c r="I149" i="2" a="1"/>
  <c r="I149" i="2" s="1"/>
  <c r="AD263" i="2" a="1"/>
  <c r="AD263" i="2" s="1"/>
  <c r="AG114" i="2" a="1"/>
  <c r="AG114" i="2" s="1"/>
  <c r="L108" i="2" a="1"/>
  <c r="L108" i="2" s="1"/>
  <c r="U127" i="2" a="1"/>
  <c r="U127" i="2" s="1"/>
  <c r="I250" i="2" a="1"/>
  <c r="I250" i="2" s="1"/>
  <c r="R198" i="2" a="1"/>
  <c r="R198" i="2" s="1"/>
  <c r="I263" i="2" a="1"/>
  <c r="I263" i="2" s="1"/>
  <c r="L231" i="2" a="1"/>
  <c r="L231" i="2" s="1"/>
  <c r="O183" i="2" a="1"/>
  <c r="O183" i="2" s="1"/>
  <c r="AD214" i="2" a="1"/>
  <c r="AD214" i="2" s="1"/>
  <c r="AM132" i="2" a="1"/>
  <c r="AM132" i="2" s="1"/>
  <c r="AD172" i="2" a="1"/>
  <c r="AD172" i="2" s="1"/>
  <c r="AJ228" i="2" a="1"/>
  <c r="AJ228" i="2" s="1"/>
  <c r="L167" i="2" a="1"/>
  <c r="L167" i="2" s="1"/>
  <c r="O124" i="2" a="1"/>
  <c r="O124" i="2" s="1"/>
  <c r="X219" i="2" a="1"/>
  <c r="X219" i="2" s="1"/>
  <c r="O118" i="2" a="1"/>
  <c r="O118" i="2" s="1"/>
  <c r="AD257" i="2" a="1"/>
  <c r="AD257" i="2" s="1"/>
  <c r="F184" i="2" a="1"/>
  <c r="F184" i="2" s="1"/>
  <c r="I144" i="2" a="1"/>
  <c r="I144" i="2" s="1"/>
  <c r="O214" i="2" a="1"/>
  <c r="O214" i="2" s="1"/>
  <c r="O256" i="2" a="1"/>
  <c r="O256" i="2" s="1"/>
  <c r="AA209" i="2" a="1"/>
  <c r="AA209" i="2" s="1"/>
  <c r="AJ165" i="2" a="1"/>
  <c r="AJ165" i="2" s="1"/>
  <c r="R151" i="2" a="1"/>
  <c r="R151" i="2" s="1"/>
  <c r="O173" i="2" a="1"/>
  <c r="O173" i="2" s="1"/>
  <c r="U207" i="2" a="1"/>
  <c r="U207" i="2" s="1"/>
  <c r="R191" i="2" a="1"/>
  <c r="R191" i="2" s="1"/>
  <c r="AM234" i="2" a="1"/>
  <c r="AM234" i="2" s="1"/>
  <c r="U225" i="2" a="1"/>
  <c r="U225" i="2" s="1"/>
  <c r="X135" i="2" a="1"/>
  <c r="X135" i="2" s="1"/>
  <c r="R138" i="2" a="1"/>
  <c r="R138" i="2" s="1"/>
  <c r="AJ234" i="2" a="1"/>
  <c r="AJ234" i="2" s="1"/>
  <c r="R215" i="2" a="1"/>
  <c r="R215" i="2" s="1"/>
  <c r="O182" i="2" a="1"/>
  <c r="O182" i="2" s="1"/>
  <c r="AA137" i="2" a="1"/>
  <c r="AA137" i="2" s="1"/>
  <c r="F126" i="2" a="1"/>
  <c r="F126" i="2" s="1"/>
  <c r="R190" i="2" a="1"/>
  <c r="R190" i="2" s="1"/>
  <c r="L192" i="2" a="1"/>
  <c r="L192" i="2" s="1"/>
  <c r="O169" i="2" a="1"/>
  <c r="O169" i="2" s="1"/>
  <c r="L259" i="2" a="1"/>
  <c r="L259" i="2" s="1"/>
  <c r="I269" i="2" a="1"/>
  <c r="I269" i="2" s="1"/>
  <c r="AG199" i="2" a="1"/>
  <c r="AG199" i="2" s="1"/>
  <c r="O238" i="2" a="1"/>
  <c r="O238" i="2" s="1"/>
  <c r="AJ100" i="2" a="1"/>
  <c r="AJ100" i="2" s="1"/>
  <c r="AM205" i="2" a="1"/>
  <c r="AM205" i="2" s="1"/>
  <c r="L236" i="2" a="1"/>
  <c r="L236" i="2" s="1"/>
  <c r="I128" i="2" a="1"/>
  <c r="I128" i="2" s="1"/>
  <c r="AJ113" i="2" a="1"/>
  <c r="AJ113" i="2" s="1"/>
  <c r="AD145" i="2" a="1"/>
  <c r="AD145" i="2" s="1"/>
  <c r="AA227" i="2" a="1"/>
  <c r="AA227" i="2" s="1"/>
  <c r="O139" i="2" a="1"/>
  <c r="O139" i="2" s="1"/>
  <c r="AG246" i="2" a="1"/>
  <c r="AG246" i="2" s="1"/>
  <c r="X253" i="2" a="1"/>
  <c r="X253" i="2" s="1"/>
  <c r="AM254" i="2" a="1"/>
  <c r="AM254" i="2" s="1"/>
  <c r="AA249" i="2" a="1"/>
  <c r="AA249" i="2" s="1"/>
  <c r="U184" i="2" a="1"/>
  <c r="U184" i="2" s="1"/>
  <c r="U100" i="2" a="1"/>
  <c r="U100" i="2" s="1"/>
  <c r="L242" i="2" a="1"/>
  <c r="L242" i="2" s="1"/>
  <c r="AD163" i="2" a="1"/>
  <c r="AD163" i="2" s="1"/>
  <c r="L269" i="2" a="1"/>
  <c r="L269" i="2" s="1"/>
  <c r="O174" i="2" a="1"/>
  <c r="O174" i="2" s="1"/>
  <c r="I98" i="2" a="1"/>
  <c r="I98" i="2" s="1"/>
  <c r="AM261" i="2" a="1"/>
  <c r="AM261" i="2" s="1"/>
  <c r="R172" i="2" a="1"/>
  <c r="R172" i="2" s="1"/>
  <c r="AM100" i="2" a="1"/>
  <c r="AM100" i="2" s="1"/>
  <c r="X161" i="2" a="1"/>
  <c r="X161" i="2" s="1"/>
  <c r="AJ189" i="2" a="1"/>
  <c r="AJ189" i="2" s="1"/>
  <c r="AD267" i="2" a="1"/>
  <c r="AD267" i="2" s="1"/>
  <c r="X230" i="2" a="1"/>
  <c r="X230" i="2" s="1"/>
  <c r="R199" i="2" a="1"/>
  <c r="R199" i="2" s="1"/>
  <c r="AG131" i="2" a="1"/>
  <c r="AG131" i="2" s="1"/>
  <c r="AD230" i="2" a="1"/>
  <c r="AD230" i="2" s="1"/>
  <c r="AM250" i="2" a="1"/>
  <c r="AM250" i="2" s="1"/>
  <c r="X105" i="2" a="1"/>
  <c r="X105" i="2" s="1"/>
  <c r="X89" i="2" a="1"/>
  <c r="X89" i="2" s="1"/>
  <c r="AD232" i="2" a="1"/>
  <c r="AD232" i="2" s="1"/>
  <c r="AD261" i="2" a="1"/>
  <c r="AD261" i="2" s="1"/>
  <c r="O100" i="2" a="1"/>
  <c r="O100" i="2" s="1"/>
  <c r="X157" i="2" a="1"/>
  <c r="X157" i="2" s="1"/>
  <c r="AA248" i="2" a="1"/>
  <c r="AA248" i="2" s="1"/>
  <c r="AG262" i="2" a="1"/>
  <c r="AG262" i="2" s="1"/>
  <c r="U126" i="2" a="1"/>
  <c r="U126" i="2" s="1"/>
  <c r="L141" i="2" a="1"/>
  <c r="L141" i="2" s="1"/>
  <c r="I173" i="2" a="1"/>
  <c r="I173" i="2" s="1"/>
  <c r="AM183" i="2" a="1"/>
  <c r="AM183" i="2" s="1"/>
  <c r="AG235" i="2" a="1"/>
  <c r="AG235" i="2" s="1"/>
  <c r="R130" i="2" a="1"/>
  <c r="R130" i="2" s="1"/>
  <c r="AD141" i="2" a="1"/>
  <c r="AD141" i="2" s="1"/>
  <c r="AD242" i="2" a="1"/>
  <c r="AD242" i="2" s="1"/>
  <c r="R244" i="2" a="1"/>
  <c r="R244" i="2" s="1"/>
  <c r="AJ164" i="2" a="1"/>
  <c r="AJ164" i="2" s="1"/>
  <c r="I126" i="2" a="1"/>
  <c r="I126" i="2" s="1"/>
  <c r="R224" i="2" a="1"/>
  <c r="R224" i="2" s="1"/>
  <c r="X177" i="2" a="1"/>
  <c r="X177" i="2" s="1"/>
  <c r="F238" i="2" a="1"/>
  <c r="F238" i="2" s="1"/>
  <c r="AM97" i="2" a="1"/>
  <c r="AM97" i="2" s="1"/>
  <c r="X175" i="2" a="1"/>
  <c r="X175" i="2" s="1"/>
  <c r="AA235" i="2" a="1"/>
  <c r="AA235" i="2" s="1"/>
  <c r="AG260" i="2" a="1"/>
  <c r="AG260" i="2" s="1"/>
  <c r="O111" i="2" a="1"/>
  <c r="O111" i="2" s="1"/>
  <c r="F234" i="2" a="1"/>
  <c r="F234" i="2" s="1"/>
  <c r="R126" i="2" a="1"/>
  <c r="R126" i="2" s="1"/>
  <c r="I182" i="2" a="1"/>
  <c r="I182" i="2" s="1"/>
  <c r="AD268" i="2" a="1"/>
  <c r="AD268" i="2" s="1"/>
  <c r="R101" i="2" a="1"/>
  <c r="R101" i="2" s="1"/>
  <c r="L88" i="2" a="1"/>
  <c r="L88" i="2" s="1"/>
  <c r="AG111" i="2" a="1"/>
  <c r="AG111" i="2" s="1"/>
  <c r="U151" i="2" a="1"/>
  <c r="U151" i="2" s="1"/>
  <c r="I214" i="2" a="1"/>
  <c r="I214" i="2" s="1"/>
  <c r="R144" i="2" a="1"/>
  <c r="R144" i="2" s="1"/>
  <c r="I264" i="2" a="1"/>
  <c r="I264" i="2" s="1"/>
  <c r="X198" i="2" a="1"/>
  <c r="X198" i="2" s="1"/>
  <c r="X262" i="2" a="1"/>
  <c r="X262" i="2" s="1"/>
  <c r="U145" i="2" a="1"/>
  <c r="U145" i="2" s="1"/>
  <c r="L250" i="2" a="1"/>
  <c r="L250" i="2" s="1"/>
  <c r="AJ86" i="2" a="1"/>
  <c r="AJ86" i="2" s="1"/>
  <c r="U112" i="2" a="1"/>
  <c r="U112" i="2" s="1"/>
  <c r="AM230" i="2" a="1"/>
  <c r="AM230" i="2" s="1"/>
  <c r="AJ182" i="2" a="1"/>
  <c r="AJ182" i="2" s="1"/>
  <c r="AJ145" i="2" a="1"/>
  <c r="AJ145" i="2" s="1"/>
  <c r="AG156" i="2" a="1"/>
  <c r="AG156" i="2" s="1"/>
  <c r="U267" i="2" a="1"/>
  <c r="U267" i="2" s="1"/>
  <c r="L240" i="2" a="1"/>
  <c r="L240" i="2" s="1"/>
  <c r="U241" i="2" a="1"/>
  <c r="U241" i="2" s="1"/>
  <c r="AD129" i="2" a="1"/>
  <c r="AD129" i="2" s="1"/>
  <c r="L184" i="2" a="1"/>
  <c r="L184" i="2" s="1"/>
  <c r="O106" i="2" a="1"/>
  <c r="O106" i="2" s="1"/>
  <c r="AD176" i="2" a="1"/>
  <c r="AD176" i="2" s="1"/>
  <c r="O189" i="2" a="1"/>
  <c r="O189" i="2" s="1"/>
  <c r="AD102" i="2" a="1"/>
  <c r="AD102" i="2" s="1"/>
  <c r="AJ206" i="2" a="1"/>
  <c r="AJ206" i="2" s="1"/>
  <c r="AG242" i="2" a="1"/>
  <c r="AG242" i="2" s="1"/>
  <c r="AA240" i="2" a="1"/>
  <c r="AA240" i="2" s="1"/>
  <c r="X163" i="2" a="1"/>
  <c r="X163" i="2" s="1"/>
  <c r="R112" i="2" a="1"/>
  <c r="R112" i="2" s="1"/>
  <c r="AD95" i="2" a="1"/>
  <c r="AD95" i="2" s="1"/>
  <c r="AJ197" i="2" a="1"/>
  <c r="AJ197" i="2" s="1"/>
  <c r="I199" i="2" a="1"/>
  <c r="I199" i="2" s="1"/>
  <c r="L248" i="2" a="1"/>
  <c r="L248" i="2" s="1"/>
  <c r="AD221" i="2" a="1"/>
  <c r="AD221" i="2" s="1"/>
  <c r="AA177" i="2" a="1"/>
  <c r="AA177" i="2" s="1"/>
  <c r="AA120" i="2" a="1"/>
  <c r="AA120" i="2" s="1"/>
  <c r="AD136" i="2" a="1"/>
  <c r="AD136" i="2" s="1"/>
  <c r="AJ188" i="2" a="1"/>
  <c r="AJ188" i="2" s="1"/>
  <c r="O231" i="2" a="1"/>
  <c r="O231" i="2" s="1"/>
  <c r="U171" i="2" a="1"/>
  <c r="U171" i="2" s="1"/>
  <c r="AG158" i="2" a="1"/>
  <c r="AG158" i="2" s="1"/>
  <c r="L214" i="2" a="1"/>
  <c r="L214" i="2" s="1"/>
  <c r="AJ144" i="2" a="1"/>
  <c r="AJ144" i="2" s="1"/>
  <c r="U226" i="2" a="1"/>
  <c r="U226" i="2" s="1"/>
  <c r="AJ210" i="2" a="1"/>
  <c r="AJ210" i="2" s="1"/>
  <c r="AA159" i="2" a="1"/>
  <c r="AA159" i="2" s="1"/>
  <c r="X136" i="2" a="1"/>
  <c r="X136" i="2" s="1"/>
  <c r="F216" i="2" a="1"/>
  <c r="F216" i="2" s="1"/>
  <c r="AM214" i="2" a="1"/>
  <c r="AM214" i="2" s="1"/>
  <c r="X93" i="2" a="1"/>
  <c r="X93" i="2" s="1"/>
  <c r="L255" i="2" a="1"/>
  <c r="L255" i="2" s="1"/>
  <c r="X225" i="2" a="1"/>
  <c r="X225" i="2" s="1"/>
  <c r="X201" i="2" a="1"/>
  <c r="X201" i="2" s="1"/>
  <c r="O252" i="2" a="1"/>
  <c r="O252" i="2" s="1"/>
  <c r="L246" i="2" a="1"/>
  <c r="L246" i="2" s="1"/>
  <c r="AD240" i="2" a="1"/>
  <c r="AD240" i="2" s="1"/>
  <c r="X167" i="2" a="1"/>
  <c r="X167" i="2" s="1"/>
  <c r="O144" i="2" a="1"/>
  <c r="O144" i="2" s="1"/>
  <c r="I132" i="2" a="1"/>
  <c r="I132" i="2" s="1"/>
  <c r="L261" i="2" a="1"/>
  <c r="L261" i="2" s="1"/>
  <c r="U235" i="2" a="1"/>
  <c r="U235" i="2" s="1"/>
  <c r="AG95" i="2" a="1"/>
  <c r="AG95" i="2" s="1"/>
  <c r="O136" i="2" a="1"/>
  <c r="O136" i="2" s="1"/>
  <c r="O147" i="2" a="1"/>
  <c r="O147" i="2" s="1"/>
  <c r="O206" i="2" a="1"/>
  <c r="O206" i="2" s="1"/>
  <c r="AJ88" i="2" a="1"/>
  <c r="AJ88" i="2" s="1"/>
  <c r="AJ196" i="2" a="1"/>
  <c r="AJ196" i="2" s="1"/>
  <c r="AM166" i="2" a="1"/>
  <c r="AM166" i="2" s="1"/>
  <c r="X232" i="2" a="1"/>
  <c r="X232" i="2" s="1"/>
  <c r="AD147" i="2" a="1"/>
  <c r="AD147" i="2" s="1"/>
  <c r="AD222" i="2" a="1"/>
  <c r="AD222" i="2" s="1"/>
  <c r="F247" i="2" a="1"/>
  <c r="F247" i="2" s="1"/>
  <c r="AG232" i="2" a="1"/>
  <c r="AG232" i="2" s="1"/>
  <c r="AG224" i="2" a="1"/>
  <c r="AG224" i="2" s="1"/>
  <c r="AA147" i="2" a="1"/>
  <c r="AA147" i="2" s="1"/>
  <c r="L142" i="2" a="1"/>
  <c r="L142" i="2" s="1"/>
  <c r="O228" i="2" a="1"/>
  <c r="O228" i="2" s="1"/>
  <c r="AJ264" i="2" a="1"/>
  <c r="AJ264" i="2" s="1"/>
  <c r="O126" i="2" a="1"/>
  <c r="O126" i="2" s="1"/>
  <c r="AA182" i="2" a="1"/>
  <c r="AA182" i="2" s="1"/>
  <c r="X245" i="2" a="1"/>
  <c r="X245" i="2" s="1"/>
  <c r="U230" i="2" a="1"/>
  <c r="U230" i="2" s="1"/>
  <c r="AD44" i="2" a="1"/>
  <c r="AD44" i="2" s="1"/>
  <c r="AG126" i="2" a="1"/>
  <c r="AG126" i="2" s="1"/>
  <c r="O208" i="2" a="1"/>
  <c r="O208" i="2" s="1"/>
  <c r="X199" i="2" a="1"/>
  <c r="X199" i="2" s="1"/>
  <c r="L115" i="2" a="1"/>
  <c r="L115" i="2" s="1"/>
  <c r="AG186" i="2" a="1"/>
  <c r="AG186" i="2" s="1"/>
  <c r="AG231" i="2" a="1"/>
  <c r="AG231" i="2" s="1"/>
  <c r="F260" i="2" a="1"/>
  <c r="F260" i="2" s="1"/>
  <c r="I230" i="2" a="1"/>
  <c r="I230" i="2" s="1"/>
  <c r="AJ94" i="2" a="1"/>
  <c r="AJ94" i="2" s="1"/>
  <c r="U110" i="2" a="1"/>
  <c r="U110" i="2" s="1"/>
  <c r="I189" i="2" a="1"/>
  <c r="I189" i="2" s="1"/>
  <c r="AG151" i="2" a="1"/>
  <c r="AG151" i="2" s="1"/>
  <c r="AM116" i="2" a="1"/>
  <c r="AM116" i="2" s="1"/>
  <c r="AG144" i="2" a="1"/>
  <c r="AG144" i="2" s="1"/>
  <c r="X187" i="2" a="1"/>
  <c r="X187" i="2" s="1"/>
  <c r="I200" i="2" a="1"/>
  <c r="I200" i="2" s="1"/>
  <c r="X246" i="2" a="1"/>
  <c r="X246" i="2" s="1"/>
  <c r="AM192" i="2" a="1"/>
  <c r="AM192" i="2" s="1"/>
  <c r="AJ229" i="2" a="1"/>
  <c r="AJ229" i="2" s="1"/>
  <c r="X173" i="2" a="1"/>
  <c r="X173" i="2" s="1"/>
  <c r="AG103" i="2" a="1"/>
  <c r="AG103" i="2" s="1"/>
  <c r="X191" i="2" a="1"/>
  <c r="X191" i="2" s="1"/>
  <c r="AJ270" i="2" a="1"/>
  <c r="AJ270" i="2" s="1"/>
  <c r="L265" i="2" a="1"/>
  <c r="L265" i="2" s="1"/>
  <c r="AJ125" i="2" a="1"/>
  <c r="AJ125" i="2" s="1"/>
  <c r="U185" i="2" a="1"/>
  <c r="U185" i="2" s="1"/>
  <c r="X171" i="2" a="1"/>
  <c r="X171" i="2" s="1"/>
  <c r="I196" i="2" a="1"/>
  <c r="I196" i="2" s="1"/>
  <c r="R105" i="2" a="1"/>
  <c r="R105" i="2" s="1"/>
  <c r="X210" i="2" a="1"/>
  <c r="X210" i="2" s="1"/>
  <c r="U143" i="2" a="1"/>
  <c r="U143" i="2" s="1"/>
  <c r="O162" i="2" a="1"/>
  <c r="O162" i="2" s="1"/>
  <c r="R159" i="2" a="1"/>
  <c r="R159" i="2" s="1"/>
  <c r="X132" i="2" a="1"/>
  <c r="X132" i="2" s="1"/>
  <c r="O232" i="2" a="1"/>
  <c r="O232" i="2" s="1"/>
  <c r="F123" i="2" a="1"/>
  <c r="F123" i="2" s="1"/>
  <c r="AA108" i="2" a="1"/>
  <c r="AA108" i="2" s="1"/>
  <c r="I100" i="2" a="1"/>
  <c r="I100" i="2" s="1"/>
  <c r="L268" i="2" a="1"/>
  <c r="L268" i="2" s="1"/>
  <c r="AG250" i="2" a="1"/>
  <c r="AG250" i="2" s="1"/>
  <c r="I140" i="2" a="1"/>
  <c r="I140" i="2" s="1"/>
  <c r="AM134" i="2" a="1"/>
  <c r="AM134" i="2" s="1"/>
  <c r="I178" i="2" a="1"/>
  <c r="I178" i="2" s="1"/>
  <c r="AG225" i="2" a="1"/>
  <c r="AG225" i="2" s="1"/>
  <c r="I193" i="2" a="1"/>
  <c r="I193" i="2" s="1"/>
  <c r="I238" i="2" a="1"/>
  <c r="I238" i="2" s="1"/>
  <c r="U101" i="2" a="1"/>
  <c r="U101" i="2" s="1"/>
  <c r="O175" i="2" a="1"/>
  <c r="O175" i="2" s="1"/>
  <c r="I271" i="2" a="1"/>
  <c r="I271" i="2" s="1"/>
  <c r="AA210" i="2" a="1"/>
  <c r="AA210" i="2" s="1"/>
  <c r="AA129" i="2" a="1"/>
  <c r="AA129" i="2" s="1"/>
  <c r="X196" i="2" a="1"/>
  <c r="X196" i="2" s="1"/>
  <c r="O131" i="2" a="1"/>
  <c r="O131" i="2" s="1"/>
  <c r="AA183" i="2" a="1"/>
  <c r="AA183" i="2" s="1"/>
  <c r="AM199" i="2" a="1"/>
  <c r="AM199" i="2" s="1"/>
  <c r="L224" i="2" a="1"/>
  <c r="L224" i="2" s="1"/>
  <c r="U130" i="2" a="1"/>
  <c r="U130" i="2" s="1"/>
  <c r="AD105" i="2" a="1"/>
  <c r="AD105" i="2" s="1"/>
  <c r="U196" i="2" a="1"/>
  <c r="U196" i="2" s="1"/>
  <c r="L154" i="2" a="1"/>
  <c r="L154" i="2" s="1"/>
  <c r="AJ195" i="2" a="1"/>
  <c r="AJ195" i="2" s="1"/>
  <c r="L216" i="2" a="1"/>
  <c r="L216" i="2" s="1"/>
  <c r="AJ245" i="2" a="1"/>
  <c r="AJ245" i="2" s="1"/>
  <c r="U148" i="2" a="1"/>
  <c r="U148" i="2" s="1"/>
  <c r="AD114" i="2" a="1"/>
  <c r="AD114" i="2" s="1"/>
  <c r="I268" i="2" a="1"/>
  <c r="I268" i="2" s="1"/>
  <c r="AJ102" i="2" a="1"/>
  <c r="AJ102" i="2" s="1"/>
  <c r="O109" i="2" a="1"/>
  <c r="O109" i="2" s="1"/>
  <c r="O132" i="2" a="1"/>
  <c r="O132" i="2" s="1"/>
  <c r="F243" i="2" a="1"/>
  <c r="F243" i="2" s="1"/>
  <c r="X263" i="2" a="1"/>
  <c r="X263" i="2" s="1"/>
  <c r="X44" i="2" a="1"/>
  <c r="X44" i="2" s="1"/>
  <c r="R128" i="2" a="1"/>
  <c r="R128" i="2" s="1"/>
  <c r="L132" i="2" a="1"/>
  <c r="L132" i="2" s="1"/>
  <c r="X158" i="2" a="1"/>
  <c r="X158" i="2" s="1"/>
  <c r="AJ260" i="2" a="1"/>
  <c r="AJ260" i="2" s="1"/>
  <c r="AM99" i="2" a="1"/>
  <c r="AM99" i="2" s="1"/>
  <c r="I255" i="2" a="1"/>
  <c r="I255" i="2" s="1"/>
  <c r="AD234" i="2" a="1"/>
  <c r="AD234" i="2" s="1"/>
  <c r="X139" i="2" a="1"/>
  <c r="X139" i="2" s="1"/>
  <c r="AD217" i="2" a="1"/>
  <c r="AD217" i="2" s="1"/>
  <c r="AD170" i="2" a="1"/>
  <c r="AD170" i="2" s="1"/>
  <c r="AA187" i="2" a="1"/>
  <c r="AA187" i="2" s="1"/>
  <c r="AD219" i="2" a="1"/>
  <c r="AD219" i="2" s="1"/>
  <c r="R102" i="2" a="1"/>
  <c r="R102" i="2" s="1"/>
  <c r="AJ231" i="2" a="1"/>
  <c r="AJ231" i="2" s="1"/>
  <c r="AM125" i="2" a="1"/>
  <c r="AM125" i="2" s="1"/>
  <c r="F125" i="2" a="1"/>
  <c r="F125" i="2" s="1"/>
  <c r="AM220" i="2" a="1"/>
  <c r="AM220" i="2" s="1"/>
  <c r="X200" i="2" a="1"/>
  <c r="X200" i="2" s="1"/>
  <c r="AJ117" i="2" a="1"/>
  <c r="AJ117" i="2" s="1"/>
  <c r="X224" i="2" a="1"/>
  <c r="X224" i="2" s="1"/>
  <c r="AD260" i="2" a="1"/>
  <c r="AD260" i="2" s="1"/>
  <c r="AA231" i="2" a="1"/>
  <c r="AA231" i="2" s="1"/>
  <c r="I115" i="2" a="1"/>
  <c r="I115" i="2" s="1"/>
  <c r="X155" i="2" a="1"/>
  <c r="X155" i="2" s="1"/>
  <c r="AD200" i="2" a="1"/>
  <c r="AD200" i="2" s="1"/>
  <c r="L174" i="2" a="1"/>
  <c r="L174" i="2" s="1"/>
  <c r="U178" i="2" a="1"/>
  <c r="U178" i="2" s="1"/>
  <c r="AA140" i="2" a="1"/>
  <c r="AA140" i="2" s="1"/>
  <c r="O133" i="2" a="1"/>
  <c r="O133" i="2" s="1"/>
  <c r="R143" i="2" a="1"/>
  <c r="R143" i="2" s="1"/>
  <c r="I169" i="2" a="1"/>
  <c r="I169" i="2" s="1"/>
  <c r="AG125" i="2" a="1"/>
  <c r="AG125" i="2" s="1"/>
  <c r="L138" i="2" a="1"/>
  <c r="L138" i="2" s="1"/>
  <c r="AM159" i="2" a="1"/>
  <c r="AM159" i="2" s="1"/>
  <c r="AM101" i="2" a="1"/>
  <c r="AM101" i="2" s="1"/>
  <c r="U256" i="2" a="1"/>
  <c r="U256" i="2" s="1"/>
  <c r="L252" i="2" a="1"/>
  <c r="L252" i="2" s="1"/>
  <c r="AJ201" i="2" a="1"/>
  <c r="AJ201" i="2" s="1"/>
  <c r="AG217" i="2" a="1"/>
  <c r="AG217" i="2" s="1"/>
  <c r="AM196" i="2" a="1"/>
  <c r="AM196" i="2" s="1"/>
  <c r="AM121" i="2" a="1"/>
  <c r="AM121" i="2" s="1"/>
  <c r="AA162" i="2" a="1"/>
  <c r="AA162" i="2" s="1"/>
  <c r="AA266" i="2" a="1"/>
  <c r="AA266" i="2" s="1"/>
  <c r="E361" i="2"/>
  <c r="F361" i="2"/>
  <c r="G361" i="2"/>
  <c r="I361" i="2"/>
  <c r="L361" i="2"/>
  <c r="M361" i="2"/>
  <c r="O361" i="2"/>
  <c r="P361" i="2"/>
  <c r="Q361" i="2"/>
  <c r="U361" i="2"/>
  <c r="V361" i="2"/>
  <c r="AF361" i="2"/>
  <c r="AP46" i="2" a="1"/>
  <c r="BI46" i="2" a="1"/>
  <c r="AV47" i="2" a="1"/>
  <c r="BB45" i="2" a="1"/>
  <c r="BL49" i="2" a="1"/>
  <c r="AT47" i="2" a="1"/>
  <c r="BK48" i="2" a="1"/>
  <c r="BA44" i="2" a="1"/>
  <c r="AR44" i="2" a="1"/>
  <c r="BI44" i="2" a="1"/>
  <c r="BQ50" i="2" a="1"/>
  <c r="BA51" i="2" a="1"/>
  <c r="BI50" i="2" a="1"/>
  <c r="AP47" i="2" a="1"/>
  <c r="BD45" i="2" a="1"/>
  <c r="BM52" i="2" a="1"/>
  <c r="AX47" i="2" a="1"/>
  <c r="BN46" i="2" a="1"/>
  <c r="BN47" i="2" a="1"/>
  <c r="AR48" i="2" a="1"/>
  <c r="BH45" i="2" a="1"/>
  <c r="AR47" i="2" a="1"/>
  <c r="BH44" i="2" a="1"/>
  <c r="BG52" i="2" a="1"/>
  <c r="BI52" i="2" a="1"/>
  <c r="AX46" i="2" a="1"/>
  <c r="AT51" i="2" a="1"/>
  <c r="AS52" i="2" a="1"/>
  <c r="BC46" i="2" a="1"/>
  <c r="AV49" i="2" a="1"/>
  <c r="BD44" i="2" a="1"/>
  <c r="AQ50" i="2" a="1"/>
  <c r="BK52" i="2" a="1"/>
  <c r="AY44" i="2" a="1"/>
  <c r="BI49" i="2" a="1"/>
  <c r="BP45" i="2" a="1"/>
  <c r="BN51" i="2" a="1"/>
  <c r="BI48" i="2" a="1"/>
  <c r="BL52" i="2" a="1"/>
  <c r="BB51" i="2" a="1"/>
  <c r="BH48" i="2" a="1"/>
  <c r="BI45" i="2" a="1"/>
  <c r="BA50" i="2" a="1"/>
  <c r="BL45" i="2" a="1"/>
  <c r="AY51" i="2" a="1"/>
  <c r="AT49" i="2" a="1"/>
  <c r="BN48" i="2" a="1"/>
  <c r="BO51" i="2" a="1"/>
  <c r="BM45" i="2" a="1"/>
  <c r="BL50" i="2" a="1"/>
  <c r="AX52" i="2" a="1"/>
  <c r="AU49" i="2" a="1"/>
  <c r="AQ47" i="2" a="1"/>
  <c r="AP53" i="2" a="1"/>
  <c r="BA49" i="2" a="1"/>
  <c r="BE47" i="2" a="1"/>
  <c r="BH46" i="2" a="1"/>
  <c r="AS50" i="2" a="1"/>
  <c r="AT50" i="2" a="1"/>
  <c r="BC50" i="2" a="1"/>
  <c r="AR52" i="2" a="1"/>
  <c r="AP50" i="2" a="1"/>
  <c r="BO46" i="2" a="1"/>
  <c r="BM48" i="2" a="1"/>
  <c r="BP47" i="2" a="1"/>
  <c r="AU46" i="2" a="1"/>
  <c r="BF48" i="2" a="1"/>
  <c r="BP49" i="2" a="1"/>
  <c r="AS44" i="2" a="1"/>
  <c r="BL47" i="2" a="1"/>
  <c r="BF46" i="2" a="1"/>
  <c r="AQ45" i="2" a="1"/>
  <c r="BM46" i="2" a="1"/>
  <c r="AU44" i="2" a="1"/>
  <c r="AQ48" i="2" a="1"/>
  <c r="BP48" i="2" a="1"/>
  <c r="BF45" i="2" a="1"/>
  <c r="BB47" i="2" a="1"/>
  <c r="AU50" i="2" a="1"/>
  <c r="BE50" i="2" a="1"/>
  <c r="AW49" i="2" a="1"/>
  <c r="AY46" i="2" a="1"/>
  <c r="BK51" i="2" a="1"/>
  <c r="AV52" i="2" a="1"/>
  <c r="BE48" i="2" a="1"/>
  <c r="AW50" i="2" a="1"/>
  <c r="BB48" i="2" a="1"/>
  <c r="AY50" i="2" a="1"/>
  <c r="BH51" i="2" a="1"/>
  <c r="AT52" i="2" a="1"/>
  <c r="AP51" i="2" a="1"/>
  <c r="BP50" i="2" a="1"/>
  <c r="AV51" i="2" a="1"/>
  <c r="AS48" i="2" a="1"/>
  <c r="BN44" i="2" a="1"/>
  <c r="BB44" i="2" a="1"/>
  <c r="BE45" i="2" a="1"/>
  <c r="BF51" i="2" a="1"/>
  <c r="BK47" i="2" a="1"/>
  <c r="BP52" i="2" a="1"/>
  <c r="AU52" i="2" a="1"/>
  <c r="BB52" i="2" a="1"/>
  <c r="BM49" i="2" a="1"/>
  <c r="BD52" i="2" a="1"/>
  <c r="BJ51" i="2" a="1"/>
  <c r="BL46" i="2" a="1"/>
  <c r="BJ47" i="2" a="1"/>
  <c r="BC44" i="2" a="1"/>
  <c r="BQ49" i="2" a="1"/>
  <c r="AQ51" i="2" a="1"/>
  <c r="AV50" i="2" a="1"/>
  <c r="BM51" i="2" a="1"/>
  <c r="BG45" i="2" a="1"/>
  <c r="BG49" i="2" a="1"/>
  <c r="AW48" i="2" a="1"/>
  <c r="AS47" i="2" a="1"/>
  <c r="BJ50" i="2" a="1"/>
  <c r="BF52" i="2" a="1"/>
  <c r="BE49" i="2" a="1"/>
  <c r="AT44" i="2" a="1"/>
  <c r="AX51" i="2" a="1"/>
  <c r="BQ46" i="2" a="1"/>
  <c r="BM50" i="2" a="1"/>
  <c r="AR50" i="2" a="1"/>
  <c r="AP44" i="2" a="1"/>
  <c r="BF50" i="2" a="1"/>
  <c r="BN45" i="2" a="1"/>
  <c r="BO45" i="2" a="1"/>
  <c r="BO50" i="2" a="1"/>
  <c r="BK50" i="2" a="1"/>
  <c r="BL44" i="2" a="1"/>
  <c r="AP48" i="2" a="1"/>
  <c r="BO48" i="2" a="1"/>
  <c r="BH47" i="2" a="1"/>
  <c r="BO52" i="2" a="1"/>
  <c r="BC51" i="2" a="1"/>
  <c r="BG50" i="2" a="1"/>
  <c r="BI47" i="2" a="1"/>
  <c r="BA45" i="2" a="1"/>
  <c r="AW46" i="2" a="1"/>
  <c r="AY48" i="2" a="1"/>
  <c r="BP51" i="2" a="1"/>
  <c r="BQ45" i="2" a="1"/>
  <c r="BI51" i="2" a="1"/>
  <c r="BJ45" i="2" a="1"/>
  <c r="BK49" i="2" a="1"/>
  <c r="AS46" i="2" a="1"/>
  <c r="AY45" i="2" a="1"/>
  <c r="BC48" i="2" a="1"/>
  <c r="AW45" i="2" a="1"/>
  <c r="BL48" i="2" a="1"/>
  <c r="AX50" i="2" a="1"/>
  <c r="BO44" i="2" a="1"/>
  <c r="AX49" i="2" a="1"/>
  <c r="BK45" i="2" a="1"/>
  <c r="AY49" i="2" a="1"/>
  <c r="AU48" i="2" a="1"/>
  <c r="AU51" i="2" a="1"/>
  <c r="BO47" i="2" a="1"/>
  <c r="AW44" i="2" a="1"/>
  <c r="AV45" i="2" a="1"/>
  <c r="AS49" i="2" a="1"/>
  <c r="BQ47" i="2" a="1"/>
  <c r="BM44" i="2" a="1"/>
  <c r="BQ52" i="2" a="1"/>
  <c r="AP52" i="2" a="1"/>
  <c r="AR46" i="2" a="1"/>
  <c r="AW52" i="2" a="1"/>
  <c r="BJ44" i="2" a="1"/>
  <c r="AR49" i="2" a="1"/>
  <c r="AX48" i="2" a="1"/>
  <c r="BA47" i="2" a="1"/>
  <c r="BO49" i="2" a="1"/>
  <c r="BB50" i="2" a="1"/>
  <c r="BF49" i="2" a="1"/>
  <c r="BQ44" i="2" a="1"/>
  <c r="BD51" i="2" a="1"/>
  <c r="BJ49" i="2" a="1"/>
  <c r="BJ52" i="2" a="1"/>
  <c r="AQ49" i="2" a="1"/>
  <c r="AU45" i="2" a="1"/>
  <c r="AS51" i="2" a="1"/>
  <c r="BJ46" i="2" a="1"/>
  <c r="BM47" i="2" a="1"/>
  <c r="BE46" i="2" a="1"/>
  <c r="BJ48" i="2" a="1"/>
  <c r="AT46" i="2" a="1"/>
  <c r="BQ51" i="2" a="1"/>
  <c r="AQ46" i="2" a="1"/>
  <c r="BA48" i="2" a="1"/>
  <c r="AW47" i="2" a="1"/>
  <c r="BA46" i="2" a="1"/>
  <c r="AU47" i="2" a="1"/>
  <c r="BB46" i="2" a="1"/>
  <c r="BE52" i="2" a="1"/>
  <c r="BF44" i="2" a="1"/>
  <c r="BD50" i="2" a="1"/>
  <c r="BK44" i="2" a="1"/>
  <c r="AR51" i="2" a="1"/>
  <c r="BK46" i="2" a="1"/>
  <c r="BG48" i="2" a="1"/>
  <c r="AS45" i="2" a="1"/>
  <c r="AP54" i="2" a="1"/>
  <c r="BN52" i="2" a="1"/>
  <c r="AT48" i="2" a="1"/>
  <c r="BC52" i="2" a="1"/>
  <c r="BG51" i="2" a="1"/>
  <c r="BA52" i="2" a="1"/>
  <c r="AQ44" i="2" a="1"/>
  <c r="BD48" i="2" a="1"/>
  <c r="BF47" i="2" a="1"/>
  <c r="BH52" i="2" a="1"/>
  <c r="AP56" i="2" a="1"/>
  <c r="BQ48" i="2" a="1"/>
  <c r="BD49" i="2" a="1"/>
  <c r="BE51" i="2" a="1"/>
  <c r="BG46" i="2" a="1"/>
  <c r="BC45" i="2" a="1"/>
  <c r="AP55" i="2" a="1"/>
  <c r="BC49" i="2" a="1"/>
  <c r="BC47" i="2" a="1"/>
  <c r="AW51" i="2" a="1"/>
  <c r="AY52" i="2" a="1"/>
  <c r="BG44" i="2" a="1"/>
  <c r="BD46" i="2" a="1"/>
  <c r="AQ52" i="2" a="1"/>
  <c r="AR45" i="2" a="1"/>
  <c r="AY47" i="2" a="1"/>
  <c r="BH50" i="2" a="1"/>
  <c r="AX44" i="2" a="1"/>
  <c r="BP44" i="2" a="1"/>
  <c r="BP46" i="2" a="1"/>
  <c r="BN50" i="2" a="1"/>
  <c r="AT45" i="2" a="1"/>
  <c r="BB49" i="2" a="1"/>
  <c r="AP49" i="2" a="1"/>
  <c r="AV46" i="2" a="1"/>
  <c r="AV44" i="2" a="1"/>
  <c r="BD47" i="2" a="1"/>
  <c r="AX45" i="2" a="1"/>
  <c r="BG47" i="2" a="1"/>
  <c r="AP45" i="2" a="1"/>
  <c r="AV48" i="2" a="1"/>
  <c r="BH49" i="2" a="1"/>
  <c r="BN49" i="2" a="1"/>
  <c r="BE44" i="2" a="1"/>
  <c r="BL51" i="2" a="1"/>
  <c r="BN51" i="2" l="1"/>
  <c r="BN47" i="2"/>
  <c r="BN45" i="2"/>
  <c r="BN50" i="2"/>
  <c r="BN46" i="2"/>
  <c r="BN44" i="2"/>
  <c r="BN48" i="2"/>
  <c r="BN52" i="2"/>
  <c r="BN49" i="2"/>
  <c r="A361" i="2"/>
  <c r="BF48" i="2"/>
  <c r="BC45" i="2"/>
  <c r="BB45" i="2"/>
  <c r="BE49" i="2"/>
  <c r="BI51" i="2"/>
  <c r="BA46" i="2"/>
  <c r="AS44" i="2"/>
  <c r="AW50" i="2"/>
  <c r="AU48" i="2"/>
  <c r="BF46" i="2"/>
  <c r="BP50" i="2"/>
  <c r="BM50" i="2"/>
  <c r="BL49" i="2"/>
  <c r="AP54" i="2"/>
  <c r="AV50" i="2"/>
  <c r="BM47" i="2"/>
  <c r="BJ47" i="2"/>
  <c r="AS51" i="2"/>
  <c r="AQ46" i="2"/>
  <c r="BQ44" i="2"/>
  <c r="AR50" i="2"/>
  <c r="BA51" i="2"/>
  <c r="AV51" i="2"/>
  <c r="BG46" i="2"/>
  <c r="BM46" i="2"/>
  <c r="AY51" i="2"/>
  <c r="AY48" i="2"/>
  <c r="AX48" i="2"/>
  <c r="BM44" i="2"/>
  <c r="AP49" i="2"/>
  <c r="BP46" i="2"/>
  <c r="AT50" i="2"/>
  <c r="AW52" i="2"/>
  <c r="BE50" i="2"/>
  <c r="AY49" i="2"/>
  <c r="AR49" i="2"/>
  <c r="AX51" i="2"/>
  <c r="BF50" i="2"/>
  <c r="AP44" i="2"/>
  <c r="AQ48" i="2"/>
  <c r="BH44" i="2"/>
  <c r="BI48" i="2"/>
  <c r="AU49" i="2"/>
  <c r="BF49" i="2"/>
  <c r="BI50" i="2"/>
  <c r="AS49" i="2"/>
  <c r="BC52" i="2"/>
  <c r="AQ47" i="2"/>
  <c r="BE52" i="2"/>
  <c r="BQ48" i="2"/>
  <c r="AR47" i="2"/>
  <c r="BB49" i="2"/>
  <c r="AP52" i="2"/>
  <c r="BL46" i="2"/>
  <c r="BA45" i="2"/>
  <c r="BB47" i="2"/>
  <c r="AP53" i="2"/>
  <c r="BJ51" i="2"/>
  <c r="BM51" i="2"/>
  <c r="BP45" i="2"/>
  <c r="BJ48" i="2"/>
  <c r="AV52" i="2"/>
  <c r="BB52" i="2"/>
  <c r="BL52" i="2"/>
  <c r="BK44" i="2"/>
  <c r="AV44" i="2"/>
  <c r="BB46" i="2"/>
  <c r="BQ50" i="2"/>
  <c r="AP50" i="2"/>
  <c r="AX52" i="2"/>
  <c r="AY50" i="2"/>
  <c r="BF44" i="2"/>
  <c r="BQ45" i="2"/>
  <c r="AR51" i="2"/>
  <c r="AY44" i="2"/>
  <c r="BC48" i="2"/>
  <c r="AP45" i="2"/>
  <c r="AV45" i="2"/>
  <c r="BI45" i="2"/>
  <c r="BD44" i="2"/>
  <c r="BA50" i="2"/>
  <c r="BO46" i="2"/>
  <c r="AS45" i="2"/>
  <c r="BO47" i="2"/>
  <c r="AU45" i="2"/>
  <c r="BG49" i="2"/>
  <c r="BP49" i="2"/>
  <c r="BG52" i="2"/>
  <c r="BK51" i="2"/>
  <c r="AU50" i="2"/>
  <c r="BM52" i="2"/>
  <c r="AT46" i="2"/>
  <c r="AS52" i="2"/>
  <c r="BI46" i="2"/>
  <c r="BD45" i="2"/>
  <c r="BQ46" i="2"/>
  <c r="AX46" i="2"/>
  <c r="BE51" i="2"/>
  <c r="BJ50" i="2"/>
  <c r="BC44" i="2"/>
  <c r="AP51" i="2"/>
  <c r="BG47" i="2"/>
  <c r="AR52" i="2"/>
  <c r="BA44" i="2"/>
  <c r="BG50" i="2"/>
  <c r="BK49" i="2"/>
  <c r="AX50" i="2"/>
  <c r="AQ51" i="2"/>
  <c r="BD50" i="2"/>
  <c r="BQ52" i="2"/>
  <c r="BK46" i="2"/>
  <c r="BJ44" i="2"/>
  <c r="BG44" i="2"/>
  <c r="BE44" i="2"/>
  <c r="BC50" i="2"/>
  <c r="BH45" i="2"/>
  <c r="BM48" i="2"/>
  <c r="BA49" i="2"/>
  <c r="BC47" i="2"/>
  <c r="BL45" i="2"/>
  <c r="BH51" i="2"/>
  <c r="BL48" i="2"/>
  <c r="AV49" i="2"/>
  <c r="AT52" i="2"/>
  <c r="BO44" i="2"/>
  <c r="BG51" i="2"/>
  <c r="BG45" i="2"/>
  <c r="BJ49" i="2"/>
  <c r="AX44" i="2"/>
  <c r="BM49" i="2"/>
  <c r="BL50" i="2"/>
  <c r="AW45" i="2"/>
  <c r="BA47" i="2"/>
  <c r="BJ45" i="2"/>
  <c r="BH49" i="2"/>
  <c r="BF47" i="2"/>
  <c r="BC46" i="2"/>
  <c r="AR46" i="2"/>
  <c r="AP55" i="2"/>
  <c r="AV47" i="2"/>
  <c r="AS48" i="2"/>
  <c r="BH47" i="2"/>
  <c r="BK52" i="2"/>
  <c r="AP47" i="2"/>
  <c r="BE48" i="2"/>
  <c r="BE45" i="2"/>
  <c r="BK45" i="2"/>
  <c r="AQ44" i="2"/>
  <c r="AT49" i="2"/>
  <c r="AQ45" i="2"/>
  <c r="BC49" i="2"/>
  <c r="BB50" i="2"/>
  <c r="AW46" i="2"/>
  <c r="AR48" i="2"/>
  <c r="AY45" i="2"/>
  <c r="AP56" i="2"/>
  <c r="BH46" i="2"/>
  <c r="AY52" i="2"/>
  <c r="BQ47" i="2"/>
  <c r="BI44" i="2"/>
  <c r="AU52" i="2"/>
  <c r="AP46" i="2"/>
  <c r="AS47" i="2"/>
  <c r="BK47" i="2"/>
  <c r="BB44" i="2"/>
  <c r="AY47" i="2"/>
  <c r="BA48" i="2"/>
  <c r="BM45" i="2"/>
  <c r="AT44" i="2"/>
  <c r="BQ51" i="2"/>
  <c r="AP48" i="2"/>
  <c r="AU51" i="2"/>
  <c r="AQ52" i="2"/>
  <c r="AW47" i="2"/>
  <c r="AX47" i="2"/>
  <c r="AQ49" i="2"/>
  <c r="BQ49" i="2"/>
  <c r="BF45" i="2"/>
  <c r="BP52" i="2"/>
  <c r="BP48" i="2"/>
  <c r="BK48" i="2"/>
  <c r="BK50" i="2"/>
  <c r="BI52" i="2"/>
  <c r="BH50" i="2"/>
  <c r="BO50" i="2"/>
  <c r="AS46" i="2"/>
  <c r="BB51" i="2"/>
  <c r="BJ46" i="2"/>
  <c r="AT48" i="2"/>
  <c r="BD49" i="2"/>
  <c r="AW48" i="2"/>
  <c r="AV48" i="2"/>
  <c r="BP47" i="2"/>
  <c r="BB48" i="2"/>
  <c r="AT47" i="2"/>
  <c r="BL47" i="2"/>
  <c r="BI49" i="2"/>
  <c r="AT45" i="2"/>
  <c r="AW49" i="2"/>
  <c r="BL44" i="2"/>
  <c r="BP51" i="2"/>
  <c r="AR45" i="2"/>
  <c r="BO51" i="2"/>
  <c r="BO49" i="2"/>
  <c r="BD46" i="2"/>
  <c r="BL51" i="2"/>
  <c r="BG48" i="2"/>
  <c r="BH48" i="2"/>
  <c r="BD51" i="2"/>
  <c r="BF51" i="2"/>
  <c r="AX49" i="2"/>
  <c r="AR44" i="2"/>
  <c r="BI47" i="2"/>
  <c r="AT51" i="2"/>
  <c r="BH52" i="2"/>
  <c r="BE47" i="2"/>
  <c r="AU46" i="2"/>
  <c r="BP44" i="2"/>
  <c r="BJ52" i="2"/>
  <c r="BD48" i="2"/>
  <c r="AW44" i="2"/>
  <c r="BC51" i="2"/>
  <c r="BD52" i="2"/>
  <c r="AU47" i="2"/>
  <c r="AX45" i="2"/>
  <c r="BA52" i="2"/>
  <c r="AQ50" i="2"/>
  <c r="AU44" i="2"/>
  <c r="BD47" i="2"/>
  <c r="AS50" i="2"/>
  <c r="AY46" i="2"/>
  <c r="AV46" i="2"/>
  <c r="BF52" i="2"/>
  <c r="BE46" i="2"/>
  <c r="AW51" i="2"/>
  <c r="BO48" i="2"/>
  <c r="BO45" i="2"/>
  <c r="BO52" i="2"/>
  <c r="AK245" i="2" a="1"/>
  <c r="AK245" i="2" s="1"/>
  <c r="AI245" i="2" a="1"/>
  <c r="AI245" i="2" s="1"/>
  <c r="V230" i="2" a="1"/>
  <c r="V230" i="2" s="1"/>
  <c r="T230" i="2" a="1"/>
  <c r="T230" i="2" s="1"/>
  <c r="G243" i="2" a="1"/>
  <c r="G243" i="2" s="1"/>
  <c r="E243" i="2" a="1"/>
  <c r="E243" i="2" s="1"/>
  <c r="Y191" i="2" a="1"/>
  <c r="Y191" i="2" s="1"/>
  <c r="W191" i="2" a="1"/>
  <c r="W191" i="2" s="1"/>
  <c r="M252" i="2" a="1"/>
  <c r="M252" i="2" s="1"/>
  <c r="K252" i="2" a="1"/>
  <c r="K252" i="2" s="1"/>
  <c r="AC105" i="2" a="1"/>
  <c r="AC105" i="2" s="1"/>
  <c r="AE105" i="2" a="1"/>
  <c r="AE105" i="2" s="1"/>
  <c r="Y132" i="2" a="1"/>
  <c r="Y132" i="2" s="1"/>
  <c r="W132" i="2" a="1"/>
  <c r="W132" i="2" s="1"/>
  <c r="V110" i="2" a="1"/>
  <c r="V110" i="2" s="1"/>
  <c r="T110" i="2" a="1"/>
  <c r="T110" i="2" s="1"/>
  <c r="W232" i="2" a="1"/>
  <c r="W232" i="2" s="1"/>
  <c r="Y232" i="2" a="1"/>
  <c r="Y232" i="2" s="1"/>
  <c r="AE136" i="2" a="1"/>
  <c r="AE136" i="2" s="1"/>
  <c r="AC136" i="2" a="1"/>
  <c r="AC136" i="2" s="1"/>
  <c r="AI182" i="2" a="1"/>
  <c r="AI182" i="2" s="1"/>
  <c r="AK182" i="2" a="1"/>
  <c r="AK182" i="2" s="1"/>
  <c r="E238" i="2" a="1"/>
  <c r="E238" i="2" s="1"/>
  <c r="G238" i="2" a="1"/>
  <c r="G238" i="2" s="1"/>
  <c r="AF131" i="2" a="1"/>
  <c r="AF131" i="2" s="1"/>
  <c r="AH131" i="2" a="1"/>
  <c r="AH131" i="2" s="1"/>
  <c r="AN261" i="2" a="1"/>
  <c r="AN261" i="2" s="1"/>
  <c r="AL261" i="2" a="1"/>
  <c r="AL261" i="2" s="1"/>
  <c r="Z249" i="2" a="1"/>
  <c r="Z249" i="2" s="1"/>
  <c r="AB249" i="2" a="1"/>
  <c r="AB249" i="2" s="1"/>
  <c r="J128" i="2" a="1"/>
  <c r="J128" i="2" s="1"/>
  <c r="H128" i="2" a="1"/>
  <c r="H128" i="2" s="1"/>
  <c r="N169" i="2" a="1"/>
  <c r="N169" i="2" s="1"/>
  <c r="P169" i="2" a="1"/>
  <c r="P169" i="2" s="1"/>
  <c r="Q138" i="2" a="1"/>
  <c r="Q138" i="2" s="1"/>
  <c r="S138" i="2" a="1"/>
  <c r="S138" i="2" s="1"/>
  <c r="AI165" i="2" a="1"/>
  <c r="AI165" i="2" s="1"/>
  <c r="AK165" i="2" a="1"/>
  <c r="AK165" i="2" s="1"/>
  <c r="Y219" i="2" a="1"/>
  <c r="Y219" i="2" s="1"/>
  <c r="W219" i="2" a="1"/>
  <c r="W219" i="2" s="1"/>
  <c r="K231" i="2" a="1"/>
  <c r="K231" i="2" s="1"/>
  <c r="M231" i="2" a="1"/>
  <c r="M231" i="2" s="1"/>
  <c r="J149" i="2" a="1"/>
  <c r="J149" i="2" s="1"/>
  <c r="H149" i="2" a="1"/>
  <c r="H149" i="2" s="1"/>
  <c r="M228" i="2" a="1"/>
  <c r="M228" i="2" s="1"/>
  <c r="K228" i="2" a="1"/>
  <c r="K228" i="2" s="1"/>
  <c r="AB202" i="2" a="1"/>
  <c r="AB202" i="2" s="1"/>
  <c r="Z202" i="2" a="1"/>
  <c r="Z202" i="2" s="1"/>
  <c r="N160" i="2" a="1"/>
  <c r="N160" i="2" s="1"/>
  <c r="P160" i="2" a="1"/>
  <c r="P160" i="2" s="1"/>
  <c r="AH167" i="2" a="1"/>
  <c r="AH167" i="2" s="1"/>
  <c r="AF167" i="2" a="1"/>
  <c r="AF167" i="2" s="1"/>
  <c r="V122" i="2" a="1"/>
  <c r="V122" i="2" s="1"/>
  <c r="T122" i="2" a="1"/>
  <c r="T122" i="2" s="1"/>
  <c r="AB134" i="2" a="1"/>
  <c r="AB134" i="2" s="1"/>
  <c r="Z134" i="2" a="1"/>
  <c r="Z134" i="2" s="1"/>
  <c r="AK184" i="2" a="1"/>
  <c r="AK184" i="2" s="1"/>
  <c r="AI184" i="2" a="1"/>
  <c r="AI184" i="2" s="1"/>
  <c r="Q272" i="2" a="1"/>
  <c r="Q272" i="2" s="1"/>
  <c r="S272" i="2" a="1"/>
  <c r="S272" i="2" s="1"/>
  <c r="K223" i="2" a="1"/>
  <c r="K223" i="2" s="1"/>
  <c r="M223" i="2" a="1"/>
  <c r="M223" i="2" s="1"/>
  <c r="J215" i="2" a="1"/>
  <c r="J215" i="2" s="1"/>
  <c r="H215" i="2" a="1"/>
  <c r="H215" i="2" s="1"/>
  <c r="AC180" i="2" a="1"/>
  <c r="AC180" i="2" s="1"/>
  <c r="AE180" i="2" a="1"/>
  <c r="AE180" i="2" s="1"/>
  <c r="E163" i="2" a="1"/>
  <c r="E163" i="2" s="1"/>
  <c r="G163" i="2" a="1"/>
  <c r="G163" i="2" s="1"/>
  <c r="AN193" i="2" a="1"/>
  <c r="AN193" i="2" s="1"/>
  <c r="AL193" i="2" a="1"/>
  <c r="AL193" i="2" s="1"/>
  <c r="AE142" i="2" a="1"/>
  <c r="AE142" i="2" s="1"/>
  <c r="AC142" i="2" a="1"/>
  <c r="AC142" i="2" s="1"/>
  <c r="Q222" i="2" a="1"/>
  <c r="Q222" i="2" s="1"/>
  <c r="S222" i="2" a="1"/>
  <c r="S222" i="2" s="1"/>
  <c r="J123" i="2" a="1"/>
  <c r="J123" i="2" s="1"/>
  <c r="H123" i="2" a="1"/>
  <c r="H123" i="2" s="1"/>
  <c r="P114" i="2" a="1"/>
  <c r="P114" i="2" s="1"/>
  <c r="N114" i="2" a="1"/>
  <c r="N114" i="2" s="1"/>
  <c r="N103" i="2" a="1"/>
  <c r="N103" i="2" s="1"/>
  <c r="P103" i="2" a="1"/>
  <c r="P103" i="2" s="1"/>
  <c r="T113" i="2" a="1"/>
  <c r="T113" i="2" s="1"/>
  <c r="V113" i="2" a="1"/>
  <c r="V113" i="2" s="1"/>
  <c r="W97" i="2" a="1"/>
  <c r="W97" i="2" s="1"/>
  <c r="Y97" i="2" a="1"/>
  <c r="Y97" i="2" s="1"/>
  <c r="T156" i="2" a="1"/>
  <c r="T156" i="2" s="1"/>
  <c r="V156" i="2" a="1"/>
  <c r="V156" i="2" s="1"/>
  <c r="AC188" i="2" a="1"/>
  <c r="AC188" i="2" s="1"/>
  <c r="AE188" i="2" a="1"/>
  <c r="AE188" i="2" s="1"/>
  <c r="AC157" i="2" a="1"/>
  <c r="AC157" i="2" s="1"/>
  <c r="AE157" i="2" a="1"/>
  <c r="AE157" i="2" s="1"/>
  <c r="J219" i="2" a="1"/>
  <c r="J219" i="2" s="1"/>
  <c r="H219" i="2" a="1"/>
  <c r="H219" i="2" s="1"/>
  <c r="G240" i="2" a="1"/>
  <c r="G240" i="2" s="1"/>
  <c r="E240" i="2" a="1"/>
  <c r="E240" i="2" s="1"/>
  <c r="Z167" i="2" a="1"/>
  <c r="Z167" i="2" s="1"/>
  <c r="AB167" i="2" a="1"/>
  <c r="AB167" i="2" s="1"/>
  <c r="AN138" i="2" a="1"/>
  <c r="AN138" i="2" s="1"/>
  <c r="AL138" i="2" a="1"/>
  <c r="AL138" i="2" s="1"/>
  <c r="Y176" i="2" a="1"/>
  <c r="Y176" i="2" s="1"/>
  <c r="W176" i="2" a="1"/>
  <c r="W176" i="2" s="1"/>
  <c r="Q212" i="2" a="1"/>
  <c r="Q212" i="2" s="1"/>
  <c r="S212" i="2" a="1"/>
  <c r="S212" i="2" s="1"/>
  <c r="AK105" i="2" a="1"/>
  <c r="AK105" i="2" s="1"/>
  <c r="AI105" i="2" a="1"/>
  <c r="AI105" i="2" s="1"/>
  <c r="T107" i="2" a="1"/>
  <c r="T107" i="2" s="1"/>
  <c r="V107" i="2" a="1"/>
  <c r="V107" i="2" s="1"/>
  <c r="M266" i="2" a="1"/>
  <c r="M266" i="2" s="1"/>
  <c r="K266" i="2" a="1"/>
  <c r="K266" i="2" s="1"/>
  <c r="E271" i="2" a="1"/>
  <c r="E271" i="2" s="1"/>
  <c r="G271" i="2" a="1"/>
  <c r="G271" i="2" s="1"/>
  <c r="M190" i="2" a="1"/>
  <c r="M190" i="2" s="1"/>
  <c r="K190" i="2" a="1"/>
  <c r="K190" i="2" s="1"/>
  <c r="P116" i="2" a="1"/>
  <c r="P116" i="2" s="1"/>
  <c r="N116" i="2" a="1"/>
  <c r="N116" i="2" s="1"/>
  <c r="S155" i="2" a="1"/>
  <c r="S155" i="2" s="1"/>
  <c r="Q155" i="2" a="1"/>
  <c r="Q155" i="2" s="1"/>
  <c r="AE155" i="2" a="1"/>
  <c r="AE155" i="2" s="1"/>
  <c r="AC155" i="2" a="1"/>
  <c r="AC155" i="2" s="1"/>
  <c r="AN251" i="2" a="1"/>
  <c r="AN251" i="2" s="1"/>
  <c r="AL251" i="2" a="1"/>
  <c r="AL251" i="2" s="1"/>
  <c r="AB154" i="2" a="1"/>
  <c r="AB154" i="2" s="1"/>
  <c r="Z154" i="2" a="1"/>
  <c r="Z154" i="2" s="1"/>
  <c r="J150" i="2" a="1"/>
  <c r="J150" i="2" s="1"/>
  <c r="H150" i="2" a="1"/>
  <c r="H150" i="2" s="1"/>
  <c r="AC107" i="2" a="1"/>
  <c r="AC107" i="2" s="1"/>
  <c r="AE107" i="2" a="1"/>
  <c r="AE107" i="2" s="1"/>
  <c r="K129" i="2" a="1"/>
  <c r="K129" i="2" s="1"/>
  <c r="M129" i="2" a="1"/>
  <c r="M129" i="2" s="1"/>
  <c r="K106" i="2" a="1"/>
  <c r="K106" i="2" s="1"/>
  <c r="M106" i="2" a="1"/>
  <c r="M106" i="2" s="1"/>
  <c r="M194" i="2" a="1"/>
  <c r="M194" i="2" s="1"/>
  <c r="K194" i="2" a="1"/>
  <c r="K194" i="2" s="1"/>
  <c r="G166" i="2" a="1"/>
  <c r="G166" i="2" s="1"/>
  <c r="E166" i="2" a="1"/>
  <c r="E166" i="2" s="1"/>
  <c r="Y264" i="2" a="1"/>
  <c r="Y264" i="2" s="1"/>
  <c r="W264" i="2" a="1"/>
  <c r="W264" i="2" s="1"/>
  <c r="AL232" i="2" a="1"/>
  <c r="AL232" i="2" s="1"/>
  <c r="AN232" i="2" a="1"/>
  <c r="AN232" i="2" s="1"/>
  <c r="N261" i="2" a="1"/>
  <c r="N261" i="2" s="1"/>
  <c r="P261" i="2" a="1"/>
  <c r="P261" i="2" s="1"/>
  <c r="W215" i="2" a="1"/>
  <c r="W215" i="2" s="1"/>
  <c r="Y215" i="2" a="1"/>
  <c r="Y215" i="2" s="1"/>
  <c r="M212" i="2" a="1"/>
  <c r="M212" i="2" s="1"/>
  <c r="K212" i="2" a="1"/>
  <c r="K212" i="2" s="1"/>
  <c r="AN210" i="2" a="1"/>
  <c r="AN210" i="2" s="1"/>
  <c r="AL210" i="2" a="1"/>
  <c r="AL210" i="2" s="1"/>
  <c r="H148" i="2" a="1"/>
  <c r="H148" i="2" s="1"/>
  <c r="J148" i="2" a="1"/>
  <c r="J148" i="2" s="1"/>
  <c r="AB133" i="2" a="1"/>
  <c r="AB133" i="2" s="1"/>
  <c r="Z133" i="2" a="1"/>
  <c r="Z133" i="2" s="1"/>
  <c r="S165" i="2" a="1"/>
  <c r="S165" i="2" s="1"/>
  <c r="Q165" i="2" a="1"/>
  <c r="Q165" i="2" s="1"/>
  <c r="P127" i="2" a="1"/>
  <c r="P127" i="2" s="1"/>
  <c r="N127" i="2" a="1"/>
  <c r="N127" i="2" s="1"/>
  <c r="K140" i="2" a="1"/>
  <c r="K140" i="2" s="1"/>
  <c r="M140" i="2" a="1"/>
  <c r="M140" i="2" s="1"/>
  <c r="S232" i="2" a="1"/>
  <c r="S232" i="2" s="1"/>
  <c r="Q232" i="2" a="1"/>
  <c r="Q232" i="2" s="1"/>
  <c r="G116" i="2" a="1"/>
  <c r="G116" i="2" s="1"/>
  <c r="E116" i="2" a="1"/>
  <c r="E116" i="2" s="1"/>
  <c r="N119" i="2" a="1"/>
  <c r="N119" i="2" s="1"/>
  <c r="P119" i="2" a="1"/>
  <c r="P119" i="2" s="1"/>
  <c r="AE109" i="2" a="1"/>
  <c r="AE109" i="2" s="1"/>
  <c r="AC109" i="2" a="1"/>
  <c r="AC109" i="2" s="1"/>
  <c r="Z265" i="2" a="1"/>
  <c r="Z265" i="2" s="1"/>
  <c r="AB265" i="2" a="1"/>
  <c r="AB265" i="2" s="1"/>
  <c r="AI230" i="2" a="1"/>
  <c r="AI230" i="2" s="1"/>
  <c r="AK230" i="2" a="1"/>
  <c r="AK230" i="2" s="1"/>
  <c r="N104" i="2" a="1"/>
  <c r="N104" i="2" s="1"/>
  <c r="P104" i="2" a="1"/>
  <c r="P104" i="2" s="1"/>
  <c r="K131" i="2" a="1"/>
  <c r="K131" i="2" s="1"/>
  <c r="M131" i="2" a="1"/>
  <c r="M131" i="2" s="1"/>
  <c r="Y204" i="2" a="1"/>
  <c r="Y204" i="2" s="1"/>
  <c r="W204" i="2" a="1"/>
  <c r="W204" i="2" s="1"/>
  <c r="AC231" i="2" a="1"/>
  <c r="AC231" i="2" s="1"/>
  <c r="AE231" i="2" a="1"/>
  <c r="AE231" i="2" s="1"/>
  <c r="H252" i="2" a="1"/>
  <c r="H252" i="2" s="1"/>
  <c r="J252" i="2" a="1"/>
  <c r="J252" i="2" s="1"/>
  <c r="G201" i="2" a="1"/>
  <c r="G201" i="2" s="1"/>
  <c r="E201" i="2" a="1"/>
  <c r="E201" i="2" s="1"/>
  <c r="P250" i="2" a="1"/>
  <c r="P250" i="2" s="1"/>
  <c r="N250" i="2" a="1"/>
  <c r="N250" i="2" s="1"/>
  <c r="K201" i="2" a="1"/>
  <c r="K201" i="2" s="1"/>
  <c r="M201" i="2" a="1"/>
  <c r="M201" i="2" s="1"/>
  <c r="AI138" i="2" a="1"/>
  <c r="AI138" i="2" s="1"/>
  <c r="AK138" i="2" a="1"/>
  <c r="AK138" i="2" s="1"/>
  <c r="AF97" i="2" a="1"/>
  <c r="AF97" i="2" s="1"/>
  <c r="AH97" i="2" a="1"/>
  <c r="AH97" i="2" s="1"/>
  <c r="J184" i="2" a="1"/>
  <c r="J184" i="2" s="1"/>
  <c r="H184" i="2" a="1"/>
  <c r="H184" i="2" s="1"/>
  <c r="AC179" i="2" a="1"/>
  <c r="AC179" i="2" s="1"/>
  <c r="AE179" i="2" a="1"/>
  <c r="AE179" i="2" s="1"/>
  <c r="M197" i="2" a="1"/>
  <c r="M197" i="2" s="1"/>
  <c r="K197" i="2" a="1"/>
  <c r="K197" i="2" s="1"/>
  <c r="Y183" i="2" a="1"/>
  <c r="Y183" i="2" s="1"/>
  <c r="W183" i="2" a="1"/>
  <c r="W183" i="2" s="1"/>
  <c r="M204" i="2" a="1"/>
  <c r="M204" i="2" s="1"/>
  <c r="K204" i="2" a="1"/>
  <c r="K204" i="2" s="1"/>
  <c r="Z126" i="2" a="1"/>
  <c r="Z126" i="2" s="1"/>
  <c r="AB126" i="2" a="1"/>
  <c r="AB126" i="2" s="1"/>
  <c r="AL147" i="2" a="1"/>
  <c r="AL147" i="2" s="1"/>
  <c r="AN147" i="2" a="1"/>
  <c r="AN147" i="2" s="1"/>
  <c r="Q121" i="2" a="1"/>
  <c r="Q121" i="2" s="1"/>
  <c r="S121" i="2" a="1"/>
  <c r="S121" i="2" s="1"/>
  <c r="AB135" i="2" a="1"/>
  <c r="AB135" i="2" s="1"/>
  <c r="Z135" i="2" a="1"/>
  <c r="Z135" i="2" s="1"/>
  <c r="AN152" i="2" a="1"/>
  <c r="AN152" i="2" s="1"/>
  <c r="AL152" i="2" a="1"/>
  <c r="AL152" i="2" s="1"/>
  <c r="S233" i="2" a="1"/>
  <c r="S233" i="2" s="1"/>
  <c r="Q233" i="2" a="1"/>
  <c r="Q233" i="2" s="1"/>
  <c r="Q241" i="2" a="1"/>
  <c r="Q241" i="2" s="1"/>
  <c r="S241" i="2" a="1"/>
  <c r="S241" i="2" s="1"/>
  <c r="Q180" i="2" a="1"/>
  <c r="Q180" i="2" s="1"/>
  <c r="S180" i="2" a="1"/>
  <c r="S180" i="2" s="1"/>
  <c r="AE175" i="2" a="1"/>
  <c r="AE175" i="2" s="1"/>
  <c r="AC175" i="2" a="1"/>
  <c r="AC175" i="2" s="1"/>
  <c r="AF218" i="2" a="1"/>
  <c r="AF218" i="2" s="1"/>
  <c r="AH218" i="2" a="1"/>
  <c r="AH218" i="2" s="1"/>
  <c r="S206" i="2" a="1"/>
  <c r="S206" i="2" s="1"/>
  <c r="Q206" i="2" a="1"/>
  <c r="Q206" i="2" s="1"/>
  <c r="AE97" i="2" a="1"/>
  <c r="AE97" i="2" s="1"/>
  <c r="AC97" i="2" a="1"/>
  <c r="AC97" i="2" s="1"/>
  <c r="AI180" i="2" a="1"/>
  <c r="AI180" i="2" s="1"/>
  <c r="AK180" i="2" a="1"/>
  <c r="AK180" i="2" s="1"/>
  <c r="E190" i="2" a="1"/>
  <c r="E190" i="2" s="1"/>
  <c r="G190" i="2" a="1"/>
  <c r="G190" i="2" s="1"/>
  <c r="AC177" i="2" a="1"/>
  <c r="AC177" i="2" s="1"/>
  <c r="AE177" i="2" a="1"/>
  <c r="AE177" i="2" s="1"/>
  <c r="S99" i="2" a="1"/>
  <c r="S99" i="2" s="1"/>
  <c r="Q99" i="2" a="1"/>
  <c r="Q99" i="2" s="1"/>
  <c r="V198" i="2" a="1"/>
  <c r="V198" i="2" s="1"/>
  <c r="T198" i="2" a="1"/>
  <c r="T198" i="2" s="1"/>
  <c r="E253" i="2" a="1"/>
  <c r="E253" i="2" s="1"/>
  <c r="G253" i="2" a="1"/>
  <c r="G253" i="2" s="1"/>
  <c r="Q183" i="2" a="1"/>
  <c r="Q183" i="2" s="1"/>
  <c r="S183" i="2" a="1"/>
  <c r="S183" i="2" s="1"/>
  <c r="H259" i="2" a="1"/>
  <c r="H259" i="2" s="1"/>
  <c r="J259" i="2" a="1"/>
  <c r="J259" i="2" s="1"/>
  <c r="AL262" i="2" a="1"/>
  <c r="AL262" i="2" s="1"/>
  <c r="AN262" i="2" a="1"/>
  <c r="AN262" i="2" s="1"/>
  <c r="AC272" i="2" a="1"/>
  <c r="AC272" i="2" s="1"/>
  <c r="AE272" i="2" a="1"/>
  <c r="AE272" i="2" s="1"/>
  <c r="P258" i="2" a="1"/>
  <c r="P258" i="2" s="1"/>
  <c r="N258" i="2" a="1"/>
  <c r="N258" i="2" s="1"/>
  <c r="AE143" i="2" a="1"/>
  <c r="AE143" i="2" s="1"/>
  <c r="AC143" i="2" a="1"/>
  <c r="AC143" i="2" s="1"/>
  <c r="G245" i="2" a="1"/>
  <c r="G245" i="2" s="1"/>
  <c r="E245" i="2" a="1"/>
  <c r="E245" i="2" s="1"/>
  <c r="AK150" i="2" a="1"/>
  <c r="AK150" i="2" s="1"/>
  <c r="AI150" i="2" a="1"/>
  <c r="AI150" i="2" s="1"/>
  <c r="AK99" i="2" a="1"/>
  <c r="AK99" i="2" s="1"/>
  <c r="AI99" i="2" a="1"/>
  <c r="AI99" i="2" s="1"/>
  <c r="AN105" i="2" a="1"/>
  <c r="AN105" i="2" s="1"/>
  <c r="AL105" i="2" a="1"/>
  <c r="AL105" i="2" s="1"/>
  <c r="Z245" i="2" a="1"/>
  <c r="Z245" i="2" s="1"/>
  <c r="AB245" i="2" a="1"/>
  <c r="AB245" i="2" s="1"/>
  <c r="V175" i="2" a="1"/>
  <c r="V175" i="2" s="1"/>
  <c r="T175" i="2" a="1"/>
  <c r="T175" i="2" s="1"/>
  <c r="M170" i="2" a="1"/>
  <c r="M170" i="2" s="1"/>
  <c r="K170" i="2" a="1"/>
  <c r="K170" i="2" s="1"/>
  <c r="V231" i="2" a="1"/>
  <c r="V231" i="2" s="1"/>
  <c r="T231" i="2" a="1"/>
  <c r="T231" i="2" s="1"/>
  <c r="S137" i="2" a="1"/>
  <c r="S137" i="2" s="1"/>
  <c r="Q137" i="2" a="1"/>
  <c r="Q137" i="2" s="1"/>
  <c r="E213" i="2" a="1"/>
  <c r="E213" i="2" s="1"/>
  <c r="G213" i="2" a="1"/>
  <c r="G213" i="2" s="1"/>
  <c r="AN168" i="2" a="1"/>
  <c r="AN168" i="2" s="1"/>
  <c r="AL168" i="2" a="1"/>
  <c r="AL168" i="2" s="1"/>
  <c r="P242" i="2" a="1"/>
  <c r="P242" i="2" s="1"/>
  <c r="N242" i="2" a="1"/>
  <c r="N242" i="2" s="1"/>
  <c r="AH106" i="2" a="1"/>
  <c r="AH106" i="2" s="1"/>
  <c r="AF106" i="2" a="1"/>
  <c r="AF106" i="2" s="1"/>
  <c r="M232" i="2" a="1"/>
  <c r="M232" i="2" s="1"/>
  <c r="K232" i="2" a="1"/>
  <c r="K232" i="2" s="1"/>
  <c r="AK233" i="2" a="1"/>
  <c r="AK233" i="2" s="1"/>
  <c r="AI233" i="2" a="1"/>
  <c r="AI233" i="2" s="1"/>
  <c r="AF254" i="2" a="1"/>
  <c r="AF254" i="2" s="1"/>
  <c r="AH254" i="2" a="1"/>
  <c r="AH254" i="2" s="1"/>
  <c r="M133" i="2" a="1"/>
  <c r="M133" i="2" s="1"/>
  <c r="K133" i="2" a="1"/>
  <c r="K133" i="2" s="1"/>
  <c r="T123" i="2" a="1"/>
  <c r="T123" i="2" s="1"/>
  <c r="V123" i="2" a="1"/>
  <c r="V123" i="2" s="1"/>
  <c r="Y180" i="2" a="1"/>
  <c r="Y180" i="2" s="1"/>
  <c r="W180" i="2" a="1"/>
  <c r="W180" i="2" s="1"/>
  <c r="P233" i="2" a="1"/>
  <c r="P233" i="2" s="1"/>
  <c r="N233" i="2" a="1"/>
  <c r="N233" i="2" s="1"/>
  <c r="AK216" i="2" a="1"/>
  <c r="AK216" i="2" s="1"/>
  <c r="AI216" i="2" a="1"/>
  <c r="AI216" i="2" s="1"/>
  <c r="W110" i="2" a="1"/>
  <c r="W110" i="2" s="1"/>
  <c r="Y110" i="2" a="1"/>
  <c r="Y110" i="2" s="1"/>
  <c r="AH196" i="2" a="1"/>
  <c r="AH196" i="2" s="1"/>
  <c r="AF196" i="2" a="1"/>
  <c r="AF196" i="2" s="1"/>
  <c r="AK169" i="2" a="1"/>
  <c r="AK169" i="2" s="1"/>
  <c r="AI169" i="2" a="1"/>
  <c r="AI169" i="2" s="1"/>
  <c r="V146" i="2" a="1"/>
  <c r="V146" i="2" s="1"/>
  <c r="T146" i="2" a="1"/>
  <c r="T146" i="2" s="1"/>
  <c r="Y152" i="2" a="1"/>
  <c r="Y152" i="2" s="1"/>
  <c r="W152" i="2" a="1"/>
  <c r="W152" i="2" s="1"/>
  <c r="AN190" i="2" a="1"/>
  <c r="AN190" i="2" s="1"/>
  <c r="AL190" i="2" a="1"/>
  <c r="AL190" i="2" s="1"/>
  <c r="M160" i="2" a="1"/>
  <c r="M160" i="2" s="1"/>
  <c r="K160" i="2" a="1"/>
  <c r="K160" i="2" s="1"/>
  <c r="AB246" i="2" a="1"/>
  <c r="AB246" i="2" s="1"/>
  <c r="Z246" i="2" a="1"/>
  <c r="Z246" i="2" s="1"/>
  <c r="AH266" i="2" a="1"/>
  <c r="AH266" i="2" s="1"/>
  <c r="AF266" i="2" a="1"/>
  <c r="AF266" i="2" s="1"/>
  <c r="E134" i="2" a="1"/>
  <c r="E134" i="2" s="1"/>
  <c r="G134" i="2" a="1"/>
  <c r="G134" i="2" s="1"/>
  <c r="S156" i="2" a="1"/>
  <c r="S156" i="2" s="1"/>
  <c r="Q156" i="2" a="1"/>
  <c r="Q156" i="2" s="1"/>
  <c r="T246" i="2" a="1"/>
  <c r="T246" i="2" s="1"/>
  <c r="V246" i="2" a="1"/>
  <c r="V246" i="2" s="1"/>
  <c r="AB118" i="2" a="1"/>
  <c r="AB118" i="2" s="1"/>
  <c r="Z118" i="2" a="1"/>
  <c r="Z118" i="2" s="1"/>
  <c r="AF259" i="2" a="1"/>
  <c r="AF259" i="2" s="1"/>
  <c r="AH259" i="2" a="1"/>
  <c r="AH259" i="2" s="1"/>
  <c r="S145" i="2" a="1"/>
  <c r="S145" i="2" s="1"/>
  <c r="Q145" i="2" a="1"/>
  <c r="Q145" i="2" s="1"/>
  <c r="Y268" i="2" a="1"/>
  <c r="Y268" i="2" s="1"/>
  <c r="W268" i="2" a="1"/>
  <c r="W268" i="2" s="1"/>
  <c r="J155" i="2" a="1"/>
  <c r="J155" i="2" s="1"/>
  <c r="H155" i="2" a="1"/>
  <c r="H155" i="2" s="1"/>
  <c r="N97" i="2" a="1"/>
  <c r="N97" i="2" s="1"/>
  <c r="P97" i="2" a="1"/>
  <c r="P97" i="2" s="1"/>
  <c r="AN201" i="2" a="1"/>
  <c r="AN201" i="2" s="1"/>
  <c r="AL201" i="2" a="1"/>
  <c r="AL201" i="2" s="1"/>
  <c r="S220" i="2" a="1"/>
  <c r="S220" i="2" s="1"/>
  <c r="Q220" i="2" a="1"/>
  <c r="Q220" i="2" s="1"/>
  <c r="H228" i="2" a="1"/>
  <c r="H228" i="2" s="1"/>
  <c r="J228" i="2" a="1"/>
  <c r="J228" i="2" s="1"/>
  <c r="AB144" i="2" a="1"/>
  <c r="AB144" i="2" s="1"/>
  <c r="Z144" i="2" a="1"/>
  <c r="Z144" i="2" s="1"/>
  <c r="AN117" i="2" a="1"/>
  <c r="AN117" i="2" s="1"/>
  <c r="AL117" i="2" a="1"/>
  <c r="AL117" i="2" s="1"/>
  <c r="V265" i="2" a="1"/>
  <c r="V265" i="2" s="1"/>
  <c r="T265" i="2" a="1"/>
  <c r="T265" i="2" s="1"/>
  <c r="V264" i="2" a="1"/>
  <c r="V264" i="2" s="1"/>
  <c r="T264" i="2" a="1"/>
  <c r="T264" i="2" s="1"/>
  <c r="AB212" i="2" a="1"/>
  <c r="AB212" i="2" s="1"/>
  <c r="Z212" i="2" a="1"/>
  <c r="Z212" i="2" s="1"/>
  <c r="AH138" i="2" a="1"/>
  <c r="AH138" i="2" s="1"/>
  <c r="AF138" i="2" a="1"/>
  <c r="AF138" i="2" s="1"/>
  <c r="J226" i="2" a="1"/>
  <c r="J226" i="2" s="1"/>
  <c r="H226" i="2" a="1"/>
  <c r="H226" i="2" s="1"/>
  <c r="AF122" i="2" a="1"/>
  <c r="AF122" i="2" s="1"/>
  <c r="AH122" i="2" a="1"/>
  <c r="AH122" i="2" s="1"/>
  <c r="H212" i="2" a="1"/>
  <c r="H212" i="2" s="1"/>
  <c r="J212" i="2" a="1"/>
  <c r="J212" i="2" s="1"/>
  <c r="G197" i="2" a="1"/>
  <c r="G197" i="2" s="1"/>
  <c r="E197" i="2" a="1"/>
  <c r="E197" i="2" s="1"/>
  <c r="Q271" i="2" a="1"/>
  <c r="Q271" i="2" s="1"/>
  <c r="S271" i="2" a="1"/>
  <c r="S271" i="2" s="1"/>
  <c r="W160" i="2" a="1"/>
  <c r="W160" i="2" s="1"/>
  <c r="Y160" i="2" a="1"/>
  <c r="Y160" i="2" s="1"/>
  <c r="T254" i="2" a="1"/>
  <c r="T254" i="2" s="1"/>
  <c r="V254" i="2" a="1"/>
  <c r="V254" i="2" s="1"/>
  <c r="E270" i="2" a="1"/>
  <c r="E270" i="2" s="1"/>
  <c r="G270" i="2" a="1"/>
  <c r="G270" i="2" s="1"/>
  <c r="AI140" i="2" a="1"/>
  <c r="AI140" i="2" s="1"/>
  <c r="AK140" i="2" a="1"/>
  <c r="AK140" i="2" s="1"/>
  <c r="T154" i="2" a="1"/>
  <c r="T154" i="2" s="1"/>
  <c r="V154" i="2" a="1"/>
  <c r="V154" i="2" s="1"/>
  <c r="Q268" i="2" a="1"/>
  <c r="Q268" i="2" s="1"/>
  <c r="S268" i="2" a="1"/>
  <c r="S268" i="2" s="1"/>
  <c r="J161" i="2" a="1"/>
  <c r="J161" i="2" s="1"/>
  <c r="H161" i="2" a="1"/>
  <c r="H161" i="2" s="1"/>
  <c r="W91" i="2" a="1"/>
  <c r="W91" i="2" s="1"/>
  <c r="Y91" i="2" a="1"/>
  <c r="Y91" i="2" s="1"/>
  <c r="Q239" i="2" a="1"/>
  <c r="Q239" i="2" s="1"/>
  <c r="S239" i="2" a="1"/>
  <c r="S239" i="2" s="1"/>
  <c r="E205" i="2" a="1"/>
  <c r="E205" i="2" s="1"/>
  <c r="G205" i="2" a="1"/>
  <c r="G205" i="2" s="1"/>
  <c r="K136" i="2" a="1"/>
  <c r="K136" i="2" s="1"/>
  <c r="M136" i="2" a="1"/>
  <c r="M136" i="2" s="1"/>
  <c r="Z127" i="2" a="1"/>
  <c r="Z127" i="2" s="1"/>
  <c r="AB127" i="2" a="1"/>
  <c r="AB127" i="2" s="1"/>
  <c r="AC238" i="2" a="1"/>
  <c r="AC238" i="2" s="1"/>
  <c r="AE238" i="2" a="1"/>
  <c r="AE238" i="2" s="1"/>
  <c r="AE122" i="2" a="1"/>
  <c r="AE122" i="2" s="1"/>
  <c r="AC122" i="2" a="1"/>
  <c r="AC122" i="2" s="1"/>
  <c r="P201" i="2" a="1"/>
  <c r="P201" i="2" s="1"/>
  <c r="N201" i="2" a="1"/>
  <c r="N201" i="2" s="1"/>
  <c r="W192" i="2" a="1"/>
  <c r="W192" i="2" s="1"/>
  <c r="Y192" i="2" a="1"/>
  <c r="Y192" i="2" s="1"/>
  <c r="AL122" i="2" a="1"/>
  <c r="AL122" i="2" s="1"/>
  <c r="AN122" i="2" a="1"/>
  <c r="AN122" i="2" s="1"/>
  <c r="V214" i="2" a="1"/>
  <c r="V214" i="2" s="1"/>
  <c r="T214" i="2" a="1"/>
  <c r="T214" i="2" s="1"/>
  <c r="S135" i="2" a="1"/>
  <c r="S135" i="2" s="1"/>
  <c r="Q135" i="2" a="1"/>
  <c r="Q135" i="2" s="1"/>
  <c r="V186" i="2" a="1"/>
  <c r="V186" i="2" s="1"/>
  <c r="T186" i="2" a="1"/>
  <c r="T186" i="2" s="1"/>
  <c r="Y165" i="2" a="1"/>
  <c r="Y165" i="2" s="1"/>
  <c r="W165" i="2" a="1"/>
  <c r="W165" i="2" s="1"/>
  <c r="G95" i="2" a="1"/>
  <c r="G95" i="2" s="1"/>
  <c r="E95" i="2" a="1"/>
  <c r="E95" i="2" s="1"/>
  <c r="P244" i="2" a="1"/>
  <c r="P244" i="2" s="1"/>
  <c r="N244" i="2" a="1"/>
  <c r="N244" i="2" s="1"/>
  <c r="P152" i="2" a="1"/>
  <c r="P152" i="2" s="1"/>
  <c r="N152" i="2" a="1"/>
  <c r="N152" i="2" s="1"/>
  <c r="P181" i="2" a="1"/>
  <c r="P181" i="2" s="1"/>
  <c r="N181" i="2" a="1"/>
  <c r="N181" i="2" s="1"/>
  <c r="Z243" i="2" a="1"/>
  <c r="Z243" i="2" s="1"/>
  <c r="AB243" i="2" a="1"/>
  <c r="AB243" i="2" s="1"/>
  <c r="N266" i="2" a="1"/>
  <c r="N266" i="2" s="1"/>
  <c r="P266" i="2" a="1"/>
  <c r="P266" i="2" s="1"/>
  <c r="AH179" i="2" a="1"/>
  <c r="AH179" i="2" s="1"/>
  <c r="AF179" i="2" a="1"/>
  <c r="AF179" i="2" s="1"/>
  <c r="S193" i="2" a="1"/>
  <c r="S193" i="2" s="1"/>
  <c r="Q193" i="2" a="1"/>
  <c r="Q193" i="2" s="1"/>
  <c r="J217" i="2" a="1"/>
  <c r="J217" i="2" s="1"/>
  <c r="H217" i="2" a="1"/>
  <c r="H217" i="2" s="1"/>
  <c r="E110" i="2" a="1"/>
  <c r="E110" i="2" s="1"/>
  <c r="G110" i="2" a="1"/>
  <c r="G110" i="2" s="1"/>
  <c r="AE168" i="2" a="1"/>
  <c r="AE168" i="2" s="1"/>
  <c r="AC168" i="2" a="1"/>
  <c r="AC168" i="2" s="1"/>
  <c r="K195" i="2" a="1"/>
  <c r="K195" i="2" s="1"/>
  <c r="M195" i="2" a="1"/>
  <c r="M195" i="2" s="1"/>
  <c r="W99" i="2" a="1"/>
  <c r="W99" i="2" s="1"/>
  <c r="Y99" i="2" a="1"/>
  <c r="Y99" i="2" s="1"/>
  <c r="T213" i="2" a="1"/>
  <c r="T213" i="2" s="1"/>
  <c r="V213" i="2" a="1"/>
  <c r="V213" i="2" s="1"/>
  <c r="K150" i="2" a="1"/>
  <c r="K150" i="2" s="1"/>
  <c r="M150" i="2" a="1"/>
  <c r="M150" i="2" s="1"/>
  <c r="M90" i="2" a="1"/>
  <c r="M90" i="2" s="1"/>
  <c r="K90" i="2" a="1"/>
  <c r="K90" i="2" s="1"/>
  <c r="T144" i="2" a="1"/>
  <c r="T144" i="2" s="1"/>
  <c r="V144" i="2" a="1"/>
  <c r="V144" i="2" s="1"/>
  <c r="N123" i="2" a="1"/>
  <c r="N123" i="2" s="1"/>
  <c r="P123" i="2" a="1"/>
  <c r="P123" i="2" s="1"/>
  <c r="E171" i="2" a="1"/>
  <c r="E171" i="2" s="1"/>
  <c r="G171" i="2" a="1"/>
  <c r="G171" i="2" s="1"/>
  <c r="AF222" i="2" a="1"/>
  <c r="AF222" i="2" s="1"/>
  <c r="AH222" i="2" a="1"/>
  <c r="AH222" i="2" s="1"/>
  <c r="Z158" i="2" a="1"/>
  <c r="Z158" i="2" s="1"/>
  <c r="AB158" i="2" a="1"/>
  <c r="AB158" i="2" s="1"/>
  <c r="AK128" i="2" a="1"/>
  <c r="AK128" i="2" s="1"/>
  <c r="AI128" i="2" a="1"/>
  <c r="AI128" i="2" s="1"/>
  <c r="E198" i="2" a="1"/>
  <c r="E198" i="2" s="1"/>
  <c r="G198" i="2" a="1"/>
  <c r="G198" i="2" s="1"/>
  <c r="Z241" i="2" a="1"/>
  <c r="Z241" i="2" s="1"/>
  <c r="AB241" i="2" a="1"/>
  <c r="AB241" i="2" s="1"/>
  <c r="AI181" i="2" a="1"/>
  <c r="AI181" i="2" s="1"/>
  <c r="AK181" i="2" a="1"/>
  <c r="AK181" i="2" s="1"/>
  <c r="Z130" i="2" a="1"/>
  <c r="Z130" i="2" s="1"/>
  <c r="AB130" i="2" a="1"/>
  <c r="AB130" i="2" s="1"/>
  <c r="AH270" i="2" a="1"/>
  <c r="AH270" i="2" s="1"/>
  <c r="AF270" i="2" a="1"/>
  <c r="AF270" i="2" s="1"/>
  <c r="N112" i="2" a="1"/>
  <c r="N112" i="2" s="1"/>
  <c r="P112" i="2" a="1"/>
  <c r="P112" i="2" s="1"/>
  <c r="P142" i="2" a="1"/>
  <c r="P142" i="2" s="1"/>
  <c r="N142" i="2" a="1"/>
  <c r="N142" i="2" s="1"/>
  <c r="S255" i="2" a="1"/>
  <c r="S255" i="2" s="1"/>
  <c r="Q255" i="2" a="1"/>
  <c r="Q255" i="2" s="1"/>
  <c r="M227" i="2" a="1"/>
  <c r="M227" i="2" s="1"/>
  <c r="K227" i="2" a="1"/>
  <c r="K227" i="2" s="1"/>
  <c r="AC204" i="2" a="1"/>
  <c r="AC204" i="2" s="1"/>
  <c r="AE204" i="2" a="1"/>
  <c r="AE204" i="2" s="1"/>
  <c r="K180" i="2" a="1"/>
  <c r="K180" i="2" s="1"/>
  <c r="M180" i="2" a="1"/>
  <c r="M180" i="2" s="1"/>
  <c r="T106" i="2" a="1"/>
  <c r="T106" i="2" s="1"/>
  <c r="V106" i="2" a="1"/>
  <c r="V106" i="2" s="1"/>
  <c r="S177" i="2" a="1"/>
  <c r="S177" i="2" s="1"/>
  <c r="Q177" i="2" a="1"/>
  <c r="Q177" i="2" s="1"/>
  <c r="K114" i="2" a="1"/>
  <c r="K114" i="2" s="1"/>
  <c r="M114" i="2" a="1"/>
  <c r="M114" i="2" s="1"/>
  <c r="N171" i="2" a="1"/>
  <c r="N171" i="2" s="1"/>
  <c r="P171" i="2" a="1"/>
  <c r="P171" i="2" s="1"/>
  <c r="Y106" i="2" a="1"/>
  <c r="Y106" i="2" s="1"/>
  <c r="W106" i="2" a="1"/>
  <c r="W106" i="2" s="1"/>
  <c r="Q124" i="2" a="1"/>
  <c r="Q124" i="2" s="1"/>
  <c r="S124" i="2" a="1"/>
  <c r="S124" i="2" s="1"/>
  <c r="E99" i="2" a="1"/>
  <c r="E99" i="2" s="1"/>
  <c r="G99" i="2" a="1"/>
  <c r="G99" i="2" s="1"/>
  <c r="T205" i="2" a="1"/>
  <c r="T205" i="2" s="1"/>
  <c r="V205" i="2" a="1"/>
  <c r="V205" i="2" s="1"/>
  <c r="AN153" i="2" a="1"/>
  <c r="AN153" i="2" s="1"/>
  <c r="AL153" i="2" a="1"/>
  <c r="AL153" i="2" s="1"/>
  <c r="E225" i="2" a="1"/>
  <c r="E225" i="2" s="1"/>
  <c r="G225" i="2" a="1"/>
  <c r="G225" i="2" s="1"/>
  <c r="AB102" i="2" a="1"/>
  <c r="AB102" i="2" s="1"/>
  <c r="Z102" i="2" a="1"/>
  <c r="Z102" i="2" s="1"/>
  <c r="V199" i="2" a="1"/>
  <c r="V199" i="2" s="1"/>
  <c r="T199" i="2" a="1"/>
  <c r="T199" i="2" s="1"/>
  <c r="AK126" i="2" a="1"/>
  <c r="AK126" i="2" s="1"/>
  <c r="AI126" i="2" a="1"/>
  <c r="AI126" i="2" s="1"/>
  <c r="M143" i="2" a="1"/>
  <c r="M143" i="2" s="1"/>
  <c r="K143" i="2" a="1"/>
  <c r="K143" i="2" s="1"/>
  <c r="K145" i="2" a="1"/>
  <c r="K145" i="2" s="1"/>
  <c r="M145" i="2" a="1"/>
  <c r="M145" i="2" s="1"/>
  <c r="E148" i="2" a="1"/>
  <c r="E148" i="2" s="1"/>
  <c r="G148" i="2" a="1"/>
  <c r="G148" i="2" s="1"/>
  <c r="AH188" i="2" a="1"/>
  <c r="AH188" i="2" s="1"/>
  <c r="AF188" i="2" a="1"/>
  <c r="AF188" i="2" s="1"/>
  <c r="Y164" i="2" a="1"/>
  <c r="Y164" i="2" s="1"/>
  <c r="W164" i="2" a="1"/>
  <c r="W164" i="2" s="1"/>
  <c r="E138" i="2" a="1"/>
  <c r="E138" i="2" s="1"/>
  <c r="G138" i="2" a="1"/>
  <c r="G138" i="2" s="1"/>
  <c r="E135" i="2" a="1"/>
  <c r="E135" i="2" s="1"/>
  <c r="G135" i="2" a="1"/>
  <c r="G135" i="2" s="1"/>
  <c r="J244" i="2" a="1"/>
  <c r="J244" i="2" s="1"/>
  <c r="H244" i="2" a="1"/>
  <c r="H244" i="2" s="1"/>
  <c r="T243" i="2" a="1"/>
  <c r="T243" i="2" s="1"/>
  <c r="V243" i="2" a="1"/>
  <c r="V243" i="2" s="1"/>
  <c r="AI173" i="2" a="1"/>
  <c r="AI173" i="2" s="1"/>
  <c r="AK173" i="2" a="1"/>
  <c r="AK173" i="2" s="1"/>
  <c r="P157" i="2" a="1"/>
  <c r="P157" i="2" s="1"/>
  <c r="N157" i="2" a="1"/>
  <c r="N157" i="2" s="1"/>
  <c r="Y217" i="2" a="1"/>
  <c r="Y217" i="2" s="1"/>
  <c r="W217" i="2" a="1"/>
  <c r="W217" i="2" s="1"/>
  <c r="AN125" i="2" a="1"/>
  <c r="AN125" i="2" s="1"/>
  <c r="AL125" i="2" a="1"/>
  <c r="AL125" i="2" s="1"/>
  <c r="AK270" i="2" a="1"/>
  <c r="AK270" i="2" s="1"/>
  <c r="AI270" i="2" a="1"/>
  <c r="AI270" i="2" s="1"/>
  <c r="AK231" i="2" a="1"/>
  <c r="AK231" i="2" s="1"/>
  <c r="AI231" i="2" a="1"/>
  <c r="AI231" i="2" s="1"/>
  <c r="J100" i="2" a="1"/>
  <c r="J100" i="2" s="1"/>
  <c r="H100" i="2" a="1"/>
  <c r="H100" i="2" s="1"/>
  <c r="AF232" i="2" a="1"/>
  <c r="AF232" i="2" s="1"/>
  <c r="AH232" i="2" a="1"/>
  <c r="AH232" i="2" s="1"/>
  <c r="AL99" i="2" a="1"/>
  <c r="AL99" i="2" s="1"/>
  <c r="AN99" i="2" a="1"/>
  <c r="AN99" i="2" s="1"/>
  <c r="Z266" i="2" a="1"/>
  <c r="Z266" i="2" s="1"/>
  <c r="AB266" i="2" a="1"/>
  <c r="AB266" i="2" s="1"/>
  <c r="T178" i="2" a="1"/>
  <c r="T178" i="2" s="1"/>
  <c r="V178" i="2" a="1"/>
  <c r="V178" i="2" s="1"/>
  <c r="Z187" i="2" a="1"/>
  <c r="Z187" i="2" s="1"/>
  <c r="AB187" i="2" a="1"/>
  <c r="AB187" i="2" s="1"/>
  <c r="AK102" i="2" a="1"/>
  <c r="AK102" i="2" s="1"/>
  <c r="AI102" i="2" a="1"/>
  <c r="AI102" i="2" s="1"/>
  <c r="Z129" i="2" a="1"/>
  <c r="Z129" i="2" s="1"/>
  <c r="AB129" i="2" a="1"/>
  <c r="AB129" i="2" s="1"/>
  <c r="P232" i="2" a="1"/>
  <c r="P232" i="2" s="1"/>
  <c r="N232" i="2" a="1"/>
  <c r="N232" i="2" s="1"/>
  <c r="H189" i="2" a="1"/>
  <c r="H189" i="2" s="1"/>
  <c r="J189" i="2" a="1"/>
  <c r="J189" i="2" s="1"/>
  <c r="AE147" i="2" a="1"/>
  <c r="AE147" i="2" s="1"/>
  <c r="AC147" i="2" a="1"/>
  <c r="AC147" i="2" s="1"/>
  <c r="AN159" i="2" a="1"/>
  <c r="AN159" i="2" s="1"/>
  <c r="AL159" i="2" a="1"/>
  <c r="AL159" i="2" s="1"/>
  <c r="Y200" i="2" a="1"/>
  <c r="Y200" i="2" s="1"/>
  <c r="W200" i="2" a="1"/>
  <c r="W200" i="2" s="1"/>
  <c r="M132" i="2" a="1"/>
  <c r="M132" i="2" s="1"/>
  <c r="K132" i="2" a="1"/>
  <c r="K132" i="2" s="1"/>
  <c r="Z210" i="2" a="1"/>
  <c r="Z210" i="2" s="1"/>
  <c r="AB210" i="2" a="1"/>
  <c r="AB210" i="2" s="1"/>
  <c r="T185" i="2" a="1"/>
  <c r="T185" i="2" s="1"/>
  <c r="V185" i="2" a="1"/>
  <c r="V185" i="2" s="1"/>
  <c r="N208" i="2" a="1"/>
  <c r="N208" i="2" s="1"/>
  <c r="P208" i="2" a="1"/>
  <c r="P208" i="2" s="1"/>
  <c r="T235" i="2" a="1"/>
  <c r="T235" i="2" s="1"/>
  <c r="V235" i="2" a="1"/>
  <c r="V235" i="2" s="1"/>
  <c r="AI210" i="2" a="1"/>
  <c r="AI210" i="2" s="1"/>
  <c r="AK210" i="2" a="1"/>
  <c r="AK210" i="2" s="1"/>
  <c r="P106" i="2" a="1"/>
  <c r="P106" i="2" s="1"/>
  <c r="N106" i="2" a="1"/>
  <c r="N106" i="2" s="1"/>
  <c r="J182" i="2" a="1"/>
  <c r="J182" i="2" s="1"/>
  <c r="H182" i="2" a="1"/>
  <c r="H182" i="2" s="1"/>
  <c r="Y157" i="2" a="1"/>
  <c r="Y157" i="2" s="1"/>
  <c r="W157" i="2" a="1"/>
  <c r="W157" i="2" s="1"/>
  <c r="AN121" i="2" a="1"/>
  <c r="AN121" i="2" s="1"/>
  <c r="AL121" i="2" a="1"/>
  <c r="AL121" i="2" s="1"/>
  <c r="K138" i="2" a="1"/>
  <c r="K138" i="2" s="1"/>
  <c r="M138" i="2" a="1"/>
  <c r="M138" i="2" s="1"/>
  <c r="AL220" i="2" a="1"/>
  <c r="AL220" i="2" s="1"/>
  <c r="AN220" i="2" a="1"/>
  <c r="AN220" i="2" s="1"/>
  <c r="S128" i="2" a="1"/>
  <c r="S128" i="2" s="1"/>
  <c r="Q128" i="2" a="1"/>
  <c r="Q128" i="2" s="1"/>
  <c r="AC114" i="2" a="1"/>
  <c r="AC114" i="2" s="1"/>
  <c r="AE114" i="2" a="1"/>
  <c r="AE114" i="2" s="1"/>
  <c r="T130" i="2" a="1"/>
  <c r="T130" i="2" s="1"/>
  <c r="V130" i="2" a="1"/>
  <c r="V130" i="2" s="1"/>
  <c r="J271" i="2" a="1"/>
  <c r="J271" i="2" s="1"/>
  <c r="H271" i="2" a="1"/>
  <c r="H271" i="2" s="1"/>
  <c r="J140" i="2" a="1"/>
  <c r="J140" i="2" s="1"/>
  <c r="H140" i="2" a="1"/>
  <c r="H140" i="2" s="1"/>
  <c r="Q159" i="2" a="1"/>
  <c r="Q159" i="2" s="1"/>
  <c r="S159" i="2" a="1"/>
  <c r="S159" i="2" s="1"/>
  <c r="AI125" i="2" a="1"/>
  <c r="AI125" i="2" s="1"/>
  <c r="AK125" i="2" a="1"/>
  <c r="AK125" i="2" s="1"/>
  <c r="W246" i="2" a="1"/>
  <c r="W246" i="2" s="1"/>
  <c r="Y246" i="2" a="1"/>
  <c r="Y246" i="2" s="1"/>
  <c r="AI94" i="2" a="1"/>
  <c r="AI94" i="2" s="1"/>
  <c r="AK94" i="2" a="1"/>
  <c r="AK94" i="2" s="1"/>
  <c r="AH126" i="2" a="1"/>
  <c r="AH126" i="2" s="1"/>
  <c r="AF126" i="2" a="1"/>
  <c r="AF126" i="2" s="1"/>
  <c r="K142" i="2" a="1"/>
  <c r="K142" i="2" s="1"/>
  <c r="M142" i="2" a="1"/>
  <c r="M142" i="2" s="1"/>
  <c r="AN166" i="2" a="1"/>
  <c r="AN166" i="2" s="1"/>
  <c r="AL166" i="2" a="1"/>
  <c r="AL166" i="2" s="1"/>
  <c r="M261" i="2" a="1"/>
  <c r="M261" i="2" s="1"/>
  <c r="K261" i="2" a="1"/>
  <c r="K261" i="2" s="1"/>
  <c r="W225" i="2" a="1"/>
  <c r="W225" i="2" s="1"/>
  <c r="Y225" i="2" a="1"/>
  <c r="Y225" i="2" s="1"/>
  <c r="T226" i="2" a="1"/>
  <c r="T226" i="2" s="1"/>
  <c r="V226" i="2" a="1"/>
  <c r="V226" i="2" s="1"/>
  <c r="Z120" i="2" a="1"/>
  <c r="Z120" i="2" s="1"/>
  <c r="AB120" i="2" a="1"/>
  <c r="AB120" i="2" s="1"/>
  <c r="Y163" i="2" a="1"/>
  <c r="Y163" i="2" s="1"/>
  <c r="W163" i="2" a="1"/>
  <c r="W163" i="2" s="1"/>
  <c r="K184" i="2" a="1"/>
  <c r="K184" i="2" s="1"/>
  <c r="M184" i="2" a="1"/>
  <c r="M184" i="2" s="1"/>
  <c r="AL230" i="2" a="1"/>
  <c r="AL230" i="2" s="1"/>
  <c r="AN230" i="2" a="1"/>
  <c r="AN230" i="2" s="1"/>
  <c r="S144" i="2" a="1"/>
  <c r="S144" i="2" s="1"/>
  <c r="Q144" i="2" a="1"/>
  <c r="Q144" i="2" s="1"/>
  <c r="Q126" i="2" a="1"/>
  <c r="Q126" i="2" s="1"/>
  <c r="S126" i="2" a="1"/>
  <c r="S126" i="2" s="1"/>
  <c r="W177" i="2" a="1"/>
  <c r="W177" i="2" s="1"/>
  <c r="Y177" i="2" a="1"/>
  <c r="Y177" i="2" s="1"/>
  <c r="AF235" i="2" a="1"/>
  <c r="AF235" i="2" s="1"/>
  <c r="AH235" i="2" a="1"/>
  <c r="AH235" i="2" s="1"/>
  <c r="P100" i="2" a="1"/>
  <c r="P100" i="2" s="1"/>
  <c r="N100" i="2" a="1"/>
  <c r="N100" i="2" s="1"/>
  <c r="Q199" i="2" a="1"/>
  <c r="Q199" i="2" s="1"/>
  <c r="S199" i="2" a="1"/>
  <c r="S199" i="2" s="1"/>
  <c r="J98" i="2" a="1"/>
  <c r="J98" i="2" s="1"/>
  <c r="H98" i="2" a="1"/>
  <c r="H98" i="2" s="1"/>
  <c r="AL254" i="2" a="1"/>
  <c r="AL254" i="2" s="1"/>
  <c r="AN254" i="2" a="1"/>
  <c r="AN254" i="2" s="1"/>
  <c r="K236" i="2" a="1"/>
  <c r="K236" i="2" s="1"/>
  <c r="M236" i="2" a="1"/>
  <c r="M236" i="2" s="1"/>
  <c r="M192" i="2" a="1"/>
  <c r="M192" i="2" s="1"/>
  <c r="K192" i="2" a="1"/>
  <c r="K192" i="2" s="1"/>
  <c r="W135" i="2" a="1"/>
  <c r="W135" i="2" s="1"/>
  <c r="Y135" i="2" a="1"/>
  <c r="Y135" i="2" s="1"/>
  <c r="Z209" i="2" a="1"/>
  <c r="Z209" i="2" s="1"/>
  <c r="AB209" i="2" a="1"/>
  <c r="AB209" i="2" s="1"/>
  <c r="P124" i="2" a="1"/>
  <c r="P124" i="2" s="1"/>
  <c r="N124" i="2" a="1"/>
  <c r="N124" i="2" s="1"/>
  <c r="J263" i="2" a="1"/>
  <c r="J263" i="2" s="1"/>
  <c r="H263" i="2" a="1"/>
  <c r="H263" i="2" s="1"/>
  <c r="E109" i="2" a="1"/>
  <c r="E109" i="2" s="1"/>
  <c r="G109" i="2" a="1"/>
  <c r="G109" i="2" s="1"/>
  <c r="H147" i="2" a="1"/>
  <c r="H147" i="2" s="1"/>
  <c r="J147" i="2" a="1"/>
  <c r="J147" i="2" s="1"/>
  <c r="E104" i="2" a="1"/>
  <c r="E104" i="2" s="1"/>
  <c r="G104" i="2" a="1"/>
  <c r="G104" i="2" s="1"/>
  <c r="Q114" i="2" a="1"/>
  <c r="Q114" i="2" s="1"/>
  <c r="S114" i="2" a="1"/>
  <c r="S114" i="2" s="1"/>
  <c r="N222" i="2" a="1"/>
  <c r="N222" i="2" s="1"/>
  <c r="P222" i="2" a="1"/>
  <c r="P222" i="2" s="1"/>
  <c r="AK247" i="2" a="1"/>
  <c r="AK247" i="2" s="1"/>
  <c r="AI247" i="2" a="1"/>
  <c r="AI247" i="2" s="1"/>
  <c r="H181" i="2" a="1"/>
  <c r="H181" i="2" s="1"/>
  <c r="J181" i="2" a="1"/>
  <c r="J181" i="2" s="1"/>
  <c r="T166" i="2" a="1"/>
  <c r="T166" i="2" s="1"/>
  <c r="V166" i="2" a="1"/>
  <c r="V166" i="2" s="1"/>
  <c r="V120" i="2" a="1"/>
  <c r="V120" i="2" s="1"/>
  <c r="T120" i="2" a="1"/>
  <c r="T120" i="2" s="1"/>
  <c r="AL207" i="2" a="1"/>
  <c r="AL207" i="2" s="1"/>
  <c r="AN207" i="2" a="1"/>
  <c r="AN207" i="2" s="1"/>
  <c r="V187" i="2" a="1"/>
  <c r="V187" i="2" s="1"/>
  <c r="T187" i="2" a="1"/>
  <c r="T187" i="2" s="1"/>
  <c r="Q216" i="2" a="1"/>
  <c r="Q216" i="2" s="1"/>
  <c r="S216" i="2" a="1"/>
  <c r="S216" i="2" s="1"/>
  <c r="AL172" i="2" a="1"/>
  <c r="AL172" i="2" s="1"/>
  <c r="AN172" i="2" a="1"/>
  <c r="AN172" i="2" s="1"/>
  <c r="N149" i="2" a="1"/>
  <c r="N149" i="2" s="1"/>
  <c r="P149" i="2" a="1"/>
  <c r="P149" i="2" s="1"/>
  <c r="AC202" i="2" a="1"/>
  <c r="AC202" i="2" s="1"/>
  <c r="AE202" i="2" a="1"/>
  <c r="AE202" i="2" s="1"/>
  <c r="E147" i="2" a="1"/>
  <c r="E147" i="2" s="1"/>
  <c r="G147" i="2" a="1"/>
  <c r="G147" i="2" s="1"/>
  <c r="AK219" i="2" a="1"/>
  <c r="AK219" i="2" s="1"/>
  <c r="AI219" i="2" a="1"/>
  <c r="AI219" i="2" s="1"/>
  <c r="G249" i="2" a="1"/>
  <c r="G249" i="2" s="1"/>
  <c r="E249" i="2" a="1"/>
  <c r="E249" i="2" s="1"/>
  <c r="E144" i="2" a="1"/>
  <c r="E144" i="2" s="1"/>
  <c r="G144" i="2" a="1"/>
  <c r="G144" i="2" s="1"/>
  <c r="AK269" i="2" a="1"/>
  <c r="AK269" i="2" s="1"/>
  <c r="AI269" i="2" a="1"/>
  <c r="AI269" i="2" s="1"/>
  <c r="Z146" i="2" a="1"/>
  <c r="Z146" i="2" s="1"/>
  <c r="AB146" i="2" a="1"/>
  <c r="AB146" i="2" s="1"/>
  <c r="S123" i="2" a="1"/>
  <c r="S123" i="2" s="1"/>
  <c r="Q123" i="2" a="1"/>
  <c r="Q123" i="2" s="1"/>
  <c r="AF159" i="2" a="1"/>
  <c r="AF159" i="2" s="1"/>
  <c r="AH159" i="2" a="1"/>
  <c r="AH159" i="2" s="1"/>
  <c r="M153" i="2" a="1"/>
  <c r="M153" i="2" s="1"/>
  <c r="K153" i="2" a="1"/>
  <c r="K153" i="2" s="1"/>
  <c r="G133" i="2" a="1"/>
  <c r="G133" i="2" s="1"/>
  <c r="E133" i="2" a="1"/>
  <c r="E133" i="2" s="1"/>
  <c r="E224" i="2" a="1"/>
  <c r="E224" i="2" s="1"/>
  <c r="G224" i="2" a="1"/>
  <c r="G224" i="2" s="1"/>
  <c r="E252" i="2" a="1"/>
  <c r="E252" i="2" s="1"/>
  <c r="G252" i="2" a="1"/>
  <c r="G252" i="2" s="1"/>
  <c r="Y166" i="2" a="1"/>
  <c r="Y166" i="2" s="1"/>
  <c r="W166" i="2" a="1"/>
  <c r="W166" i="2" s="1"/>
  <c r="G192" i="2" a="1"/>
  <c r="G192" i="2" s="1"/>
  <c r="E192" i="2" a="1"/>
  <c r="E192" i="2" s="1"/>
  <c r="AI127" i="2" a="1"/>
  <c r="AI127" i="2" s="1"/>
  <c r="AK127" i="2" a="1"/>
  <c r="AK127" i="2" s="1"/>
  <c r="AL111" i="2" a="1"/>
  <c r="AL111" i="2" s="1"/>
  <c r="AN111" i="2" a="1"/>
  <c r="AN111" i="2" s="1"/>
  <c r="AH136" i="2" a="1"/>
  <c r="AH136" i="2" s="1"/>
  <c r="AF136" i="2" a="1"/>
  <c r="AF136" i="2" s="1"/>
  <c r="H174" i="2" a="1"/>
  <c r="H174" i="2" s="1"/>
  <c r="J174" i="2" a="1"/>
  <c r="J174" i="2" s="1"/>
  <c r="Q218" i="2" a="1"/>
  <c r="Q218" i="2" s="1"/>
  <c r="S218" i="2" a="1"/>
  <c r="S218" i="2" s="1"/>
  <c r="H197" i="2" a="1"/>
  <c r="H197" i="2" s="1"/>
  <c r="J197" i="2" a="1"/>
  <c r="J197" i="2" s="1"/>
  <c r="AL198" i="2" a="1"/>
  <c r="AL198" i="2" s="1"/>
  <c r="AN198" i="2" a="1"/>
  <c r="AN198" i="2" s="1"/>
  <c r="K235" i="2" a="1"/>
  <c r="K235" i="2" s="1"/>
  <c r="M235" i="2" a="1"/>
  <c r="M235" i="2" s="1"/>
  <c r="W108" i="2" a="1"/>
  <c r="W108" i="2" s="1"/>
  <c r="Y108" i="2" a="1"/>
  <c r="Y108" i="2" s="1"/>
  <c r="E219" i="2" a="1"/>
  <c r="E219" i="2" s="1"/>
  <c r="G219" i="2" a="1"/>
  <c r="G219" i="2" s="1"/>
  <c r="J254" i="2" a="1"/>
  <c r="J254" i="2" s="1"/>
  <c r="H254" i="2" a="1"/>
  <c r="H254" i="2" s="1"/>
  <c r="H234" i="2" a="1"/>
  <c r="H234" i="2" s="1"/>
  <c r="J234" i="2" a="1"/>
  <c r="J234" i="2" s="1"/>
  <c r="H260" i="2" a="1"/>
  <c r="H260" i="2" s="1"/>
  <c r="J260" i="2" a="1"/>
  <c r="J260" i="2" s="1"/>
  <c r="AN158" i="2" a="1"/>
  <c r="AN158" i="2" s="1"/>
  <c r="AL158" i="2" a="1"/>
  <c r="AL158" i="2" s="1"/>
  <c r="AI257" i="2" a="1"/>
  <c r="AI257" i="2" s="1"/>
  <c r="AK257" i="2" a="1"/>
  <c r="AK257" i="2" s="1"/>
  <c r="H142" i="2" a="1"/>
  <c r="H142" i="2" s="1"/>
  <c r="J142" i="2" a="1"/>
  <c r="J142" i="2" s="1"/>
  <c r="J267" i="2" a="1"/>
  <c r="J267" i="2" s="1"/>
  <c r="H267" i="2" a="1"/>
  <c r="H267" i="2" s="1"/>
  <c r="AB178" i="2" a="1"/>
  <c r="AB178" i="2" s="1"/>
  <c r="Z178" i="2" a="1"/>
  <c r="Z178" i="2" s="1"/>
  <c r="Z233" i="2" a="1"/>
  <c r="Z233" i="2" s="1"/>
  <c r="AB233" i="2" a="1"/>
  <c r="AB233" i="2" s="1"/>
  <c r="AF130" i="2" a="1"/>
  <c r="AF130" i="2" s="1"/>
  <c r="AH130" i="2" a="1"/>
  <c r="AH130" i="2" s="1"/>
  <c r="AI167" i="2" a="1"/>
  <c r="AI167" i="2" s="1"/>
  <c r="AK167" i="2" a="1"/>
  <c r="AK167" i="2" s="1"/>
  <c r="S214" i="2" a="1"/>
  <c r="S214" i="2" s="1"/>
  <c r="Q214" i="2" a="1"/>
  <c r="Q214" i="2" s="1"/>
  <c r="AI258" i="2" a="1"/>
  <c r="AI258" i="2" s="1"/>
  <c r="AK258" i="2" a="1"/>
  <c r="AK258" i="2" s="1"/>
  <c r="E242" i="2" a="1"/>
  <c r="E242" i="2" s="1"/>
  <c r="G242" i="2" a="1"/>
  <c r="G242" i="2" s="1"/>
  <c r="V170" i="2" a="1"/>
  <c r="V170" i="2" s="1"/>
  <c r="T170" i="2" a="1"/>
  <c r="T170" i="2" s="1"/>
  <c r="AI215" i="2" a="1"/>
  <c r="AI215" i="2" s="1"/>
  <c r="AK215" i="2" a="1"/>
  <c r="AK215" i="2" s="1"/>
  <c r="N117" i="2" a="1"/>
  <c r="N117" i="2" s="1"/>
  <c r="P117" i="2" a="1"/>
  <c r="P117" i="2" s="1"/>
  <c r="AF155" i="2" a="1"/>
  <c r="AF155" i="2" s="1"/>
  <c r="AH155" i="2" a="1"/>
  <c r="AH155" i="2" s="1"/>
  <c r="AC271" i="2" a="1"/>
  <c r="AC271" i="2" s="1"/>
  <c r="AE271" i="2" a="1"/>
  <c r="AE271" i="2" s="1"/>
  <c r="H191" i="2" a="1"/>
  <c r="H191" i="2" s="1"/>
  <c r="J191" i="2" a="1"/>
  <c r="J191" i="2" s="1"/>
  <c r="AE171" i="2" a="1"/>
  <c r="AE171" i="2" s="1"/>
  <c r="AC171" i="2" a="1"/>
  <c r="AC171" i="2" s="1"/>
  <c r="G195" i="2" a="1"/>
  <c r="G195" i="2" s="1"/>
  <c r="E195" i="2" a="1"/>
  <c r="E195" i="2" s="1"/>
  <c r="AF98" i="2" a="1"/>
  <c r="AF98" i="2" s="1"/>
  <c r="AH98" i="2" a="1"/>
  <c r="AH98" i="2" s="1"/>
  <c r="T165" i="2" a="1"/>
  <c r="T165" i="2" s="1"/>
  <c r="V165" i="2" a="1"/>
  <c r="V165" i="2" s="1"/>
  <c r="AC209" i="2" a="1"/>
  <c r="AC209" i="2" s="1"/>
  <c r="AE209" i="2" a="1"/>
  <c r="AE209" i="2" s="1"/>
  <c r="AL268" i="2" a="1"/>
  <c r="AL268" i="2" s="1"/>
  <c r="AN268" i="2" a="1"/>
  <c r="AN268" i="2" s="1"/>
  <c r="V195" i="2" a="1"/>
  <c r="V195" i="2" s="1"/>
  <c r="T195" i="2" a="1"/>
  <c r="T195" i="2" s="1"/>
  <c r="H157" i="2" a="1"/>
  <c r="H157" i="2" s="1"/>
  <c r="J157" i="2" a="1"/>
  <c r="J157" i="2" s="1"/>
  <c r="M219" i="2" a="1"/>
  <c r="M219" i="2" s="1"/>
  <c r="K219" i="2" a="1"/>
  <c r="K219" i="2" s="1"/>
  <c r="V252" i="2" a="1"/>
  <c r="V252" i="2" s="1"/>
  <c r="T252" i="2" a="1"/>
  <c r="T252" i="2" s="1"/>
  <c r="W140" i="2" a="1"/>
  <c r="W140" i="2" s="1"/>
  <c r="Y140" i="2" a="1"/>
  <c r="Y140" i="2" s="1"/>
  <c r="AC216" i="2" a="1"/>
  <c r="AC216" i="2" s="1"/>
  <c r="AE216" i="2" a="1"/>
  <c r="AE216" i="2" s="1"/>
  <c r="Y209" i="2" a="1"/>
  <c r="Y209" i="2" s="1"/>
  <c r="W209" i="2" a="1"/>
  <c r="W209" i="2" s="1"/>
  <c r="P245" i="2" a="1"/>
  <c r="P245" i="2" s="1"/>
  <c r="N245" i="2" a="1"/>
  <c r="N245" i="2" s="1"/>
  <c r="W190" i="2" a="1"/>
  <c r="W190" i="2" s="1"/>
  <c r="Y190" i="2" a="1"/>
  <c r="Y190" i="2" s="1"/>
  <c r="Z176" i="2" a="1"/>
  <c r="Z176" i="2" s="1"/>
  <c r="AB176" i="2" a="1"/>
  <c r="AB176" i="2" s="1"/>
  <c r="AL256" i="2" a="1"/>
  <c r="AL256" i="2" s="1"/>
  <c r="AN256" i="2" a="1"/>
  <c r="AN256" i="2" s="1"/>
  <c r="AE237" i="2" a="1"/>
  <c r="AE237" i="2" s="1"/>
  <c r="AC237" i="2" a="1"/>
  <c r="AC237" i="2" s="1"/>
  <c r="AL176" i="2" a="1"/>
  <c r="AL176" i="2" s="1"/>
  <c r="AN176" i="2" a="1"/>
  <c r="AN176" i="2" s="1"/>
  <c r="T248" i="2" a="1"/>
  <c r="T248" i="2" s="1"/>
  <c r="V248" i="2" a="1"/>
  <c r="V248" i="2" s="1"/>
  <c r="Q181" i="2" a="1"/>
  <c r="Q181" i="2" s="1"/>
  <c r="S181" i="2" a="1"/>
  <c r="S181" i="2" s="1"/>
  <c r="H146" i="2" a="1"/>
  <c r="H146" i="2" s="1"/>
  <c r="J146" i="2" a="1"/>
  <c r="J146" i="2" s="1"/>
  <c r="AN179" i="2" a="1"/>
  <c r="AN179" i="2" s="1"/>
  <c r="AL179" i="2" a="1"/>
  <c r="AL179" i="2" s="1"/>
  <c r="AL226" i="2" a="1"/>
  <c r="AL226" i="2" s="1"/>
  <c r="AN226" i="2" a="1"/>
  <c r="AN226" i="2" s="1"/>
  <c r="AI179" i="2" a="1"/>
  <c r="AI179" i="2" s="1"/>
  <c r="AK179" i="2" a="1"/>
  <c r="AK179" i="2" s="1"/>
  <c r="AC125" i="2" a="1"/>
  <c r="AC125" i="2" s="1"/>
  <c r="AE125" i="2" a="1"/>
  <c r="AE125" i="2" s="1"/>
  <c r="H211" i="2" a="1"/>
  <c r="H211" i="2" s="1"/>
  <c r="J211" i="2" a="1"/>
  <c r="J211" i="2" s="1"/>
  <c r="H179" i="2" a="1"/>
  <c r="H179" i="2" s="1"/>
  <c r="J179" i="2" a="1"/>
  <c r="J179" i="2" s="1"/>
  <c r="P180" i="2" a="1"/>
  <c r="P180" i="2" s="1"/>
  <c r="N180" i="2" a="1"/>
  <c r="N180" i="2" s="1"/>
  <c r="H167" i="2" a="1"/>
  <c r="H167" i="2" s="1"/>
  <c r="J167" i="2" a="1"/>
  <c r="J167" i="2" s="1"/>
  <c r="Y96" i="2" a="1"/>
  <c r="Y96" i="2" s="1"/>
  <c r="W96" i="2" a="1"/>
  <c r="W96" i="2" s="1"/>
  <c r="AF137" i="2" a="1"/>
  <c r="AF137" i="2" s="1"/>
  <c r="AH137" i="2" a="1"/>
  <c r="AH137" i="2" s="1"/>
  <c r="V181" i="2" a="1"/>
  <c r="V181" i="2" s="1"/>
  <c r="T181" i="2" a="1"/>
  <c r="T181" i="2" s="1"/>
  <c r="AB242" i="2" a="1"/>
  <c r="AB242" i="2" s="1"/>
  <c r="Z242" i="2" a="1"/>
  <c r="Z242" i="2" s="1"/>
  <c r="G44" i="2" a="1"/>
  <c r="G44" i="2" s="1"/>
  <c r="E44" i="2" a="1"/>
  <c r="E44" i="2" s="1"/>
  <c r="AF243" i="2" a="1"/>
  <c r="AF243" i="2" s="1"/>
  <c r="AH243" i="2" a="1"/>
  <c r="AH243" i="2" s="1"/>
  <c r="AB115" i="2" a="1"/>
  <c r="AB115" i="2" s="1"/>
  <c r="Z115" i="2" a="1"/>
  <c r="Z115" i="2" s="1"/>
  <c r="P107" i="2" a="1"/>
  <c r="P107" i="2" s="1"/>
  <c r="N107" i="2" a="1"/>
  <c r="N107" i="2" s="1"/>
  <c r="H130" i="2" a="1"/>
  <c r="H130" i="2" s="1"/>
  <c r="J130" i="2" a="1"/>
  <c r="J130" i="2" s="1"/>
  <c r="G175" i="2" a="1"/>
  <c r="G175" i="2" s="1"/>
  <c r="E175" i="2" a="1"/>
  <c r="E175" i="2" s="1"/>
  <c r="W212" i="2" a="1"/>
  <c r="W212" i="2" s="1"/>
  <c r="Y212" i="2" a="1"/>
  <c r="Y212" i="2" s="1"/>
  <c r="AF176" i="2" a="1"/>
  <c r="AF176" i="2" s="1"/>
  <c r="AH176" i="2" a="1"/>
  <c r="AH176" i="2" s="1"/>
  <c r="AI259" i="2" a="1"/>
  <c r="AI259" i="2" s="1"/>
  <c r="AK259" i="2" a="1"/>
  <c r="AK259" i="2" s="1"/>
  <c r="N268" i="2" a="1"/>
  <c r="N268" i="2" s="1"/>
  <c r="P268" i="2" a="1"/>
  <c r="P268" i="2" s="1"/>
  <c r="Q132" i="2" a="1"/>
  <c r="Q132" i="2" s="1"/>
  <c r="S132" i="2" a="1"/>
  <c r="S132" i="2" s="1"/>
  <c r="S231" i="2" a="1"/>
  <c r="S231" i="2" s="1"/>
  <c r="Q231" i="2" a="1"/>
  <c r="Q231" i="2" s="1"/>
  <c r="AK122" i="2" a="1"/>
  <c r="AK122" i="2" s="1"/>
  <c r="AI122" i="2" a="1"/>
  <c r="AI122" i="2" s="1"/>
  <c r="M98" i="2" a="1"/>
  <c r="M98" i="2" s="1"/>
  <c r="K98" i="2" a="1"/>
  <c r="K98" i="2" s="1"/>
  <c r="Q249" i="2" a="1"/>
  <c r="Q249" i="2" s="1"/>
  <c r="S249" i="2" a="1"/>
  <c r="S249" i="2" s="1"/>
  <c r="S200" i="2" a="1"/>
  <c r="S200" i="2" s="1"/>
  <c r="Q200" i="2" a="1"/>
  <c r="Q200" i="2" s="1"/>
  <c r="AI116" i="2" a="1"/>
  <c r="AI116" i="2" s="1"/>
  <c r="AK116" i="2" a="1"/>
  <c r="AK116" i="2" s="1"/>
  <c r="W131" i="2" a="1"/>
  <c r="W131" i="2" s="1"/>
  <c r="Y131" i="2" a="1"/>
  <c r="Y131" i="2" s="1"/>
  <c r="G159" i="2" a="1"/>
  <c r="G159" i="2" s="1"/>
  <c r="E159" i="2" a="1"/>
  <c r="E159" i="2" s="1"/>
  <c r="E182" i="2" a="1"/>
  <c r="E182" i="2" s="1"/>
  <c r="G182" i="2" a="1"/>
  <c r="G182" i="2" s="1"/>
  <c r="Q167" i="2" a="1"/>
  <c r="Q167" i="2" s="1"/>
  <c r="S167" i="2" a="1"/>
  <c r="S167" i="2" s="1"/>
  <c r="N99" i="2" a="1"/>
  <c r="N99" i="2" s="1"/>
  <c r="P99" i="2" a="1"/>
  <c r="P99" i="2" s="1"/>
  <c r="S178" i="2" a="1"/>
  <c r="S178" i="2" s="1"/>
  <c r="Q178" i="2" a="1"/>
  <c r="Q178" i="2" s="1"/>
  <c r="AL194" i="2" a="1"/>
  <c r="AL194" i="2" s="1"/>
  <c r="AN194" i="2" a="1"/>
  <c r="AN194" i="2" s="1"/>
  <c r="Y273" i="2" a="1"/>
  <c r="Y273" i="2" s="1"/>
  <c r="W273" i="2" a="1"/>
  <c r="W273" i="2" s="1"/>
  <c r="Q129" i="2" a="1"/>
  <c r="Q129" i="2" s="1"/>
  <c r="S129" i="2" a="1"/>
  <c r="S129" i="2" s="1"/>
  <c r="AI44" i="2" a="1"/>
  <c r="AI44" i="2" s="1"/>
  <c r="AK44" i="2" a="1"/>
  <c r="AK44" i="2" s="1"/>
  <c r="P248" i="2" a="1"/>
  <c r="P248" i="2" s="1"/>
  <c r="N248" i="2" a="1"/>
  <c r="N248" i="2" s="1"/>
  <c r="K104" i="2" a="1"/>
  <c r="K104" i="2" s="1"/>
  <c r="M104" i="2" a="1"/>
  <c r="M104" i="2" s="1"/>
  <c r="J171" i="2" a="1"/>
  <c r="J171" i="2" s="1"/>
  <c r="H171" i="2" a="1"/>
  <c r="H171" i="2" s="1"/>
  <c r="Z114" i="2" a="1"/>
  <c r="Z114" i="2" s="1"/>
  <c r="AB114" i="2" a="1"/>
  <c r="AB114" i="2" s="1"/>
  <c r="E244" i="2" a="1"/>
  <c r="E244" i="2" s="1"/>
  <c r="G244" i="2" a="1"/>
  <c r="G244" i="2" s="1"/>
  <c r="J272" i="2" a="1"/>
  <c r="J272" i="2" s="1"/>
  <c r="H272" i="2" a="1"/>
  <c r="H272" i="2" s="1"/>
  <c r="AC165" i="2" a="1"/>
  <c r="AC165" i="2" s="1"/>
  <c r="AE165" i="2" a="1"/>
  <c r="AE165" i="2" s="1"/>
  <c r="Q157" i="2" a="1"/>
  <c r="Q157" i="2" s="1"/>
  <c r="S157" i="2" a="1"/>
  <c r="S157" i="2" s="1"/>
  <c r="G187" i="2" a="1"/>
  <c r="G187" i="2" s="1"/>
  <c r="E187" i="2" a="1"/>
  <c r="E187" i="2" s="1"/>
  <c r="Z219" i="2" a="1"/>
  <c r="Z219" i="2" s="1"/>
  <c r="AB219" i="2" a="1"/>
  <c r="AB219" i="2" s="1"/>
  <c r="W133" i="2" a="1"/>
  <c r="W133" i="2" s="1"/>
  <c r="Y133" i="2" a="1"/>
  <c r="Y133" i="2" s="1"/>
  <c r="G137" i="2" a="1"/>
  <c r="G137" i="2" s="1"/>
  <c r="E137" i="2" a="1"/>
  <c r="E137" i="2" s="1"/>
  <c r="E204" i="2" a="1"/>
  <c r="E204" i="2" s="1"/>
  <c r="G204" i="2" a="1"/>
  <c r="G204" i="2" s="1"/>
  <c r="AN104" i="2" a="1"/>
  <c r="AN104" i="2" s="1"/>
  <c r="AL104" i="2" a="1"/>
  <c r="AL104" i="2" s="1"/>
  <c r="AB117" i="2" a="1"/>
  <c r="AB117" i="2" s="1"/>
  <c r="Z117" i="2" a="1"/>
  <c r="Z117" i="2" s="1"/>
  <c r="W228" i="2" a="1"/>
  <c r="W228" i="2" s="1"/>
  <c r="Y228" i="2" a="1"/>
  <c r="Y228" i="2" s="1"/>
  <c r="AF120" i="2" a="1"/>
  <c r="AF120" i="2" s="1"/>
  <c r="AH120" i="2" a="1"/>
  <c r="AH120" i="2" s="1"/>
  <c r="W102" i="2" a="1"/>
  <c r="W102" i="2" s="1"/>
  <c r="Y102" i="2" a="1"/>
  <c r="Y102" i="2" s="1"/>
  <c r="J192" i="2" a="1"/>
  <c r="J192" i="2" s="1"/>
  <c r="H192" i="2" a="1"/>
  <c r="H192" i="2" s="1"/>
  <c r="J177" i="2" a="1"/>
  <c r="J177" i="2" s="1"/>
  <c r="H177" i="2" a="1"/>
  <c r="H177" i="2" s="1"/>
  <c r="T249" i="2" a="1"/>
  <c r="T249" i="2" s="1"/>
  <c r="V249" i="2" a="1"/>
  <c r="V249" i="2" s="1"/>
  <c r="M118" i="2" a="1"/>
  <c r="M118" i="2" s="1"/>
  <c r="K118" i="2" a="1"/>
  <c r="K118" i="2" s="1"/>
  <c r="V139" i="2" a="1"/>
  <c r="V139" i="2" s="1"/>
  <c r="T139" i="2" a="1"/>
  <c r="T139" i="2" s="1"/>
  <c r="AN107" i="2" a="1"/>
  <c r="AN107" i="2" s="1"/>
  <c r="AL107" i="2" a="1"/>
  <c r="AL107" i="2" s="1"/>
  <c r="AE174" i="2" a="1"/>
  <c r="AE174" i="2" s="1"/>
  <c r="AC174" i="2" a="1"/>
  <c r="AC174" i="2" s="1"/>
  <c r="AK267" i="2" a="1"/>
  <c r="AK267" i="2" s="1"/>
  <c r="AI267" i="2" a="1"/>
  <c r="AI267" i="2" s="1"/>
  <c r="AC241" i="2" a="1"/>
  <c r="AC241" i="2" s="1"/>
  <c r="AE241" i="2" a="1"/>
  <c r="AE241" i="2" s="1"/>
  <c r="S104" i="2" a="1"/>
  <c r="S104" i="2" s="1"/>
  <c r="Q104" i="2" a="1"/>
  <c r="Q104" i="2" s="1"/>
  <c r="P225" i="2" a="1"/>
  <c r="P225" i="2" s="1"/>
  <c r="N225" i="2" a="1"/>
  <c r="N225" i="2" s="1"/>
  <c r="N193" i="2" a="1"/>
  <c r="N193" i="2" s="1"/>
  <c r="P193" i="2" a="1"/>
  <c r="P193" i="2" s="1"/>
  <c r="AB110" i="2" a="1"/>
  <c r="AB110" i="2" s="1"/>
  <c r="Z110" i="2" a="1"/>
  <c r="Z110" i="2" s="1"/>
  <c r="S133" i="2" a="1"/>
  <c r="S133" i="2" s="1"/>
  <c r="Q133" i="2" a="1"/>
  <c r="Q133" i="2" s="1"/>
  <c r="G199" i="2" a="1"/>
  <c r="G199" i="2" s="1"/>
  <c r="E199" i="2" a="1"/>
  <c r="E199" i="2" s="1"/>
  <c r="V194" i="2" a="1"/>
  <c r="V194" i="2" s="1"/>
  <c r="T194" i="2" a="1"/>
  <c r="T194" i="2" s="1"/>
  <c r="N177" i="2" a="1"/>
  <c r="N177" i="2" s="1"/>
  <c r="P177" i="2" a="1"/>
  <c r="P177" i="2" s="1"/>
  <c r="AH96" i="2" a="1"/>
  <c r="AH96" i="2" s="1"/>
  <c r="AF96" i="2" a="1"/>
  <c r="AF96" i="2" s="1"/>
  <c r="J116" i="2" a="1"/>
  <c r="J116" i="2" s="1"/>
  <c r="H116" i="2" a="1"/>
  <c r="H116" i="2" s="1"/>
  <c r="S202" i="2" a="1"/>
  <c r="S202" i="2" s="1"/>
  <c r="Q202" i="2" a="1"/>
  <c r="Q202" i="2" s="1"/>
  <c r="W144" i="2" a="1"/>
  <c r="W144" i="2" s="1"/>
  <c r="Y144" i="2" a="1"/>
  <c r="Y144" i="2" s="1"/>
  <c r="S150" i="2" a="1"/>
  <c r="S150" i="2" s="1"/>
  <c r="Q150" i="2" a="1"/>
  <c r="Q150" i="2" s="1"/>
  <c r="Q259" i="2" a="1"/>
  <c r="Q259" i="2" s="1"/>
  <c r="S259" i="2" a="1"/>
  <c r="S259" i="2" s="1"/>
  <c r="W147" i="2" a="1"/>
  <c r="W147" i="2" s="1"/>
  <c r="Y147" i="2" a="1"/>
  <c r="Y147" i="2" s="1"/>
  <c r="AL259" i="2" a="1"/>
  <c r="AL259" i="2" s="1"/>
  <c r="AN259" i="2" a="1"/>
  <c r="AN259" i="2" s="1"/>
  <c r="AE220" i="2" a="1"/>
  <c r="AE220" i="2" s="1"/>
  <c r="AC220" i="2" a="1"/>
  <c r="AC220" i="2" s="1"/>
  <c r="AE148" i="2" a="1"/>
  <c r="AE148" i="2" s="1"/>
  <c r="AC148" i="2" a="1"/>
  <c r="AC148" i="2" s="1"/>
  <c r="V221" i="2" a="1"/>
  <c r="V221" i="2" s="1"/>
  <c r="T221" i="2" a="1"/>
  <c r="T221" i="2" s="1"/>
  <c r="V108" i="2" a="1"/>
  <c r="V108" i="2" s="1"/>
  <c r="T108" i="2" a="1"/>
  <c r="T108" i="2" s="1"/>
  <c r="Z264" i="2" a="1"/>
  <c r="Z264" i="2" s="1"/>
  <c r="AB264" i="2" a="1"/>
  <c r="AB264" i="2" s="1"/>
  <c r="AK194" i="2" a="1"/>
  <c r="AK194" i="2" s="1"/>
  <c r="AI194" i="2" a="1"/>
  <c r="AI194" i="2" s="1"/>
  <c r="AK272" i="2" a="1"/>
  <c r="AK272" i="2" s="1"/>
  <c r="AI272" i="2" a="1"/>
  <c r="AI272" i="2" s="1"/>
  <c r="AN164" i="2" a="1"/>
  <c r="AN164" i="2" s="1"/>
  <c r="AL164" i="2" a="1"/>
  <c r="AL164" i="2" s="1"/>
  <c r="Q237" i="2" a="1"/>
  <c r="Q237" i="2" s="1"/>
  <c r="S237" i="2" a="1"/>
  <c r="S237" i="2" s="1"/>
  <c r="G221" i="2" a="1"/>
  <c r="G221" i="2" s="1"/>
  <c r="E221" i="2" a="1"/>
  <c r="E221" i="2" s="1"/>
  <c r="AB214" i="2" a="1"/>
  <c r="AB214" i="2" s="1"/>
  <c r="Z214" i="2" a="1"/>
  <c r="Z214" i="2" s="1"/>
  <c r="N190" i="2" a="1"/>
  <c r="N190" i="2" s="1"/>
  <c r="P190" i="2" a="1"/>
  <c r="P190" i="2" s="1"/>
  <c r="K221" i="2" a="1"/>
  <c r="K221" i="2" s="1"/>
  <c r="M221" i="2" a="1"/>
  <c r="M221" i="2" s="1"/>
  <c r="AF101" i="2" a="1"/>
  <c r="AF101" i="2" s="1"/>
  <c r="AH101" i="2" a="1"/>
  <c r="AH101" i="2" s="1"/>
  <c r="W221" i="2" a="1"/>
  <c r="W221" i="2" s="1"/>
  <c r="Y221" i="2" a="1"/>
  <c r="Y221" i="2" s="1"/>
  <c r="P186" i="2" a="1"/>
  <c r="P186" i="2" s="1"/>
  <c r="N186" i="2" a="1"/>
  <c r="N186" i="2" s="1"/>
  <c r="AB105" i="2" a="1"/>
  <c r="AB105" i="2" s="1"/>
  <c r="Z105" i="2" a="1"/>
  <c r="Z105" i="2" s="1"/>
  <c r="N122" i="2" a="1"/>
  <c r="N122" i="2" s="1"/>
  <c r="P122" i="2" a="1"/>
  <c r="P122" i="2" s="1"/>
  <c r="AF207" i="2" a="1"/>
  <c r="AF207" i="2" s="1"/>
  <c r="AH207" i="2" a="1"/>
  <c r="AH207" i="2" s="1"/>
  <c r="P154" i="2" a="1"/>
  <c r="P154" i="2" s="1"/>
  <c r="N154" i="2" a="1"/>
  <c r="N154" i="2" s="1"/>
  <c r="S256" i="2" a="1"/>
  <c r="S256" i="2" s="1"/>
  <c r="Q256" i="2" a="1"/>
  <c r="Q256" i="2" s="1"/>
  <c r="M123" i="2" a="1"/>
  <c r="M123" i="2" s="1"/>
  <c r="K123" i="2" a="1"/>
  <c r="K123" i="2" s="1"/>
  <c r="H129" i="2" a="1"/>
  <c r="H129" i="2" s="1"/>
  <c r="J129" i="2" a="1"/>
  <c r="J129" i="2" s="1"/>
  <c r="AB148" i="2" a="1"/>
  <c r="AB148" i="2" s="1"/>
  <c r="Z148" i="2" a="1"/>
  <c r="Z148" i="2" s="1"/>
  <c r="H227" i="2" a="1"/>
  <c r="H227" i="2" s="1"/>
  <c r="J227" i="2" a="1"/>
  <c r="J227" i="2" s="1"/>
  <c r="N143" i="2" a="1"/>
  <c r="N143" i="2" s="1"/>
  <c r="P143" i="2" a="1"/>
  <c r="P143" i="2" s="1"/>
  <c r="AF240" i="2" a="1"/>
  <c r="AF240" i="2" s="1"/>
  <c r="AH240" i="2" a="1"/>
  <c r="AH240" i="2" s="1"/>
  <c r="T149" i="2" a="1"/>
  <c r="T149" i="2" s="1"/>
  <c r="V149" i="2" a="1"/>
  <c r="V149" i="2" s="1"/>
  <c r="Q230" i="2" a="1"/>
  <c r="Q230" i="2" s="1"/>
  <c r="S230" i="2" a="1"/>
  <c r="S230" i="2" s="1"/>
  <c r="AC265" i="2" a="1"/>
  <c r="AC265" i="2" s="1"/>
  <c r="AE265" i="2" a="1"/>
  <c r="AE265" i="2" s="1"/>
  <c r="Y269" i="2" a="1"/>
  <c r="Y269" i="2" s="1"/>
  <c r="W269" i="2" a="1"/>
  <c r="W269" i="2" s="1"/>
  <c r="S213" i="2" a="1"/>
  <c r="S213" i="2" s="1"/>
  <c r="Q213" i="2" a="1"/>
  <c r="Q213" i="2" s="1"/>
  <c r="Z258" i="2" a="1"/>
  <c r="Z258" i="2" s="1"/>
  <c r="AB258" i="2" a="1"/>
  <c r="AB258" i="2" s="1"/>
  <c r="J194" i="2" a="1"/>
  <c r="J194" i="2" s="1"/>
  <c r="H194" i="2" a="1"/>
  <c r="H194" i="2" s="1"/>
  <c r="N264" i="2" a="1"/>
  <c r="N264" i="2" s="1"/>
  <c r="P264" i="2" a="1"/>
  <c r="P264" i="2" s="1"/>
  <c r="Z225" i="2" a="1"/>
  <c r="Z225" i="2" s="1"/>
  <c r="AB225" i="2" a="1"/>
  <c r="AB225" i="2" s="1"/>
  <c r="S223" i="2" a="1"/>
  <c r="S223" i="2" s="1"/>
  <c r="Q223" i="2" a="1"/>
  <c r="Q223" i="2" s="1"/>
  <c r="J270" i="2" a="1"/>
  <c r="J270" i="2" s="1"/>
  <c r="H270" i="2" a="1"/>
  <c r="H270" i="2" s="1"/>
  <c r="AN191" i="2" a="1"/>
  <c r="AN191" i="2" s="1"/>
  <c r="AL191" i="2" a="1"/>
  <c r="AL191" i="2" s="1"/>
  <c r="V245" i="2" a="1"/>
  <c r="V245" i="2" s="1"/>
  <c r="T245" i="2" a="1"/>
  <c r="T245" i="2" s="1"/>
  <c r="AL263" i="2" a="1"/>
  <c r="AL263" i="2" s="1"/>
  <c r="AN263" i="2" a="1"/>
  <c r="AN263" i="2" s="1"/>
  <c r="K209" i="2" a="1"/>
  <c r="K209" i="2" s="1"/>
  <c r="M209" i="2" a="1"/>
  <c r="M209" i="2" s="1"/>
  <c r="Z232" i="2" a="1"/>
  <c r="Z232" i="2" s="1"/>
  <c r="AB232" i="2" a="1"/>
  <c r="AB232" i="2" s="1"/>
  <c r="V204" i="2" a="1"/>
  <c r="V204" i="2" s="1"/>
  <c r="T204" i="2" a="1"/>
  <c r="T204" i="2" s="1"/>
  <c r="V141" i="2" a="1"/>
  <c r="V141" i="2" s="1"/>
  <c r="T141" i="2" a="1"/>
  <c r="T141" i="2" s="1"/>
  <c r="V234" i="2" a="1"/>
  <c r="V234" i="2" s="1"/>
  <c r="T234" i="2" a="1"/>
  <c r="T234" i="2" s="1"/>
  <c r="AB256" i="2" a="1"/>
  <c r="AB256" i="2" s="1"/>
  <c r="Z256" i="2" a="1"/>
  <c r="Z256" i="2" s="1"/>
  <c r="P130" i="2" a="1"/>
  <c r="P130" i="2" s="1"/>
  <c r="N130" i="2" a="1"/>
  <c r="N130" i="2" s="1"/>
  <c r="AB113" i="2" a="1"/>
  <c r="AB113" i="2" s="1"/>
  <c r="Z113" i="2" a="1"/>
  <c r="Z113" i="2" s="1"/>
  <c r="AK175" i="2" a="1"/>
  <c r="AK175" i="2" s="1"/>
  <c r="AI175" i="2" a="1"/>
  <c r="AI175" i="2" s="1"/>
  <c r="Y118" i="2" a="1"/>
  <c r="Y118" i="2" s="1"/>
  <c r="W118" i="2" a="1"/>
  <c r="W118" i="2" s="1"/>
  <c r="AE218" i="2" a="1"/>
  <c r="AE218" i="2" s="1"/>
  <c r="AC218" i="2" a="1"/>
  <c r="AC218" i="2" s="1"/>
  <c r="N170" i="2" a="1"/>
  <c r="N170" i="2" s="1"/>
  <c r="P170" i="2" a="1"/>
  <c r="P170" i="2" s="1"/>
  <c r="N236" i="2" a="1"/>
  <c r="N236" i="2" s="1"/>
  <c r="P236" i="2" a="1"/>
  <c r="P236" i="2" s="1"/>
  <c r="Q195" i="2" a="1"/>
  <c r="Q195" i="2" s="1"/>
  <c r="S195" i="2" a="1"/>
  <c r="S195" i="2" s="1"/>
  <c r="AK160" i="2" a="1"/>
  <c r="AK160" i="2" s="1"/>
  <c r="AI160" i="2" a="1"/>
  <c r="AI160" i="2" s="1"/>
  <c r="Q219" i="2" a="1"/>
  <c r="Q219" i="2" s="1"/>
  <c r="S219" i="2" a="1"/>
  <c r="S219" i="2" s="1"/>
  <c r="AC150" i="2" a="1"/>
  <c r="AC150" i="2" s="1"/>
  <c r="AE150" i="2" a="1"/>
  <c r="AE150" i="2" s="1"/>
  <c r="E141" i="2" a="1"/>
  <c r="E141" i="2" s="1"/>
  <c r="G141" i="2" a="1"/>
  <c r="G141" i="2" s="1"/>
  <c r="AH105" i="2" a="1"/>
  <c r="AH105" i="2" s="1"/>
  <c r="AF105" i="2" a="1"/>
  <c r="AF105" i="2" s="1"/>
  <c r="Z109" i="2" a="1"/>
  <c r="Z109" i="2" s="1"/>
  <c r="AB109" i="2" a="1"/>
  <c r="AB109" i="2" s="1"/>
  <c r="AC249" i="2" a="1"/>
  <c r="AC249" i="2" s="1"/>
  <c r="AE249" i="2" a="1"/>
  <c r="AE249" i="2" s="1"/>
  <c r="W231" i="2" a="1"/>
  <c r="W231" i="2" s="1"/>
  <c r="Y231" i="2" a="1"/>
  <c r="Y231" i="2" s="1"/>
  <c r="AC194" i="2" a="1"/>
  <c r="AC194" i="2" s="1"/>
  <c r="AE194" i="2" a="1"/>
  <c r="AE194" i="2" s="1"/>
  <c r="AL224" i="2" a="1"/>
  <c r="AL224" i="2" s="1"/>
  <c r="AN224" i="2" a="1"/>
  <c r="AN224" i="2" s="1"/>
  <c r="N115" i="2" a="1"/>
  <c r="N115" i="2" s="1"/>
  <c r="P115" i="2" a="1"/>
  <c r="P115" i="2" s="1"/>
  <c r="AL249" i="2" a="1"/>
  <c r="AL249" i="2" s="1"/>
  <c r="AN249" i="2" a="1"/>
  <c r="AN249" i="2" s="1"/>
  <c r="AI187" i="2" a="1"/>
  <c r="AI187" i="2" s="1"/>
  <c r="AK187" i="2" a="1"/>
  <c r="AK187" i="2" s="1"/>
  <c r="S240" i="2" a="1"/>
  <c r="S240" i="2" s="1"/>
  <c r="Q240" i="2" a="1"/>
  <c r="Q240" i="2" s="1"/>
  <c r="AK253" i="2" a="1"/>
  <c r="AK253" i="2" s="1"/>
  <c r="AI253" i="2" a="1"/>
  <c r="AI253" i="2" s="1"/>
  <c r="H210" i="2" a="1"/>
  <c r="H210" i="2" s="1"/>
  <c r="J210" i="2" a="1"/>
  <c r="J210" i="2" s="1"/>
  <c r="H169" i="2" a="1"/>
  <c r="H169" i="2" s="1"/>
  <c r="J169" i="2" a="1"/>
  <c r="J169" i="2" s="1"/>
  <c r="M268" i="2" a="1"/>
  <c r="M268" i="2" s="1"/>
  <c r="K268" i="2" a="1"/>
  <c r="K268" i="2" s="1"/>
  <c r="Q143" i="2" a="1"/>
  <c r="Q143" i="2" s="1"/>
  <c r="S143" i="2" a="1"/>
  <c r="S143" i="2" s="1"/>
  <c r="H238" i="2" a="1"/>
  <c r="H238" i="2" s="1"/>
  <c r="J238" i="2" a="1"/>
  <c r="J238" i="2" s="1"/>
  <c r="P132" i="2" a="1"/>
  <c r="P132" i="2" s="1"/>
  <c r="N132" i="2" a="1"/>
  <c r="N132" i="2" s="1"/>
  <c r="AN101" i="2" a="1"/>
  <c r="AN101" i="2" s="1"/>
  <c r="AL101" i="2" a="1"/>
  <c r="AL101" i="2" s="1"/>
  <c r="AK117" i="2" a="1"/>
  <c r="AK117" i="2" s="1"/>
  <c r="AI117" i="2" a="1"/>
  <c r="AI117" i="2" s="1"/>
  <c r="Y158" i="2" a="1"/>
  <c r="Y158" i="2" s="1"/>
  <c r="W158" i="2" a="1"/>
  <c r="W158" i="2" s="1"/>
  <c r="T196" i="2" a="1"/>
  <c r="T196" i="2" s="1"/>
  <c r="V196" i="2" a="1"/>
  <c r="V196" i="2" s="1"/>
  <c r="J178" i="2" a="1"/>
  <c r="J178" i="2" s="1"/>
  <c r="H178" i="2" a="1"/>
  <c r="H178" i="2" s="1"/>
  <c r="AK229" i="2" a="1"/>
  <c r="AK229" i="2" s="1"/>
  <c r="AI229" i="2" a="1"/>
  <c r="AI229" i="2" s="1"/>
  <c r="AK264" i="2" a="1"/>
  <c r="AK264" i="2" s="1"/>
  <c r="AI264" i="2" a="1"/>
  <c r="AI264" i="2" s="1"/>
  <c r="AB162" i="2" a="1"/>
  <c r="AB162" i="2" s="1"/>
  <c r="Z162" i="2" a="1"/>
  <c r="Z162" i="2" s="1"/>
  <c r="M174" i="2" a="1"/>
  <c r="M174" i="2" s="1"/>
  <c r="K174" i="2" a="1"/>
  <c r="K174" i="2" s="1"/>
  <c r="AE170" i="2" a="1"/>
  <c r="AE170" i="2" s="1"/>
  <c r="AC170" i="2" a="1"/>
  <c r="AC170" i="2" s="1"/>
  <c r="J268" i="2" a="1"/>
  <c r="J268" i="2" s="1"/>
  <c r="H268" i="2" a="1"/>
  <c r="H268" i="2" s="1"/>
  <c r="AN134" i="2" a="1"/>
  <c r="AN134" i="2" s="1"/>
  <c r="AL134" i="2" a="1"/>
  <c r="AL134" i="2" s="1"/>
  <c r="AL192" i="2" a="1"/>
  <c r="AL192" i="2" s="1"/>
  <c r="AN192" i="2" a="1"/>
  <c r="AN192" i="2" s="1"/>
  <c r="N228" i="2" a="1"/>
  <c r="N228" i="2" s="1"/>
  <c r="P228" i="2" a="1"/>
  <c r="P228" i="2" s="1"/>
  <c r="Y201" i="2" a="1"/>
  <c r="Y201" i="2" s="1"/>
  <c r="W201" i="2" a="1"/>
  <c r="W201" i="2" s="1"/>
  <c r="S112" i="2" a="1"/>
  <c r="S112" i="2" s="1"/>
  <c r="Q112" i="2" a="1"/>
  <c r="Q112" i="2" s="1"/>
  <c r="J264" i="2" a="1"/>
  <c r="J264" i="2" s="1"/>
  <c r="H264" i="2" a="1"/>
  <c r="H264" i="2" s="1"/>
  <c r="S130" i="2" a="1"/>
  <c r="S130" i="2" s="1"/>
  <c r="Q130" i="2" a="1"/>
  <c r="Q130" i="2" s="1"/>
  <c r="AC200" i="2" a="1"/>
  <c r="AC200" i="2" s="1"/>
  <c r="AE200" i="2" a="1"/>
  <c r="AE200" i="2" s="1"/>
  <c r="AE217" i="2" a="1"/>
  <c r="AE217" i="2" s="1"/>
  <c r="AC217" i="2" a="1"/>
  <c r="AC217" i="2" s="1"/>
  <c r="AN196" i="2" a="1"/>
  <c r="AN196" i="2" s="1"/>
  <c r="AL196" i="2" a="1"/>
  <c r="AL196" i="2" s="1"/>
  <c r="AH125" i="2" a="1"/>
  <c r="AH125" i="2" s="1"/>
  <c r="AF125" i="2" a="1"/>
  <c r="AF125" i="2" s="1"/>
  <c r="W155" i="2" a="1"/>
  <c r="W155" i="2" s="1"/>
  <c r="Y155" i="2" a="1"/>
  <c r="Y155" i="2" s="1"/>
  <c r="E125" i="2" a="1"/>
  <c r="E125" i="2" s="1"/>
  <c r="G125" i="2" a="1"/>
  <c r="G125" i="2" s="1"/>
  <c r="W139" i="2" a="1"/>
  <c r="W139" i="2" s="1"/>
  <c r="Y139" i="2" a="1"/>
  <c r="Y139" i="2" s="1"/>
  <c r="W44" i="2" a="1"/>
  <c r="W44" i="2" s="1"/>
  <c r="Y44" i="2" a="1"/>
  <c r="Y44" i="2" s="1"/>
  <c r="V148" i="2" a="1"/>
  <c r="V148" i="2" s="1"/>
  <c r="T148" i="2" a="1"/>
  <c r="T148" i="2" s="1"/>
  <c r="K224" i="2" a="1"/>
  <c r="K224" i="2" s="1"/>
  <c r="M224" i="2" a="1"/>
  <c r="M224" i="2" s="1"/>
  <c r="P175" i="2" a="1"/>
  <c r="P175" i="2" s="1"/>
  <c r="N175" i="2" a="1"/>
  <c r="N175" i="2" s="1"/>
  <c r="AH250" i="2" a="1"/>
  <c r="AH250" i="2" s="1"/>
  <c r="AF250" i="2" a="1"/>
  <c r="AF250" i="2" s="1"/>
  <c r="N162" i="2" a="1"/>
  <c r="N162" i="2" s="1"/>
  <c r="P162" i="2" a="1"/>
  <c r="P162" i="2" s="1"/>
  <c r="M265" i="2" a="1"/>
  <c r="M265" i="2" s="1"/>
  <c r="K265" i="2" a="1"/>
  <c r="K265" i="2" s="1"/>
  <c r="H200" i="2" a="1"/>
  <c r="H200" i="2" s="1"/>
  <c r="J200" i="2" a="1"/>
  <c r="J200" i="2" s="1"/>
  <c r="H230" i="2" a="1"/>
  <c r="H230" i="2" s="1"/>
  <c r="J230" i="2" a="1"/>
  <c r="J230" i="2" s="1"/>
  <c r="AE44" i="2" a="1"/>
  <c r="AE44" i="2" s="1"/>
  <c r="AC44" i="2" a="1"/>
  <c r="AC44" i="2" s="1"/>
  <c r="Z147" i="2" a="1"/>
  <c r="Z147" i="2" s="1"/>
  <c r="AB147" i="2" a="1"/>
  <c r="AB147" i="2" s="1"/>
  <c r="AK196" i="2" a="1"/>
  <c r="AK196" i="2" s="1"/>
  <c r="AI196" i="2" a="1"/>
  <c r="AI196" i="2" s="1"/>
  <c r="H132" i="2" a="1"/>
  <c r="H132" i="2" s="1"/>
  <c r="J132" i="2" a="1"/>
  <c r="J132" i="2" s="1"/>
  <c r="K255" i="2" a="1"/>
  <c r="K255" i="2" s="1"/>
  <c r="M255" i="2" a="1"/>
  <c r="M255" i="2" s="1"/>
  <c r="AK144" i="2" a="1"/>
  <c r="AK144" i="2" s="1"/>
  <c r="AI144" i="2" a="1"/>
  <c r="AI144" i="2" s="1"/>
  <c r="AB177" i="2" a="1"/>
  <c r="AB177" i="2" s="1"/>
  <c r="Z177" i="2" a="1"/>
  <c r="Z177" i="2" s="1"/>
  <c r="Z240" i="2" a="1"/>
  <c r="Z240" i="2" s="1"/>
  <c r="AB240" i="2" a="1"/>
  <c r="AB240" i="2" s="1"/>
  <c r="AE129" i="2" a="1"/>
  <c r="AE129" i="2" s="1"/>
  <c r="AC129" i="2" a="1"/>
  <c r="AC129" i="2" s="1"/>
  <c r="T112" i="2" a="1"/>
  <c r="T112" i="2" s="1"/>
  <c r="V112" i="2" a="1"/>
  <c r="V112" i="2" s="1"/>
  <c r="J214" i="2" a="1"/>
  <c r="J214" i="2" s="1"/>
  <c r="H214" i="2" a="1"/>
  <c r="H214" i="2" s="1"/>
  <c r="G234" i="2" a="1"/>
  <c r="G234" i="2" s="1"/>
  <c r="E234" i="2" a="1"/>
  <c r="E234" i="2" s="1"/>
  <c r="Q224" i="2" a="1"/>
  <c r="Q224" i="2" s="1"/>
  <c r="S224" i="2" a="1"/>
  <c r="S224" i="2" s="1"/>
  <c r="AN183" i="2" a="1"/>
  <c r="AN183" i="2" s="1"/>
  <c r="AL183" i="2" a="1"/>
  <c r="AL183" i="2" s="1"/>
  <c r="AE261" i="2" a="1"/>
  <c r="AE261" i="2" s="1"/>
  <c r="AC261" i="2" a="1"/>
  <c r="AC261" i="2" s="1"/>
  <c r="W230" i="2" a="1"/>
  <c r="W230" i="2" s="1"/>
  <c r="Y230" i="2" a="1"/>
  <c r="Y230" i="2" s="1"/>
  <c r="P174" i="2" a="1"/>
  <c r="P174" i="2" s="1"/>
  <c r="N174" i="2" a="1"/>
  <c r="N174" i="2" s="1"/>
  <c r="W253" i="2" a="1"/>
  <c r="W253" i="2" s="1"/>
  <c r="Y253" i="2" a="1"/>
  <c r="Y253" i="2" s="1"/>
  <c r="AL205" i="2" a="1"/>
  <c r="AL205" i="2" s="1"/>
  <c r="AN205" i="2" a="1"/>
  <c r="AN205" i="2" s="1"/>
  <c r="Q190" i="2" a="1"/>
  <c r="Q190" i="2" s="1"/>
  <c r="S190" i="2" a="1"/>
  <c r="S190" i="2" s="1"/>
  <c r="T225" i="2" a="1"/>
  <c r="T225" i="2" s="1"/>
  <c r="V225" i="2" a="1"/>
  <c r="V225" i="2" s="1"/>
  <c r="P256" i="2" a="1"/>
  <c r="P256" i="2" s="1"/>
  <c r="N256" i="2" a="1"/>
  <c r="N256" i="2" s="1"/>
  <c r="M167" i="2" a="1"/>
  <c r="M167" i="2" s="1"/>
  <c r="K167" i="2" a="1"/>
  <c r="K167" i="2" s="1"/>
  <c r="Q198" i="2" a="1"/>
  <c r="Q198" i="2" s="1"/>
  <c r="S198" i="2" a="1"/>
  <c r="S198" i="2" s="1"/>
  <c r="Y101" i="2" a="1"/>
  <c r="Y101" i="2" s="1"/>
  <c r="W101" i="2" a="1"/>
  <c r="W101" i="2" s="1"/>
  <c r="V220" i="2" a="1"/>
  <c r="V220" i="2" s="1"/>
  <c r="T220" i="2" a="1"/>
  <c r="T220" i="2" s="1"/>
  <c r="AE128" i="2" a="1"/>
  <c r="AE128" i="2" s="1"/>
  <c r="AC128" i="2" a="1"/>
  <c r="AC128" i="2" s="1"/>
  <c r="AC215" i="2" a="1"/>
  <c r="AC215" i="2" s="1"/>
  <c r="AE215" i="2" a="1"/>
  <c r="AE215" i="2" s="1"/>
  <c r="S125" i="2" a="1"/>
  <c r="S125" i="2" s="1"/>
  <c r="Q125" i="2" a="1"/>
  <c r="Q125" i="2" s="1"/>
  <c r="T208" i="2" a="1"/>
  <c r="T208" i="2" s="1"/>
  <c r="V208" i="2" a="1"/>
  <c r="V208" i="2" s="1"/>
  <c r="AL246" i="2" a="1"/>
  <c r="AL246" i="2" s="1"/>
  <c r="AN246" i="2" a="1"/>
  <c r="AN246" i="2" s="1"/>
  <c r="AE253" i="2" a="1"/>
  <c r="AE253" i="2" s="1"/>
  <c r="AC253" i="2" a="1"/>
  <c r="AC253" i="2" s="1"/>
  <c r="K226" i="2" a="1"/>
  <c r="K226" i="2" s="1"/>
  <c r="M226" i="2" a="1"/>
  <c r="M226" i="2" s="1"/>
  <c r="AC192" i="2" a="1"/>
  <c r="AC192" i="2" s="1"/>
  <c r="AE192" i="2" a="1"/>
  <c r="AE192" i="2" s="1"/>
  <c r="AF214" i="2" a="1"/>
  <c r="AF214" i="2" s="1"/>
  <c r="AH214" i="2" a="1"/>
  <c r="AH214" i="2" s="1"/>
  <c r="T247" i="2" a="1"/>
  <c r="T247" i="2" s="1"/>
  <c r="V247" i="2" a="1"/>
  <c r="V247" i="2" s="1"/>
  <c r="V203" i="2" a="1"/>
  <c r="V203" i="2" s="1"/>
  <c r="T203" i="2" a="1"/>
  <c r="T203" i="2" s="1"/>
  <c r="AB165" i="2" a="1"/>
  <c r="AB165" i="2" s="1"/>
  <c r="Z165" i="2" a="1"/>
  <c r="Z165" i="2" s="1"/>
  <c r="AC104" i="2" a="1"/>
  <c r="AC104" i="2" s="1"/>
  <c r="AE104" i="2" a="1"/>
  <c r="AE104" i="2" s="1"/>
  <c r="N155" i="2" a="1"/>
  <c r="N155" i="2" s="1"/>
  <c r="P155" i="2" a="1"/>
  <c r="P155" i="2" s="1"/>
  <c r="K247" i="2" a="1"/>
  <c r="K247" i="2" s="1"/>
  <c r="M247" i="2" a="1"/>
  <c r="M247" i="2" s="1"/>
  <c r="AK178" i="2" a="1"/>
  <c r="AK178" i="2" s="1"/>
  <c r="AI178" i="2" a="1"/>
  <c r="AI178" i="2" s="1"/>
  <c r="AC112" i="2" a="1"/>
  <c r="AC112" i="2" s="1"/>
  <c r="AE112" i="2" a="1"/>
  <c r="AE112" i="2" s="1"/>
  <c r="W178" i="2" a="1"/>
  <c r="W178" i="2" s="1"/>
  <c r="Y178" i="2" a="1"/>
  <c r="Y178" i="2" s="1"/>
  <c r="H175" i="2" a="1"/>
  <c r="H175" i="2" s="1"/>
  <c r="J175" i="2" a="1"/>
  <c r="J175" i="2" s="1"/>
  <c r="AN112" i="2" a="1"/>
  <c r="AN112" i="2" s="1"/>
  <c r="AL112" i="2" a="1"/>
  <c r="AL112" i="2" s="1"/>
  <c r="M198" i="2" a="1"/>
  <c r="M198" i="2" s="1"/>
  <c r="K198" i="2" a="1"/>
  <c r="K198" i="2" s="1"/>
  <c r="M113" i="2" a="1"/>
  <c r="M113" i="2" s="1"/>
  <c r="K113" i="2" a="1"/>
  <c r="K113" i="2" s="1"/>
  <c r="AH264" i="2" a="1"/>
  <c r="AH264" i="2" s="1"/>
  <c r="AF264" i="2" a="1"/>
  <c r="AF264" i="2" s="1"/>
  <c r="AK162" i="2" a="1"/>
  <c r="AK162" i="2" s="1"/>
  <c r="AI162" i="2" a="1"/>
  <c r="AI162" i="2" s="1"/>
  <c r="W236" i="2" a="1"/>
  <c r="W236" i="2" s="1"/>
  <c r="Y236" i="2" a="1"/>
  <c r="Y236" i="2" s="1"/>
  <c r="M271" i="2" a="1"/>
  <c r="M271" i="2" s="1"/>
  <c r="K271" i="2" a="1"/>
  <c r="K271" i="2" s="1"/>
  <c r="AI256" i="2" a="1"/>
  <c r="AI256" i="2" s="1"/>
  <c r="AK256" i="2" a="1"/>
  <c r="AK256" i="2" s="1"/>
  <c r="Q196" i="2" a="1"/>
  <c r="Q196" i="2" s="1"/>
  <c r="S196" i="2" a="1"/>
  <c r="S196" i="2" s="1"/>
  <c r="W243" i="2" a="1"/>
  <c r="W243" i="2" s="1"/>
  <c r="Y243" i="2" a="1"/>
  <c r="Y243" i="2" s="1"/>
  <c r="AE135" i="2" a="1"/>
  <c r="AE135" i="2" s="1"/>
  <c r="AC135" i="2" a="1"/>
  <c r="AC135" i="2" s="1"/>
  <c r="M110" i="2" a="1"/>
  <c r="M110" i="2" s="1"/>
  <c r="K110" i="2" a="1"/>
  <c r="K110" i="2" s="1"/>
  <c r="AC144" i="2" a="1"/>
  <c r="AC144" i="2" s="1"/>
  <c r="AE144" i="2" a="1"/>
  <c r="AE144" i="2" s="1"/>
  <c r="M253" i="2" a="1"/>
  <c r="M253" i="2" s="1"/>
  <c r="K253" i="2" a="1"/>
  <c r="K253" i="2" s="1"/>
  <c r="T240" i="2" a="1"/>
  <c r="T240" i="2" s="1"/>
  <c r="V240" i="2" a="1"/>
  <c r="V240" i="2" s="1"/>
  <c r="AB151" i="2" a="1"/>
  <c r="AB151" i="2" s="1"/>
  <c r="Z151" i="2" a="1"/>
  <c r="Z151" i="2" s="1"/>
  <c r="AH165" i="2" a="1"/>
  <c r="AH165" i="2" s="1"/>
  <c r="AF165" i="2" a="1"/>
  <c r="AF165" i="2" s="1"/>
  <c r="K130" i="2" a="1"/>
  <c r="K130" i="2" s="1"/>
  <c r="M130" i="2" a="1"/>
  <c r="M130" i="2" s="1"/>
  <c r="V125" i="2" a="1"/>
  <c r="V125" i="2" s="1"/>
  <c r="T125" i="2" a="1"/>
  <c r="T125" i="2" s="1"/>
  <c r="Z101" i="2" a="1"/>
  <c r="Z101" i="2" s="1"/>
  <c r="AB101" i="2" a="1"/>
  <c r="AB101" i="2" s="1"/>
  <c r="AB192" i="2" a="1"/>
  <c r="AB192" i="2" s="1"/>
  <c r="Z192" i="2" a="1"/>
  <c r="Z192" i="2" s="1"/>
  <c r="AL215" i="2" a="1"/>
  <c r="AL215" i="2" s="1"/>
  <c r="AN215" i="2" a="1"/>
  <c r="AN215" i="2" s="1"/>
  <c r="AF181" i="2" a="1"/>
  <c r="AF181" i="2" s="1"/>
  <c r="AH181" i="2" a="1"/>
  <c r="AH181" i="2" s="1"/>
  <c r="S44" i="2" a="1"/>
  <c r="S44" i="2" s="1"/>
  <c r="Q44" i="2" a="1"/>
  <c r="Q44" i="2" s="1"/>
  <c r="AN231" i="2" a="1"/>
  <c r="AN231" i="2" s="1"/>
  <c r="AL231" i="2" a="1"/>
  <c r="AL231" i="2" s="1"/>
  <c r="AF102" i="2" a="1"/>
  <c r="AF102" i="2" s="1"/>
  <c r="AH102" i="2" a="1"/>
  <c r="AH102" i="2" s="1"/>
  <c r="M139" i="2" a="1"/>
  <c r="M139" i="2" s="1"/>
  <c r="K139" i="2" a="1"/>
  <c r="K139" i="2" s="1"/>
  <c r="AK135" i="2" a="1"/>
  <c r="AK135" i="2" s="1"/>
  <c r="AI135" i="2" a="1"/>
  <c r="AI135" i="2" s="1"/>
  <c r="P251" i="2" a="1"/>
  <c r="P251" i="2" s="1"/>
  <c r="N251" i="2" a="1"/>
  <c r="N251" i="2" s="1"/>
  <c r="AF185" i="2" a="1"/>
  <c r="AF185" i="2" s="1"/>
  <c r="AH185" i="2" a="1"/>
  <c r="AH185" i="2" s="1"/>
  <c r="P167" i="2" a="1"/>
  <c r="P167" i="2" s="1"/>
  <c r="N167" i="2" a="1"/>
  <c r="N167" i="2" s="1"/>
  <c r="AI153" i="2" a="1"/>
  <c r="AI153" i="2" s="1"/>
  <c r="AK153" i="2" a="1"/>
  <c r="AK153" i="2" s="1"/>
  <c r="E255" i="2" a="1"/>
  <c r="E255" i="2" s="1"/>
  <c r="G255" i="2" a="1"/>
  <c r="G255" i="2" s="1"/>
  <c r="Q258" i="2" a="1"/>
  <c r="Q258" i="2" s="1"/>
  <c r="S258" i="2" a="1"/>
  <c r="S258" i="2" s="1"/>
  <c r="Y233" i="2" a="1"/>
  <c r="Y233" i="2" s="1"/>
  <c r="W233" i="2" a="1"/>
  <c r="W233" i="2" s="1"/>
  <c r="AE123" i="2" a="1"/>
  <c r="AE123" i="2" s="1"/>
  <c r="AC123" i="2" a="1"/>
  <c r="AC123" i="2" s="1"/>
  <c r="J102" i="2" a="1"/>
  <c r="J102" i="2" s="1"/>
  <c r="H102" i="2" a="1"/>
  <c r="H102" i="2" s="1"/>
  <c r="K162" i="2" a="1"/>
  <c r="K162" i="2" s="1"/>
  <c r="M162" i="2" a="1"/>
  <c r="M162" i="2" s="1"/>
  <c r="AK214" i="2" a="1"/>
  <c r="AK214" i="2" s="1"/>
  <c r="AI214" i="2" a="1"/>
  <c r="AI214" i="2" s="1"/>
  <c r="W150" i="2" a="1"/>
  <c r="W150" i="2" s="1"/>
  <c r="Y150" i="2" a="1"/>
  <c r="Y150" i="2" s="1"/>
  <c r="Z181" i="2" a="1"/>
  <c r="Z181" i="2" s="1"/>
  <c r="AB181" i="2" a="1"/>
  <c r="AB181" i="2" s="1"/>
  <c r="J185" i="2" a="1"/>
  <c r="J185" i="2" s="1"/>
  <c r="H185" i="2" a="1"/>
  <c r="H185" i="2" s="1"/>
  <c r="Y130" i="2" a="1"/>
  <c r="Y130" i="2" s="1"/>
  <c r="W130" i="2" a="1"/>
  <c r="W130" i="2" s="1"/>
  <c r="AL163" i="2" a="1"/>
  <c r="AL163" i="2" s="1"/>
  <c r="AN163" i="2" a="1"/>
  <c r="AN163" i="2" s="1"/>
  <c r="T98" i="2" a="1"/>
  <c r="T98" i="2" s="1"/>
  <c r="V98" i="2" a="1"/>
  <c r="V98" i="2" s="1"/>
  <c r="AI95" i="2" a="1"/>
  <c r="AI95" i="2" s="1"/>
  <c r="AK95" i="2" a="1"/>
  <c r="AK95" i="2" s="1"/>
  <c r="AE173" i="2" a="1"/>
  <c r="AE173" i="2" s="1"/>
  <c r="AC173" i="2" a="1"/>
  <c r="AC173" i="2" s="1"/>
  <c r="H208" i="2" a="1"/>
  <c r="H208" i="2" s="1"/>
  <c r="J208" i="2" a="1"/>
  <c r="J208" i="2" s="1"/>
  <c r="AN170" i="2" a="1"/>
  <c r="AN170" i="2" s="1"/>
  <c r="AL170" i="2" a="1"/>
  <c r="AL170" i="2" s="1"/>
  <c r="AK90" i="2" a="1"/>
  <c r="AK90" i="2" s="1"/>
  <c r="AI90" i="2" a="1"/>
  <c r="AI90" i="2" s="1"/>
  <c r="Z179" i="2" a="1"/>
  <c r="Z179" i="2" s="1"/>
  <c r="AB179" i="2" a="1"/>
  <c r="AB179" i="2" s="1"/>
  <c r="AC182" i="2" a="1"/>
  <c r="AC182" i="2" s="1"/>
  <c r="AE182" i="2" a="1"/>
  <c r="AE182" i="2" s="1"/>
  <c r="AI98" i="2" a="1"/>
  <c r="AI98" i="2" s="1"/>
  <c r="AK98" i="2" a="1"/>
  <c r="AK98" i="2" s="1"/>
  <c r="M191" i="2" a="1"/>
  <c r="M191" i="2" s="1"/>
  <c r="K191" i="2" a="1"/>
  <c r="K191" i="2" s="1"/>
  <c r="N272" i="2" a="1"/>
  <c r="N272" i="2" s="1"/>
  <c r="P272" i="2" a="1"/>
  <c r="P272" i="2" s="1"/>
  <c r="AB170" i="2" a="1"/>
  <c r="AB170" i="2" s="1"/>
  <c r="Z170" i="2" a="1"/>
  <c r="Z170" i="2" s="1"/>
  <c r="V133" i="2" a="1"/>
  <c r="V133" i="2" s="1"/>
  <c r="T133" i="2" a="1"/>
  <c r="T133" i="2" s="1"/>
  <c r="G259" i="2" a="1"/>
  <c r="G259" i="2" s="1"/>
  <c r="E259" i="2" a="1"/>
  <c r="E259" i="2" s="1"/>
  <c r="S227" i="2" a="1"/>
  <c r="S227" i="2" s="1"/>
  <c r="Q227" i="2" a="1"/>
  <c r="Q227" i="2" s="1"/>
  <c r="H216" i="2" a="1"/>
  <c r="H216" i="2" s="1"/>
  <c r="J216" i="2" a="1"/>
  <c r="J216" i="2" s="1"/>
  <c r="J220" i="2" a="1"/>
  <c r="J220" i="2" s="1"/>
  <c r="H220" i="2" a="1"/>
  <c r="H220" i="2" s="1"/>
  <c r="Z260" i="2" a="1"/>
  <c r="Z260" i="2" s="1"/>
  <c r="AB260" i="2" a="1"/>
  <c r="AB260" i="2" s="1"/>
  <c r="J136" i="2" a="1"/>
  <c r="J136" i="2" s="1"/>
  <c r="H136" i="2" a="1"/>
  <c r="H136" i="2" s="1"/>
  <c r="W126" i="2" a="1"/>
  <c r="W126" i="2" s="1"/>
  <c r="Y126" i="2" a="1"/>
  <c r="Y126" i="2" s="1"/>
  <c r="J154" i="2" a="1"/>
  <c r="J154" i="2" s="1"/>
  <c r="H154" i="2" a="1"/>
  <c r="H154" i="2" s="1"/>
  <c r="AE106" i="2" a="1"/>
  <c r="AE106" i="2" s="1"/>
  <c r="AC106" i="2" a="1"/>
  <c r="AC106" i="2" s="1"/>
  <c r="T255" i="2" a="1"/>
  <c r="T255" i="2" s="1"/>
  <c r="V255" i="2" a="1"/>
  <c r="V255" i="2" s="1"/>
  <c r="AK114" i="2" a="1"/>
  <c r="AK114" i="2" s="1"/>
  <c r="AI114" i="2" a="1"/>
  <c r="AI114" i="2" s="1"/>
  <c r="G262" i="2" a="1"/>
  <c r="G262" i="2" s="1"/>
  <c r="E262" i="2" a="1"/>
  <c r="E262" i="2" s="1"/>
  <c r="M137" i="2" a="1"/>
  <c r="M137" i="2" s="1"/>
  <c r="K137" i="2" a="1"/>
  <c r="K137" i="2" s="1"/>
  <c r="W211" i="2" a="1"/>
  <c r="W211" i="2" s="1"/>
  <c r="Y211" i="2" a="1"/>
  <c r="Y211" i="2" s="1"/>
  <c r="P129" i="2" a="1"/>
  <c r="P129" i="2" s="1"/>
  <c r="N129" i="2" a="1"/>
  <c r="N129" i="2" s="1"/>
  <c r="AI239" i="2" a="1"/>
  <c r="AI239" i="2" s="1"/>
  <c r="AK239" i="2" a="1"/>
  <c r="AK239" i="2" s="1"/>
  <c r="H183" i="2" a="1"/>
  <c r="H183" i="2" s="1"/>
  <c r="J183" i="2" a="1"/>
  <c r="J183" i="2" s="1"/>
  <c r="Y244" i="2" a="1"/>
  <c r="Y244" i="2" s="1"/>
  <c r="W244" i="2" a="1"/>
  <c r="W244" i="2" s="1"/>
  <c r="M101" i="2" a="1"/>
  <c r="M101" i="2" s="1"/>
  <c r="K101" i="2" a="1"/>
  <c r="K101" i="2" s="1"/>
  <c r="AL165" i="2" a="1"/>
  <c r="AL165" i="2" s="1"/>
  <c r="AN165" i="2" a="1"/>
  <c r="AN165" i="2" s="1"/>
  <c r="AI96" i="2" a="1"/>
  <c r="AI96" i="2" s="1"/>
  <c r="AK96" i="2" a="1"/>
  <c r="AK96" i="2" s="1"/>
  <c r="AC126" i="2" a="1"/>
  <c r="AC126" i="2" s="1"/>
  <c r="AE126" i="2" a="1"/>
  <c r="AE126" i="2" s="1"/>
  <c r="G167" i="2" a="1"/>
  <c r="G167" i="2" s="1"/>
  <c r="E167" i="2" a="1"/>
  <c r="E167" i="2" s="1"/>
  <c r="AC193" i="2" a="1"/>
  <c r="AC193" i="2" s="1"/>
  <c r="AE193" i="2" a="1"/>
  <c r="AE193" i="2" s="1"/>
  <c r="T167" i="2" a="1"/>
  <c r="T167" i="2" s="1"/>
  <c r="V167" i="2" a="1"/>
  <c r="V167" i="2" s="1"/>
  <c r="H243" i="2" a="1"/>
  <c r="H243" i="2" s="1"/>
  <c r="J243" i="2" a="1"/>
  <c r="J243" i="2" s="1"/>
  <c r="H168" i="2" a="1"/>
  <c r="H168" i="2" s="1"/>
  <c r="J168" i="2" a="1"/>
  <c r="J168" i="2" s="1"/>
  <c r="M270" i="2" a="1"/>
  <c r="M270" i="2" s="1"/>
  <c r="K270" i="2" a="1"/>
  <c r="K270" i="2" s="1"/>
  <c r="Y229" i="2" a="1"/>
  <c r="Y229" i="2" s="1"/>
  <c r="W229" i="2" a="1"/>
  <c r="W229" i="2" s="1"/>
  <c r="K144" i="2" a="1"/>
  <c r="K144" i="2" s="1"/>
  <c r="M144" i="2" a="1"/>
  <c r="M144" i="2" s="1"/>
  <c r="T157" i="2" a="1"/>
  <c r="T157" i="2" s="1"/>
  <c r="V157" i="2" a="1"/>
  <c r="V157" i="2" s="1"/>
  <c r="M213" i="2" a="1"/>
  <c r="M213" i="2" s="1"/>
  <c r="K213" i="2" a="1"/>
  <c r="K213" i="2" s="1"/>
  <c r="Z200" i="2" a="1"/>
  <c r="Z200" i="2" s="1"/>
  <c r="AB200" i="2" a="1"/>
  <c r="AB200" i="2" s="1"/>
  <c r="M208" i="2" a="1"/>
  <c r="M208" i="2" s="1"/>
  <c r="K208" i="2" a="1"/>
  <c r="K208" i="2" s="1"/>
  <c r="AE159" i="2" a="1"/>
  <c r="AE159" i="2" s="1"/>
  <c r="AC159" i="2" a="1"/>
  <c r="AC159" i="2" s="1"/>
  <c r="H139" i="2" a="1"/>
  <c r="H139" i="2" s="1"/>
  <c r="J139" i="2" a="1"/>
  <c r="J139" i="2" s="1"/>
  <c r="Z124" i="2" a="1"/>
  <c r="Z124" i="2" s="1"/>
  <c r="AB124" i="2" a="1"/>
  <c r="AB124" i="2" s="1"/>
  <c r="AH191" i="2" a="1"/>
  <c r="AH191" i="2" s="1"/>
  <c r="AF191" i="2" a="1"/>
  <c r="AF191" i="2" s="1"/>
  <c r="Y186" i="2" a="1"/>
  <c r="Y186" i="2" s="1"/>
  <c r="W186" i="2" a="1"/>
  <c r="W186" i="2" s="1"/>
  <c r="AB238" i="2" a="1"/>
  <c r="AB238" i="2" s="1"/>
  <c r="Z238" i="2" a="1"/>
  <c r="Z238" i="2" s="1"/>
  <c r="AI131" i="2" a="1"/>
  <c r="AI131" i="2" s="1"/>
  <c r="AK131" i="2" a="1"/>
  <c r="AK131" i="2" s="1"/>
  <c r="Q266" i="2" a="1"/>
  <c r="Q266" i="2" s="1"/>
  <c r="S266" i="2" a="1"/>
  <c r="S266" i="2" s="1"/>
  <c r="S263" i="2" a="1"/>
  <c r="S263" i="2" s="1"/>
  <c r="Q263" i="2" a="1"/>
  <c r="Q263" i="2" s="1"/>
  <c r="H251" i="2" a="1"/>
  <c r="H251" i="2" s="1"/>
  <c r="J251" i="2" a="1"/>
  <c r="J251" i="2" s="1"/>
  <c r="E150" i="2" a="1"/>
  <c r="E150" i="2" s="1"/>
  <c r="G150" i="2" a="1"/>
  <c r="G150" i="2" s="1"/>
  <c r="AF141" i="2" a="1"/>
  <c r="AF141" i="2" s="1"/>
  <c r="AH141" i="2" a="1"/>
  <c r="AH141" i="2" s="1"/>
  <c r="AB254" i="2" a="1"/>
  <c r="AB254" i="2" s="1"/>
  <c r="Z254" i="2" a="1"/>
  <c r="Z254" i="2" s="1"/>
  <c r="AE189" i="2" a="1"/>
  <c r="AE189" i="2" s="1"/>
  <c r="AC189" i="2" a="1"/>
  <c r="AC189" i="2" s="1"/>
  <c r="Q204" i="2" a="1"/>
  <c r="Q204" i="2" s="1"/>
  <c r="S204" i="2" a="1"/>
  <c r="S204" i="2" s="1"/>
  <c r="AF205" i="2" a="1"/>
  <c r="AF205" i="2" s="1"/>
  <c r="AH205" i="2" a="1"/>
  <c r="AH205" i="2" s="1"/>
  <c r="AB122" i="2" a="1"/>
  <c r="AB122" i="2" s="1"/>
  <c r="Z122" i="2" a="1"/>
  <c r="Z122" i="2" s="1"/>
  <c r="AC248" i="2" a="1"/>
  <c r="AC248" i="2" s="1"/>
  <c r="AE248" i="2" a="1"/>
  <c r="AE248" i="2" s="1"/>
  <c r="P207" i="2" a="1"/>
  <c r="P207" i="2" s="1"/>
  <c r="N207" i="2" a="1"/>
  <c r="N207" i="2" s="1"/>
  <c r="P140" i="2" a="1"/>
  <c r="P140" i="2" s="1"/>
  <c r="N140" i="2" a="1"/>
  <c r="N140" i="2" s="1"/>
  <c r="P217" i="2" a="1"/>
  <c r="P217" i="2" s="1"/>
  <c r="N217" i="2" a="1"/>
  <c r="N217" i="2" s="1"/>
  <c r="AH269" i="2" a="1"/>
  <c r="AH269" i="2" s="1"/>
  <c r="AF269" i="2" a="1"/>
  <c r="AF269" i="2" s="1"/>
  <c r="AE252" i="2" a="1"/>
  <c r="AE252" i="2" s="1"/>
  <c r="AC252" i="2" a="1"/>
  <c r="AC252" i="2" s="1"/>
  <c r="Q189" i="2" a="1"/>
  <c r="Q189" i="2" s="1"/>
  <c r="S189" i="2" a="1"/>
  <c r="S189" i="2" s="1"/>
  <c r="V124" i="2" a="1"/>
  <c r="V124" i="2" s="1"/>
  <c r="T124" i="2" a="1"/>
  <c r="T124" i="2" s="1"/>
  <c r="AB125" i="2" a="1"/>
  <c r="AB125" i="2" s="1"/>
  <c r="Z125" i="2" a="1"/>
  <c r="Z125" i="2" s="1"/>
  <c r="V121" i="2" a="1"/>
  <c r="V121" i="2" s="1"/>
  <c r="T121" i="2" a="1"/>
  <c r="T121" i="2" s="1"/>
  <c r="M230" i="2" a="1"/>
  <c r="M230" i="2" s="1"/>
  <c r="K230" i="2" a="1"/>
  <c r="K230" i="2" s="1"/>
  <c r="AH209" i="2" a="1"/>
  <c r="AH209" i="2" s="1"/>
  <c r="AF209" i="2" a="1"/>
  <c r="AF209" i="2" s="1"/>
  <c r="AL162" i="2" a="1"/>
  <c r="AL162" i="2" s="1"/>
  <c r="AN162" i="2" a="1"/>
  <c r="AN162" i="2" s="1"/>
  <c r="G188" i="2" a="1"/>
  <c r="G188" i="2" s="1"/>
  <c r="E188" i="2" a="1"/>
  <c r="E188" i="2" s="1"/>
  <c r="AB172" i="2" a="1"/>
  <c r="AB172" i="2" s="1"/>
  <c r="Z172" i="2" a="1"/>
  <c r="Z172" i="2" s="1"/>
  <c r="AN211" i="2" a="1"/>
  <c r="AN211" i="2" s="1"/>
  <c r="AL211" i="2" a="1"/>
  <c r="AL211" i="2" s="1"/>
  <c r="Q94" i="2" a="1"/>
  <c r="Q94" i="2" s="1"/>
  <c r="S94" i="2" a="1"/>
  <c r="S94" i="2" s="1"/>
  <c r="AL177" i="2" a="1"/>
  <c r="AL177" i="2" s="1"/>
  <c r="AN177" i="2" a="1"/>
  <c r="AN177" i="2" s="1"/>
  <c r="K215" i="2" a="1"/>
  <c r="K215" i="2" s="1"/>
  <c r="M215" i="2" a="1"/>
  <c r="M215" i="2" s="1"/>
  <c r="N247" i="2" a="1"/>
  <c r="N247" i="2" s="1"/>
  <c r="P247" i="2" a="1"/>
  <c r="P247" i="2" s="1"/>
  <c r="S134" i="2" a="1"/>
  <c r="S134" i="2" s="1"/>
  <c r="Q134" i="2" a="1"/>
  <c r="Q134" i="2" s="1"/>
  <c r="G180" i="2" a="1"/>
  <c r="G180" i="2" s="1"/>
  <c r="E180" i="2" a="1"/>
  <c r="E180" i="2" s="1"/>
  <c r="AK262" i="2" a="1"/>
  <c r="AK262" i="2" s="1"/>
  <c r="AI262" i="2" a="1"/>
  <c r="AI262" i="2" s="1"/>
  <c r="AE228" i="2" a="1"/>
  <c r="AE228" i="2" s="1"/>
  <c r="AC228" i="2" a="1"/>
  <c r="AC228" i="2" s="1"/>
  <c r="H131" i="2" a="1"/>
  <c r="H131" i="2" s="1"/>
  <c r="J131" i="2" a="1"/>
  <c r="J131" i="2" s="1"/>
  <c r="V212" i="2" a="1"/>
  <c r="V212" i="2" s="1"/>
  <c r="T212" i="2" a="1"/>
  <c r="T212" i="2" s="1"/>
  <c r="AE258" i="2" a="1"/>
  <c r="AE258" i="2" s="1"/>
  <c r="AC258" i="2" a="1"/>
  <c r="AC258" i="2" s="1"/>
  <c r="AF149" i="2" a="1"/>
  <c r="AF149" i="2" s="1"/>
  <c r="AH149" i="2" a="1"/>
  <c r="AH149" i="2" s="1"/>
  <c r="AB104" i="2" a="1"/>
  <c r="AB104" i="2" s="1"/>
  <c r="Z104" i="2" a="1"/>
  <c r="Z104" i="2" s="1"/>
  <c r="G172" i="2" a="1"/>
  <c r="G172" i="2" s="1"/>
  <c r="E172" i="2" a="1"/>
  <c r="E172" i="2" s="1"/>
  <c r="J112" i="2" a="1"/>
  <c r="J112" i="2" s="1"/>
  <c r="H112" i="2" a="1"/>
  <c r="H112" i="2" s="1"/>
  <c r="P227" i="2" a="1"/>
  <c r="P227" i="2" s="1"/>
  <c r="N227" i="2" a="1"/>
  <c r="N227" i="2" s="1"/>
  <c r="AH115" i="2" a="1"/>
  <c r="AH115" i="2" s="1"/>
  <c r="AF115" i="2" a="1"/>
  <c r="AF115" i="2" s="1"/>
  <c r="Q211" i="2" a="1"/>
  <c r="Q211" i="2" s="1"/>
  <c r="S211" i="2" a="1"/>
  <c r="S211" i="2" s="1"/>
  <c r="S186" i="2" a="1"/>
  <c r="S186" i="2" s="1"/>
  <c r="Q186" i="2" a="1"/>
  <c r="Q186" i="2" s="1"/>
  <c r="AC245" i="2" a="1"/>
  <c r="AC245" i="2" s="1"/>
  <c r="AE245" i="2" a="1"/>
  <c r="AE245" i="2" s="1"/>
  <c r="Z138" i="2" a="1"/>
  <c r="Z138" i="2" s="1"/>
  <c r="AB138" i="2" a="1"/>
  <c r="AB138" i="2" s="1"/>
  <c r="Z257" i="2" a="1"/>
  <c r="Z257" i="2" s="1"/>
  <c r="AB257" i="2" a="1"/>
  <c r="AB257" i="2" s="1"/>
  <c r="W172" i="2" a="1"/>
  <c r="W172" i="2" s="1"/>
  <c r="Y172" i="2" a="1"/>
  <c r="Y172" i="2" s="1"/>
  <c r="G251" i="2" a="1"/>
  <c r="G251" i="2" s="1"/>
  <c r="E251" i="2" a="1"/>
  <c r="E251" i="2" s="1"/>
  <c r="AK261" i="2" a="1"/>
  <c r="AK261" i="2" s="1"/>
  <c r="AI261" i="2" a="1"/>
  <c r="AI261" i="2" s="1"/>
  <c r="AN115" i="2" a="1"/>
  <c r="AN115" i="2" s="1"/>
  <c r="AL115" i="2" a="1"/>
  <c r="AL115" i="2" s="1"/>
  <c r="H159" i="2" a="1"/>
  <c r="H159" i="2" s="1"/>
  <c r="J159" i="2" a="1"/>
  <c r="J159" i="2" s="1"/>
  <c r="E186" i="2" a="1"/>
  <c r="E186" i="2" s="1"/>
  <c r="G186" i="2" a="1"/>
  <c r="G186" i="2" s="1"/>
  <c r="AI243" i="2" a="1"/>
  <c r="AI243" i="2" s="1"/>
  <c r="AK243" i="2" a="1"/>
  <c r="AK243" i="2" s="1"/>
  <c r="E170" i="2" a="1"/>
  <c r="E170" i="2" s="1"/>
  <c r="G170" i="2" a="1"/>
  <c r="G170" i="2" s="1"/>
  <c r="V190" i="2" a="1"/>
  <c r="V190" i="2" s="1"/>
  <c r="T190" i="2" a="1"/>
  <c r="T190" i="2" s="1"/>
  <c r="P168" i="2" a="1"/>
  <c r="P168" i="2" s="1"/>
  <c r="N168" i="2" a="1"/>
  <c r="N168" i="2" s="1"/>
  <c r="Y242" i="2" a="1"/>
  <c r="Y242" i="2" s="1"/>
  <c r="W242" i="2" a="1"/>
  <c r="W242" i="2" s="1"/>
  <c r="Q141" i="2" a="1"/>
  <c r="Q141" i="2" s="1"/>
  <c r="S141" i="2" a="1"/>
  <c r="S141" i="2" s="1"/>
  <c r="W251" i="2" a="1"/>
  <c r="W251" i="2" s="1"/>
  <c r="Y251" i="2" a="1"/>
  <c r="Y251" i="2" s="1"/>
  <c r="N156" i="2" a="1"/>
  <c r="N156" i="2" s="1"/>
  <c r="P156" i="2" a="1"/>
  <c r="P156" i="2" s="1"/>
  <c r="AF128" i="2" a="1"/>
  <c r="AF128" i="2" s="1"/>
  <c r="AH128" i="2" a="1"/>
  <c r="AH128" i="2" s="1"/>
  <c r="AL106" i="2" a="1"/>
  <c r="AL106" i="2" s="1"/>
  <c r="AN106" i="2" a="1"/>
  <c r="AN106" i="2" s="1"/>
  <c r="M161" i="2" a="1"/>
  <c r="M161" i="2" s="1"/>
  <c r="K161" i="2" a="1"/>
  <c r="K161" i="2" s="1"/>
  <c r="M260" i="2" a="1"/>
  <c r="M260" i="2" s="1"/>
  <c r="K260" i="2" a="1"/>
  <c r="K260" i="2" s="1"/>
  <c r="AF154" i="2" a="1"/>
  <c r="AF154" i="2" s="1"/>
  <c r="AH154" i="2" a="1"/>
  <c r="AH154" i="2" s="1"/>
  <c r="K256" i="2" a="1"/>
  <c r="K256" i="2" s="1"/>
  <c r="M256" i="2" a="1"/>
  <c r="M256" i="2" s="1"/>
  <c r="AE198" i="2" a="1"/>
  <c r="AE198" i="2" s="1"/>
  <c r="AC198" i="2" a="1"/>
  <c r="AC198" i="2" s="1"/>
  <c r="T209" i="2" a="1"/>
  <c r="T209" i="2" s="1"/>
  <c r="V209" i="2" a="1"/>
  <c r="V209" i="2" s="1"/>
  <c r="Y195" i="2" a="1"/>
  <c r="Y195" i="2" s="1"/>
  <c r="W195" i="2" a="1"/>
  <c r="W195" i="2" s="1"/>
  <c r="Q97" i="2" a="1"/>
  <c r="Q97" i="2" s="1"/>
  <c r="S97" i="2" a="1"/>
  <c r="S97" i="2" s="1"/>
  <c r="K258" i="2" a="1"/>
  <c r="K258" i="2" s="1"/>
  <c r="M258" i="2" a="1"/>
  <c r="M258" i="2" s="1"/>
  <c r="AH145" i="2" a="1"/>
  <c r="AH145" i="2" s="1"/>
  <c r="AF145" i="2" a="1"/>
  <c r="AF145" i="2" s="1"/>
  <c r="W137" i="2" a="1"/>
  <c r="W137" i="2" s="1"/>
  <c r="Y137" i="2" a="1"/>
  <c r="Y137" i="2" s="1"/>
  <c r="J225" i="2" a="1"/>
  <c r="J225" i="2" s="1"/>
  <c r="H225" i="2" a="1"/>
  <c r="H225" i="2" s="1"/>
  <c r="AN195" i="2" a="1"/>
  <c r="AN195" i="2" s="1"/>
  <c r="AL195" i="2" a="1"/>
  <c r="AL195" i="2" s="1"/>
  <c r="W162" i="2" a="1"/>
  <c r="W162" i="2" s="1"/>
  <c r="Y162" i="2" a="1"/>
  <c r="Y162" i="2" s="1"/>
  <c r="AC196" i="2" a="1"/>
  <c r="AC196" i="2" s="1"/>
  <c r="AE196" i="2" a="1"/>
  <c r="AE196" i="2" s="1"/>
  <c r="AL266" i="2" a="1"/>
  <c r="AL266" i="2" s="1"/>
  <c r="AN266" i="2" a="1"/>
  <c r="AN266" i="2" s="1"/>
  <c r="K225" i="2" a="1"/>
  <c r="K225" i="2" s="1"/>
  <c r="M225" i="2" a="1"/>
  <c r="M225" i="2" s="1"/>
  <c r="G127" i="2" a="1"/>
  <c r="G127" i="2" s="1"/>
  <c r="E127" i="2" a="1"/>
  <c r="E127" i="2" s="1"/>
  <c r="E140" i="2" a="1"/>
  <c r="E140" i="2" s="1"/>
  <c r="G140" i="2" a="1"/>
  <c r="G140" i="2" s="1"/>
  <c r="M163" i="2" a="1"/>
  <c r="M163" i="2" s="1"/>
  <c r="K163" i="2" a="1"/>
  <c r="K163" i="2" s="1"/>
  <c r="Q235" i="2" a="1"/>
  <c r="Q235" i="2" s="1"/>
  <c r="S235" i="2" a="1"/>
  <c r="S235" i="2" s="1"/>
  <c r="J201" i="2" a="1"/>
  <c r="J201" i="2" s="1"/>
  <c r="H201" i="2" a="1"/>
  <c r="H201" i="2" s="1"/>
  <c r="Q187" i="2" a="1"/>
  <c r="Q187" i="2" s="1"/>
  <c r="S187" i="2" a="1"/>
  <c r="S187" i="2" s="1"/>
  <c r="AE140" i="2" a="1"/>
  <c r="AE140" i="2" s="1"/>
  <c r="AC140" i="2" a="1"/>
  <c r="AC140" i="2" s="1"/>
  <c r="Z111" i="2" a="1"/>
  <c r="Z111" i="2" s="1"/>
  <c r="AB111" i="2" a="1"/>
  <c r="AB111" i="2" s="1"/>
  <c r="Q270" i="2" a="1"/>
  <c r="Q270" i="2" s="1"/>
  <c r="S270" i="2" a="1"/>
  <c r="S270" i="2" s="1"/>
  <c r="Z201" i="2" a="1"/>
  <c r="Z201" i="2" s="1"/>
  <c r="AB201" i="2" a="1"/>
  <c r="AB201" i="2" s="1"/>
  <c r="AI236" i="2" a="1"/>
  <c r="AI236" i="2" s="1"/>
  <c r="AK236" i="2" a="1"/>
  <c r="AK236" i="2" s="1"/>
  <c r="G207" i="2" a="1"/>
  <c r="G207" i="2" s="1"/>
  <c r="E207" i="2" a="1"/>
  <c r="E207" i="2" s="1"/>
  <c r="T158" i="2" a="1"/>
  <c r="T158" i="2" s="1"/>
  <c r="V158" i="2" a="1"/>
  <c r="V158" i="2" s="1"/>
  <c r="AC247" i="2" a="1"/>
  <c r="AC247" i="2" s="1"/>
  <c r="AE247" i="2" a="1"/>
  <c r="AE247" i="2" s="1"/>
  <c r="G256" i="2" a="1"/>
  <c r="G256" i="2" s="1"/>
  <c r="E256" i="2" a="1"/>
  <c r="E256" i="2" s="1"/>
  <c r="J93" i="2" a="1"/>
  <c r="J93" i="2" s="1"/>
  <c r="H93" i="2" a="1"/>
  <c r="H93" i="2" s="1"/>
  <c r="V272" i="2" a="1"/>
  <c r="V272" i="2" s="1"/>
  <c r="T272" i="2" a="1"/>
  <c r="T272" i="2" s="1"/>
  <c r="Y266" i="2" a="1"/>
  <c r="Y266" i="2" s="1"/>
  <c r="W266" i="2" a="1"/>
  <c r="W266" i="2" s="1"/>
  <c r="J105" i="2" a="1"/>
  <c r="J105" i="2" s="1"/>
  <c r="H105" i="2" a="1"/>
  <c r="H105" i="2" s="1"/>
  <c r="H246" i="2" a="1"/>
  <c r="H246" i="2" s="1"/>
  <c r="J246" i="2" a="1"/>
  <c r="J246" i="2" s="1"/>
  <c r="J248" i="2" a="1"/>
  <c r="J248" i="2" s="1"/>
  <c r="H248" i="2" a="1"/>
  <c r="H248" i="2" s="1"/>
  <c r="AC195" i="2" a="1"/>
  <c r="AC195" i="2" s="1"/>
  <c r="AE195" i="2" a="1"/>
  <c r="AE195" i="2" s="1"/>
  <c r="AE226" i="2" a="1"/>
  <c r="AE226" i="2" s="1"/>
  <c r="AC226" i="2" a="1"/>
  <c r="AC226" i="2" s="1"/>
  <c r="G257" i="2" a="1"/>
  <c r="G257" i="2" s="1"/>
  <c r="E257" i="2" a="1"/>
  <c r="E257" i="2" s="1"/>
  <c r="W252" i="2" a="1"/>
  <c r="W252" i="2" s="1"/>
  <c r="Y252" i="2" a="1"/>
  <c r="Y252" i="2" s="1"/>
  <c r="AK213" i="2" a="1"/>
  <c r="AK213" i="2" s="1"/>
  <c r="AI213" i="2" a="1"/>
  <c r="AI213" i="2" s="1"/>
  <c r="G181" i="2" a="1"/>
  <c r="G181" i="2" s="1"/>
  <c r="E181" i="2" a="1"/>
  <c r="E181" i="2" s="1"/>
  <c r="M210" i="2" a="1"/>
  <c r="M210" i="2" s="1"/>
  <c r="K210" i="2" a="1"/>
  <c r="K210" i="2" s="1"/>
  <c r="H120" i="2" a="1"/>
  <c r="H120" i="2" s="1"/>
  <c r="J120" i="2" a="1"/>
  <c r="J120" i="2" s="1"/>
  <c r="AI159" i="2" a="1"/>
  <c r="AI159" i="2" s="1"/>
  <c r="AK159" i="2" a="1"/>
  <c r="AK159" i="2" s="1"/>
  <c r="E193" i="2" a="1"/>
  <c r="E193" i="2" s="1"/>
  <c r="G193" i="2" a="1"/>
  <c r="G193" i="2" s="1"/>
  <c r="AE121" i="2" a="1"/>
  <c r="AE121" i="2" s="1"/>
  <c r="AC121" i="2" a="1"/>
  <c r="AC121" i="2" s="1"/>
  <c r="Y159" i="2" a="1"/>
  <c r="Y159" i="2" s="1"/>
  <c r="W159" i="2" a="1"/>
  <c r="W159" i="2" s="1"/>
  <c r="AC164" i="2" a="1"/>
  <c r="AC164" i="2" s="1"/>
  <c r="AE164" i="2" a="1"/>
  <c r="AE164" i="2" s="1"/>
  <c r="AC234" i="2" a="1"/>
  <c r="AC234" i="2" s="1"/>
  <c r="AE234" i="2" a="1"/>
  <c r="AE234" i="2" s="1"/>
  <c r="Y187" i="2" a="1"/>
  <c r="Y187" i="2" s="1"/>
  <c r="W187" i="2" a="1"/>
  <c r="W187" i="2" s="1"/>
  <c r="AI88" i="2" a="1"/>
  <c r="AI88" i="2" s="1"/>
  <c r="AK88" i="2" a="1"/>
  <c r="AK88" i="2" s="1"/>
  <c r="N144" i="2" a="1"/>
  <c r="N144" i="2" s="1"/>
  <c r="P144" i="2" a="1"/>
  <c r="P144" i="2" s="1"/>
  <c r="Y93" i="2" a="1"/>
  <c r="Y93" i="2" s="1"/>
  <c r="W93" i="2" a="1"/>
  <c r="W93" i="2" s="1"/>
  <c r="M214" i="2" a="1"/>
  <c r="M214" i="2" s="1"/>
  <c r="K214" i="2" a="1"/>
  <c r="K214" i="2" s="1"/>
  <c r="AE221" i="2" a="1"/>
  <c r="AE221" i="2" s="1"/>
  <c r="AC221" i="2" a="1"/>
  <c r="AC221" i="2" s="1"/>
  <c r="AH242" i="2" a="1"/>
  <c r="AH242" i="2" s="1"/>
  <c r="AF242" i="2" a="1"/>
  <c r="AF242" i="2" s="1"/>
  <c r="T241" i="2" a="1"/>
  <c r="T241" i="2" s="1"/>
  <c r="V241" i="2" a="1"/>
  <c r="V241" i="2" s="1"/>
  <c r="AI86" i="2" a="1"/>
  <c r="AI86" i="2" s="1"/>
  <c r="AK86" i="2" a="1"/>
  <c r="AK86" i="2" s="1"/>
  <c r="T151" i="2" a="1"/>
  <c r="T151" i="2" s="1"/>
  <c r="V151" i="2" a="1"/>
  <c r="V151" i="2" s="1"/>
  <c r="N111" i="2" a="1"/>
  <c r="N111" i="2" s="1"/>
  <c r="P111" i="2" a="1"/>
  <c r="P111" i="2" s="1"/>
  <c r="J126" i="2" a="1"/>
  <c r="J126" i="2" s="1"/>
  <c r="H126" i="2" a="1"/>
  <c r="H126" i="2" s="1"/>
  <c r="H173" i="2" a="1"/>
  <c r="H173" i="2" s="1"/>
  <c r="J173" i="2" a="1"/>
  <c r="J173" i="2" s="1"/>
  <c r="AC232" i="2" a="1"/>
  <c r="AC232" i="2" s="1"/>
  <c r="AE232" i="2" a="1"/>
  <c r="AE232" i="2" s="1"/>
  <c r="AC267" i="2" a="1"/>
  <c r="AC267" i="2" s="1"/>
  <c r="AE267" i="2" a="1"/>
  <c r="AE267" i="2" s="1"/>
  <c r="M269" i="2" a="1"/>
  <c r="M269" i="2" s="1"/>
  <c r="K269" i="2" a="1"/>
  <c r="K269" i="2" s="1"/>
  <c r="AF246" i="2" a="1"/>
  <c r="AF246" i="2" s="1"/>
  <c r="AH246" i="2" a="1"/>
  <c r="AH246" i="2" s="1"/>
  <c r="AK100" i="2" a="1"/>
  <c r="AK100" i="2" s="1"/>
  <c r="AI100" i="2" a="1"/>
  <c r="AI100" i="2" s="1"/>
  <c r="E126" i="2" a="1"/>
  <c r="E126" i="2" s="1"/>
  <c r="G126" i="2" a="1"/>
  <c r="G126" i="2" s="1"/>
  <c r="AN234" i="2" a="1"/>
  <c r="AN234" i="2" s="1"/>
  <c r="AL234" i="2" a="1"/>
  <c r="AL234" i="2" s="1"/>
  <c r="N214" i="2" a="1"/>
  <c r="N214" i="2" s="1"/>
  <c r="P214" i="2" a="1"/>
  <c r="P214" i="2" s="1"/>
  <c r="AI228" i="2" a="1"/>
  <c r="AI228" i="2" s="1"/>
  <c r="AK228" i="2" a="1"/>
  <c r="AK228" i="2" s="1"/>
  <c r="H250" i="2" a="1"/>
  <c r="H250" i="2" s="1"/>
  <c r="J250" i="2" a="1"/>
  <c r="J250" i="2" s="1"/>
  <c r="E113" i="2" a="1"/>
  <c r="E113" i="2" s="1"/>
  <c r="G113" i="2" a="1"/>
  <c r="G113" i="2" s="1"/>
  <c r="AK171" i="2" a="1"/>
  <c r="AK171" i="2" s="1"/>
  <c r="AI171" i="2" a="1"/>
  <c r="AI171" i="2" s="1"/>
  <c r="AB216" i="2" a="1"/>
  <c r="AB216" i="2" s="1"/>
  <c r="Z216" i="2" a="1"/>
  <c r="Z216" i="2" s="1"/>
  <c r="AH203" i="2" a="1"/>
  <c r="AH203" i="2" s="1"/>
  <c r="AF203" i="2" a="1"/>
  <c r="AF203" i="2" s="1"/>
  <c r="P121" i="2" a="1"/>
  <c r="P121" i="2" s="1"/>
  <c r="N121" i="2" a="1"/>
  <c r="N121" i="2" s="1"/>
  <c r="AH226" i="2" a="1"/>
  <c r="AH226" i="2" s="1"/>
  <c r="AF226" i="2" a="1"/>
  <c r="AF226" i="2" s="1"/>
  <c r="E154" i="2" a="1"/>
  <c r="E154" i="2" s="1"/>
  <c r="G154" i="2" a="1"/>
  <c r="G154" i="2" s="1"/>
  <c r="AH234" i="2" a="1"/>
  <c r="AH234" i="2" s="1"/>
  <c r="AF234" i="2" a="1"/>
  <c r="AF234" i="2" s="1"/>
  <c r="AL240" i="2" a="1"/>
  <c r="AL240" i="2" s="1"/>
  <c r="AN240" i="2" a="1"/>
  <c r="AN240" i="2" s="1"/>
  <c r="AB224" i="2" a="1"/>
  <c r="AB224" i="2" s="1"/>
  <c r="Z224" i="2" a="1"/>
  <c r="Z224" i="2" s="1"/>
  <c r="AK133" i="2" a="1"/>
  <c r="AK133" i="2" s="1"/>
  <c r="AI133" i="2" a="1"/>
  <c r="AI133" i="2" s="1"/>
  <c r="AB215" i="2" a="1"/>
  <c r="AB215" i="2" s="1"/>
  <c r="Z215" i="2" a="1"/>
  <c r="Z215" i="2" s="1"/>
  <c r="W121" i="2" a="1"/>
  <c r="W121" i="2" s="1"/>
  <c r="Y121" i="2" a="1"/>
  <c r="Y121" i="2" s="1"/>
  <c r="J235" i="2" a="1"/>
  <c r="J235" i="2" s="1"/>
  <c r="H235" i="2" a="1"/>
  <c r="H235" i="2" s="1"/>
  <c r="AC205" i="2" a="1"/>
  <c r="AC205" i="2" s="1"/>
  <c r="AE205" i="2" a="1"/>
  <c r="AE205" i="2" s="1"/>
  <c r="AL171" i="2" a="1"/>
  <c r="AL171" i="2" s="1"/>
  <c r="AN171" i="2" a="1"/>
  <c r="AN171" i="2" s="1"/>
  <c r="AK220" i="2" a="1"/>
  <c r="AK220" i="2" s="1"/>
  <c r="AI220" i="2" a="1"/>
  <c r="AI220" i="2" s="1"/>
  <c r="Z94" i="2" a="1"/>
  <c r="Z94" i="2" s="1"/>
  <c r="AB94" i="2" a="1"/>
  <c r="AB94" i="2" s="1"/>
  <c r="G232" i="2" a="1"/>
  <c r="G232" i="2" s="1"/>
  <c r="E232" i="2" a="1"/>
  <c r="E232" i="2" s="1"/>
  <c r="AN181" i="2" a="1"/>
  <c r="AN181" i="2" s="1"/>
  <c r="AL181" i="2" a="1"/>
  <c r="AL181" i="2" s="1"/>
  <c r="T193" i="2" a="1"/>
  <c r="T193" i="2" s="1"/>
  <c r="V193" i="2" a="1"/>
  <c r="V193" i="2" s="1"/>
  <c r="H258" i="2" a="1"/>
  <c r="H258" i="2" s="1"/>
  <c r="J258" i="2" a="1"/>
  <c r="J258" i="2" s="1"/>
  <c r="V273" i="2" a="1"/>
  <c r="V273" i="2" s="1"/>
  <c r="T273" i="2" a="1"/>
  <c r="T273" i="2" s="1"/>
  <c r="AC270" i="2" a="1"/>
  <c r="AC270" i="2" s="1"/>
  <c r="AE270" i="2" a="1"/>
  <c r="AE270" i="2" s="1"/>
  <c r="AB171" i="2" a="1"/>
  <c r="AB171" i="2" s="1"/>
  <c r="Z171" i="2" a="1"/>
  <c r="Z171" i="2" s="1"/>
  <c r="T176" i="2" a="1"/>
  <c r="T176" i="2" s="1"/>
  <c r="V176" i="2" a="1"/>
  <c r="V176" i="2" s="1"/>
  <c r="V191" i="2" a="1"/>
  <c r="V191" i="2" s="1"/>
  <c r="T191" i="2" a="1"/>
  <c r="T191" i="2" s="1"/>
  <c r="AK212" i="2" a="1"/>
  <c r="AK212" i="2" s="1"/>
  <c r="AI212" i="2" a="1"/>
  <c r="AI212" i="2" s="1"/>
  <c r="S162" i="2" a="1"/>
  <c r="S162" i="2" s="1"/>
  <c r="Q162" i="2" a="1"/>
  <c r="Q162" i="2" s="1"/>
  <c r="AI158" i="2" a="1"/>
  <c r="AI158" i="2" s="1"/>
  <c r="AK158" i="2" a="1"/>
  <c r="AK158" i="2" s="1"/>
  <c r="AN136" i="2" a="1"/>
  <c r="AN136" i="2" s="1"/>
  <c r="AL136" i="2" a="1"/>
  <c r="AL136" i="2" s="1"/>
  <c r="J153" i="2" a="1"/>
  <c r="J153" i="2" s="1"/>
  <c r="H153" i="2" a="1"/>
  <c r="H153" i="2" s="1"/>
  <c r="K175" i="2" a="1"/>
  <c r="K175" i="2" s="1"/>
  <c r="M175" i="2" a="1"/>
  <c r="M175" i="2" s="1"/>
  <c r="AI225" i="2" a="1"/>
  <c r="AI225" i="2" s="1"/>
  <c r="AK225" i="2" a="1"/>
  <c r="AK225" i="2" s="1"/>
  <c r="AI129" i="2" a="1"/>
  <c r="AI129" i="2" s="1"/>
  <c r="AK129" i="2" a="1"/>
  <c r="AK129" i="2" s="1"/>
  <c r="N243" i="2" a="1"/>
  <c r="N243" i="2" s="1"/>
  <c r="P243" i="2" a="1"/>
  <c r="P243" i="2" s="1"/>
  <c r="J218" i="2" a="1"/>
  <c r="J218" i="2" s="1"/>
  <c r="H218" i="2" a="1"/>
  <c r="H218" i="2" s="1"/>
  <c r="M168" i="2" a="1"/>
  <c r="M168" i="2" s="1"/>
  <c r="K168" i="2" a="1"/>
  <c r="K168" i="2" s="1"/>
  <c r="AL200" i="2" a="1"/>
  <c r="AL200" i="2" s="1"/>
  <c r="AN200" i="2" a="1"/>
  <c r="AN200" i="2" s="1"/>
  <c r="M244" i="2" a="1"/>
  <c r="M244" i="2" s="1"/>
  <c r="K244" i="2" a="1"/>
  <c r="K244" i="2" s="1"/>
  <c r="T128" i="2" a="1"/>
  <c r="T128" i="2" s="1"/>
  <c r="V128" i="2" a="1"/>
  <c r="V128" i="2" s="1"/>
  <c r="AF190" i="2" a="1"/>
  <c r="AF190" i="2" s="1"/>
  <c r="AH190" i="2" a="1"/>
  <c r="AH190" i="2" s="1"/>
  <c r="T92" i="2" a="1"/>
  <c r="T92" i="2" s="1"/>
  <c r="V92" i="2" a="1"/>
  <c r="V92" i="2" s="1"/>
  <c r="AI157" i="2" a="1"/>
  <c r="AI157" i="2" s="1"/>
  <c r="AK157" i="2" a="1"/>
  <c r="AK157" i="2" s="1"/>
  <c r="AC99" i="2" a="1"/>
  <c r="AC99" i="2" s="1"/>
  <c r="AE99" i="2" a="1"/>
  <c r="AE99" i="2" s="1"/>
  <c r="AI198" i="2" a="1"/>
  <c r="AI198" i="2" s="1"/>
  <c r="AK198" i="2" a="1"/>
  <c r="AK198" i="2" s="1"/>
  <c r="AL269" i="2" a="1"/>
  <c r="AL269" i="2" s="1"/>
  <c r="AN269" i="2" a="1"/>
  <c r="AN269" i="2" s="1"/>
  <c r="H108" i="2" a="1"/>
  <c r="H108" i="2" s="1"/>
  <c r="J108" i="2" a="1"/>
  <c r="J108" i="2" s="1"/>
  <c r="K187" i="2" a="1"/>
  <c r="K187" i="2" s="1"/>
  <c r="M187" i="2" a="1"/>
  <c r="M187" i="2" s="1"/>
  <c r="G189" i="2" a="1"/>
  <c r="G189" i="2" s="1"/>
  <c r="E189" i="2" a="1"/>
  <c r="E189" i="2" s="1"/>
  <c r="P220" i="2" a="1"/>
  <c r="P220" i="2" s="1"/>
  <c r="N220" i="2" a="1"/>
  <c r="N220" i="2" s="1"/>
  <c r="AK191" i="2" a="1"/>
  <c r="AK191" i="2" s="1"/>
  <c r="AI191" i="2" a="1"/>
  <c r="AI191" i="2" s="1"/>
  <c r="E103" i="2" a="1"/>
  <c r="E103" i="2" s="1"/>
  <c r="G103" i="2" a="1"/>
  <c r="G103" i="2" s="1"/>
  <c r="P216" i="2" a="1"/>
  <c r="P216" i="2" s="1"/>
  <c r="N216" i="2" a="1"/>
  <c r="N216" i="2" s="1"/>
  <c r="V219" i="2" a="1"/>
  <c r="V219" i="2" s="1"/>
  <c r="T219" i="2" a="1"/>
  <c r="T219" i="2" s="1"/>
  <c r="T134" i="2" a="1"/>
  <c r="T134" i="2" s="1"/>
  <c r="V134" i="2" a="1"/>
  <c r="V134" i="2" s="1"/>
  <c r="Z121" i="2" a="1"/>
  <c r="Z121" i="2" s="1"/>
  <c r="AB121" i="2" a="1"/>
  <c r="AB121" i="2" s="1"/>
  <c r="P137" i="2" a="1"/>
  <c r="P137" i="2" s="1"/>
  <c r="N137" i="2" a="1"/>
  <c r="N137" i="2" s="1"/>
  <c r="Z190" i="2" a="1"/>
  <c r="Z190" i="2" s="1"/>
  <c r="AB190" i="2" a="1"/>
  <c r="AB190" i="2" s="1"/>
  <c r="V251" i="2" a="1"/>
  <c r="V251" i="2" s="1"/>
  <c r="T251" i="2" a="1"/>
  <c r="T251" i="2" s="1"/>
  <c r="K263" i="2" a="1"/>
  <c r="K263" i="2" s="1"/>
  <c r="M263" i="2" a="1"/>
  <c r="M263" i="2" s="1"/>
  <c r="AF230" i="2" a="1"/>
  <c r="AF230" i="2" s="1"/>
  <c r="AH230" i="2" a="1"/>
  <c r="AH230" i="2" s="1"/>
  <c r="J119" i="2" a="1"/>
  <c r="J119" i="2" s="1"/>
  <c r="H119" i="2" a="1"/>
  <c r="H119" i="2" s="1"/>
  <c r="S152" i="2" a="1"/>
  <c r="S152" i="2" s="1"/>
  <c r="Q152" i="2" a="1"/>
  <c r="Q152" i="2" s="1"/>
  <c r="G168" i="2" a="1"/>
  <c r="G168" i="2" s="1"/>
  <c r="E168" i="2" a="1"/>
  <c r="E168" i="2" s="1"/>
  <c r="AF44" i="2" a="1"/>
  <c r="AF44" i="2" s="1"/>
  <c r="AH44" i="2" a="1"/>
  <c r="AH44" i="2" s="1"/>
  <c r="J237" i="2" a="1"/>
  <c r="J237" i="2" s="1"/>
  <c r="H237" i="2" a="1"/>
  <c r="H237" i="2" s="1"/>
  <c r="Z96" i="2" a="1"/>
  <c r="Z96" i="2" s="1"/>
  <c r="AB96" i="2" a="1"/>
  <c r="AB96" i="2" s="1"/>
  <c r="AN120" i="2" a="1"/>
  <c r="AN120" i="2" s="1"/>
  <c r="AL120" i="2" a="1"/>
  <c r="AL120" i="2" s="1"/>
  <c r="Q131" i="2" a="1"/>
  <c r="Q131" i="2" s="1"/>
  <c r="S131" i="2" a="1"/>
  <c r="S131" i="2" s="1"/>
  <c r="AF110" i="2" a="1"/>
  <c r="AF110" i="2" s="1"/>
  <c r="AH110" i="2" a="1"/>
  <c r="AH110" i="2" s="1"/>
  <c r="AE181" i="2" a="1"/>
  <c r="AE181" i="2" s="1"/>
  <c r="AC181" i="2" a="1"/>
  <c r="AC181" i="2" s="1"/>
  <c r="K233" i="2" a="1"/>
  <c r="K233" i="2" s="1"/>
  <c r="M233" i="2" a="1"/>
  <c r="M233" i="2" s="1"/>
  <c r="P246" i="2" a="1"/>
  <c r="P246" i="2" s="1"/>
  <c r="N246" i="2" a="1"/>
  <c r="N246" i="2" s="1"/>
  <c r="W122" i="2" a="1"/>
  <c r="W122" i="2" s="1"/>
  <c r="Y122" i="2" a="1"/>
  <c r="Y122" i="2" s="1"/>
  <c r="S139" i="2" a="1"/>
  <c r="S139" i="2" s="1"/>
  <c r="Q139" i="2" a="1"/>
  <c r="Q139" i="2" s="1"/>
  <c r="V137" i="2" a="1"/>
  <c r="V137" i="2" s="1"/>
  <c r="T137" i="2" a="1"/>
  <c r="T137" i="2" s="1"/>
  <c r="Y258" i="2" a="1"/>
  <c r="Y258" i="2" s="1"/>
  <c r="W258" i="2" a="1"/>
  <c r="W258" i="2" s="1"/>
  <c r="Y100" i="2" a="1"/>
  <c r="Y100" i="2" s="1"/>
  <c r="W100" i="2" a="1"/>
  <c r="W100" i="2" s="1"/>
  <c r="AL244" i="2" a="1"/>
  <c r="AL244" i="2" s="1"/>
  <c r="AN244" i="2" a="1"/>
  <c r="AN244" i="2" s="1"/>
  <c r="AB139" i="2" a="1"/>
  <c r="AB139" i="2" s="1"/>
  <c r="Z139" i="2" a="1"/>
  <c r="Z139" i="2" s="1"/>
  <c r="AB194" i="2" a="1"/>
  <c r="AB194" i="2" s="1"/>
  <c r="Z194" i="2" a="1"/>
  <c r="Z194" i="2" s="1"/>
  <c r="G250" i="2" a="1"/>
  <c r="G250" i="2" s="1"/>
  <c r="E250" i="2" a="1"/>
  <c r="E250" i="2" s="1"/>
  <c r="AB196" i="2" a="1"/>
  <c r="AB196" i="2" s="1"/>
  <c r="Z196" i="2" a="1"/>
  <c r="Z196" i="2" s="1"/>
  <c r="AL189" i="2" a="1"/>
  <c r="AL189" i="2" s="1"/>
  <c r="AN189" i="2" a="1"/>
  <c r="AN189" i="2" s="1"/>
  <c r="AB213" i="2" a="1"/>
  <c r="AB213" i="2" s="1"/>
  <c r="Z213" i="2" a="1"/>
  <c r="Z213" i="2" s="1"/>
  <c r="AH118" i="2" a="1"/>
  <c r="AH118" i="2" s="1"/>
  <c r="AF118" i="2" a="1"/>
  <c r="AF118" i="2" s="1"/>
  <c r="Y98" i="2" a="1"/>
  <c r="Y98" i="2" s="1"/>
  <c r="W98" i="2" a="1"/>
  <c r="W98" i="2" s="1"/>
  <c r="Y127" i="2" a="1"/>
  <c r="Y127" i="2" s="1"/>
  <c r="W127" i="2" a="1"/>
  <c r="W127" i="2" s="1"/>
  <c r="Z221" i="2" a="1"/>
  <c r="Z221" i="2" s="1"/>
  <c r="AB221" i="2" a="1"/>
  <c r="AB221" i="2" s="1"/>
  <c r="K124" i="2" a="1"/>
  <c r="K124" i="2" s="1"/>
  <c r="M124" i="2" a="1"/>
  <c r="M124" i="2" s="1"/>
  <c r="AN102" i="2" a="1"/>
  <c r="AN102" i="2" s="1"/>
  <c r="AL102" i="2" a="1"/>
  <c r="AL102" i="2" s="1"/>
  <c r="N165" i="2" a="1"/>
  <c r="N165" i="2" s="1"/>
  <c r="P165" i="2" a="1"/>
  <c r="P165" i="2" s="1"/>
  <c r="P105" i="2" a="1"/>
  <c r="P105" i="2" s="1"/>
  <c r="N105" i="2" a="1"/>
  <c r="N105" i="2" s="1"/>
  <c r="T153" i="2" a="1"/>
  <c r="T153" i="2" s="1"/>
  <c r="V153" i="2" a="1"/>
  <c r="V153" i="2" s="1"/>
  <c r="H44" i="2" a="1"/>
  <c r="H44" i="2" s="1"/>
  <c r="J44" i="2" a="1"/>
  <c r="J44" i="2" s="1"/>
  <c r="K207" i="2" a="1"/>
  <c r="K207" i="2" s="1"/>
  <c r="M207" i="2" a="1"/>
  <c r="M207" i="2" s="1"/>
  <c r="AN129" i="2" a="1"/>
  <c r="AN129" i="2" s="1"/>
  <c r="AL129" i="2" a="1"/>
  <c r="AL129" i="2" s="1"/>
  <c r="AE201" i="2" a="1"/>
  <c r="AE201" i="2" s="1"/>
  <c r="AC201" i="2" a="1"/>
  <c r="AC201" i="2" s="1"/>
  <c r="Y188" i="2" a="1"/>
  <c r="Y188" i="2" s="1"/>
  <c r="W188" i="2" a="1"/>
  <c r="W188" i="2" s="1"/>
  <c r="AL161" i="2" a="1"/>
  <c r="AL161" i="2" s="1"/>
  <c r="AN161" i="2" a="1"/>
  <c r="AN161" i="2" s="1"/>
  <c r="AL255" i="2" a="1"/>
  <c r="AL255" i="2" s="1"/>
  <c r="AN255" i="2" a="1"/>
  <c r="AN255" i="2" s="1"/>
  <c r="E155" i="2" a="1"/>
  <c r="E155" i="2" s="1"/>
  <c r="G155" i="2" a="1"/>
  <c r="G155" i="2" s="1"/>
  <c r="K185" i="2" a="1"/>
  <c r="K185" i="2" s="1"/>
  <c r="M185" i="2" a="1"/>
  <c r="M185" i="2" s="1"/>
  <c r="K100" i="2" a="1"/>
  <c r="K100" i="2" s="1"/>
  <c r="M100" i="2" a="1"/>
  <c r="M100" i="2" s="1"/>
  <c r="W207" i="2" a="1"/>
  <c r="W207" i="2" s="1"/>
  <c r="Y207" i="2" a="1"/>
  <c r="Y207" i="2" s="1"/>
  <c r="Y271" i="2" a="1"/>
  <c r="Y271" i="2" s="1"/>
  <c r="W271" i="2" a="1"/>
  <c r="W271" i="2" s="1"/>
  <c r="AI106" i="2" a="1"/>
  <c r="AI106" i="2" s="1"/>
  <c r="AK106" i="2" a="1"/>
  <c r="AK106" i="2" s="1"/>
  <c r="Y87" i="2" a="1"/>
  <c r="Y87" i="2" s="1"/>
  <c r="W87" i="2" a="1"/>
  <c r="W87" i="2" s="1"/>
  <c r="J223" i="2" a="1"/>
  <c r="J223" i="2" s="1"/>
  <c r="H223" i="2" a="1"/>
  <c r="H223" i="2" s="1"/>
  <c r="G223" i="2" a="1"/>
  <c r="G223" i="2" s="1"/>
  <c r="E223" i="2" a="1"/>
  <c r="E223" i="2" s="1"/>
  <c r="N205" i="2" a="1"/>
  <c r="N205" i="2" s="1"/>
  <c r="P205" i="2" a="1"/>
  <c r="P205" i="2" s="1"/>
  <c r="AK103" i="2" a="1"/>
  <c r="AK103" i="2" s="1"/>
  <c r="AI103" i="2" a="1"/>
  <c r="AI103" i="2" s="1"/>
  <c r="K44" i="2" a="1"/>
  <c r="K44" i="2" s="1"/>
  <c r="M44" i="2" a="1"/>
  <c r="M44" i="2" s="1"/>
  <c r="AH172" i="2" a="1"/>
  <c r="AH172" i="2" s="1"/>
  <c r="AF172" i="2" a="1"/>
  <c r="AF172" i="2" s="1"/>
  <c r="AB107" i="2" a="1"/>
  <c r="AB107" i="2" s="1"/>
  <c r="Z107" i="2" a="1"/>
  <c r="Z107" i="2" s="1"/>
  <c r="AN131" i="2" a="1"/>
  <c r="AN131" i="2" s="1"/>
  <c r="AL131" i="2" a="1"/>
  <c r="AL131" i="2" s="1"/>
  <c r="W148" i="2" a="1"/>
  <c r="W148" i="2" s="1"/>
  <c r="Y148" i="2" a="1"/>
  <c r="Y148" i="2" s="1"/>
  <c r="N134" i="2" a="1"/>
  <c r="N134" i="2" s="1"/>
  <c r="P134" i="2" a="1"/>
  <c r="P134" i="2" s="1"/>
  <c r="G212" i="2" a="1"/>
  <c r="G212" i="2" s="1"/>
  <c r="E212" i="2" a="1"/>
  <c r="E212" i="2" s="1"/>
  <c r="P163" i="2" a="1"/>
  <c r="P163" i="2" s="1"/>
  <c r="N163" i="2" a="1"/>
  <c r="N163" i="2" s="1"/>
  <c r="G264" i="2" a="1"/>
  <c r="G264" i="2" s="1"/>
  <c r="E264" i="2" a="1"/>
  <c r="E264" i="2" s="1"/>
  <c r="K158" i="2" a="1"/>
  <c r="K158" i="2" s="1"/>
  <c r="M158" i="2" a="1"/>
  <c r="M158" i="2" s="1"/>
  <c r="G231" i="2" a="1"/>
  <c r="G231" i="2" s="1"/>
  <c r="E231" i="2" a="1"/>
  <c r="E231" i="2" s="1"/>
  <c r="AC184" i="2" a="1"/>
  <c r="AC184" i="2" s="1"/>
  <c r="AE184" i="2" a="1"/>
  <c r="AE184" i="2" s="1"/>
  <c r="AN148" i="2" a="1"/>
  <c r="AN148" i="2" s="1"/>
  <c r="AL148" i="2" a="1"/>
  <c r="AL148" i="2" s="1"/>
  <c r="N196" i="2" a="1"/>
  <c r="N196" i="2" s="1"/>
  <c r="P196" i="2" a="1"/>
  <c r="P196" i="2" s="1"/>
  <c r="N194" i="2" a="1"/>
  <c r="N194" i="2" s="1"/>
  <c r="P194" i="2" a="1"/>
  <c r="P194" i="2" s="1"/>
  <c r="P254" i="2" a="1"/>
  <c r="P254" i="2" s="1"/>
  <c r="N254" i="2" a="1"/>
  <c r="N254" i="2" s="1"/>
  <c r="V147" i="2" a="1"/>
  <c r="V147" i="2" s="1"/>
  <c r="T147" i="2" a="1"/>
  <c r="T147" i="2" s="1"/>
  <c r="AH227" i="2" a="1"/>
  <c r="AH227" i="2" s="1"/>
  <c r="AF227" i="2" a="1"/>
  <c r="AF227" i="2" s="1"/>
  <c r="AI132" i="2" a="1"/>
  <c r="AI132" i="2" s="1"/>
  <c r="AK132" i="2" a="1"/>
  <c r="AK132" i="2" s="1"/>
  <c r="W134" i="2" a="1"/>
  <c r="W134" i="2" s="1"/>
  <c r="Y134" i="2" a="1"/>
  <c r="Y134" i="2" s="1"/>
  <c r="AL182" i="2" a="1"/>
  <c r="AL182" i="2" s="1"/>
  <c r="AN182" i="2" a="1"/>
  <c r="AN182" i="2" s="1"/>
  <c r="AC225" i="2" a="1"/>
  <c r="AC225" i="2" s="1"/>
  <c r="AE225" i="2" a="1"/>
  <c r="AE225" i="2" s="1"/>
  <c r="P44" i="2" a="1"/>
  <c r="P44" i="2" s="1"/>
  <c r="N44" i="2" a="1"/>
  <c r="N44" i="2" s="1"/>
  <c r="Q250" i="2" a="1"/>
  <c r="Q250" i="2" s="1"/>
  <c r="S250" i="2" a="1"/>
  <c r="S250" i="2" s="1"/>
  <c r="E117" i="2" a="1"/>
  <c r="E117" i="2" s="1"/>
  <c r="G117" i="2" a="1"/>
  <c r="G117" i="2" s="1"/>
  <c r="E112" i="2" a="1"/>
  <c r="E112" i="2" s="1"/>
  <c r="G112" i="2" a="1"/>
  <c r="G112" i="2" s="1"/>
  <c r="S176" i="2" a="1"/>
  <c r="S176" i="2" s="1"/>
  <c r="Q176" i="2" a="1"/>
  <c r="Q176" i="2" s="1"/>
  <c r="E129" i="2" a="1"/>
  <c r="E129" i="2" s="1"/>
  <c r="G129" i="2" a="1"/>
  <c r="G129" i="2" s="1"/>
  <c r="AF193" i="2" a="1"/>
  <c r="AF193" i="2" s="1"/>
  <c r="AH193" i="2" a="1"/>
  <c r="AH193" i="2" s="1"/>
  <c r="AB155" i="2" a="1"/>
  <c r="AB155" i="2" s="1"/>
  <c r="Z155" i="2" a="1"/>
  <c r="Z155" i="2" s="1"/>
  <c r="Z116" i="2" a="1"/>
  <c r="Z116" i="2" s="1"/>
  <c r="AB116" i="2" a="1"/>
  <c r="AB116" i="2" s="1"/>
  <c r="M109" i="2" a="1"/>
  <c r="M109" i="2" s="1"/>
  <c r="K109" i="2" a="1"/>
  <c r="K109" i="2" s="1"/>
  <c r="M126" i="2" a="1"/>
  <c r="M126" i="2" s="1"/>
  <c r="K126" i="2" a="1"/>
  <c r="K126" i="2" s="1"/>
  <c r="H245" i="2" a="1"/>
  <c r="H245" i="2" s="1"/>
  <c r="J245" i="2" a="1"/>
  <c r="J245" i="2" s="1"/>
  <c r="AC101" i="2" a="1"/>
  <c r="AC101" i="2" s="1"/>
  <c r="AE101" i="2" a="1"/>
  <c r="AE101" i="2" s="1"/>
  <c r="AF148" i="2" a="1"/>
  <c r="AF148" i="2" s="1"/>
  <c r="AH148" i="2" a="1"/>
  <c r="AH148" i="2" s="1"/>
  <c r="S207" i="2" a="1"/>
  <c r="S207" i="2" s="1"/>
  <c r="Q207" i="2" a="1"/>
  <c r="Q207" i="2" s="1"/>
  <c r="AI109" i="2" a="1"/>
  <c r="AI109" i="2" s="1"/>
  <c r="AK109" i="2" a="1"/>
  <c r="AK109" i="2" s="1"/>
  <c r="AH221" i="2" a="1"/>
  <c r="AH221" i="2" s="1"/>
  <c r="AF221" i="2" a="1"/>
  <c r="AF221" i="2" s="1"/>
  <c r="V259" i="2" a="1"/>
  <c r="V259" i="2" s="1"/>
  <c r="T259" i="2" a="1"/>
  <c r="T259" i="2" s="1"/>
  <c r="E100" i="2" a="1"/>
  <c r="E100" i="2" s="1"/>
  <c r="G100" i="2" a="1"/>
  <c r="G100" i="2" s="1"/>
  <c r="H249" i="2" a="1"/>
  <c r="H249" i="2" s="1"/>
  <c r="J249" i="2" a="1"/>
  <c r="J249" i="2" s="1"/>
  <c r="P210" i="2" a="1"/>
  <c r="P210" i="2" s="1"/>
  <c r="N210" i="2" a="1"/>
  <c r="N210" i="2" s="1"/>
  <c r="AB180" i="2" a="1"/>
  <c r="AB180" i="2" s="1"/>
  <c r="Z180" i="2" a="1"/>
  <c r="Z180" i="2" s="1"/>
  <c r="Z229" i="2" a="1"/>
  <c r="Z229" i="2" s="1"/>
  <c r="AB229" i="2" a="1"/>
  <c r="AB229" i="2" s="1"/>
  <c r="N148" i="2" a="1"/>
  <c r="N148" i="2" s="1"/>
  <c r="P148" i="2" a="1"/>
  <c r="P148" i="2" s="1"/>
  <c r="G229" i="2" a="1"/>
  <c r="G229" i="2" s="1"/>
  <c r="E229" i="2" a="1"/>
  <c r="E229" i="2" s="1"/>
  <c r="W153" i="2" a="1"/>
  <c r="W153" i="2" s="1"/>
  <c r="Y153" i="2" a="1"/>
  <c r="Y153" i="2" s="1"/>
  <c r="AC118" i="2" a="1"/>
  <c r="AC118" i="2" s="1"/>
  <c r="AE118" i="2" a="1"/>
  <c r="AE118" i="2" s="1"/>
  <c r="AE199" i="2" a="1"/>
  <c r="AE199" i="2" s="1"/>
  <c r="AC199" i="2" a="1"/>
  <c r="AC199" i="2" s="1"/>
  <c r="V159" i="2" a="1"/>
  <c r="V159" i="2" s="1"/>
  <c r="T159" i="2" a="1"/>
  <c r="T159" i="2" s="1"/>
  <c r="Y128" i="2" a="1"/>
  <c r="Y128" i="2" s="1"/>
  <c r="W128" i="2" a="1"/>
  <c r="W128" i="2" s="1"/>
  <c r="J202" i="2" a="1"/>
  <c r="J202" i="2" s="1"/>
  <c r="H202" i="2" a="1"/>
  <c r="H202" i="2" s="1"/>
  <c r="AL271" i="2" a="1"/>
  <c r="AL271" i="2" s="1"/>
  <c r="AN271" i="2" a="1"/>
  <c r="AN271" i="2" s="1"/>
  <c r="AH211" i="2" a="1"/>
  <c r="AH211" i="2" s="1"/>
  <c r="AF211" i="2" a="1"/>
  <c r="AF211" i="2" s="1"/>
  <c r="AI222" i="2" a="1"/>
  <c r="AI222" i="2" s="1"/>
  <c r="AK222" i="2" a="1"/>
  <c r="AK222" i="2" s="1"/>
  <c r="T227" i="2" a="1"/>
  <c r="T227" i="2" s="1"/>
  <c r="V227" i="2" a="1"/>
  <c r="V227" i="2" s="1"/>
  <c r="T173" i="2" a="1"/>
  <c r="T173" i="2" s="1"/>
  <c r="V173" i="2" a="1"/>
  <c r="V173" i="2" s="1"/>
  <c r="T216" i="2" a="1"/>
  <c r="T216" i="2" s="1"/>
  <c r="V216" i="2" a="1"/>
  <c r="V216" i="2" s="1"/>
  <c r="T162" i="2" a="1"/>
  <c r="T162" i="2" s="1"/>
  <c r="V162" i="2" a="1"/>
  <c r="V162" i="2" s="1"/>
  <c r="AF109" i="2" a="1"/>
  <c r="AF109" i="2" s="1"/>
  <c r="AH109" i="2" a="1"/>
  <c r="AH109" i="2" s="1"/>
  <c r="N213" i="2" a="1"/>
  <c r="N213" i="2" s="1"/>
  <c r="P213" i="2" a="1"/>
  <c r="P213" i="2" s="1"/>
  <c r="Z152" i="2" a="1"/>
  <c r="Z152" i="2" s="1"/>
  <c r="AB152" i="2" a="1"/>
  <c r="AB152" i="2" s="1"/>
  <c r="S153" i="2" a="1"/>
  <c r="S153" i="2" s="1"/>
  <c r="Q153" i="2" a="1"/>
  <c r="Q153" i="2" s="1"/>
  <c r="G208" i="2" a="1"/>
  <c r="G208" i="2" s="1"/>
  <c r="E208" i="2" a="1"/>
  <c r="E208" i="2" s="1"/>
  <c r="AH216" i="2" a="1"/>
  <c r="AH216" i="2" s="1"/>
  <c r="AF216" i="2" a="1"/>
  <c r="AF216" i="2" s="1"/>
  <c r="T223" i="2" a="1"/>
  <c r="T223" i="2" s="1"/>
  <c r="V223" i="2" a="1"/>
  <c r="V223" i="2" s="1"/>
  <c r="AF198" i="2" a="1"/>
  <c r="AF198" i="2" s="1"/>
  <c r="AH198" i="2" a="1"/>
  <c r="AH198" i="2" s="1"/>
  <c r="AK273" i="2" a="1"/>
  <c r="AK273" i="2" s="1"/>
  <c r="AI273" i="2" a="1"/>
  <c r="AI273" i="2" s="1"/>
  <c r="S192" i="2" a="1"/>
  <c r="S192" i="2" s="1"/>
  <c r="Q192" i="2" a="1"/>
  <c r="Q192" i="2" s="1"/>
  <c r="AC137" i="2" a="1"/>
  <c r="AC137" i="2" s="1"/>
  <c r="AE137" i="2" a="1"/>
  <c r="AE137" i="2" s="1"/>
  <c r="AF150" i="2" a="1"/>
  <c r="AF150" i="2" s="1"/>
  <c r="AH150" i="2" a="1"/>
  <c r="AH150" i="2" s="1"/>
  <c r="AN258" i="2" a="1"/>
  <c r="AN258" i="2" s="1"/>
  <c r="AL258" i="2" a="1"/>
  <c r="AL258" i="2" s="1"/>
  <c r="G128" i="2" a="1"/>
  <c r="G128" i="2" s="1"/>
  <c r="E128" i="2" a="1"/>
  <c r="E128" i="2" s="1"/>
  <c r="AB255" i="2" a="1"/>
  <c r="AB255" i="2" s="1"/>
  <c r="Z255" i="2" a="1"/>
  <c r="Z255" i="2" s="1"/>
  <c r="V253" i="2" a="1"/>
  <c r="V253" i="2" s="1"/>
  <c r="T253" i="2" a="1"/>
  <c r="T253" i="2" s="1"/>
  <c r="G108" i="2" a="1"/>
  <c r="G108" i="2" s="1"/>
  <c r="E108" i="2" a="1"/>
  <c r="E108" i="2" s="1"/>
  <c r="AE197" i="2" a="1"/>
  <c r="AE197" i="2" s="1"/>
  <c r="AC197" i="2" a="1"/>
  <c r="AC197" i="2" s="1"/>
  <c r="V206" i="2" a="1"/>
  <c r="V206" i="2" s="1"/>
  <c r="T206" i="2" a="1"/>
  <c r="T206" i="2" s="1"/>
  <c r="V271" i="2" a="1"/>
  <c r="V271" i="2" s="1"/>
  <c r="T271" i="2" a="1"/>
  <c r="T271" i="2" s="1"/>
  <c r="Y272" i="2" a="1"/>
  <c r="Y272" i="2" s="1"/>
  <c r="W272" i="2" a="1"/>
  <c r="W272" i="2" s="1"/>
  <c r="AL187" i="2" a="1"/>
  <c r="AL187" i="2" s="1"/>
  <c r="AN187" i="2" a="1"/>
  <c r="AN187" i="2" s="1"/>
  <c r="Z191" i="2" a="1"/>
  <c r="Z191" i="2" s="1"/>
  <c r="AB191" i="2" a="1"/>
  <c r="AB191" i="2" s="1"/>
  <c r="AL237" i="2" a="1"/>
  <c r="AL237" i="2" s="1"/>
  <c r="AN237" i="2" a="1"/>
  <c r="AN237" i="2" s="1"/>
  <c r="H141" i="2" a="1"/>
  <c r="H141" i="2" s="1"/>
  <c r="J141" i="2" a="1"/>
  <c r="J141" i="2" s="1"/>
  <c r="E169" i="2" a="1"/>
  <c r="E169" i="2" s="1"/>
  <c r="G169" i="2" a="1"/>
  <c r="G169" i="2" s="1"/>
  <c r="G217" i="2" a="1"/>
  <c r="G217" i="2" s="1"/>
  <c r="E217" i="2" a="1"/>
  <c r="E217" i="2" s="1"/>
  <c r="Q127" i="2" a="1"/>
  <c r="Q127" i="2" s="1"/>
  <c r="S127" i="2" a="1"/>
  <c r="S127" i="2" s="1"/>
  <c r="AF189" i="2" a="1"/>
  <c r="AF189" i="2" s="1"/>
  <c r="AH189" i="2" a="1"/>
  <c r="AH189" i="2" s="1"/>
  <c r="AN169" i="2" a="1"/>
  <c r="AN169" i="2" s="1"/>
  <c r="AL169" i="2" a="1"/>
  <c r="AL169" i="2" s="1"/>
  <c r="Y95" i="2" a="1"/>
  <c r="Y95" i="2" s="1"/>
  <c r="W95" i="2" a="1"/>
  <c r="W95" i="2" s="1"/>
  <c r="AB142" i="2" a="1"/>
  <c r="AB142" i="2" s="1"/>
  <c r="Z142" i="2" a="1"/>
  <c r="Z142" i="2" s="1"/>
  <c r="T239" i="2" a="1"/>
  <c r="T239" i="2" s="1"/>
  <c r="V239" i="2" a="1"/>
  <c r="V239" i="2" s="1"/>
  <c r="T163" i="2" a="1"/>
  <c r="T163" i="2" s="1"/>
  <c r="V163" i="2" a="1"/>
  <c r="V163" i="2" s="1"/>
  <c r="AL173" i="2" a="1"/>
  <c r="AL173" i="2" s="1"/>
  <c r="AN173" i="2" a="1"/>
  <c r="AN173" i="2" s="1"/>
  <c r="AC151" i="2" a="1"/>
  <c r="AC151" i="2" s="1"/>
  <c r="AE151" i="2" a="1"/>
  <c r="AE151" i="2" s="1"/>
  <c r="AC103" i="2" a="1"/>
  <c r="AC103" i="2" s="1"/>
  <c r="AE103" i="2" a="1"/>
  <c r="AE103" i="2" s="1"/>
  <c r="N253" i="2" a="1"/>
  <c r="N253" i="2" s="1"/>
  <c r="P253" i="2" a="1"/>
  <c r="P253" i="2" s="1"/>
  <c r="Q252" i="2" a="1"/>
  <c r="Q252" i="2" s="1"/>
  <c r="S252" i="2" a="1"/>
  <c r="S252" i="2" s="1"/>
  <c r="V222" i="2" a="1"/>
  <c r="V222" i="2" s="1"/>
  <c r="T222" i="2" a="1"/>
  <c r="T222" i="2" s="1"/>
  <c r="G235" i="2" a="1"/>
  <c r="G235" i="2" s="1"/>
  <c r="E235" i="2" a="1"/>
  <c r="E235" i="2" s="1"/>
  <c r="AN219" i="2" a="1"/>
  <c r="AN219" i="2" s="1"/>
  <c r="AL219" i="2" a="1"/>
  <c r="AL219" i="2" s="1"/>
  <c r="Q117" i="2" a="1"/>
  <c r="Q117" i="2" s="1"/>
  <c r="S117" i="2" a="1"/>
  <c r="S117" i="2" s="1"/>
  <c r="V215" i="2" a="1"/>
  <c r="V215" i="2" s="1"/>
  <c r="T215" i="2" a="1"/>
  <c r="T215" i="2" s="1"/>
  <c r="AC162" i="2" a="1"/>
  <c r="AC162" i="2" s="1"/>
  <c r="AE162" i="2" a="1"/>
  <c r="AE162" i="2" s="1"/>
  <c r="AL140" i="2" a="1"/>
  <c r="AL140" i="2" s="1"/>
  <c r="AN140" i="2" a="1"/>
  <c r="AN140" i="2" s="1"/>
  <c r="W237" i="2" a="1"/>
  <c r="W237" i="2" s="1"/>
  <c r="Y237" i="2" a="1"/>
  <c r="Y237" i="2" s="1"/>
  <c r="Q160" i="2" a="1"/>
  <c r="Q160" i="2" s="1"/>
  <c r="S160" i="2" a="1"/>
  <c r="S160" i="2" s="1"/>
  <c r="W220" i="2" a="1"/>
  <c r="W220" i="2" s="1"/>
  <c r="Y220" i="2" a="1"/>
  <c r="Y220" i="2" s="1"/>
  <c r="P259" i="2" a="1"/>
  <c r="P259" i="2" s="1"/>
  <c r="N259" i="2" a="1"/>
  <c r="N259" i="2" s="1"/>
  <c r="Q184" i="2" a="1"/>
  <c r="Q184" i="2" s="1"/>
  <c r="S184" i="2" a="1"/>
  <c r="S184" i="2" s="1"/>
  <c r="AL184" i="2" a="1"/>
  <c r="AL184" i="2" s="1"/>
  <c r="AN184" i="2" a="1"/>
  <c r="AN184" i="2" s="1"/>
  <c r="Z193" i="2" a="1"/>
  <c r="Z193" i="2" s="1"/>
  <c r="AB193" i="2" a="1"/>
  <c r="AB193" i="2" s="1"/>
  <c r="N223" i="2" a="1"/>
  <c r="N223" i="2" s="1"/>
  <c r="P223" i="2" a="1"/>
  <c r="P223" i="2" s="1"/>
  <c r="Y235" i="2" a="1"/>
  <c r="Y235" i="2" s="1"/>
  <c r="W235" i="2" a="1"/>
  <c r="W235" i="2" s="1"/>
  <c r="M186" i="2" a="1"/>
  <c r="M186" i="2" s="1"/>
  <c r="K186" i="2" a="1"/>
  <c r="K186" i="2" s="1"/>
  <c r="Z259" i="2" a="1"/>
  <c r="Z259" i="2" s="1"/>
  <c r="AB259" i="2" a="1"/>
  <c r="AB259" i="2" s="1"/>
  <c r="Y249" i="2" a="1"/>
  <c r="Y249" i="2" s="1"/>
  <c r="W249" i="2" a="1"/>
  <c r="W249" i="2" s="1"/>
  <c r="N153" i="2" a="1"/>
  <c r="N153" i="2" s="1"/>
  <c r="P153" i="2" a="1"/>
  <c r="P153" i="2" s="1"/>
  <c r="AK108" i="2" a="1"/>
  <c r="AK108" i="2" s="1"/>
  <c r="AI108" i="2" a="1"/>
  <c r="AI108" i="2" s="1"/>
  <c r="W143" i="2" a="1"/>
  <c r="W143" i="2" s="1"/>
  <c r="Y143" i="2" a="1"/>
  <c r="Y143" i="2" s="1"/>
  <c r="W263" i="2" a="1"/>
  <c r="W263" i="2" s="1"/>
  <c r="Y263" i="2" a="1"/>
  <c r="Y263" i="2" s="1"/>
  <c r="E260" i="2" a="1"/>
  <c r="E260" i="2" s="1"/>
  <c r="G260" i="2" a="1"/>
  <c r="G260" i="2" s="1"/>
  <c r="J255" i="2" a="1"/>
  <c r="J255" i="2" s="1"/>
  <c r="H255" i="2" a="1"/>
  <c r="H255" i="2" s="1"/>
  <c r="Y210" i="2" a="1"/>
  <c r="Y210" i="2" s="1"/>
  <c r="W210" i="2" a="1"/>
  <c r="W210" i="2" s="1"/>
  <c r="N206" i="2" a="1"/>
  <c r="N206" i="2" s="1"/>
  <c r="P206" i="2" a="1"/>
  <c r="P206" i="2" s="1"/>
  <c r="Y167" i="2" a="1"/>
  <c r="Y167" i="2" s="1"/>
  <c r="W167" i="2" a="1"/>
  <c r="W167" i="2" s="1"/>
  <c r="AL214" i="2" a="1"/>
  <c r="AL214" i="2" s="1"/>
  <c r="AN214" i="2" a="1"/>
  <c r="AN214" i="2" s="1"/>
  <c r="AH158" i="2" a="1"/>
  <c r="AH158" i="2" s="1"/>
  <c r="AF158" i="2" a="1"/>
  <c r="AF158" i="2" s="1"/>
  <c r="K248" i="2" a="1"/>
  <c r="K248" i="2" s="1"/>
  <c r="M248" i="2" a="1"/>
  <c r="M248" i="2" s="1"/>
  <c r="AK206" i="2" a="1"/>
  <c r="AK206" i="2" s="1"/>
  <c r="AI206" i="2" a="1"/>
  <c r="AI206" i="2" s="1"/>
  <c r="K240" i="2" a="1"/>
  <c r="K240" i="2" s="1"/>
  <c r="M240" i="2" a="1"/>
  <c r="M240" i="2" s="1"/>
  <c r="K250" i="2" a="1"/>
  <c r="K250" i="2" s="1"/>
  <c r="M250" i="2" a="1"/>
  <c r="M250" i="2" s="1"/>
  <c r="AF111" i="2" a="1"/>
  <c r="AF111" i="2" s="1"/>
  <c r="AH111" i="2" a="1"/>
  <c r="AH111" i="2" s="1"/>
  <c r="AF260" i="2" a="1"/>
  <c r="AF260" i="2" s="1"/>
  <c r="AH260" i="2" a="1"/>
  <c r="AH260" i="2" s="1"/>
  <c r="AI164" i="2" a="1"/>
  <c r="AI164" i="2" s="1"/>
  <c r="AK164" i="2" a="1"/>
  <c r="AK164" i="2" s="1"/>
  <c r="M141" i="2" a="1"/>
  <c r="M141" i="2" s="1"/>
  <c r="K141" i="2" a="1"/>
  <c r="K141" i="2" s="1"/>
  <c r="W89" i="2" a="1"/>
  <c r="W89" i="2" s="1"/>
  <c r="Y89" i="2" a="1"/>
  <c r="Y89" i="2" s="1"/>
  <c r="AK189" i="2" a="1"/>
  <c r="AK189" i="2" s="1"/>
  <c r="AI189" i="2" a="1"/>
  <c r="AI189" i="2" s="1"/>
  <c r="AC163" i="2" a="1"/>
  <c r="AC163" i="2" s="1"/>
  <c r="AE163" i="2" a="1"/>
  <c r="AE163" i="2" s="1"/>
  <c r="P139" i="2" a="1"/>
  <c r="P139" i="2" s="1"/>
  <c r="N139" i="2" a="1"/>
  <c r="N139" i="2" s="1"/>
  <c r="N238" i="2" a="1"/>
  <c r="N238" i="2" s="1"/>
  <c r="P238" i="2" a="1"/>
  <c r="P238" i="2" s="1"/>
  <c r="Z137" i="2" a="1"/>
  <c r="Z137" i="2" s="1"/>
  <c r="AB137" i="2" a="1"/>
  <c r="AB137" i="2" s="1"/>
  <c r="Q191" i="2" a="1"/>
  <c r="Q191" i="2" s="1"/>
  <c r="S191" i="2" a="1"/>
  <c r="S191" i="2" s="1"/>
  <c r="J144" i="2" a="1"/>
  <c r="J144" i="2" s="1"/>
  <c r="H144" i="2" a="1"/>
  <c r="H144" i="2" s="1"/>
  <c r="AC172" i="2" a="1"/>
  <c r="AC172" i="2" s="1"/>
  <c r="AE172" i="2" a="1"/>
  <c r="AE172" i="2" s="1"/>
  <c r="V127" i="2" a="1"/>
  <c r="V127" i="2" s="1"/>
  <c r="T127" i="2" a="1"/>
  <c r="T127" i="2" s="1"/>
  <c r="AI147" i="2" a="1"/>
  <c r="AI147" i="2" s="1"/>
  <c r="AK147" i="2" a="1"/>
  <c r="AK147" i="2" s="1"/>
  <c r="S103" i="2" a="1"/>
  <c r="S103" i="2" s="1"/>
  <c r="Q103" i="2" a="1"/>
  <c r="Q103" i="2" s="1"/>
  <c r="Z204" i="2" a="1"/>
  <c r="Z204" i="2" s="1"/>
  <c r="AB204" i="2" a="1"/>
  <c r="AB204" i="2" s="1"/>
  <c r="P172" i="2" a="1"/>
  <c r="P172" i="2" s="1"/>
  <c r="N172" i="2" a="1"/>
  <c r="N172" i="2" s="1"/>
  <c r="S242" i="2" a="1"/>
  <c r="S242" i="2" s="1"/>
  <c r="Q242" i="2" a="1"/>
  <c r="Q242" i="2" s="1"/>
  <c r="AH142" i="2" a="1"/>
  <c r="AH142" i="2" s="1"/>
  <c r="AF142" i="2" a="1"/>
  <c r="AF142" i="2" s="1"/>
  <c r="AN167" i="2" a="1"/>
  <c r="AN167" i="2" s="1"/>
  <c r="AL167" i="2" a="1"/>
  <c r="AL167" i="2" s="1"/>
  <c r="AF215" i="2" a="1"/>
  <c r="AF215" i="2" s="1"/>
  <c r="AH215" i="2" a="1"/>
  <c r="AH215" i="2" s="1"/>
  <c r="AL245" i="2" a="1"/>
  <c r="AL245" i="2" s="1"/>
  <c r="AN245" i="2" a="1"/>
  <c r="AN245" i="2" s="1"/>
  <c r="W247" i="2" a="1"/>
  <c r="W247" i="2" s="1"/>
  <c r="Y247" i="2" a="1"/>
  <c r="Y247" i="2" s="1"/>
  <c r="AE169" i="2" a="1"/>
  <c r="AE169" i="2" s="1"/>
  <c r="AC169" i="2" a="1"/>
  <c r="AC169" i="2" s="1"/>
  <c r="AK176" i="2" a="1"/>
  <c r="AK176" i="2" s="1"/>
  <c r="AI176" i="2" a="1"/>
  <c r="AI176" i="2" s="1"/>
  <c r="W103" i="2" a="1"/>
  <c r="W103" i="2" s="1"/>
  <c r="Y103" i="2" a="1"/>
  <c r="Y103" i="2" s="1"/>
  <c r="V224" i="2" a="1"/>
  <c r="V224" i="2" s="1"/>
  <c r="T224" i="2" a="1"/>
  <c r="T224" i="2" s="1"/>
  <c r="W149" i="2" a="1"/>
  <c r="W149" i="2" s="1"/>
  <c r="Y149" i="2" a="1"/>
  <c r="Y149" i="2" s="1"/>
  <c r="AE130" i="2" a="1"/>
  <c r="AE130" i="2" s="1"/>
  <c r="AC130" i="2" a="1"/>
  <c r="AC130" i="2" s="1"/>
  <c r="K199" i="2" a="1"/>
  <c r="K199" i="2" s="1"/>
  <c r="M199" i="2" a="1"/>
  <c r="M199" i="2" s="1"/>
  <c r="V242" i="2" a="1"/>
  <c r="V242" i="2" s="1"/>
  <c r="T242" i="2" a="1"/>
  <c r="T242" i="2" s="1"/>
  <c r="AC161" i="2" a="1"/>
  <c r="AC161" i="2" s="1"/>
  <c r="AE161" i="2" a="1"/>
  <c r="AE161" i="2" s="1"/>
  <c r="V228" i="2" a="1"/>
  <c r="V228" i="2" s="1"/>
  <c r="T228" i="2" a="1"/>
  <c r="T228" i="2" s="1"/>
  <c r="Z168" i="2" a="1"/>
  <c r="Z168" i="2" s="1"/>
  <c r="AB168" i="2" a="1"/>
  <c r="AB168" i="2" s="1"/>
  <c r="AF177" i="2" a="1"/>
  <c r="AF177" i="2" s="1"/>
  <c r="AH177" i="2" a="1"/>
  <c r="AH177" i="2" s="1"/>
  <c r="AB222" i="2" a="1"/>
  <c r="AB222" i="2" s="1"/>
  <c r="Z222" i="2" a="1"/>
  <c r="Z222" i="2" s="1"/>
  <c r="AH223" i="2" a="1"/>
  <c r="AH223" i="2" s="1"/>
  <c r="AF223" i="2" a="1"/>
  <c r="AF223" i="2" s="1"/>
  <c r="AB230" i="2" a="1"/>
  <c r="AB230" i="2" s="1"/>
  <c r="Z230" i="2" a="1"/>
  <c r="Z230" i="2" s="1"/>
  <c r="J256" i="2" a="1"/>
  <c r="J256" i="2" s="1"/>
  <c r="H256" i="2" a="1"/>
  <c r="H256" i="2" s="1"/>
  <c r="G157" i="2" a="1"/>
  <c r="G157" i="2" s="1"/>
  <c r="E157" i="2" a="1"/>
  <c r="E157" i="2" s="1"/>
  <c r="G97" i="2" a="1"/>
  <c r="G97" i="2" s="1"/>
  <c r="E97" i="2" a="1"/>
  <c r="E97" i="2" s="1"/>
  <c r="S118" i="2" a="1"/>
  <c r="S118" i="2" s="1"/>
  <c r="Q118" i="2" a="1"/>
  <c r="Q118" i="2" s="1"/>
  <c r="P161" i="2" a="1"/>
  <c r="P161" i="2" s="1"/>
  <c r="N161" i="2" a="1"/>
  <c r="N161" i="2" s="1"/>
  <c r="M99" i="2" a="1"/>
  <c r="M99" i="2" s="1"/>
  <c r="K99" i="2" a="1"/>
  <c r="K99" i="2" s="1"/>
  <c r="AH257" i="2" a="1"/>
  <c r="AH257" i="2" s="1"/>
  <c r="AF257" i="2" a="1"/>
  <c r="AF257" i="2" s="1"/>
  <c r="V229" i="2" a="1"/>
  <c r="V229" i="2" s="1"/>
  <c r="T229" i="2" a="1"/>
  <c r="T229" i="2" s="1"/>
  <c r="V174" i="2" a="1"/>
  <c r="V174" i="2" s="1"/>
  <c r="T174" i="2" a="1"/>
  <c r="T174" i="2" s="1"/>
  <c r="M152" i="2" a="1"/>
  <c r="M152" i="2" s="1"/>
  <c r="K152" i="2" a="1"/>
  <c r="K152" i="2" s="1"/>
  <c r="AH113" i="2" a="1"/>
  <c r="AH113" i="2" s="1"/>
  <c r="AF113" i="2" a="1"/>
  <c r="AF113" i="2" s="1"/>
  <c r="E151" i="2" a="1"/>
  <c r="E151" i="2" s="1"/>
  <c r="G151" i="2" a="1"/>
  <c r="G151" i="2" s="1"/>
  <c r="W169" i="2" a="1"/>
  <c r="W169" i="2" s="1"/>
  <c r="Y169" i="2" a="1"/>
  <c r="Y169" i="2" s="1"/>
  <c r="V183" i="2" a="1"/>
  <c r="V183" i="2" s="1"/>
  <c r="T183" i="2" a="1"/>
  <c r="T183" i="2" s="1"/>
  <c r="N176" i="2" a="1"/>
  <c r="N176" i="2" s="1"/>
  <c r="P176" i="2" a="1"/>
  <c r="P176" i="2" s="1"/>
  <c r="AH164" i="2" a="1"/>
  <c r="AH164" i="2" s="1"/>
  <c r="AF164" i="2" a="1"/>
  <c r="AF164" i="2" s="1"/>
  <c r="AI203" i="2" a="1"/>
  <c r="AI203" i="2" s="1"/>
  <c r="AK203" i="2" a="1"/>
  <c r="AK203" i="2" s="1"/>
  <c r="P164" i="2" a="1"/>
  <c r="P164" i="2" s="1"/>
  <c r="N164" i="2" a="1"/>
  <c r="N164" i="2" s="1"/>
  <c r="Z220" i="2" a="1"/>
  <c r="Z220" i="2" s="1"/>
  <c r="AB220" i="2" a="1"/>
  <c r="AB220" i="2" s="1"/>
  <c r="P145" i="2" a="1"/>
  <c r="P145" i="2" s="1"/>
  <c r="N145" i="2" a="1"/>
  <c r="N145" i="2" s="1"/>
  <c r="AE146" i="2" a="1"/>
  <c r="AE146" i="2" s="1"/>
  <c r="AC146" i="2" a="1"/>
  <c r="AC146" i="2" s="1"/>
  <c r="E149" i="2" a="1"/>
  <c r="E149" i="2" s="1"/>
  <c r="G149" i="2" a="1"/>
  <c r="G149" i="2" s="1"/>
  <c r="S185" i="2" a="1"/>
  <c r="S185" i="2" s="1"/>
  <c r="Q185" i="2" a="1"/>
  <c r="Q185" i="2" s="1"/>
  <c r="AI232" i="2" a="1"/>
  <c r="AI232" i="2" s="1"/>
  <c r="AK232" i="2" a="1"/>
  <c r="AK232" i="2" s="1"/>
  <c r="M121" i="2" a="1"/>
  <c r="M121" i="2" s="1"/>
  <c r="K121" i="2" a="1"/>
  <c r="K121" i="2" s="1"/>
  <c r="V250" i="2" a="1"/>
  <c r="V250" i="2" s="1"/>
  <c r="T250" i="2" a="1"/>
  <c r="T250" i="2" s="1"/>
  <c r="Q201" i="2" a="1"/>
  <c r="Q201" i="2" s="1"/>
  <c r="S201" i="2" a="1"/>
  <c r="S201" i="2" s="1"/>
  <c r="P187" i="2" a="1"/>
  <c r="P187" i="2" s="1"/>
  <c r="N187" i="2" a="1"/>
  <c r="N187" i="2" s="1"/>
  <c r="Q120" i="2" a="1"/>
  <c r="Q120" i="2" s="1"/>
  <c r="S120" i="2" a="1"/>
  <c r="S120" i="2" s="1"/>
  <c r="W109" i="2" a="1"/>
  <c r="W109" i="2" s="1"/>
  <c r="Y109" i="2" a="1"/>
  <c r="Y109" i="2" s="1"/>
  <c r="W202" i="2" a="1"/>
  <c r="W202" i="2" s="1"/>
  <c r="Y202" i="2" a="1"/>
  <c r="Y202" i="2" s="1"/>
  <c r="AC124" i="2" a="1"/>
  <c r="AC124" i="2" s="1"/>
  <c r="AE124" i="2" a="1"/>
  <c r="AE124" i="2" s="1"/>
  <c r="J239" i="2" a="1"/>
  <c r="J239" i="2" s="1"/>
  <c r="H239" i="2" a="1"/>
  <c r="H239" i="2" s="1"/>
  <c r="K155" i="2" a="1"/>
  <c r="K155" i="2" s="1"/>
  <c r="M155" i="2" a="1"/>
  <c r="M155" i="2" s="1"/>
  <c r="T103" i="2" a="1"/>
  <c r="T103" i="2" s="1"/>
  <c r="V103" i="2" a="1"/>
  <c r="V103" i="2" s="1"/>
  <c r="H253" i="2" a="1"/>
  <c r="H253" i="2" s="1"/>
  <c r="J253" i="2" a="1"/>
  <c r="J253" i="2" s="1"/>
  <c r="E268" i="2" a="1"/>
  <c r="E268" i="2" s="1"/>
  <c r="G268" i="2" a="1"/>
  <c r="G268" i="2" s="1"/>
  <c r="AF239" i="2" a="1"/>
  <c r="AF239" i="2" s="1"/>
  <c r="AH239" i="2" a="1"/>
  <c r="AH239" i="2" s="1"/>
  <c r="S188" i="2" a="1"/>
  <c r="S188" i="2" s="1"/>
  <c r="Q188" i="2" a="1"/>
  <c r="Q188" i="2" s="1"/>
  <c r="T188" i="2" a="1"/>
  <c r="T188" i="2" s="1"/>
  <c r="V188" i="2" a="1"/>
  <c r="V188" i="2" s="1"/>
  <c r="E160" i="2" a="1"/>
  <c r="E160" i="2" s="1"/>
  <c r="G160" i="2" a="1"/>
  <c r="G160" i="2" s="1"/>
  <c r="AL273" i="2" a="1"/>
  <c r="AL273" i="2" s="1"/>
  <c r="AN273" i="2" a="1"/>
  <c r="AN273" i="2" s="1"/>
  <c r="AK223" i="2" a="1"/>
  <c r="AK223" i="2" s="1"/>
  <c r="AI223" i="2" a="1"/>
  <c r="AI223" i="2" s="1"/>
  <c r="AC207" i="2" a="1"/>
  <c r="AC207" i="2" s="1"/>
  <c r="AE207" i="2" a="1"/>
  <c r="AE207" i="2" s="1"/>
  <c r="AH256" i="2" a="1"/>
  <c r="AH256" i="2" s="1"/>
  <c r="AF256" i="2" a="1"/>
  <c r="AF256" i="2" s="1"/>
  <c r="AI240" i="2" a="1"/>
  <c r="AI240" i="2" s="1"/>
  <c r="AK240" i="2" a="1"/>
  <c r="AK240" i="2" s="1"/>
  <c r="Q110" i="2" a="1"/>
  <c r="Q110" i="2" s="1"/>
  <c r="S110" i="2" a="1"/>
  <c r="S110" i="2" s="1"/>
  <c r="E164" i="2" a="1"/>
  <c r="E164" i="2" s="1"/>
  <c r="G164" i="2" a="1"/>
  <c r="G164" i="2" s="1"/>
  <c r="G258" i="2" a="1"/>
  <c r="G258" i="2" s="1"/>
  <c r="E258" i="2" a="1"/>
  <c r="E258" i="2" s="1"/>
  <c r="S253" i="2" a="1"/>
  <c r="S253" i="2" s="1"/>
  <c r="Q253" i="2" a="1"/>
  <c r="Q253" i="2" s="1"/>
  <c r="K107" i="2" a="1"/>
  <c r="K107" i="2" s="1"/>
  <c r="M107" i="2" a="1"/>
  <c r="M107" i="2" s="1"/>
  <c r="Q246" i="2" a="1"/>
  <c r="Q246" i="2" s="1"/>
  <c r="S246" i="2" a="1"/>
  <c r="S246" i="2" s="1"/>
  <c r="G174" i="2" a="1"/>
  <c r="G174" i="2" s="1"/>
  <c r="E174" i="2" a="1"/>
  <c r="E174" i="2" s="1"/>
  <c r="AB174" i="2" a="1"/>
  <c r="AB174" i="2" s="1"/>
  <c r="Z174" i="2" a="1"/>
  <c r="Z174" i="2" s="1"/>
  <c r="H125" i="2" a="1"/>
  <c r="H125" i="2" s="1"/>
  <c r="J125" i="2" a="1"/>
  <c r="J125" i="2" s="1"/>
  <c r="AN218" i="2" a="1"/>
  <c r="AN218" i="2" s="1"/>
  <c r="AL218" i="2" a="1"/>
  <c r="AL218" i="2" s="1"/>
  <c r="M237" i="2" a="1"/>
  <c r="M237" i="2" s="1"/>
  <c r="K237" i="2" a="1"/>
  <c r="K237" i="2" s="1"/>
  <c r="E111" i="2" a="1"/>
  <c r="E111" i="2" s="1"/>
  <c r="G111" i="2" a="1"/>
  <c r="G111" i="2" s="1"/>
  <c r="AE229" i="2" a="1"/>
  <c r="AE229" i="2" s="1"/>
  <c r="AC229" i="2" a="1"/>
  <c r="AC229" i="2" s="1"/>
  <c r="Y261" i="2" a="1"/>
  <c r="Y261" i="2" s="1"/>
  <c r="W261" i="2" a="1"/>
  <c r="W261" i="2" s="1"/>
  <c r="K173" i="2" a="1"/>
  <c r="K173" i="2" s="1"/>
  <c r="M173" i="2" a="1"/>
  <c r="M173" i="2" s="1"/>
  <c r="AH248" i="2" a="1"/>
  <c r="AH248" i="2" s="1"/>
  <c r="AF248" i="2" a="1"/>
  <c r="AF248" i="2" s="1"/>
  <c r="AN123" i="2" a="1"/>
  <c r="AN123" i="2" s="1"/>
  <c r="AL123" i="2" a="1"/>
  <c r="AL123" i="2" s="1"/>
  <c r="Z128" i="2" a="1"/>
  <c r="Z128" i="2" s="1"/>
  <c r="AB128" i="2" a="1"/>
  <c r="AB128" i="2" s="1"/>
  <c r="N221" i="2" a="1"/>
  <c r="N221" i="2" s="1"/>
  <c r="P221" i="2" a="1"/>
  <c r="P221" i="2" s="1"/>
  <c r="Z237" i="2" a="1"/>
  <c r="Z237" i="2" s="1"/>
  <c r="AB237" i="2" a="1"/>
  <c r="AB237" i="2" s="1"/>
  <c r="T201" i="2" a="1"/>
  <c r="T201" i="2" s="1"/>
  <c r="V201" i="2" a="1"/>
  <c r="V201" i="2" s="1"/>
  <c r="AL126" i="2" a="1"/>
  <c r="AL126" i="2" s="1"/>
  <c r="AN126" i="2" a="1"/>
  <c r="AN126" i="2" s="1"/>
  <c r="AB153" i="2" a="1"/>
  <c r="AB153" i="2" s="1"/>
  <c r="Z153" i="2" a="1"/>
  <c r="Z153" i="2" s="1"/>
  <c r="H222" i="2" a="1"/>
  <c r="H222" i="2" s="1"/>
  <c r="J222" i="2" a="1"/>
  <c r="J222" i="2" s="1"/>
  <c r="AL186" i="2" a="1"/>
  <c r="AL186" i="2" s="1"/>
  <c r="AN186" i="2" a="1"/>
  <c r="AN186" i="2" s="1"/>
  <c r="J198" i="2" a="1"/>
  <c r="J198" i="2" s="1"/>
  <c r="H198" i="2" a="1"/>
  <c r="H198" i="2" s="1"/>
  <c r="AN228" i="2" a="1"/>
  <c r="AN228" i="2" s="1"/>
  <c r="AL228" i="2" a="1"/>
  <c r="AL228" i="2" s="1"/>
  <c r="AK202" i="2" a="1"/>
  <c r="AK202" i="2" s="1"/>
  <c r="AI202" i="2" a="1"/>
  <c r="AI202" i="2" s="1"/>
  <c r="S254" i="2" a="1"/>
  <c r="S254" i="2" s="1"/>
  <c r="Q254" i="2" a="1"/>
  <c r="Q254" i="2" s="1"/>
  <c r="AB226" i="2" a="1"/>
  <c r="AB226" i="2" s="1"/>
  <c r="Z226" i="2" a="1"/>
  <c r="Z226" i="2" s="1"/>
  <c r="N184" i="2" a="1"/>
  <c r="N184" i="2" s="1"/>
  <c r="P184" i="2" a="1"/>
  <c r="P184" i="2" s="1"/>
  <c r="Q174" i="2" a="1"/>
  <c r="Q174" i="2" s="1"/>
  <c r="S174" i="2" a="1"/>
  <c r="S174" i="2" s="1"/>
  <c r="AK149" i="2" a="1"/>
  <c r="AK149" i="2" s="1"/>
  <c r="AI149" i="2" a="1"/>
  <c r="AI149" i="2" s="1"/>
  <c r="J143" i="2" a="1"/>
  <c r="J143" i="2" s="1"/>
  <c r="H143" i="2" a="1"/>
  <c r="H143" i="2" s="1"/>
  <c r="V168" i="2" a="1"/>
  <c r="V168" i="2" s="1"/>
  <c r="T168" i="2" a="1"/>
  <c r="T168" i="2" s="1"/>
  <c r="W94" i="2" a="1"/>
  <c r="W94" i="2" s="1"/>
  <c r="Y94" i="2" a="1"/>
  <c r="Y94" i="2" s="1"/>
  <c r="E124" i="2" a="1"/>
  <c r="E124" i="2" s="1"/>
  <c r="G124" i="2" a="1"/>
  <c r="G124" i="2" s="1"/>
  <c r="AI168" i="2" a="1"/>
  <c r="AI168" i="2" s="1"/>
  <c r="AK168" i="2" a="1"/>
  <c r="AK168" i="2" s="1"/>
  <c r="H110" i="2" a="1"/>
  <c r="H110" i="2" s="1"/>
  <c r="J110" i="2" a="1"/>
  <c r="J110" i="2" s="1"/>
  <c r="AN217" i="2" a="1"/>
  <c r="AN217" i="2" s="1"/>
  <c r="AL217" i="2" a="1"/>
  <c r="AL217" i="2" s="1"/>
  <c r="Q109" i="2" a="1"/>
  <c r="Q109" i="2" s="1"/>
  <c r="S109" i="2" a="1"/>
  <c r="S109" i="2" s="1"/>
  <c r="AB247" i="2" a="1"/>
  <c r="AB247" i="2" s="1"/>
  <c r="Z247" i="2" a="1"/>
  <c r="Z247" i="2" s="1"/>
  <c r="E176" i="2" a="1"/>
  <c r="E176" i="2" s="1"/>
  <c r="G176" i="2" a="1"/>
  <c r="G176" i="2" s="1"/>
  <c r="AF201" i="2" a="1"/>
  <c r="AF201" i="2" s="1"/>
  <c r="AH201" i="2" a="1"/>
  <c r="AH201" i="2" s="1"/>
  <c r="AH178" i="2" a="1"/>
  <c r="AH178" i="2" s="1"/>
  <c r="AF178" i="2" a="1"/>
  <c r="AF178" i="2" s="1"/>
  <c r="V261" i="2" a="1"/>
  <c r="V261" i="2" s="1"/>
  <c r="T261" i="2" a="1"/>
  <c r="T261" i="2" s="1"/>
  <c r="E183" i="2" a="1"/>
  <c r="E183" i="2" s="1"/>
  <c r="G183" i="2" a="1"/>
  <c r="G183" i="2" s="1"/>
  <c r="V109" i="2" a="1"/>
  <c r="V109" i="2" s="1"/>
  <c r="T109" i="2" a="1"/>
  <c r="T109" i="2" s="1"/>
  <c r="AI166" i="2" a="1"/>
  <c r="AI166" i="2" s="1"/>
  <c r="AK166" i="2" a="1"/>
  <c r="AK166" i="2" s="1"/>
  <c r="H137" i="2" a="1"/>
  <c r="H137" i="2" s="1"/>
  <c r="J137" i="2" a="1"/>
  <c r="J137" i="2" s="1"/>
  <c r="AL137" i="2" a="1"/>
  <c r="AL137" i="2" s="1"/>
  <c r="AN137" i="2" a="1"/>
  <c r="AN137" i="2" s="1"/>
  <c r="J163" i="2" a="1"/>
  <c r="J163" i="2" s="1"/>
  <c r="H163" i="2" a="1"/>
  <c r="H163" i="2" s="1"/>
  <c r="AK115" i="2" a="1"/>
  <c r="AK115" i="2" s="1"/>
  <c r="AI115" i="2" a="1"/>
  <c r="AI115" i="2" s="1"/>
  <c r="V160" i="2" a="1"/>
  <c r="V160" i="2" s="1"/>
  <c r="T160" i="2" a="1"/>
  <c r="T160" i="2" s="1"/>
  <c r="H152" i="2" a="1"/>
  <c r="H152" i="2" s="1"/>
  <c r="J152" i="2" a="1"/>
  <c r="J152" i="2" s="1"/>
  <c r="AL114" i="2" a="1"/>
  <c r="AL114" i="2" s="1"/>
  <c r="AN114" i="2" a="1"/>
  <c r="AN114" i="2" s="1"/>
  <c r="P113" i="2" a="1"/>
  <c r="P113" i="2" s="1"/>
  <c r="N113" i="2" a="1"/>
  <c r="N113" i="2" s="1"/>
  <c r="Q113" i="2" a="1"/>
  <c r="Q113" i="2" s="1"/>
  <c r="S113" i="2" a="1"/>
  <c r="S113" i="2" s="1"/>
  <c r="T262" i="2" a="1"/>
  <c r="T262" i="2" s="1"/>
  <c r="V262" i="2" a="1"/>
  <c r="V262" i="2" s="1"/>
  <c r="W154" i="2" a="1"/>
  <c r="W154" i="2" s="1"/>
  <c r="Y154" i="2" a="1"/>
  <c r="Y154" i="2" s="1"/>
  <c r="J262" i="2" a="1"/>
  <c r="J262" i="2" s="1"/>
  <c r="H262" i="2" a="1"/>
  <c r="H262" i="2" s="1"/>
  <c r="V129" i="2" a="1"/>
  <c r="V129" i="2" s="1"/>
  <c r="T129" i="2" a="1"/>
  <c r="T129" i="2" s="1"/>
  <c r="AL144" i="2" a="1"/>
  <c r="AL144" i="2" s="1"/>
  <c r="AN144" i="2" a="1"/>
  <c r="AN144" i="2" s="1"/>
  <c r="K119" i="2" a="1"/>
  <c r="K119" i="2" s="1"/>
  <c r="M119" i="2" a="1"/>
  <c r="M119" i="2" s="1"/>
  <c r="AE117" i="2" a="1"/>
  <c r="AE117" i="2" s="1"/>
  <c r="AC117" i="2" a="1"/>
  <c r="AC117" i="2" s="1"/>
  <c r="S164" i="2" a="1"/>
  <c r="S164" i="2" s="1"/>
  <c r="Q164" i="2" a="1"/>
  <c r="Q164" i="2" s="1"/>
  <c r="AH258" i="2" a="1"/>
  <c r="AH258" i="2" s="1"/>
  <c r="AF258" i="2" a="1"/>
  <c r="AF258" i="2" s="1"/>
  <c r="Y194" i="2" a="1"/>
  <c r="Y194" i="2" s="1"/>
  <c r="W194" i="2" a="1"/>
  <c r="W194" i="2" s="1"/>
  <c r="AL206" i="2" a="1"/>
  <c r="AL206" i="2" s="1"/>
  <c r="AN206" i="2" a="1"/>
  <c r="AN206" i="2" s="1"/>
  <c r="T202" i="2" a="1"/>
  <c r="T202" i="2" s="1"/>
  <c r="V202" i="2" a="1"/>
  <c r="V202" i="2" s="1"/>
  <c r="M239" i="2" a="1"/>
  <c r="M239" i="2" s="1"/>
  <c r="K239" i="2" a="1"/>
  <c r="K239" i="2" s="1"/>
  <c r="M272" i="2" a="1"/>
  <c r="M272" i="2" s="1"/>
  <c r="K272" i="2" a="1"/>
  <c r="K272" i="2" s="1"/>
  <c r="E215" i="2" a="1"/>
  <c r="E215" i="2" s="1"/>
  <c r="G215" i="2" a="1"/>
  <c r="G215" i="2" s="1"/>
  <c r="S265" i="2" a="1"/>
  <c r="S265" i="2" s="1"/>
  <c r="Q265" i="2" a="1"/>
  <c r="Q265" i="2" s="1"/>
  <c r="T118" i="2" a="1"/>
  <c r="T118" i="2" s="1"/>
  <c r="V118" i="2" a="1"/>
  <c r="V118" i="2" s="1"/>
  <c r="K254" i="2" a="1"/>
  <c r="K254" i="2" s="1"/>
  <c r="M254" i="2" a="1"/>
  <c r="M254" i="2" s="1"/>
  <c r="AC254" i="2" a="1"/>
  <c r="AC254" i="2" s="1"/>
  <c r="AE254" i="2" a="1"/>
  <c r="AE254" i="2" s="1"/>
  <c r="Y138" i="2" a="1"/>
  <c r="Y138" i="2" s="1"/>
  <c r="W138" i="2" a="1"/>
  <c r="W138" i="2" s="1"/>
  <c r="AF133" i="2" a="1"/>
  <c r="AF133" i="2" s="1"/>
  <c r="AH133" i="2" a="1"/>
  <c r="AH133" i="2" s="1"/>
  <c r="G265" i="2" a="1"/>
  <c r="G265" i="2" s="1"/>
  <c r="E265" i="2" a="1"/>
  <c r="E265" i="2" s="1"/>
  <c r="E142" i="2" a="1"/>
  <c r="E142" i="2" s="1"/>
  <c r="G142" i="2" a="1"/>
  <c r="G142" i="2" s="1"/>
  <c r="AF213" i="2" a="1"/>
  <c r="AF213" i="2" s="1"/>
  <c r="AH213" i="2" a="1"/>
  <c r="AH213" i="2" s="1"/>
  <c r="AL238" i="2" a="1"/>
  <c r="AL238" i="2" s="1"/>
  <c r="AN238" i="2" a="1"/>
  <c r="AN238" i="2" s="1"/>
  <c r="S98" i="2" a="1"/>
  <c r="S98" i="2" s="1"/>
  <c r="Q98" i="2" a="1"/>
  <c r="Q98" i="2" s="1"/>
  <c r="AH272" i="2" a="1"/>
  <c r="AH272" i="2" s="1"/>
  <c r="AF272" i="2" a="1"/>
  <c r="AF272" i="2" s="1"/>
  <c r="AE213" i="2" a="1"/>
  <c r="AE213" i="2" s="1"/>
  <c r="AC213" i="2" a="1"/>
  <c r="AC213" i="2" s="1"/>
  <c r="E214" i="2" a="1"/>
  <c r="E214" i="2" s="1"/>
  <c r="G214" i="2" a="1"/>
  <c r="G214" i="2" s="1"/>
  <c r="P229" i="2" a="1"/>
  <c r="P229" i="2" s="1"/>
  <c r="N229" i="2" a="1"/>
  <c r="N229" i="2" s="1"/>
  <c r="K220" i="2" a="1"/>
  <c r="K220" i="2" s="1"/>
  <c r="M220" i="2" a="1"/>
  <c r="M220" i="2" s="1"/>
  <c r="S154" i="2" a="1"/>
  <c r="S154" i="2" s="1"/>
  <c r="Q154" i="2" a="1"/>
  <c r="Q154" i="2" s="1"/>
  <c r="AF161" i="2" a="1"/>
  <c r="AF161" i="2" s="1"/>
  <c r="AH161" i="2" a="1"/>
  <c r="AH161" i="2" s="1"/>
  <c r="AN236" i="2" a="1"/>
  <c r="AN236" i="2" s="1"/>
  <c r="AL236" i="2" a="1"/>
  <c r="AL236" i="2" s="1"/>
  <c r="T180" i="2" a="1"/>
  <c r="T180" i="2" s="1"/>
  <c r="V180" i="2" a="1"/>
  <c r="V180" i="2" s="1"/>
  <c r="AI107" i="2" a="1"/>
  <c r="AI107" i="2" s="1"/>
  <c r="AK107" i="2" a="1"/>
  <c r="AK107" i="2" s="1"/>
  <c r="AN243" i="2" a="1"/>
  <c r="AN243" i="2" s="1"/>
  <c r="AL243" i="2" a="1"/>
  <c r="AL243" i="2" s="1"/>
  <c r="S226" i="2" a="1"/>
  <c r="S226" i="2" s="1"/>
  <c r="Q226" i="2" a="1"/>
  <c r="Q226" i="2" s="1"/>
  <c r="AK92" i="2" a="1"/>
  <c r="AK92" i="2" s="1"/>
  <c r="AI92" i="2" a="1"/>
  <c r="AI92" i="2" s="1"/>
  <c r="AB208" i="2" a="1"/>
  <c r="AB208" i="2" s="1"/>
  <c r="Z208" i="2" a="1"/>
  <c r="Z208" i="2" s="1"/>
  <c r="P125" i="2" a="1"/>
  <c r="P125" i="2" s="1"/>
  <c r="N125" i="2" a="1"/>
  <c r="N125" i="2" s="1"/>
  <c r="Q107" i="2" a="1"/>
  <c r="Q107" i="2" s="1"/>
  <c r="S107" i="2" a="1"/>
  <c r="S107" i="2" s="1"/>
  <c r="N219" i="2" a="1"/>
  <c r="N219" i="2" s="1"/>
  <c r="P219" i="2" a="1"/>
  <c r="P219" i="2" s="1"/>
  <c r="AN216" i="2" a="1"/>
  <c r="AN216" i="2" s="1"/>
  <c r="AL216" i="2" a="1"/>
  <c r="AL216" i="2" s="1"/>
  <c r="W223" i="2" a="1"/>
  <c r="W223" i="2" s="1"/>
  <c r="Y223" i="2" a="1"/>
  <c r="Y223" i="2" s="1"/>
  <c r="Z164" i="2" a="1"/>
  <c r="Z164" i="2" s="1"/>
  <c r="AB164" i="2" a="1"/>
  <c r="AB164" i="2" s="1"/>
  <c r="J207" i="2" a="1"/>
  <c r="J207" i="2" s="1"/>
  <c r="H207" i="2" a="1"/>
  <c r="H207" i="2" s="1"/>
  <c r="P237" i="2" a="1"/>
  <c r="P237" i="2" s="1"/>
  <c r="N237" i="2" a="1"/>
  <c r="N237" i="2" s="1"/>
  <c r="M159" i="2" a="1"/>
  <c r="M159" i="2" s="1"/>
  <c r="K159" i="2" a="1"/>
  <c r="K159" i="2" s="1"/>
  <c r="W206" i="2" a="1"/>
  <c r="W206" i="2" s="1"/>
  <c r="Y206" i="2" a="1"/>
  <c r="Y206" i="2" s="1"/>
  <c r="AI238" i="2" a="1"/>
  <c r="AI238" i="2" s="1"/>
  <c r="AK238" i="2" a="1"/>
  <c r="AK238" i="2" s="1"/>
  <c r="V236" i="2" a="1"/>
  <c r="V236" i="2" s="1"/>
  <c r="T236" i="2" a="1"/>
  <c r="T236" i="2" s="1"/>
  <c r="AC273" i="2" a="1"/>
  <c r="AC273" i="2" s="1"/>
  <c r="AE273" i="2" a="1"/>
  <c r="AE273" i="2" s="1"/>
  <c r="AI221" i="2" a="1"/>
  <c r="AI221" i="2" s="1"/>
  <c r="AK221" i="2" a="1"/>
  <c r="AK221" i="2" s="1"/>
  <c r="S248" i="2" a="1"/>
  <c r="S248" i="2" s="1"/>
  <c r="Q248" i="2" a="1"/>
  <c r="Q248" i="2" s="1"/>
  <c r="AF182" i="2" a="1"/>
  <c r="AF182" i="2" s="1"/>
  <c r="AH182" i="2" a="1"/>
  <c r="AH182" i="2" s="1"/>
  <c r="P120" i="2" a="1"/>
  <c r="P120" i="2" s="1"/>
  <c r="N120" i="2" a="1"/>
  <c r="N120" i="2" s="1"/>
  <c r="AH180" i="2" a="1"/>
  <c r="AH180" i="2" s="1"/>
  <c r="AF180" i="2" a="1"/>
  <c r="AF180" i="2" s="1"/>
  <c r="AH245" i="2" a="1"/>
  <c r="AH245" i="2" s="1"/>
  <c r="AF245" i="2" a="1"/>
  <c r="AF245" i="2" s="1"/>
  <c r="AH208" i="2" a="1"/>
  <c r="AH208" i="2" s="1"/>
  <c r="AF208" i="2" a="1"/>
  <c r="AF208" i="2" s="1"/>
  <c r="AF168" i="2" a="1"/>
  <c r="AF168" i="2" s="1"/>
  <c r="AH168" i="2" a="1"/>
  <c r="AH168" i="2" s="1"/>
  <c r="S217" i="2" a="1"/>
  <c r="S217" i="2" s="1"/>
  <c r="Q217" i="2" a="1"/>
  <c r="Q217" i="2" s="1"/>
  <c r="W115" i="2" a="1"/>
  <c r="W115" i="2" s="1"/>
  <c r="Y115" i="2" a="1"/>
  <c r="Y115" i="2" s="1"/>
  <c r="Q96" i="2" a="1"/>
  <c r="Q96" i="2" s="1"/>
  <c r="S96" i="2" a="1"/>
  <c r="S96" i="2" s="1"/>
  <c r="S170" i="2" a="1"/>
  <c r="S170" i="2" s="1"/>
  <c r="Q170" i="2" a="1"/>
  <c r="Q170" i="2" s="1"/>
  <c r="M264" i="2" a="1"/>
  <c r="M264" i="2" s="1"/>
  <c r="K264" i="2" a="1"/>
  <c r="K264" i="2" s="1"/>
  <c r="W213" i="2" a="1"/>
  <c r="W213" i="2" s="1"/>
  <c r="Y213" i="2" a="1"/>
  <c r="Y213" i="2" s="1"/>
  <c r="AN119" i="2" a="1"/>
  <c r="AN119" i="2" s="1"/>
  <c r="AL119" i="2" a="1"/>
  <c r="AL119" i="2" s="1"/>
  <c r="AC211" i="2" a="1"/>
  <c r="AC211" i="2" s="1"/>
  <c r="AE211" i="2" a="1"/>
  <c r="AE211" i="2" s="1"/>
  <c r="Z131" i="2" a="1"/>
  <c r="Z131" i="2" s="1"/>
  <c r="AB131" i="2" a="1"/>
  <c r="AB131" i="2" s="1"/>
  <c r="M128" i="2" a="1"/>
  <c r="M128" i="2" s="1"/>
  <c r="K128" i="2" a="1"/>
  <c r="K128" i="2" s="1"/>
  <c r="M200" i="2" a="1"/>
  <c r="M200" i="2" s="1"/>
  <c r="K200" i="2" a="1"/>
  <c r="K200" i="2" s="1"/>
  <c r="P158" i="2" a="1"/>
  <c r="P158" i="2" s="1"/>
  <c r="N158" i="2" a="1"/>
  <c r="N158" i="2" s="1"/>
  <c r="K94" i="2" a="1"/>
  <c r="K94" i="2" s="1"/>
  <c r="M94" i="2" a="1"/>
  <c r="M94" i="2" s="1"/>
  <c r="AB188" i="2" a="1"/>
  <c r="AB188" i="2" s="1"/>
  <c r="Z188" i="2" a="1"/>
  <c r="Z188" i="2" s="1"/>
  <c r="AF197" i="2" a="1"/>
  <c r="AF197" i="2" s="1"/>
  <c r="AH197" i="2" a="1"/>
  <c r="AH197" i="2" s="1"/>
  <c r="AK263" i="2" a="1"/>
  <c r="AK263" i="2" s="1"/>
  <c r="AI263" i="2" a="1"/>
  <c r="AI263" i="2" s="1"/>
  <c r="Z185" i="2" a="1"/>
  <c r="Z185" i="2" s="1"/>
  <c r="AB185" i="2" a="1"/>
  <c r="AB185" i="2" s="1"/>
  <c r="AB136" i="2" a="1"/>
  <c r="AB136" i="2" s="1"/>
  <c r="Z136" i="2" a="1"/>
  <c r="Z136" i="2" s="1"/>
  <c r="M96" i="2" a="1"/>
  <c r="M96" i="2" s="1"/>
  <c r="K96" i="2" a="1"/>
  <c r="K96" i="2" s="1"/>
  <c r="E178" i="2" a="1"/>
  <c r="E178" i="2" s="1"/>
  <c r="G178" i="2" a="1"/>
  <c r="G178" i="2" s="1"/>
  <c r="AB234" i="2" a="1"/>
  <c r="AB234" i="2" s="1"/>
  <c r="Z234" i="2" a="1"/>
  <c r="Z234" i="2" s="1"/>
  <c r="AH184" i="2" a="1"/>
  <c r="AH184" i="2" s="1"/>
  <c r="AF184" i="2" a="1"/>
  <c r="AF184" i="2" s="1"/>
  <c r="V131" i="2" a="1"/>
  <c r="V131" i="2" s="1"/>
  <c r="T131" i="2" a="1"/>
  <c r="T131" i="2" s="1"/>
  <c r="AI172" i="2" a="1"/>
  <c r="AI172" i="2" s="1"/>
  <c r="AK172" i="2" a="1"/>
  <c r="AK172" i="2" s="1"/>
  <c r="K179" i="2" a="1"/>
  <c r="K179" i="2" s="1"/>
  <c r="M179" i="2" a="1"/>
  <c r="M179" i="2" s="1"/>
  <c r="P179" i="2" a="1"/>
  <c r="P179" i="2" s="1"/>
  <c r="N179" i="2" a="1"/>
  <c r="N179" i="2" s="1"/>
  <c r="Y208" i="2" a="1"/>
  <c r="Y208" i="2" s="1"/>
  <c r="W208" i="2" a="1"/>
  <c r="W208" i="2" s="1"/>
  <c r="AI248" i="2" a="1"/>
  <c r="AI248" i="2" s="1"/>
  <c r="AK248" i="2" a="1"/>
  <c r="AK248" i="2" s="1"/>
  <c r="AC250" i="2" a="1"/>
  <c r="AC250" i="2" s="1"/>
  <c r="AE250" i="2" a="1"/>
  <c r="AE250" i="2" s="1"/>
  <c r="AE160" i="2" a="1"/>
  <c r="AE160" i="2" s="1"/>
  <c r="AC160" i="2" a="1"/>
  <c r="AC160" i="2" s="1"/>
  <c r="Q260" i="2" a="1"/>
  <c r="Q260" i="2" s="1"/>
  <c r="S260" i="2" a="1"/>
  <c r="S260" i="2" s="1"/>
  <c r="H114" i="2" a="1"/>
  <c r="H114" i="2" s="1"/>
  <c r="J114" i="2" a="1"/>
  <c r="J114" i="2" s="1"/>
  <c r="G107" i="2" a="1"/>
  <c r="G107" i="2" s="1"/>
  <c r="E107" i="2" a="1"/>
  <c r="E107" i="2" s="1"/>
  <c r="AE166" i="2" a="1"/>
  <c r="AE166" i="2" s="1"/>
  <c r="AC166" i="2" a="1"/>
  <c r="AC166" i="2" s="1"/>
  <c r="N255" i="2" a="1"/>
  <c r="N255" i="2" s="1"/>
  <c r="P255" i="2" a="1"/>
  <c r="P255" i="2" s="1"/>
  <c r="S203" i="2" a="1"/>
  <c r="S203" i="2" s="1"/>
  <c r="Q203" i="2" a="1"/>
  <c r="Q203" i="2" s="1"/>
  <c r="E206" i="2" a="1"/>
  <c r="E206" i="2" s="1"/>
  <c r="G206" i="2" a="1"/>
  <c r="G206" i="2" s="1"/>
  <c r="W141" i="2" a="1"/>
  <c r="W141" i="2" s="1"/>
  <c r="Y141" i="2" a="1"/>
  <c r="Y141" i="2" s="1"/>
  <c r="Y156" i="2" a="1"/>
  <c r="Y156" i="2" s="1"/>
  <c r="W156" i="2" a="1"/>
  <c r="W156" i="2" s="1"/>
  <c r="V270" i="2" a="1"/>
  <c r="V270" i="2" s="1"/>
  <c r="T270" i="2" a="1"/>
  <c r="T270" i="2" s="1"/>
  <c r="T142" i="2" a="1"/>
  <c r="T142" i="2" s="1"/>
  <c r="V142" i="2" a="1"/>
  <c r="V142" i="2" s="1"/>
  <c r="AL103" i="2" a="1"/>
  <c r="AL103" i="2" s="1"/>
  <c r="AN103" i="2" a="1"/>
  <c r="AN103" i="2" s="1"/>
  <c r="AN227" i="2" a="1"/>
  <c r="AN227" i="2" s="1"/>
  <c r="AL227" i="2" a="1"/>
  <c r="AL227" i="2" s="1"/>
  <c r="AK266" i="2" a="1"/>
  <c r="AK266" i="2" s="1"/>
  <c r="AI266" i="2" a="1"/>
  <c r="AI266" i="2" s="1"/>
  <c r="AN199" i="2" a="1"/>
  <c r="AN199" i="2" s="1"/>
  <c r="AL199" i="2" a="1"/>
  <c r="AL199" i="2" s="1"/>
  <c r="AF224" i="2" a="1"/>
  <c r="AF224" i="2" s="1"/>
  <c r="AH224" i="2" a="1"/>
  <c r="AH224" i="2" s="1"/>
  <c r="K216" i="2" a="1"/>
  <c r="K216" i="2" s="1"/>
  <c r="M216" i="2" a="1"/>
  <c r="M216" i="2" s="1"/>
  <c r="AF144" i="2" a="1"/>
  <c r="AF144" i="2" s="1"/>
  <c r="AH144" i="2" a="1"/>
  <c r="AH144" i="2" s="1"/>
  <c r="N133" i="2" a="1"/>
  <c r="N133" i="2" s="1"/>
  <c r="P133" i="2" a="1"/>
  <c r="P133" i="2" s="1"/>
  <c r="AI195" i="2" a="1"/>
  <c r="AI195" i="2" s="1"/>
  <c r="AK195" i="2" a="1"/>
  <c r="AK195" i="2" s="1"/>
  <c r="J193" i="2" a="1"/>
  <c r="J193" i="2" s="1"/>
  <c r="H193" i="2" a="1"/>
  <c r="H193" i="2" s="1"/>
  <c r="S105" i="2" a="1"/>
  <c r="S105" i="2" s="1"/>
  <c r="Q105" i="2" a="1"/>
  <c r="Q105" i="2" s="1"/>
  <c r="AN116" i="2" a="1"/>
  <c r="AN116" i="2" s="1"/>
  <c r="AL116" i="2" a="1"/>
  <c r="AL116" i="2" s="1"/>
  <c r="Z182" i="2" a="1"/>
  <c r="Z182" i="2" s="1"/>
  <c r="AB182" i="2" a="1"/>
  <c r="AB182" i="2" s="1"/>
  <c r="N147" i="2" a="1"/>
  <c r="N147" i="2" s="1"/>
  <c r="P147" i="2" a="1"/>
  <c r="P147" i="2" s="1"/>
  <c r="AC240" i="2" a="1"/>
  <c r="AC240" i="2" s="1"/>
  <c r="AE240" i="2" a="1"/>
  <c r="AE240" i="2" s="1"/>
  <c r="T171" i="2" a="1"/>
  <c r="T171" i="2" s="1"/>
  <c r="V171" i="2" a="1"/>
  <c r="V171" i="2" s="1"/>
  <c r="AC102" i="2" a="1"/>
  <c r="AC102" i="2" s="1"/>
  <c r="AE102" i="2" a="1"/>
  <c r="AE102" i="2" s="1"/>
  <c r="T145" i="2" a="1"/>
  <c r="T145" i="2" s="1"/>
  <c r="V145" i="2" a="1"/>
  <c r="V145" i="2" s="1"/>
  <c r="Z235" i="2" a="1"/>
  <c r="Z235" i="2" s="1"/>
  <c r="AB235" i="2" a="1"/>
  <c r="AB235" i="2" s="1"/>
  <c r="T126" i="2" a="1"/>
  <c r="T126" i="2" s="1"/>
  <c r="V126" i="2" a="1"/>
  <c r="V126" i="2" s="1"/>
  <c r="W161" i="2" a="1"/>
  <c r="W161" i="2" s="1"/>
  <c r="Y161" i="2" a="1"/>
  <c r="Y161" i="2" s="1"/>
  <c r="Z227" i="2" a="1"/>
  <c r="Z227" i="2" s="1"/>
  <c r="AB227" i="2" a="1"/>
  <c r="AB227" i="2" s="1"/>
  <c r="AH199" i="2" a="1"/>
  <c r="AH199" i="2" s="1"/>
  <c r="AF199" i="2" a="1"/>
  <c r="AF199" i="2" s="1"/>
  <c r="N182" i="2" a="1"/>
  <c r="N182" i="2" s="1"/>
  <c r="P182" i="2" a="1"/>
  <c r="P182" i="2" s="1"/>
  <c r="V207" i="2" a="1"/>
  <c r="V207" i="2" s="1"/>
  <c r="T207" i="2" a="1"/>
  <c r="T207" i="2" s="1"/>
  <c r="E184" i="2" a="1"/>
  <c r="E184" i="2" s="1"/>
  <c r="G184" i="2" a="1"/>
  <c r="G184" i="2" s="1"/>
  <c r="AN132" i="2" a="1"/>
  <c r="AN132" i="2" s="1"/>
  <c r="AL132" i="2" a="1"/>
  <c r="AL132" i="2" s="1"/>
  <c r="M108" i="2" a="1"/>
  <c r="M108" i="2" s="1"/>
  <c r="K108" i="2" a="1"/>
  <c r="K108" i="2" s="1"/>
  <c r="AF108" i="2" a="1"/>
  <c r="AF108" i="2" s="1"/>
  <c r="AH108" i="2" a="1"/>
  <c r="AH108" i="2" s="1"/>
  <c r="H133" i="2" a="1"/>
  <c r="H133" i="2" s="1"/>
  <c r="J133" i="2" a="1"/>
  <c r="J133" i="2" s="1"/>
  <c r="AF143" i="2" a="1"/>
  <c r="AF143" i="2" s="1"/>
  <c r="AH143" i="2" a="1"/>
  <c r="AH143" i="2" s="1"/>
  <c r="K157" i="2" a="1"/>
  <c r="K157" i="2" s="1"/>
  <c r="M157" i="2" a="1"/>
  <c r="M157" i="2" s="1"/>
  <c r="Q182" i="2" a="1"/>
  <c r="Q182" i="2" s="1"/>
  <c r="S182" i="2" a="1"/>
  <c r="S182" i="2" s="1"/>
  <c r="AN139" i="2" a="1"/>
  <c r="AN139" i="2" s="1"/>
  <c r="AL139" i="2" a="1"/>
  <c r="AL139" i="2" s="1"/>
  <c r="H176" i="2" a="1"/>
  <c r="H176" i="2" s="1"/>
  <c r="J176" i="2" a="1"/>
  <c r="J176" i="2" s="1"/>
  <c r="T44" i="2" a="1"/>
  <c r="T44" i="2" s="1"/>
  <c r="V44" i="2" a="1"/>
  <c r="V44" i="2" s="1"/>
  <c r="M181" i="2" a="1"/>
  <c r="M181" i="2" s="1"/>
  <c r="K181" i="2" a="1"/>
  <c r="K181" i="2" s="1"/>
  <c r="AH261" i="2" a="1"/>
  <c r="AH261" i="2" s="1"/>
  <c r="AF261" i="2" a="1"/>
  <c r="AF261" i="2" s="1"/>
  <c r="AB163" i="2" a="1"/>
  <c r="AB163" i="2" s="1"/>
  <c r="Z163" i="2" a="1"/>
  <c r="Z163" i="2" s="1"/>
  <c r="T263" i="2" a="1"/>
  <c r="T263" i="2" s="1"/>
  <c r="V263" i="2" a="1"/>
  <c r="V263" i="2" s="1"/>
  <c r="K177" i="2" a="1"/>
  <c r="K177" i="2" s="1"/>
  <c r="M177" i="2" a="1"/>
  <c r="M177" i="2" s="1"/>
  <c r="AL222" i="2" a="1"/>
  <c r="AL222" i="2" s="1"/>
  <c r="AN222" i="2" a="1"/>
  <c r="AN222" i="2" s="1"/>
  <c r="AH183" i="2" a="1"/>
  <c r="AH183" i="2" s="1"/>
  <c r="AF183" i="2" a="1"/>
  <c r="AF183" i="2" s="1"/>
  <c r="S142" i="2" a="1"/>
  <c r="S142" i="2" s="1"/>
  <c r="Q142" i="2" a="1"/>
  <c r="Q142" i="2" s="1"/>
  <c r="H213" i="2" a="1"/>
  <c r="H213" i="2" s="1"/>
  <c r="J213" i="2" a="1"/>
  <c r="J213" i="2" s="1"/>
  <c r="Z262" i="2" a="1"/>
  <c r="Z262" i="2" s="1"/>
  <c r="AB262" i="2" a="1"/>
  <c r="AB262" i="2" s="1"/>
  <c r="M211" i="2" a="1"/>
  <c r="M211" i="2" s="1"/>
  <c r="K211" i="2" a="1"/>
  <c r="K211" i="2" s="1"/>
  <c r="Y226" i="2" a="1"/>
  <c r="Y226" i="2" s="1"/>
  <c r="W226" i="2" a="1"/>
  <c r="W226" i="2" s="1"/>
  <c r="AF146" i="2" a="1"/>
  <c r="AF146" i="2" s="1"/>
  <c r="AH146" i="2" a="1"/>
  <c r="AH146" i="2" s="1"/>
  <c r="AL265" i="2" a="1"/>
  <c r="AL265" i="2" s="1"/>
  <c r="AN265" i="2" a="1"/>
  <c r="AN265" i="2" s="1"/>
  <c r="Z160" i="2" a="1"/>
  <c r="Z160" i="2" s="1"/>
  <c r="AB160" i="2" a="1"/>
  <c r="AB160" i="2" s="1"/>
  <c r="AC266" i="2" a="1"/>
  <c r="AC266" i="2" s="1"/>
  <c r="AE266" i="2" a="1"/>
  <c r="AE266" i="2" s="1"/>
  <c r="AC93" i="2" a="1"/>
  <c r="AC93" i="2" s="1"/>
  <c r="AE93" i="2" a="1"/>
  <c r="AE93" i="2" s="1"/>
  <c r="AN110" i="2" a="1"/>
  <c r="AN110" i="2" s="1"/>
  <c r="AL110" i="2" a="1"/>
  <c r="AL110" i="2" s="1"/>
  <c r="AN203" i="2" a="1"/>
  <c r="AN203" i="2" s="1"/>
  <c r="AL203" i="2" a="1"/>
  <c r="AL203" i="2" s="1"/>
  <c r="H109" i="2" a="1"/>
  <c r="H109" i="2" s="1"/>
  <c r="J109" i="2" a="1"/>
  <c r="J109" i="2" s="1"/>
  <c r="AH200" i="2" a="1"/>
  <c r="AH200" i="2" s="1"/>
  <c r="AF200" i="2" a="1"/>
  <c r="AF200" i="2" s="1"/>
  <c r="AC187" i="2" a="1"/>
  <c r="AC187" i="2" s="1"/>
  <c r="AE187" i="2" a="1"/>
  <c r="AE187" i="2" s="1"/>
  <c r="AI124" i="2" a="1"/>
  <c r="AI124" i="2" s="1"/>
  <c r="AK124" i="2" a="1"/>
  <c r="AK124" i="2" s="1"/>
  <c r="AC156" i="2" a="1"/>
  <c r="AC156" i="2" s="1"/>
  <c r="AE156" i="2" a="1"/>
  <c r="AE156" i="2" s="1"/>
  <c r="J242" i="2" a="1"/>
  <c r="J242" i="2" s="1"/>
  <c r="H242" i="2" a="1"/>
  <c r="H242" i="2" s="1"/>
  <c r="W193" i="2" a="1"/>
  <c r="W193" i="2" s="1"/>
  <c r="Y193" i="2" a="1"/>
  <c r="Y193" i="2" s="1"/>
  <c r="T210" i="2" a="1"/>
  <c r="T210" i="2" s="1"/>
  <c r="V210" i="2" a="1"/>
  <c r="V210" i="2" s="1"/>
  <c r="AB207" i="2" a="1"/>
  <c r="AB207" i="2" s="1"/>
  <c r="Z207" i="2" a="1"/>
  <c r="Z207" i="2" s="1"/>
  <c r="N138" i="2" a="1"/>
  <c r="N138" i="2" s="1"/>
  <c r="P138" i="2" a="1"/>
  <c r="P138" i="2" s="1"/>
  <c r="V140" i="2" a="1"/>
  <c r="V140" i="2" s="1"/>
  <c r="T140" i="2" a="1"/>
  <c r="T140" i="2" s="1"/>
  <c r="AB263" i="2" a="1"/>
  <c r="AB263" i="2" s="1"/>
  <c r="Z263" i="2" a="1"/>
  <c r="Z263" i="2" s="1"/>
  <c r="M217" i="2" a="1"/>
  <c r="M217" i="2" s="1"/>
  <c r="K217" i="2" a="1"/>
  <c r="K217" i="2" s="1"/>
  <c r="AK177" i="2" a="1"/>
  <c r="AK177" i="2" s="1"/>
  <c r="AI177" i="2" a="1"/>
  <c r="AI177" i="2" s="1"/>
  <c r="W182" i="2" a="1"/>
  <c r="W182" i="2" s="1"/>
  <c r="Y182" i="2" a="1"/>
  <c r="Y182" i="2" s="1"/>
  <c r="Q264" i="2" a="1"/>
  <c r="Q264" i="2" s="1"/>
  <c r="S264" i="2" a="1"/>
  <c r="S264" i="2" s="1"/>
  <c r="AC111" i="2" a="1"/>
  <c r="AC111" i="2" s="1"/>
  <c r="AE111" i="2" a="1"/>
  <c r="AE111" i="2" s="1"/>
  <c r="G228" i="2" a="1"/>
  <c r="G228" i="2" s="1"/>
  <c r="E228" i="2" a="1"/>
  <c r="E228" i="2" s="1"/>
  <c r="AN202" i="2" a="1"/>
  <c r="AN202" i="2" s="1"/>
  <c r="AL202" i="2" a="1"/>
  <c r="AL202" i="2" s="1"/>
  <c r="AK161" i="2" a="1"/>
  <c r="AK161" i="2" s="1"/>
  <c r="AI161" i="2" a="1"/>
  <c r="AI161" i="2" s="1"/>
  <c r="AF104" i="2" a="1"/>
  <c r="AF104" i="2" s="1"/>
  <c r="AH104" i="2" a="1"/>
  <c r="AH104" i="2" s="1"/>
  <c r="H188" i="2" a="1"/>
  <c r="H188" i="2" s="1"/>
  <c r="J188" i="2" a="1"/>
  <c r="J188" i="2" s="1"/>
  <c r="AK192" i="2" a="1"/>
  <c r="AK192" i="2" s="1"/>
  <c r="AI192" i="2" a="1"/>
  <c r="AI192" i="2" s="1"/>
  <c r="P241" i="2" a="1"/>
  <c r="P241" i="2" s="1"/>
  <c r="N241" i="2" a="1"/>
  <c r="N241" i="2" s="1"/>
  <c r="AB239" i="2" a="1"/>
  <c r="AB239" i="2" s="1"/>
  <c r="Z239" i="2" a="1"/>
  <c r="Z239" i="2" s="1"/>
  <c r="AC246" i="2" a="1"/>
  <c r="AC246" i="2" s="1"/>
  <c r="AE246" i="2" a="1"/>
  <c r="AE246" i="2" s="1"/>
  <c r="M169" i="2" a="1"/>
  <c r="M169" i="2" s="1"/>
  <c r="K169" i="2" a="1"/>
  <c r="K169" i="2" s="1"/>
  <c r="AH127" i="2" a="1"/>
  <c r="AH127" i="2" s="1"/>
  <c r="AF127" i="2" a="1"/>
  <c r="AF127" i="2" s="1"/>
  <c r="AN235" i="2" a="1"/>
  <c r="AN235" i="2" s="1"/>
  <c r="AL235" i="2" a="1"/>
  <c r="AL235" i="2" s="1"/>
  <c r="AB261" i="2" a="1"/>
  <c r="AB261" i="2" s="1"/>
  <c r="Z261" i="2" a="1"/>
  <c r="Z261" i="2" s="1"/>
  <c r="G146" i="2" a="1"/>
  <c r="G146" i="2" s="1"/>
  <c r="E146" i="2" a="1"/>
  <c r="E146" i="2" s="1"/>
  <c r="AI130" i="2" a="1"/>
  <c r="AI130" i="2" s="1"/>
  <c r="AK130" i="2" a="1"/>
  <c r="AK130" i="2" s="1"/>
  <c r="AB99" i="2" a="1"/>
  <c r="AB99" i="2" s="1"/>
  <c r="Z99" i="2" a="1"/>
  <c r="Z99" i="2" s="1"/>
  <c r="S100" i="2" a="1"/>
  <c r="S100" i="2" s="1"/>
  <c r="Q100" i="2" a="1"/>
  <c r="Q100" i="2" s="1"/>
  <c r="AE110" i="2" a="1"/>
  <c r="AE110" i="2" s="1"/>
  <c r="AC110" i="2" a="1"/>
  <c r="AC110" i="2" s="1"/>
  <c r="T232" i="2" a="1"/>
  <c r="T232" i="2" s="1"/>
  <c r="V232" i="2" a="1"/>
  <c r="V232" i="2" s="1"/>
  <c r="AK200" i="2" a="1"/>
  <c r="AK200" i="2" s="1"/>
  <c r="AI200" i="2" a="1"/>
  <c r="AI200" i="2" s="1"/>
  <c r="AC154" i="2" a="1"/>
  <c r="AC154" i="2" s="1"/>
  <c r="AE154" i="2" a="1"/>
  <c r="AE154" i="2" s="1"/>
  <c r="AH100" i="2" a="1"/>
  <c r="AH100" i="2" s="1"/>
  <c r="AF100" i="2" a="1"/>
  <c r="AF100" i="2" s="1"/>
  <c r="AK185" i="2" a="1"/>
  <c r="AK185" i="2" s="1"/>
  <c r="AI185" i="2" a="1"/>
  <c r="AI185" i="2" s="1"/>
  <c r="Q140" i="2" a="1"/>
  <c r="Q140" i="2" s="1"/>
  <c r="S140" i="2" a="1"/>
  <c r="S140" i="2" s="1"/>
  <c r="Z203" i="2" a="1"/>
  <c r="Z203" i="2" s="1"/>
  <c r="AB203" i="2" a="1"/>
  <c r="AB203" i="2" s="1"/>
  <c r="E105" i="2" a="1"/>
  <c r="E105" i="2" s="1"/>
  <c r="G105" i="2" a="1"/>
  <c r="G105" i="2" s="1"/>
  <c r="S158" i="2" a="1"/>
  <c r="S158" i="2" s="1"/>
  <c r="Q158" i="2" a="1"/>
  <c r="Q158" i="2" s="1"/>
  <c r="M117" i="2" a="1"/>
  <c r="M117" i="2" s="1"/>
  <c r="K117" i="2" a="1"/>
  <c r="K117" i="2" s="1"/>
  <c r="J172" i="2" a="1"/>
  <c r="J172" i="2" s="1"/>
  <c r="H172" i="2" a="1"/>
  <c r="H172" i="2" s="1"/>
  <c r="Z184" i="2" a="1"/>
  <c r="Z184" i="2" s="1"/>
  <c r="AB184" i="2" a="1"/>
  <c r="AB184" i="2" s="1"/>
  <c r="AN241" i="2" a="1"/>
  <c r="AN241" i="2" s="1"/>
  <c r="AL241" i="2" a="1"/>
  <c r="AL241" i="2" s="1"/>
  <c r="AF152" i="2" a="1"/>
  <c r="AF152" i="2" s="1"/>
  <c r="AH152" i="2" a="1"/>
  <c r="AH152" i="2" s="1"/>
  <c r="K206" i="2" a="1"/>
  <c r="K206" i="2" s="1"/>
  <c r="M206" i="2" a="1"/>
  <c r="M206" i="2" s="1"/>
  <c r="AH238" i="2" a="1"/>
  <c r="AH238" i="2" s="1"/>
  <c r="AF238" i="2" a="1"/>
  <c r="AF238" i="2" s="1"/>
  <c r="AL248" i="2" a="1"/>
  <c r="AL248" i="2" s="1"/>
  <c r="AN248" i="2" a="1"/>
  <c r="AN248" i="2" s="1"/>
  <c r="AF121" i="2" a="1"/>
  <c r="AF121" i="2" s="1"/>
  <c r="AH121" i="2" a="1"/>
  <c r="AH121" i="2" s="1"/>
  <c r="W123" i="2" a="1"/>
  <c r="W123" i="2" s="1"/>
  <c r="Y123" i="2" a="1"/>
  <c r="Y123" i="2" s="1"/>
  <c r="N101" i="2" a="1"/>
  <c r="N101" i="2" s="1"/>
  <c r="P101" i="2" a="1"/>
  <c r="P101" i="2" s="1"/>
  <c r="AL128" i="2" a="1"/>
  <c r="AL128" i="2" s="1"/>
  <c r="AN128" i="2" a="1"/>
  <c r="AN128" i="2" s="1"/>
  <c r="N240" i="2" a="1"/>
  <c r="N240" i="2" s="1"/>
  <c r="P240" i="2" a="1"/>
  <c r="P240" i="2" s="1"/>
  <c r="T152" i="2" a="1"/>
  <c r="T152" i="2" s="1"/>
  <c r="V152" i="2" a="1"/>
  <c r="V152" i="2" s="1"/>
  <c r="AI241" i="2" a="1"/>
  <c r="AI241" i="2" s="1"/>
  <c r="AK241" i="2" a="1"/>
  <c r="AK241" i="2" s="1"/>
  <c r="Q210" i="2" a="1"/>
  <c r="Q210" i="2" s="1"/>
  <c r="S210" i="2" a="1"/>
  <c r="S210" i="2" s="1"/>
  <c r="AB253" i="2" a="1"/>
  <c r="AB253" i="2" s="1"/>
  <c r="Z253" i="2" a="1"/>
  <c r="Z253" i="2" s="1"/>
  <c r="AE236" i="2" a="1"/>
  <c r="AE236" i="2" s="1"/>
  <c r="AC236" i="2" a="1"/>
  <c r="AC236" i="2" s="1"/>
  <c r="Z106" i="2" a="1"/>
  <c r="Z106" i="2" s="1"/>
  <c r="AB106" i="2" a="1"/>
  <c r="AB106" i="2" s="1"/>
  <c r="AB186" i="2" a="1"/>
  <c r="AB186" i="2" s="1"/>
  <c r="Z186" i="2" a="1"/>
  <c r="Z186" i="2" s="1"/>
  <c r="AF252" i="2" a="1"/>
  <c r="AF252" i="2" s="1"/>
  <c r="AH252" i="2" a="1"/>
  <c r="AH252" i="2" s="1"/>
  <c r="AB44" i="2" a="1"/>
  <c r="AB44" i="2" s="1"/>
  <c r="Z44" i="2" a="1"/>
  <c r="Z44" i="2" s="1"/>
  <c r="E272" i="2" a="1"/>
  <c r="E272" i="2" s="1"/>
  <c r="G272" i="2" a="1"/>
  <c r="G272" i="2" s="1"/>
  <c r="AN143" i="2" a="1"/>
  <c r="AN143" i="2" s="1"/>
  <c r="AL143" i="2" a="1"/>
  <c r="AL143" i="2" s="1"/>
  <c r="Y174" i="2" a="1"/>
  <c r="Y174" i="2" s="1"/>
  <c r="W174" i="2" a="1"/>
  <c r="W174" i="2" s="1"/>
  <c r="AF99" i="2" a="1"/>
  <c r="AF99" i="2" s="1"/>
  <c r="AH99" i="2" a="1"/>
  <c r="AH99" i="2" s="1"/>
  <c r="P224" i="2" a="1"/>
  <c r="P224" i="2" s="1"/>
  <c r="N224" i="2" a="1"/>
  <c r="N224" i="2" s="1"/>
  <c r="AN221" i="2" a="1"/>
  <c r="AN221" i="2" s="1"/>
  <c r="AL221" i="2" a="1"/>
  <c r="AL221" i="2" s="1"/>
  <c r="H95" i="2" a="1"/>
  <c r="H95" i="2" s="1"/>
  <c r="J95" i="2" a="1"/>
  <c r="J95" i="2" s="1"/>
  <c r="J206" i="2" a="1"/>
  <c r="J206" i="2" s="1"/>
  <c r="H206" i="2" a="1"/>
  <c r="H206" i="2" s="1"/>
  <c r="G209" i="2" a="1"/>
  <c r="G209" i="2" s="1"/>
  <c r="E209" i="2" a="1"/>
  <c r="E209" i="2" s="1"/>
  <c r="AB141" i="2" a="1"/>
  <c r="AB141" i="2" s="1"/>
  <c r="Z141" i="2" a="1"/>
  <c r="Z141" i="2" s="1"/>
  <c r="AF251" i="2" a="1"/>
  <c r="AF251" i="2" s="1"/>
  <c r="AH251" i="2" a="1"/>
  <c r="AH251" i="2" s="1"/>
  <c r="AI209" i="2" a="1"/>
  <c r="AI209" i="2" s="1"/>
  <c r="AK209" i="2" a="1"/>
  <c r="AK209" i="2" s="1"/>
  <c r="V179" i="2" a="1"/>
  <c r="V179" i="2" s="1"/>
  <c r="T179" i="2" a="1"/>
  <c r="T179" i="2" s="1"/>
  <c r="J156" i="2" a="1"/>
  <c r="J156" i="2" s="1"/>
  <c r="H156" i="2" a="1"/>
  <c r="H156" i="2" s="1"/>
  <c r="Y267" i="2" a="1"/>
  <c r="Y267" i="2" s="1"/>
  <c r="W267" i="2" a="1"/>
  <c r="W267" i="2" s="1"/>
  <c r="AE167" i="2" a="1"/>
  <c r="AE167" i="2" s="1"/>
  <c r="AC167" i="2" a="1"/>
  <c r="AC167" i="2" s="1"/>
  <c r="G152" i="2" a="1"/>
  <c r="G152" i="2" s="1"/>
  <c r="E152" i="2" a="1"/>
  <c r="E152" i="2" s="1"/>
  <c r="AE183" i="2" a="1"/>
  <c r="AE183" i="2" s="1"/>
  <c r="AC183" i="2" a="1"/>
  <c r="AC183" i="2" s="1"/>
  <c r="T111" i="2" a="1"/>
  <c r="T111" i="2" s="1"/>
  <c r="V111" i="2" a="1"/>
  <c r="V111" i="2" s="1"/>
  <c r="N141" i="2" a="1"/>
  <c r="N141" i="2" s="1"/>
  <c r="P141" i="2" a="1"/>
  <c r="P141" i="2" s="1"/>
  <c r="Q116" i="2" a="1"/>
  <c r="Q116" i="2" s="1"/>
  <c r="S116" i="2" a="1"/>
  <c r="S116" i="2" s="1"/>
  <c r="M97" i="2" a="1"/>
  <c r="M97" i="2" s="1"/>
  <c r="K97" i="2" a="1"/>
  <c r="K97" i="2" s="1"/>
  <c r="T218" i="2" a="1"/>
  <c r="T218" i="2" s="1"/>
  <c r="V218" i="2" a="1"/>
  <c r="V218" i="2" s="1"/>
  <c r="M205" i="2" a="1"/>
  <c r="M205" i="2" s="1"/>
  <c r="K205" i="2" a="1"/>
  <c r="K205" i="2" s="1"/>
  <c r="AL264" i="2" a="1"/>
  <c r="AL264" i="2" s="1"/>
  <c r="AN264" i="2" a="1"/>
  <c r="AN264" i="2" s="1"/>
  <c r="AC152" i="2" a="1"/>
  <c r="AC152" i="2" s="1"/>
  <c r="AE152" i="2" a="1"/>
  <c r="AE152" i="2" s="1"/>
  <c r="AK110" i="2" a="1"/>
  <c r="AK110" i="2" s="1"/>
  <c r="AI110" i="2" a="1"/>
  <c r="AI110" i="2" s="1"/>
  <c r="AF195" i="2" a="1"/>
  <c r="AF195" i="2" s="1"/>
  <c r="AH195" i="2" a="1"/>
  <c r="AH195" i="2" s="1"/>
  <c r="AB103" i="2" a="1"/>
  <c r="AB103" i="2" s="1"/>
  <c r="Z103" i="2" a="1"/>
  <c r="Z103" i="2" s="1"/>
  <c r="P204" i="2" a="1"/>
  <c r="P204" i="2" s="1"/>
  <c r="N204" i="2" a="1"/>
  <c r="N204" i="2" s="1"/>
  <c r="Y248" i="2" a="1"/>
  <c r="Y248" i="2" s="1"/>
  <c r="W248" i="2" a="1"/>
  <c r="W248" i="2" s="1"/>
  <c r="AK268" i="2" a="1"/>
  <c r="AK268" i="2" s="1"/>
  <c r="AI268" i="2" a="1"/>
  <c r="AI268" i="2" s="1"/>
  <c r="AB197" i="2" a="1"/>
  <c r="AB197" i="2" s="1"/>
  <c r="Z197" i="2" a="1"/>
  <c r="Z197" i="2" s="1"/>
  <c r="AL209" i="2" a="1"/>
  <c r="AL209" i="2" s="1"/>
  <c r="AN209" i="2" a="1"/>
  <c r="AN209" i="2" s="1"/>
  <c r="AN174" i="2" a="1"/>
  <c r="AN174" i="2" s="1"/>
  <c r="AL174" i="2" a="1"/>
  <c r="AL174" i="2" s="1"/>
  <c r="AE134" i="2" a="1"/>
  <c r="AE134" i="2" s="1"/>
  <c r="AC134" i="2" a="1"/>
  <c r="AC134" i="2" s="1"/>
  <c r="AN145" i="2" a="1"/>
  <c r="AN145" i="2" s="1"/>
  <c r="AL145" i="2" a="1"/>
  <c r="AL145" i="2" s="1"/>
  <c r="K249" i="2" a="1"/>
  <c r="K249" i="2" s="1"/>
  <c r="M249" i="2" a="1"/>
  <c r="M249" i="2" s="1"/>
  <c r="T172" i="2" a="1"/>
  <c r="T172" i="2" s="1"/>
  <c r="V172" i="2" a="1"/>
  <c r="V172" i="2" s="1"/>
  <c r="J240" i="2" a="1"/>
  <c r="J240" i="2" s="1"/>
  <c r="H240" i="2" a="1"/>
  <c r="H240" i="2" s="1"/>
  <c r="AE139" i="2" a="1"/>
  <c r="AE139" i="2" s="1"/>
  <c r="AC139" i="2" a="1"/>
  <c r="AC139" i="2" s="1"/>
  <c r="T115" i="2" a="1"/>
  <c r="T115" i="2" s="1"/>
  <c r="V115" i="2" a="1"/>
  <c r="V115" i="2" s="1"/>
  <c r="E211" i="2" a="1"/>
  <c r="E211" i="2" s="1"/>
  <c r="G211" i="2" a="1"/>
  <c r="G211" i="2" s="1"/>
  <c r="K172" i="2" a="1"/>
  <c r="K172" i="2" s="1"/>
  <c r="M172" i="2" a="1"/>
  <c r="M172" i="2" s="1"/>
  <c r="N166" i="2" a="1"/>
  <c r="N166" i="2" s="1"/>
  <c r="P166" i="2" a="1"/>
  <c r="P166" i="2" s="1"/>
  <c r="S169" i="2" a="1"/>
  <c r="S169" i="2" s="1"/>
  <c r="Q169" i="2" a="1"/>
  <c r="Q169" i="2" s="1"/>
  <c r="Q257" i="2" a="1"/>
  <c r="Q257" i="2" s="1"/>
  <c r="S257" i="2" a="1"/>
  <c r="S257" i="2" s="1"/>
  <c r="E203" i="2" a="1"/>
  <c r="E203" i="2" s="1"/>
  <c r="G203" i="2" a="1"/>
  <c r="G203" i="2" s="1"/>
  <c r="S122" i="2" a="1"/>
  <c r="S122" i="2" s="1"/>
  <c r="Q122" i="2" a="1"/>
  <c r="Q122" i="2" s="1"/>
  <c r="M125" i="2" a="1"/>
  <c r="M125" i="2" s="1"/>
  <c r="K125" i="2" a="1"/>
  <c r="K125" i="2" s="1"/>
  <c r="V119" i="2" a="1"/>
  <c r="V119" i="2" s="1"/>
  <c r="T119" i="2" a="1"/>
  <c r="T119" i="2" s="1"/>
  <c r="M203" i="2" a="1"/>
  <c r="M203" i="2" s="1"/>
  <c r="K203" i="2" a="1"/>
  <c r="K203" i="2" s="1"/>
  <c r="AB161" i="2" a="1"/>
  <c r="AB161" i="2" s="1"/>
  <c r="Z161" i="2" a="1"/>
  <c r="Z161" i="2" s="1"/>
  <c r="AK111" i="2" a="1"/>
  <c r="AK111" i="2" s="1"/>
  <c r="AI111" i="2" a="1"/>
  <c r="AI111" i="2" s="1"/>
  <c r="T192" i="2" a="1"/>
  <c r="T192" i="2" s="1"/>
  <c r="V192" i="2" a="1"/>
  <c r="V192" i="2" s="1"/>
  <c r="AK155" i="2" a="1"/>
  <c r="AK155" i="2" s="1"/>
  <c r="AI155" i="2" a="1"/>
  <c r="AI155" i="2" s="1"/>
  <c r="N260" i="2" a="1"/>
  <c r="N260" i="2" s="1"/>
  <c r="P260" i="2" a="1"/>
  <c r="P260" i="2" s="1"/>
  <c r="T135" i="2" a="1"/>
  <c r="T135" i="2" s="1"/>
  <c r="V135" i="2" a="1"/>
  <c r="V135" i="2" s="1"/>
  <c r="AC223" i="2" a="1"/>
  <c r="AC223" i="2" s="1"/>
  <c r="AE223" i="2" a="1"/>
  <c r="AE223" i="2" s="1"/>
  <c r="AC153" i="2" a="1"/>
  <c r="AC153" i="2" s="1"/>
  <c r="AE153" i="2" a="1"/>
  <c r="AE153" i="2" s="1"/>
  <c r="P197" i="2" a="1"/>
  <c r="P197" i="2" s="1"/>
  <c r="N197" i="2" a="1"/>
  <c r="N197" i="2" s="1"/>
  <c r="M127" i="2" a="1"/>
  <c r="M127" i="2" s="1"/>
  <c r="K127" i="2" a="1"/>
  <c r="K127" i="2" s="1"/>
  <c r="N230" i="2" a="1"/>
  <c r="N230" i="2" s="1"/>
  <c r="P230" i="2" a="1"/>
  <c r="P230" i="2" s="1"/>
  <c r="S262" i="2" a="1"/>
  <c r="S262" i="2" s="1"/>
  <c r="Q262" i="2" a="1"/>
  <c r="Q262" i="2" s="1"/>
  <c r="AL157" i="2" a="1"/>
  <c r="AL157" i="2" s="1"/>
  <c r="AN157" i="2" a="1"/>
  <c r="AN157" i="2" s="1"/>
  <c r="AL124" i="2" a="1"/>
  <c r="AL124" i="2" s="1"/>
  <c r="AN124" i="2" a="1"/>
  <c r="AN124" i="2" s="1"/>
  <c r="AI97" i="2" a="1"/>
  <c r="AI97" i="2" s="1"/>
  <c r="AK97" i="2" a="1"/>
  <c r="AK97" i="2" s="1"/>
  <c r="AB100" i="2" a="1"/>
  <c r="AB100" i="2" s="1"/>
  <c r="Z100" i="2" a="1"/>
  <c r="Z100" i="2" s="1"/>
  <c r="AB223" i="2" a="1"/>
  <c r="AB223" i="2" s="1"/>
  <c r="Z223" i="2" a="1"/>
  <c r="Z223" i="2" s="1"/>
  <c r="AF237" i="2" a="1"/>
  <c r="AF237" i="2" s="1"/>
  <c r="AH237" i="2" a="1"/>
  <c r="AH237" i="2" s="1"/>
  <c r="M273" i="2" a="1"/>
  <c r="M273" i="2" s="1"/>
  <c r="K273" i="2" a="1"/>
  <c r="K273" i="2" s="1"/>
  <c r="AN242" i="2" a="1"/>
  <c r="AN242" i="2" s="1"/>
  <c r="AL242" i="2" a="1"/>
  <c r="AL242" i="2" s="1"/>
  <c r="AK139" i="2" a="1"/>
  <c r="AK139" i="2" s="1"/>
  <c r="AI139" i="2" a="1"/>
  <c r="AI139" i="2" s="1"/>
  <c r="E145" i="2" a="1"/>
  <c r="E145" i="2" s="1"/>
  <c r="G145" i="2" a="1"/>
  <c r="G145" i="2" s="1"/>
  <c r="AH273" i="2" a="1"/>
  <c r="AH273" i="2" s="1"/>
  <c r="AF273" i="2" a="1"/>
  <c r="AF273" i="2" s="1"/>
  <c r="S147" i="2" a="1"/>
  <c r="S147" i="2" s="1"/>
  <c r="Q147" i="2" a="1"/>
  <c r="Q147" i="2" s="1"/>
  <c r="V260" i="2" a="1"/>
  <c r="V260" i="2" s="1"/>
  <c r="T260" i="2" a="1"/>
  <c r="T260" i="2" s="1"/>
  <c r="AK156" i="2" a="1"/>
  <c r="AK156" i="2" s="1"/>
  <c r="AI156" i="2" a="1"/>
  <c r="AI156" i="2" s="1"/>
  <c r="N211" i="2" a="1"/>
  <c r="N211" i="2" s="1"/>
  <c r="P211" i="2" a="1"/>
  <c r="P211" i="2" s="1"/>
  <c r="H117" i="2" a="1"/>
  <c r="H117" i="2" s="1"/>
  <c r="J117" i="2" a="1"/>
  <c r="J117" i="2" s="1"/>
  <c r="AF236" i="2" a="1"/>
  <c r="AF236" i="2" s="1"/>
  <c r="AH236" i="2" a="1"/>
  <c r="AH236" i="2" s="1"/>
  <c r="AE127" i="2" a="1"/>
  <c r="AE127" i="2" s="1"/>
  <c r="AC127" i="2" a="1"/>
  <c r="AC127" i="2" s="1"/>
  <c r="AF204" i="2" a="1"/>
  <c r="AF204" i="2" s="1"/>
  <c r="AH204" i="2" a="1"/>
  <c r="AH204" i="2" s="1"/>
  <c r="M267" i="2" a="1"/>
  <c r="M267" i="2" s="1"/>
  <c r="K267" i="2" a="1"/>
  <c r="K267" i="2" s="1"/>
  <c r="Z123" i="2" a="1"/>
  <c r="Z123" i="2" s="1"/>
  <c r="AB123" i="2" a="1"/>
  <c r="AB123" i="2" s="1"/>
  <c r="N239" i="2" a="1"/>
  <c r="N239" i="2" s="1"/>
  <c r="P239" i="2" a="1"/>
  <c r="P239" i="2" s="1"/>
  <c r="AB149" i="2" a="1"/>
  <c r="AB149" i="2" s="1"/>
  <c r="Z149" i="2" a="1"/>
  <c r="Z149" i="2" s="1"/>
  <c r="AH271" i="2" a="1"/>
  <c r="AH271" i="2" s="1"/>
  <c r="AF271" i="2" a="1"/>
  <c r="AF271" i="2" s="1"/>
  <c r="AC224" i="2" a="1"/>
  <c r="AC224" i="2" s="1"/>
  <c r="AE224" i="2" a="1"/>
  <c r="AE224" i="2" s="1"/>
  <c r="AH247" i="2" a="1"/>
  <c r="AH247" i="2" s="1"/>
  <c r="AF247" i="2" a="1"/>
  <c r="AF247" i="2" s="1"/>
  <c r="AC269" i="2" a="1"/>
  <c r="AC269" i="2" s="1"/>
  <c r="AE269" i="2" a="1"/>
  <c r="AE269" i="2" s="1"/>
  <c r="AI142" i="2" a="1"/>
  <c r="AI142" i="2" s="1"/>
  <c r="AK142" i="2" a="1"/>
  <c r="AK142" i="2" s="1"/>
  <c r="S149" i="2" a="1"/>
  <c r="S149" i="2" s="1"/>
  <c r="Q149" i="2" a="1"/>
  <c r="Q149" i="2" s="1"/>
  <c r="M116" i="2" a="1"/>
  <c r="M116" i="2" s="1"/>
  <c r="K116" i="2" a="1"/>
  <c r="K116" i="2" s="1"/>
  <c r="K189" i="2" a="1"/>
  <c r="K189" i="2" s="1"/>
  <c r="M189" i="2" a="1"/>
  <c r="M189" i="2" s="1"/>
  <c r="AK246" i="2" a="1"/>
  <c r="AK246" i="2" s="1"/>
  <c r="AI246" i="2" a="1"/>
  <c r="AI246" i="2" s="1"/>
  <c r="J134" i="2" a="1"/>
  <c r="J134" i="2" s="1"/>
  <c r="H134" i="2" a="1"/>
  <c r="H134" i="2" s="1"/>
  <c r="H160" i="2" a="1"/>
  <c r="H160" i="2" s="1"/>
  <c r="J160" i="2" a="1"/>
  <c r="J160" i="2" s="1"/>
  <c r="N185" i="2" a="1"/>
  <c r="N185" i="2" s="1"/>
  <c r="P185" i="2" a="1"/>
  <c r="P185" i="2" s="1"/>
  <c r="E230" i="2" a="1"/>
  <c r="E230" i="2" s="1"/>
  <c r="G230" i="2" a="1"/>
  <c r="G230" i="2" s="1"/>
  <c r="W124" i="2" a="1"/>
  <c r="W124" i="2" s="1"/>
  <c r="Y124" i="2" a="1"/>
  <c r="Y124" i="2" s="1"/>
  <c r="K241" i="2" a="1"/>
  <c r="K241" i="2" s="1"/>
  <c r="M241" i="2" a="1"/>
  <c r="M241" i="2" s="1"/>
  <c r="Y265" i="2" a="1"/>
  <c r="Y265" i="2" s="1"/>
  <c r="W265" i="2" a="1"/>
  <c r="W265" i="2" s="1"/>
  <c r="N150" i="2" a="1"/>
  <c r="N150" i="2" s="1"/>
  <c r="P150" i="2" a="1"/>
  <c r="P150" i="2" s="1"/>
  <c r="P95" i="2" a="1"/>
  <c r="P95" i="2" s="1"/>
  <c r="N95" i="2" a="1"/>
  <c r="N95" i="2" s="1"/>
  <c r="AI250" i="2" a="1"/>
  <c r="AI250" i="2" s="1"/>
  <c r="AK250" i="2" a="1"/>
  <c r="AK250" i="2" s="1"/>
  <c r="AF153" i="2" a="1"/>
  <c r="AF153" i="2" s="1"/>
  <c r="AH153" i="2" a="1"/>
  <c r="AH153" i="2" s="1"/>
  <c r="T257" i="2" a="1"/>
  <c r="T257" i="2" s="1"/>
  <c r="V257" i="2" a="1"/>
  <c r="V257" i="2" s="1"/>
  <c r="AI226" i="2" a="1"/>
  <c r="AI226" i="2" s="1"/>
  <c r="AK226" i="2" a="1"/>
  <c r="AK226" i="2" s="1"/>
  <c r="S205" i="2" a="1"/>
  <c r="S205" i="2" s="1"/>
  <c r="Q205" i="2" a="1"/>
  <c r="Q205" i="2" s="1"/>
  <c r="S166" i="2" a="1"/>
  <c r="S166" i="2" s="1"/>
  <c r="Q166" i="2" a="1"/>
  <c r="Q166" i="2" s="1"/>
  <c r="AK244" i="2" a="1"/>
  <c r="AK244" i="2" s="1"/>
  <c r="AI244" i="2" a="1"/>
  <c r="AI244" i="2" s="1"/>
  <c r="V96" i="2" a="1"/>
  <c r="V96" i="2" s="1"/>
  <c r="T96" i="2" a="1"/>
  <c r="T96" i="2" s="1"/>
  <c r="AB112" i="2" a="1"/>
  <c r="AB112" i="2" s="1"/>
  <c r="Z112" i="2" a="1"/>
  <c r="Z112" i="2" s="1"/>
  <c r="E156" i="2" a="1"/>
  <c r="E156" i="2" s="1"/>
  <c r="G156" i="2" a="1"/>
  <c r="G156" i="2" s="1"/>
  <c r="G114" i="2" a="1"/>
  <c r="G114" i="2" s="1"/>
  <c r="E114" i="2" a="1"/>
  <c r="E114" i="2" s="1"/>
  <c r="AF132" i="2" a="1"/>
  <c r="AF132" i="2" s="1"/>
  <c r="AH132" i="2" a="1"/>
  <c r="AH132" i="2" s="1"/>
  <c r="M95" i="2" a="1"/>
  <c r="M95" i="2" s="1"/>
  <c r="K95" i="2" a="1"/>
  <c r="K95" i="2" s="1"/>
  <c r="M102" i="2" a="1"/>
  <c r="M102" i="2" s="1"/>
  <c r="K102" i="2" a="1"/>
  <c r="K102" i="2" s="1"/>
  <c r="AH129" i="2" a="1"/>
  <c r="AH129" i="2" s="1"/>
  <c r="AF129" i="2" a="1"/>
  <c r="AF129" i="2" s="1"/>
  <c r="H97" i="2" a="1"/>
  <c r="H97" i="2" s="1"/>
  <c r="J97" i="2" a="1"/>
  <c r="J97" i="2" s="1"/>
  <c r="AE212" i="2" a="1"/>
  <c r="AE212" i="2" s="1"/>
  <c r="AC212" i="2" a="1"/>
  <c r="AC212" i="2" s="1"/>
  <c r="Y107" i="2" a="1"/>
  <c r="Y107" i="2" s="1"/>
  <c r="W107" i="2" a="1"/>
  <c r="W107" i="2" s="1"/>
  <c r="AN127" i="2" a="1"/>
  <c r="AN127" i="2" s="1"/>
  <c r="AL127" i="2" a="1"/>
  <c r="AL127" i="2" s="1"/>
  <c r="AF171" i="2" a="1"/>
  <c r="AF171" i="2" s="1"/>
  <c r="AH171" i="2" a="1"/>
  <c r="AH171" i="2" s="1"/>
  <c r="H170" i="2" a="1"/>
  <c r="H170" i="2" s="1"/>
  <c r="J170" i="2" a="1"/>
  <c r="J170" i="2" s="1"/>
  <c r="AF91" i="2" a="1"/>
  <c r="AF91" i="2" s="1"/>
  <c r="AH91" i="2" a="1"/>
  <c r="AH91" i="2" s="1"/>
  <c r="K156" i="2" a="1"/>
  <c r="K156" i="2" s="1"/>
  <c r="M156" i="2" a="1"/>
  <c r="M156" i="2" s="1"/>
  <c r="Y113" i="2" a="1"/>
  <c r="Y113" i="2" s="1"/>
  <c r="W113" i="2" a="1"/>
  <c r="W113" i="2" s="1"/>
  <c r="AN239" i="2" a="1"/>
  <c r="AN239" i="2" s="1"/>
  <c r="AL239" i="2" a="1"/>
  <c r="AL239" i="2" s="1"/>
  <c r="AF160" i="2" a="1"/>
  <c r="AF160" i="2" s="1"/>
  <c r="AH160" i="2" a="1"/>
  <c r="AH160" i="2" s="1"/>
  <c r="K103" i="2" a="1"/>
  <c r="K103" i="2" s="1"/>
  <c r="M103" i="2" a="1"/>
  <c r="M103" i="2" s="1"/>
  <c r="V138" i="2" a="1"/>
  <c r="V138" i="2" s="1"/>
  <c r="T138" i="2" a="1"/>
  <c r="T138" i="2" s="1"/>
  <c r="AH107" i="2" a="1"/>
  <c r="AH107" i="2" s="1"/>
  <c r="AF107" i="2" a="1"/>
  <c r="AF107" i="2" s="1"/>
  <c r="Z218" i="2" a="1"/>
  <c r="Z218" i="2" s="1"/>
  <c r="AB218" i="2" a="1"/>
  <c r="AB218" i="2" s="1"/>
  <c r="AK174" i="2" a="1"/>
  <c r="AK174" i="2" s="1"/>
  <c r="AI174" i="2" a="1"/>
  <c r="AI174" i="2" s="1"/>
  <c r="G106" i="2" a="1"/>
  <c r="G106" i="2" s="1"/>
  <c r="E106" i="2" a="1"/>
  <c r="E106" i="2" s="1"/>
  <c r="K251" i="2" a="1"/>
  <c r="K251" i="2" s="1"/>
  <c r="M251" i="2" a="1"/>
  <c r="M251" i="2" s="1"/>
  <c r="E266" i="2" a="1"/>
  <c r="E266" i="2" s="1"/>
  <c r="G266" i="2" a="1"/>
  <c r="G266" i="2" s="1"/>
  <c r="V169" i="2" a="1"/>
  <c r="V169" i="2" s="1"/>
  <c r="T169" i="2" a="1"/>
  <c r="T169" i="2" s="1"/>
  <c r="V155" i="2" a="1"/>
  <c r="V155" i="2" s="1"/>
  <c r="T155" i="2" a="1"/>
  <c r="T155" i="2" s="1"/>
  <c r="AH217" i="2" a="1"/>
  <c r="AH217" i="2" s="1"/>
  <c r="AF217" i="2" a="1"/>
  <c r="AF217" i="2" s="1"/>
  <c r="T101" i="2" a="1"/>
  <c r="T101" i="2" s="1"/>
  <c r="V101" i="2" a="1"/>
  <c r="V101" i="2" s="1"/>
  <c r="AI201" i="2" a="1"/>
  <c r="AI201" i="2" s="1"/>
  <c r="AK201" i="2" a="1"/>
  <c r="AK201" i="2" s="1"/>
  <c r="Z183" i="2" a="1"/>
  <c r="Z183" i="2" s="1"/>
  <c r="AB183" i="2" a="1"/>
  <c r="AB183" i="2" s="1"/>
  <c r="Y245" i="2" a="1"/>
  <c r="Y245" i="2" s="1"/>
  <c r="W245" i="2" a="1"/>
  <c r="W245" i="2" s="1"/>
  <c r="AE260" i="2" a="1"/>
  <c r="AE260" i="2" s="1"/>
  <c r="AC260" i="2" a="1"/>
  <c r="AC260" i="2" s="1"/>
  <c r="P131" i="2" a="1"/>
  <c r="P131" i="2" s="1"/>
  <c r="N131" i="2" a="1"/>
  <c r="N131" i="2" s="1"/>
  <c r="AB108" i="2" a="1"/>
  <c r="AB108" i="2" s="1"/>
  <c r="Z108" i="2" a="1"/>
  <c r="Z108" i="2" s="1"/>
  <c r="AF103" i="2" a="1"/>
  <c r="AF103" i="2" s="1"/>
  <c r="AH103" i="2" a="1"/>
  <c r="AH103" i="2" s="1"/>
  <c r="AH186" i="2" a="1"/>
  <c r="AH186" i="2" s="1"/>
  <c r="AF186" i="2" a="1"/>
  <c r="AF186" i="2" s="1"/>
  <c r="E247" i="2" a="1"/>
  <c r="E247" i="2" s="1"/>
  <c r="G247" i="2" a="1"/>
  <c r="G247" i="2" s="1"/>
  <c r="G216" i="2" a="1"/>
  <c r="G216" i="2" s="1"/>
  <c r="E216" i="2" a="1"/>
  <c r="E216" i="2" s="1"/>
  <c r="H199" i="2" a="1"/>
  <c r="H199" i="2" s="1"/>
  <c r="J199" i="2" a="1"/>
  <c r="J199" i="2" s="1"/>
  <c r="V267" i="2" a="1"/>
  <c r="V267" i="2" s="1"/>
  <c r="T267" i="2" a="1"/>
  <c r="T267" i="2" s="1"/>
  <c r="M88" i="2" a="1"/>
  <c r="M88" i="2" s="1"/>
  <c r="K88" i="2" a="1"/>
  <c r="K88" i="2" s="1"/>
  <c r="S244" i="2" a="1"/>
  <c r="S244" i="2" s="1"/>
  <c r="Q244" i="2" a="1"/>
  <c r="Q244" i="2" s="1"/>
  <c r="Y105" i="2" a="1"/>
  <c r="Y105" i="2" s="1"/>
  <c r="W105" i="2" a="1"/>
  <c r="W105" i="2" s="1"/>
  <c r="M242" i="2" a="1"/>
  <c r="M242" i="2" s="1"/>
  <c r="K242" i="2" a="1"/>
  <c r="K242" i="2" s="1"/>
  <c r="T256" i="2" a="1"/>
  <c r="T256" i="2" s="1"/>
  <c r="V256" i="2" a="1"/>
  <c r="V256" i="2" s="1"/>
  <c r="Z140" i="2" a="1"/>
  <c r="Z140" i="2" s="1"/>
  <c r="AB140" i="2" a="1"/>
  <c r="AB140" i="2" s="1"/>
  <c r="Y224" i="2" a="1"/>
  <c r="Y224" i="2" s="1"/>
  <c r="W224" i="2" a="1"/>
  <c r="W224" i="2" s="1"/>
  <c r="AE219" i="2" a="1"/>
  <c r="AE219" i="2" s="1"/>
  <c r="AC219" i="2" a="1"/>
  <c r="AC219" i="2" s="1"/>
  <c r="AI260" i="2" a="1"/>
  <c r="AI260" i="2" s="1"/>
  <c r="AK260" i="2" a="1"/>
  <c r="AK260" i="2" s="1"/>
  <c r="N109" i="2" a="1"/>
  <c r="N109" i="2" s="1"/>
  <c r="P109" i="2" a="1"/>
  <c r="P109" i="2" s="1"/>
  <c r="M154" i="2" a="1"/>
  <c r="M154" i="2" s="1"/>
  <c r="K154" i="2" a="1"/>
  <c r="K154" i="2" s="1"/>
  <c r="W196" i="2" a="1"/>
  <c r="W196" i="2" s="1"/>
  <c r="Y196" i="2" a="1"/>
  <c r="Y196" i="2" s="1"/>
  <c r="AH225" i="2" a="1"/>
  <c r="AH225" i="2" s="1"/>
  <c r="AF225" i="2" a="1"/>
  <c r="AF225" i="2" s="1"/>
  <c r="E123" i="2" a="1"/>
  <c r="E123" i="2" s="1"/>
  <c r="G123" i="2" a="1"/>
  <c r="G123" i="2" s="1"/>
  <c r="H196" i="2" a="1"/>
  <c r="H196" i="2" s="1"/>
  <c r="J196" i="2" a="1"/>
  <c r="J196" i="2" s="1"/>
  <c r="Y173" i="2" a="1"/>
  <c r="Y173" i="2" s="1"/>
  <c r="W173" i="2" a="1"/>
  <c r="W173" i="2" s="1"/>
  <c r="AH151" i="2" a="1"/>
  <c r="AH151" i="2" s="1"/>
  <c r="AF151" i="2" a="1"/>
  <c r="AF151" i="2" s="1"/>
  <c r="K115" i="2" a="1"/>
  <c r="K115" i="2" s="1"/>
  <c r="M115" i="2" a="1"/>
  <c r="M115" i="2" s="1"/>
  <c r="N126" i="2" a="1"/>
  <c r="N126" i="2" s="1"/>
  <c r="P126" i="2" a="1"/>
  <c r="P126" i="2" s="1"/>
  <c r="AE222" i="2" a="1"/>
  <c r="AE222" i="2" s="1"/>
  <c r="AC222" i="2" a="1"/>
  <c r="AC222" i="2" s="1"/>
  <c r="P136" i="2" a="1"/>
  <c r="P136" i="2" s="1"/>
  <c r="N136" i="2" a="1"/>
  <c r="N136" i="2" s="1"/>
  <c r="K246" i="2" a="1"/>
  <c r="K246" i="2" s="1"/>
  <c r="M246" i="2" a="1"/>
  <c r="M246" i="2" s="1"/>
  <c r="Y136" i="2" a="1"/>
  <c r="Y136" i="2" s="1"/>
  <c r="W136" i="2" a="1"/>
  <c r="W136" i="2" s="1"/>
  <c r="N231" i="2" a="1"/>
  <c r="N231" i="2" s="1"/>
  <c r="P231" i="2" a="1"/>
  <c r="P231" i="2" s="1"/>
  <c r="AK197" i="2" a="1"/>
  <c r="AK197" i="2" s="1"/>
  <c r="AI197" i="2" a="1"/>
  <c r="AI197" i="2" s="1"/>
  <c r="P189" i="2" a="1"/>
  <c r="P189" i="2" s="1"/>
  <c r="N189" i="2" a="1"/>
  <c r="N189" i="2" s="1"/>
  <c r="AH156" i="2" a="1"/>
  <c r="AH156" i="2" s="1"/>
  <c r="AF156" i="2" a="1"/>
  <c r="AF156" i="2" s="1"/>
  <c r="W262" i="2" a="1"/>
  <c r="W262" i="2" s="1"/>
  <c r="Y262" i="2" a="1"/>
  <c r="Y262" i="2" s="1"/>
  <c r="S101" i="2" a="1"/>
  <c r="S101" i="2" s="1"/>
  <c r="Q101" i="2" a="1"/>
  <c r="Q101" i="2" s="1"/>
  <c r="W175" i="2" a="1"/>
  <c r="W175" i="2" s="1"/>
  <c r="Y175" i="2" a="1"/>
  <c r="Y175" i="2" s="1"/>
  <c r="AE242" i="2" a="1"/>
  <c r="AE242" i="2" s="1"/>
  <c r="AC242" i="2" a="1"/>
  <c r="AC242" i="2" s="1"/>
  <c r="AF262" i="2" a="1"/>
  <c r="AF262" i="2" s="1"/>
  <c r="AH262" i="2" a="1"/>
  <c r="AH262" i="2" s="1"/>
  <c r="AN250" i="2" a="1"/>
  <c r="AN250" i="2" s="1"/>
  <c r="AL250" i="2" a="1"/>
  <c r="AL250" i="2" s="1"/>
  <c r="AL100" i="2" a="1"/>
  <c r="AL100" i="2" s="1"/>
  <c r="AN100" i="2" a="1"/>
  <c r="AN100" i="2" s="1"/>
  <c r="T100" i="2" a="1"/>
  <c r="T100" i="2" s="1"/>
  <c r="V100" i="2" a="1"/>
  <c r="V100" i="2" s="1"/>
  <c r="AC145" i="2" a="1"/>
  <c r="AC145" i="2" s="1"/>
  <c r="AE145" i="2" a="1"/>
  <c r="AE145" i="2" s="1"/>
  <c r="J269" i="2" a="1"/>
  <c r="J269" i="2" s="1"/>
  <c r="H269" i="2" a="1"/>
  <c r="H269" i="2" s="1"/>
  <c r="Q215" i="2" a="1"/>
  <c r="Q215" i="2" s="1"/>
  <c r="S215" i="2" a="1"/>
  <c r="S215" i="2" s="1"/>
  <c r="P173" i="2" a="1"/>
  <c r="P173" i="2" s="1"/>
  <c r="N173" i="2" a="1"/>
  <c r="N173" i="2" s="1"/>
  <c r="AC257" i="2" a="1"/>
  <c r="AC257" i="2" s="1"/>
  <c r="AE257" i="2" a="1"/>
  <c r="AE257" i="2" s="1"/>
  <c r="AE214" i="2" a="1"/>
  <c r="AE214" i="2" s="1"/>
  <c r="AC214" i="2" a="1"/>
  <c r="AC214" i="2" s="1"/>
  <c r="AH114" i="2" a="1"/>
  <c r="AH114" i="2" s="1"/>
  <c r="AF114" i="2" a="1"/>
  <c r="AF114" i="2" s="1"/>
  <c r="J158" i="2" a="1"/>
  <c r="J158" i="2" s="1"/>
  <c r="H158" i="2" a="1"/>
  <c r="H158" i="2" s="1"/>
  <c r="AI251" i="2" a="1"/>
  <c r="AI251" i="2" s="1"/>
  <c r="AK251" i="2" a="1"/>
  <c r="AK251" i="2" s="1"/>
  <c r="E241" i="2" a="1"/>
  <c r="E241" i="2" s="1"/>
  <c r="G241" i="2" a="1"/>
  <c r="G241" i="2" s="1"/>
  <c r="G173" i="2" a="1"/>
  <c r="G173" i="2" s="1"/>
  <c r="E173" i="2" a="1"/>
  <c r="E173" i="2" s="1"/>
  <c r="Q179" i="2" a="1"/>
  <c r="Q179" i="2" s="1"/>
  <c r="S179" i="2" a="1"/>
  <c r="S179" i="2" s="1"/>
  <c r="AN95" i="2" a="1"/>
  <c r="AN95" i="2" s="1"/>
  <c r="AL95" i="2" a="1"/>
  <c r="AL95" i="2" s="1"/>
  <c r="Y125" i="2" a="1"/>
  <c r="Y125" i="2" s="1"/>
  <c r="W125" i="2" a="1"/>
  <c r="W125" i="2" s="1"/>
  <c r="AE227" i="2" a="1"/>
  <c r="AE227" i="2" s="1"/>
  <c r="AC227" i="2" a="1"/>
  <c r="AC227" i="2" s="1"/>
  <c r="AH249" i="2" a="1"/>
  <c r="AH249" i="2" s="1"/>
  <c r="AF249" i="2" a="1"/>
  <c r="AF249" i="2" s="1"/>
  <c r="E177" i="2" a="1"/>
  <c r="E177" i="2" s="1"/>
  <c r="G177" i="2" a="1"/>
  <c r="G177" i="2" s="1"/>
  <c r="J124" i="2" a="1"/>
  <c r="J124" i="2" s="1"/>
  <c r="H124" i="2" a="1"/>
  <c r="H124" i="2" s="1"/>
  <c r="AF116" i="2" a="1"/>
  <c r="AF116" i="2" s="1"/>
  <c r="AH116" i="2" a="1"/>
  <c r="AH116" i="2" s="1"/>
  <c r="AL253" i="2" a="1"/>
  <c r="AL253" i="2" s="1"/>
  <c r="AN253" i="2" a="1"/>
  <c r="AN253" i="2" s="1"/>
  <c r="AK170" i="2" a="1"/>
  <c r="AK170" i="2" s="1"/>
  <c r="AI170" i="2" a="1"/>
  <c r="AI170" i="2" s="1"/>
  <c r="G158" i="2" a="1"/>
  <c r="G158" i="2" s="1"/>
  <c r="E158" i="2" a="1"/>
  <c r="E158" i="2" s="1"/>
  <c r="AB145" i="2" a="1"/>
  <c r="AB145" i="2" s="1"/>
  <c r="Z145" i="2" a="1"/>
  <c r="Z145" i="2" s="1"/>
  <c r="K146" i="2" a="1"/>
  <c r="K146" i="2" s="1"/>
  <c r="M146" i="2" a="1"/>
  <c r="M146" i="2" s="1"/>
  <c r="AE120" i="2" a="1"/>
  <c r="AE120" i="2" s="1"/>
  <c r="AC120" i="2" a="1"/>
  <c r="AC120" i="2" s="1"/>
  <c r="P249" i="2" a="1"/>
  <c r="P249" i="2" s="1"/>
  <c r="N249" i="2" a="1"/>
  <c r="N249" i="2" s="1"/>
  <c r="AH119" i="2" a="1"/>
  <c r="AH119" i="2" s="1"/>
  <c r="AF119" i="2" a="1"/>
  <c r="AF119" i="2" s="1"/>
  <c r="T238" i="2" a="1"/>
  <c r="T238" i="2" s="1"/>
  <c r="V238" i="2" a="1"/>
  <c r="V238" i="2" s="1"/>
  <c r="K171" i="2" a="1"/>
  <c r="K171" i="2" s="1"/>
  <c r="M171" i="2" a="1"/>
  <c r="M171" i="2" s="1"/>
  <c r="AB206" i="2" a="1"/>
  <c r="AB206" i="2" s="1"/>
  <c r="Z206" i="2" a="1"/>
  <c r="Z206" i="2" s="1"/>
  <c r="E261" i="2" a="1"/>
  <c r="E261" i="2" s="1"/>
  <c r="G261" i="2" a="1"/>
  <c r="G261" i="2" s="1"/>
  <c r="AF174" i="2" a="1"/>
  <c r="AF174" i="2" s="1"/>
  <c r="AH174" i="2" a="1"/>
  <c r="AH174" i="2" s="1"/>
  <c r="H166" i="2" a="1"/>
  <c r="H166" i="2" s="1"/>
  <c r="J166" i="2" a="1"/>
  <c r="J166" i="2" s="1"/>
  <c r="K112" i="2" a="1"/>
  <c r="K112" i="2" s="1"/>
  <c r="M112" i="2" a="1"/>
  <c r="M112" i="2" s="1"/>
  <c r="K164" i="2" a="1"/>
  <c r="K164" i="2" s="1"/>
  <c r="M164" i="2" a="1"/>
  <c r="M164" i="2" s="1"/>
  <c r="E200" i="2" a="1"/>
  <c r="E200" i="2" s="1"/>
  <c r="G200" i="2" a="1"/>
  <c r="G200" i="2" s="1"/>
  <c r="S194" i="2" a="1"/>
  <c r="S194" i="2" s="1"/>
  <c r="Q194" i="2" a="1"/>
  <c r="Q194" i="2" s="1"/>
  <c r="AF210" i="2" a="1"/>
  <c r="AF210" i="2" s="1"/>
  <c r="AH210" i="2" a="1"/>
  <c r="AH210" i="2" s="1"/>
  <c r="N102" i="2" a="1"/>
  <c r="N102" i="2" s="1"/>
  <c r="P102" i="2" a="1"/>
  <c r="P102" i="2" s="1"/>
  <c r="E118" i="2" a="1"/>
  <c r="E118" i="2" s="1"/>
  <c r="G118" i="2" a="1"/>
  <c r="G118" i="2" s="1"/>
  <c r="N273" i="2" a="1"/>
  <c r="N273" i="2" s="1"/>
  <c r="P273" i="2" a="1"/>
  <c r="P273" i="2" s="1"/>
  <c r="AC149" i="2" a="1"/>
  <c r="AC149" i="2" s="1"/>
  <c r="AE149" i="2" a="1"/>
  <c r="AE149" i="2" s="1"/>
  <c r="Z189" i="2" a="1"/>
  <c r="Z189" i="2" s="1"/>
  <c r="AB189" i="2" a="1"/>
  <c r="AB189" i="2" s="1"/>
  <c r="E236" i="2" a="1"/>
  <c r="E236" i="2" s="1"/>
  <c r="G236" i="2" a="1"/>
  <c r="G236" i="2" s="1"/>
  <c r="Z236" i="2" a="1"/>
  <c r="Z236" i="2" s="1"/>
  <c r="AB236" i="2" a="1"/>
  <c r="AB236" i="2" s="1"/>
  <c r="S136" i="2" a="1"/>
  <c r="S136" i="2" s="1"/>
  <c r="Q136" i="2" a="1"/>
  <c r="Q136" i="2" s="1"/>
  <c r="N263" i="2" a="1"/>
  <c r="N263" i="2" s="1"/>
  <c r="P263" i="2" a="1"/>
  <c r="P263" i="2" s="1"/>
  <c r="J231" i="2" a="1"/>
  <c r="J231" i="2" s="1"/>
  <c r="H231" i="2" a="1"/>
  <c r="H231" i="2" s="1"/>
  <c r="E254" i="2" a="1"/>
  <c r="E254" i="2" s="1"/>
  <c r="G254" i="2" a="1"/>
  <c r="G254" i="2" s="1"/>
  <c r="V269" i="2" a="1"/>
  <c r="V269" i="2" s="1"/>
  <c r="T269" i="2" a="1"/>
  <c r="T269" i="2" s="1"/>
  <c r="K257" i="2" a="1"/>
  <c r="K257" i="2" s="1"/>
  <c r="M257" i="2" a="1"/>
  <c r="M257" i="2" s="1"/>
  <c r="S225" i="2" a="1"/>
  <c r="S225" i="2" s="1"/>
  <c r="Q225" i="2" a="1"/>
  <c r="Q225" i="2" s="1"/>
  <c r="S229" i="2" a="1"/>
  <c r="S229" i="2" s="1"/>
  <c r="Q229" i="2" a="1"/>
  <c r="Q229" i="2" s="1"/>
  <c r="AN252" i="2" a="1"/>
  <c r="AN252" i="2" s="1"/>
  <c r="AL252" i="2" a="1"/>
  <c r="AL252" i="2" s="1"/>
  <c r="J233" i="2" a="1"/>
  <c r="J233" i="2" s="1"/>
  <c r="H233" i="2" a="1"/>
  <c r="H233" i="2" s="1"/>
  <c r="E122" i="2" a="1"/>
  <c r="E122" i="2" s="1"/>
  <c r="G122" i="2" a="1"/>
  <c r="G122" i="2" s="1"/>
  <c r="AN260" i="2" a="1"/>
  <c r="AN260" i="2" s="1"/>
  <c r="AL260" i="2" a="1"/>
  <c r="AL260" i="2" s="1"/>
  <c r="AF123" i="2" a="1"/>
  <c r="AF123" i="2" s="1"/>
  <c r="AH123" i="2" a="1"/>
  <c r="AH123" i="2" s="1"/>
  <c r="Y227" i="2" a="1"/>
  <c r="Y227" i="2" s="1"/>
  <c r="W227" i="2" a="1"/>
  <c r="W227" i="2" s="1"/>
  <c r="AN197" i="2" a="1"/>
  <c r="AN197" i="2" s="1"/>
  <c r="AL197" i="2" a="1"/>
  <c r="AL197" i="2" s="1"/>
  <c r="AI186" i="2" a="1"/>
  <c r="AI186" i="2" s="1"/>
  <c r="AK186" i="2" a="1"/>
  <c r="AK186" i="2" s="1"/>
  <c r="J162" i="2" a="1"/>
  <c r="J162" i="2" s="1"/>
  <c r="H162" i="2" a="1"/>
  <c r="H162" i="2" s="1"/>
  <c r="AN109" i="2" a="1"/>
  <c r="AN109" i="2" s="1"/>
  <c r="AL109" i="2" a="1"/>
  <c r="AL109" i="2" s="1"/>
  <c r="E263" i="2" a="1"/>
  <c r="E263" i="2" s="1"/>
  <c r="G263" i="2" a="1"/>
  <c r="G263" i="2" s="1"/>
  <c r="W255" i="2" a="1"/>
  <c r="W255" i="2" s="1"/>
  <c r="Y255" i="2" a="1"/>
  <c r="Y255" i="2" s="1"/>
  <c r="AL156" i="2" a="1"/>
  <c r="AL156" i="2" s="1"/>
  <c r="AN156" i="2" a="1"/>
  <c r="AN156" i="2" s="1"/>
  <c r="AF202" i="2" a="1"/>
  <c r="AF202" i="2" s="1"/>
  <c r="AH202" i="2" a="1"/>
  <c r="AH202" i="2" s="1"/>
  <c r="V117" i="2" a="1"/>
  <c r="V117" i="2" s="1"/>
  <c r="T117" i="2" a="1"/>
  <c r="T117" i="2" s="1"/>
  <c r="N198" i="2" a="1"/>
  <c r="N198" i="2" s="1"/>
  <c r="P198" i="2" a="1"/>
  <c r="P198" i="2" s="1"/>
  <c r="Z173" i="2" a="1"/>
  <c r="Z173" i="2" s="1"/>
  <c r="AB173" i="2" a="1"/>
  <c r="AB173" i="2" s="1"/>
  <c r="AL204" i="2" a="1"/>
  <c r="AL204" i="2" s="1"/>
  <c r="AN204" i="2" a="1"/>
  <c r="AN204" i="2" s="1"/>
  <c r="W254" i="2" a="1"/>
  <c r="W254" i="2" s="1"/>
  <c r="Y254" i="2" a="1"/>
  <c r="Y254" i="2" s="1"/>
  <c r="AN98" i="2" a="1"/>
  <c r="AN98" i="2" s="1"/>
  <c r="AL98" i="2" a="1"/>
  <c r="AL98" i="2" s="1"/>
  <c r="H107" i="2" a="1"/>
  <c r="H107" i="2" s="1"/>
  <c r="J107" i="2" a="1"/>
  <c r="J107" i="2" s="1"/>
  <c r="E185" i="2" a="1"/>
  <c r="E185" i="2" s="1"/>
  <c r="G185" i="2" a="1"/>
  <c r="G185" i="2" s="1"/>
  <c r="Z166" i="2" a="1"/>
  <c r="Z166" i="2" s="1"/>
  <c r="AB166" i="2" a="1"/>
  <c r="AB166" i="2" s="1"/>
  <c r="Y120" i="2" a="1"/>
  <c r="Y120" i="2" s="1"/>
  <c r="W120" i="2" a="1"/>
  <c r="W120" i="2" s="1"/>
  <c r="AF117" i="2" a="1"/>
  <c r="AF117" i="2" s="1"/>
  <c r="AH117" i="2" a="1"/>
  <c r="AH117" i="2" s="1"/>
  <c r="AK237" i="2" a="1"/>
  <c r="AK237" i="2" s="1"/>
  <c r="AI237" i="2" a="1"/>
  <c r="AI237" i="2" s="1"/>
  <c r="W104" i="2" a="1"/>
  <c r="W104" i="2" s="1"/>
  <c r="Y104" i="2" a="1"/>
  <c r="Y104" i="2" s="1"/>
  <c r="Y119" i="2" a="1"/>
  <c r="Y119" i="2" s="1"/>
  <c r="W119" i="2" a="1"/>
  <c r="W119" i="2" s="1"/>
  <c r="N195" i="2" a="1"/>
  <c r="N195" i="2" s="1"/>
  <c r="P195" i="2" a="1"/>
  <c r="P195" i="2" s="1"/>
  <c r="AH124" i="2" a="1"/>
  <c r="AH124" i="2" s="1"/>
  <c r="AF124" i="2" a="1"/>
  <c r="AF124" i="2" s="1"/>
  <c r="K166" i="2" a="1"/>
  <c r="K166" i="2" s="1"/>
  <c r="M166" i="2" a="1"/>
  <c r="M166" i="2" s="1"/>
  <c r="H106" i="2" a="1"/>
  <c r="H106" i="2" s="1"/>
  <c r="J106" i="2" a="1"/>
  <c r="J106" i="2" s="1"/>
  <c r="AN146" i="2" a="1"/>
  <c r="AN146" i="2" s="1"/>
  <c r="AL146" i="2" a="1"/>
  <c r="AL146" i="2" s="1"/>
  <c r="K262" i="2" a="1"/>
  <c r="K262" i="2" s="1"/>
  <c r="M262" i="2" a="1"/>
  <c r="M262" i="2" s="1"/>
  <c r="W238" i="2" a="1"/>
  <c r="W238" i="2" s="1"/>
  <c r="Y238" i="2" a="1"/>
  <c r="Y238" i="2" s="1"/>
  <c r="AI146" i="2" a="1"/>
  <c r="AI146" i="2" s="1"/>
  <c r="AK146" i="2" a="1"/>
  <c r="AK146" i="2" s="1"/>
  <c r="S171" i="2" a="1"/>
  <c r="S171" i="2" s="1"/>
  <c r="Q171" i="2" a="1"/>
  <c r="Q171" i="2" s="1"/>
  <c r="Q161" i="2" a="1"/>
  <c r="Q161" i="2" s="1"/>
  <c r="S161" i="2" a="1"/>
  <c r="S161" i="2" s="1"/>
  <c r="AC133" i="2" a="1"/>
  <c r="AC133" i="2" s="1"/>
  <c r="AE133" i="2" a="1"/>
  <c r="AE133" i="2" s="1"/>
  <c r="AK141" i="2" a="1"/>
  <c r="AK141" i="2" s="1"/>
  <c r="AI141" i="2" a="1"/>
  <c r="AI141" i="2" s="1"/>
  <c r="AL155" i="2" a="1"/>
  <c r="AL155" i="2" s="1"/>
  <c r="AN155" i="2" a="1"/>
  <c r="AN155" i="2" s="1"/>
  <c r="AH241" i="2" a="1"/>
  <c r="AH241" i="2" s="1"/>
  <c r="AF241" i="2" a="1"/>
  <c r="AF241" i="2" s="1"/>
  <c r="E131" i="2" a="1"/>
  <c r="E131" i="2" s="1"/>
  <c r="G131" i="2" a="1"/>
  <c r="G131" i="2" s="1"/>
  <c r="AC235" i="2" a="1"/>
  <c r="AC235" i="2" s="1"/>
  <c r="AE235" i="2" a="1"/>
  <c r="AE235" i="2" s="1"/>
  <c r="AK207" i="2" a="1"/>
  <c r="AK207" i="2" s="1"/>
  <c r="AI207" i="2" a="1"/>
  <c r="AI207" i="2" s="1"/>
  <c r="V150" i="2" a="1"/>
  <c r="V150" i="2" s="1"/>
  <c r="T150" i="2" a="1"/>
  <c r="T150" i="2" s="1"/>
  <c r="AN178" i="2" a="1"/>
  <c r="AN178" i="2" s="1"/>
  <c r="AL178" i="2" a="1"/>
  <c r="AL178" i="2" s="1"/>
  <c r="Z270" i="2" a="1"/>
  <c r="Z270" i="2" s="1"/>
  <c r="AB270" i="2" a="1"/>
  <c r="AB270" i="2" s="1"/>
  <c r="Y250" i="2" a="1"/>
  <c r="Y250" i="2" s="1"/>
  <c r="W250" i="2" a="1"/>
  <c r="W250" i="2" s="1"/>
  <c r="N212" i="2" a="1"/>
  <c r="N212" i="2" s="1"/>
  <c r="P212" i="2" a="1"/>
  <c r="P212" i="2" s="1"/>
  <c r="Q245" i="2" a="1"/>
  <c r="Q245" i="2" s="1"/>
  <c r="S245" i="2" a="1"/>
  <c r="S245" i="2" s="1"/>
  <c r="AE244" i="2" a="1"/>
  <c r="AE244" i="2" s="1"/>
  <c r="AC244" i="2" a="1"/>
  <c r="AC244" i="2" s="1"/>
  <c r="AB156" i="2" a="1"/>
  <c r="AB156" i="2" s="1"/>
  <c r="Z156" i="2" a="1"/>
  <c r="Z156" i="2" s="1"/>
  <c r="G115" i="2" a="1"/>
  <c r="G115" i="2" s="1"/>
  <c r="E115" i="2" a="1"/>
  <c r="E115" i="2" s="1"/>
  <c r="AB98" i="2" a="1"/>
  <c r="AB98" i="2" s="1"/>
  <c r="Z98" i="2" a="1"/>
  <c r="Z98" i="2" s="1"/>
  <c r="H164" i="2" a="1"/>
  <c r="H164" i="2" s="1"/>
  <c r="J164" i="2" a="1"/>
  <c r="J164" i="2" s="1"/>
  <c r="J209" i="2" a="1"/>
  <c r="J209" i="2" s="1"/>
  <c r="H209" i="2" a="1"/>
  <c r="H209" i="2" s="1"/>
  <c r="AK242" i="2" a="1"/>
  <c r="AK242" i="2" s="1"/>
  <c r="AI242" i="2" a="1"/>
  <c r="AI242" i="2" s="1"/>
  <c r="Q208" i="2" a="1"/>
  <c r="Q208" i="2" s="1"/>
  <c r="S208" i="2" a="1"/>
  <c r="S208" i="2" s="1"/>
  <c r="M229" i="2" a="1"/>
  <c r="M229" i="2" s="1"/>
  <c r="K229" i="2" a="1"/>
  <c r="K229" i="2" s="1"/>
  <c r="P199" i="2" a="1"/>
  <c r="P199" i="2" s="1"/>
  <c r="N199" i="2" a="1"/>
  <c r="N199" i="2" s="1"/>
  <c r="AL267" i="2" a="1"/>
  <c r="AL267" i="2" s="1"/>
  <c r="AN267" i="2" a="1"/>
  <c r="AN267" i="2" s="1"/>
  <c r="Z143" i="2" a="1"/>
  <c r="Z143" i="2" s="1"/>
  <c r="AB143" i="2" a="1"/>
  <c r="AB143" i="2" s="1"/>
  <c r="AN44" i="2" a="1"/>
  <c r="AN44" i="2" s="1"/>
  <c r="AL44" i="2" a="1"/>
  <c r="AL44" i="2" s="1"/>
  <c r="T102" i="2" a="1"/>
  <c r="T102" i="2" s="1"/>
  <c r="V102" i="2" a="1"/>
  <c r="V102" i="2" s="1"/>
  <c r="Y216" i="2" a="1"/>
  <c r="Y216" i="2" s="1"/>
  <c r="W216" i="2" a="1"/>
  <c r="W216" i="2" s="1"/>
  <c r="T233" i="2" a="1"/>
  <c r="T233" i="2" s="1"/>
  <c r="V233" i="2" a="1"/>
  <c r="V233" i="2" s="1"/>
  <c r="AK183" i="2" a="1"/>
  <c r="AK183" i="2" s="1"/>
  <c r="AI183" i="2" a="1"/>
  <c r="AI183" i="2" s="1"/>
  <c r="E165" i="2" a="1"/>
  <c r="E165" i="2" s="1"/>
  <c r="G165" i="2" a="1"/>
  <c r="G165" i="2" s="1"/>
  <c r="Y114" i="2" a="1"/>
  <c r="Y114" i="2" s="1"/>
  <c r="W114" i="2" a="1"/>
  <c r="W114" i="2" s="1"/>
  <c r="AI218" i="2" a="1"/>
  <c r="AI218" i="2" s="1"/>
  <c r="AK218" i="2" a="1"/>
  <c r="AK218" i="2" s="1"/>
  <c r="G220" i="2" a="1"/>
  <c r="G220" i="2" s="1"/>
  <c r="E220" i="2" a="1"/>
  <c r="E220" i="2" s="1"/>
  <c r="J151" i="2" a="1"/>
  <c r="J151" i="2" s="1"/>
  <c r="H151" i="2" a="1"/>
  <c r="H151" i="2" s="1"/>
  <c r="AK224" i="2" a="1"/>
  <c r="AK224" i="2" s="1"/>
  <c r="AI224" i="2" a="1"/>
  <c r="AI224" i="2" s="1"/>
  <c r="N271" i="2" a="1"/>
  <c r="N271" i="2" s="1"/>
  <c r="P271" i="2" a="1"/>
  <c r="P271" i="2" s="1"/>
  <c r="N270" i="2" a="1"/>
  <c r="N270" i="2" s="1"/>
  <c r="P270" i="2" a="1"/>
  <c r="P270" i="2" s="1"/>
  <c r="AC185" i="2" a="1"/>
  <c r="AC185" i="2" s="1"/>
  <c r="AE185" i="2" a="1"/>
  <c r="AE185" i="2" s="1"/>
  <c r="M135" i="2" a="1"/>
  <c r="M135" i="2" s="1"/>
  <c r="K135" i="2" a="1"/>
  <c r="K135" i="2" s="1"/>
  <c r="Q115" i="2" a="1"/>
  <c r="Q115" i="2" s="1"/>
  <c r="S115" i="2" a="1"/>
  <c r="S115" i="2" s="1"/>
  <c r="V268" i="2" a="1"/>
  <c r="V268" i="2" s="1"/>
  <c r="T268" i="2" a="1"/>
  <c r="T268" i="2" s="1"/>
  <c r="P234" i="2" a="1"/>
  <c r="P234" i="2" s="1"/>
  <c r="N234" i="2" a="1"/>
  <c r="N234" i="2" s="1"/>
  <c r="AK123" i="2" a="1"/>
  <c r="AK123" i="2" s="1"/>
  <c r="AI123" i="2" a="1"/>
  <c r="AI123" i="2" s="1"/>
  <c r="AF147" i="2" a="1"/>
  <c r="AF147" i="2" s="1"/>
  <c r="AH147" i="2" a="1"/>
  <c r="AH147" i="2" s="1"/>
  <c r="G227" i="2" a="1"/>
  <c r="G227" i="2" s="1"/>
  <c r="E227" i="2" a="1"/>
  <c r="E227" i="2" s="1"/>
  <c r="Z195" i="2" a="1"/>
  <c r="Z195" i="2" s="1"/>
  <c r="AB195" i="2" a="1"/>
  <c r="AB195" i="2" s="1"/>
  <c r="Q197" i="2" a="1"/>
  <c r="Q197" i="2" s="1"/>
  <c r="S197" i="2" a="1"/>
  <c r="S197" i="2" s="1"/>
  <c r="AN213" i="2" a="1"/>
  <c r="AN213" i="2" s="1"/>
  <c r="AL213" i="2" a="1"/>
  <c r="AL213" i="2" s="1"/>
  <c r="P188" i="2" a="1"/>
  <c r="P188" i="2" s="1"/>
  <c r="N188" i="2" a="1"/>
  <c r="N188" i="2" s="1"/>
  <c r="Z271" i="2" a="1"/>
  <c r="Z271" i="2" s="1"/>
  <c r="AB271" i="2" a="1"/>
  <c r="AB271" i="2" s="1"/>
  <c r="M178" i="2" a="1"/>
  <c r="M178" i="2" s="1"/>
  <c r="K178" i="2" a="1"/>
  <c r="K178" i="2" s="1"/>
  <c r="AN108" i="2" a="1"/>
  <c r="AN108" i="2" s="1"/>
  <c r="AL108" i="2" a="1"/>
  <c r="AL108" i="2" s="1"/>
  <c r="G202" i="2" a="1"/>
  <c r="G202" i="2" s="1"/>
  <c r="E202" i="2" a="1"/>
  <c r="E202" i="2" s="1"/>
  <c r="T161" i="2" a="1"/>
  <c r="T161" i="2" s="1"/>
  <c r="V161" i="2" a="1"/>
  <c r="V161" i="2" s="1"/>
  <c r="K243" i="2" a="1"/>
  <c r="K243" i="2" s="1"/>
  <c r="M243" i="2" a="1"/>
  <c r="M243" i="2" s="1"/>
  <c r="W205" i="2" a="1"/>
  <c r="W205" i="2" s="1"/>
  <c r="Y205" i="2" a="1"/>
  <c r="Y205" i="2" s="1"/>
  <c r="AI137" i="2" a="1"/>
  <c r="AI137" i="2" s="1"/>
  <c r="AK137" i="2" a="1"/>
  <c r="AK137" i="2" s="1"/>
  <c r="Z217" i="2" a="1"/>
  <c r="Z217" i="2" s="1"/>
  <c r="AB217" i="2" a="1"/>
  <c r="AB217" i="2" s="1"/>
  <c r="AF135" i="2" a="1"/>
  <c r="AF135" i="2" s="1"/>
  <c r="AH135" i="2" a="1"/>
  <c r="AH135" i="2" s="1"/>
  <c r="AC208" i="2" a="1"/>
  <c r="AC208" i="2" s="1"/>
  <c r="AE208" i="2" a="1"/>
  <c r="AE208" i="2" s="1"/>
  <c r="W239" i="2" a="1"/>
  <c r="W239" i="2" s="1"/>
  <c r="Y239" i="2" a="1"/>
  <c r="Y239" i="2" s="1"/>
  <c r="AL233" i="2" a="1"/>
  <c r="AL233" i="2" s="1"/>
  <c r="AN233" i="2" a="1"/>
  <c r="AN233" i="2" s="1"/>
  <c r="AK148" i="2" a="1"/>
  <c r="AK148" i="2" s="1"/>
  <c r="AI148" i="2" a="1"/>
  <c r="AI148" i="2" s="1"/>
  <c r="G226" i="2" a="1"/>
  <c r="G226" i="2" s="1"/>
  <c r="E226" i="2" a="1"/>
  <c r="E226" i="2" s="1"/>
  <c r="J247" i="2" a="1"/>
  <c r="J247" i="2" s="1"/>
  <c r="H247" i="2" a="1"/>
  <c r="H247" i="2" s="1"/>
  <c r="K245" i="2" a="1"/>
  <c r="K245" i="2" s="1"/>
  <c r="M245" i="2" a="1"/>
  <c r="M245" i="2" s="1"/>
  <c r="N235" i="2" a="1"/>
  <c r="N235" i="2" s="1"/>
  <c r="P235" i="2" a="1"/>
  <c r="P235" i="2" s="1"/>
  <c r="J186" i="2" a="1"/>
  <c r="J186" i="2" s="1"/>
  <c r="H186" i="2" a="1"/>
  <c r="H186" i="2" s="1"/>
  <c r="S247" i="2" a="1"/>
  <c r="S247" i="2" s="1"/>
  <c r="Q247" i="2" a="1"/>
  <c r="Q247" i="2" s="1"/>
  <c r="AH157" i="2" a="1"/>
  <c r="AH157" i="2" s="1"/>
  <c r="AF157" i="2" a="1"/>
  <c r="AF157" i="2" s="1"/>
  <c r="Y142" i="2" a="1"/>
  <c r="Y142" i="2" s="1"/>
  <c r="W142" i="2" a="1"/>
  <c r="W142" i="2" s="1"/>
  <c r="AI152" i="2" a="1"/>
  <c r="AI152" i="2" s="1"/>
  <c r="AK152" i="2" a="1"/>
  <c r="AK152" i="2" s="1"/>
  <c r="AH255" i="2" a="1"/>
  <c r="AH255" i="2" s="1"/>
  <c r="AF255" i="2" a="1"/>
  <c r="AF255" i="2" s="1"/>
  <c r="H103" i="2" a="1"/>
  <c r="H103" i="2" s="1"/>
  <c r="J103" i="2" a="1"/>
  <c r="J103" i="2" s="1"/>
  <c r="H135" i="2" a="1"/>
  <c r="H135" i="2" s="1"/>
  <c r="J135" i="2" a="1"/>
  <c r="J135" i="2" s="1"/>
  <c r="G237" i="2" a="1"/>
  <c r="G237" i="2" s="1"/>
  <c r="E237" i="2" a="1"/>
  <c r="E237" i="2" s="1"/>
  <c r="H195" i="2" a="1"/>
  <c r="H195" i="2" s="1"/>
  <c r="J195" i="2" a="1"/>
  <c r="J195" i="2" s="1"/>
  <c r="AC158" i="2" a="1"/>
  <c r="AC158" i="2" s="1"/>
  <c r="AE158" i="2" a="1"/>
  <c r="AE158" i="2" s="1"/>
  <c r="V258" i="2" a="1"/>
  <c r="V258" i="2" s="1"/>
  <c r="T258" i="2" a="1"/>
  <c r="T258" i="2" s="1"/>
  <c r="N218" i="2" a="1"/>
  <c r="N218" i="2" s="1"/>
  <c r="P218" i="2" a="1"/>
  <c r="P218" i="2" s="1"/>
  <c r="AF253" i="2" a="1"/>
  <c r="AF253" i="2" s="1"/>
  <c r="AH253" i="2" a="1"/>
  <c r="AH253" i="2" s="1"/>
  <c r="Z198" i="2" a="1"/>
  <c r="Z198" i="2" s="1"/>
  <c r="AB198" i="2" a="1"/>
  <c r="AB198" i="2" s="1"/>
  <c r="AH233" i="2" a="1"/>
  <c r="AH233" i="2" s="1"/>
  <c r="AF233" i="2" a="1"/>
  <c r="AF233" i="2" s="1"/>
  <c r="AI136" i="2" a="1"/>
  <c r="AI136" i="2" s="1"/>
  <c r="AK136" i="2" a="1"/>
  <c r="AK136" i="2" s="1"/>
  <c r="AL118" i="2" a="1"/>
  <c r="AL118" i="2" s="1"/>
  <c r="AN118" i="2" a="1"/>
  <c r="AN118" i="2" s="1"/>
  <c r="W168" i="2" a="1"/>
  <c r="W168" i="2" s="1"/>
  <c r="Y168" i="2" a="1"/>
  <c r="Y168" i="2" s="1"/>
  <c r="Q209" i="2" a="1"/>
  <c r="Q209" i="2" s="1"/>
  <c r="S209" i="2" a="1"/>
  <c r="S209" i="2" s="1"/>
  <c r="Z251" i="2" a="1"/>
  <c r="Z251" i="2" s="1"/>
  <c r="AB251" i="2" a="1"/>
  <c r="AB251" i="2" s="1"/>
  <c r="G246" i="2" a="1"/>
  <c r="G246" i="2" s="1"/>
  <c r="E246" i="2" a="1"/>
  <c r="E246" i="2" s="1"/>
  <c r="AH267" i="2" a="1"/>
  <c r="AH267" i="2" s="1"/>
  <c r="AF267" i="2" a="1"/>
  <c r="AF267" i="2" s="1"/>
  <c r="AE119" i="2" a="1"/>
  <c r="AE119" i="2" s="1"/>
  <c r="AC119" i="2" a="1"/>
  <c r="AC119" i="2" s="1"/>
  <c r="E143" i="2" a="1"/>
  <c r="E143" i="2" s="1"/>
  <c r="G143" i="2" a="1"/>
  <c r="G143" i="2" s="1"/>
  <c r="AC131" i="2" a="1"/>
  <c r="AC131" i="2" s="1"/>
  <c r="AE131" i="2" a="1"/>
  <c r="AE131" i="2" s="1"/>
  <c r="Q146" i="2" a="1"/>
  <c r="Q146" i="2" s="1"/>
  <c r="S146" i="2" a="1"/>
  <c r="S146" i="2" s="1"/>
  <c r="S234" i="2" a="1"/>
  <c r="S234" i="2" s="1"/>
  <c r="Q234" i="2" a="1"/>
  <c r="Q234" i="2" s="1"/>
  <c r="AK193" i="2" a="1"/>
  <c r="AK193" i="2" s="1"/>
  <c r="AI193" i="2" a="1"/>
  <c r="AI193" i="2" s="1"/>
  <c r="E218" i="2" a="1"/>
  <c r="E218" i="2" s="1"/>
  <c r="G218" i="2" a="1"/>
  <c r="G218" i="2" s="1"/>
  <c r="W185" i="2" a="1"/>
  <c r="W185" i="2" s="1"/>
  <c r="Y185" i="2" a="1"/>
  <c r="Y185" i="2" s="1"/>
  <c r="AE191" i="2" a="1"/>
  <c r="AE191" i="2" s="1"/>
  <c r="AC191" i="2" a="1"/>
  <c r="AC191" i="2" s="1"/>
  <c r="N267" i="2" a="1"/>
  <c r="N267" i="2" s="1"/>
  <c r="P267" i="2" a="1"/>
  <c r="P267" i="2" s="1"/>
  <c r="J266" i="2" a="1"/>
  <c r="J266" i="2" s="1"/>
  <c r="H266" i="2" a="1"/>
  <c r="H266" i="2" s="1"/>
  <c r="P192" i="2" a="1"/>
  <c r="P192" i="2" s="1"/>
  <c r="N192" i="2" a="1"/>
  <c r="N192" i="2" s="1"/>
  <c r="S108" i="2" a="1"/>
  <c r="S108" i="2" s="1"/>
  <c r="Q108" i="2" a="1"/>
  <c r="Q108" i="2" s="1"/>
  <c r="G162" i="2" a="1"/>
  <c r="G162" i="2" s="1"/>
  <c r="E162" i="2" a="1"/>
  <c r="E162" i="2" s="1"/>
  <c r="AK254" i="2" a="1"/>
  <c r="AK254" i="2" s="1"/>
  <c r="AI254" i="2" a="1"/>
  <c r="AI254" i="2" s="1"/>
  <c r="AE210" i="2" a="1"/>
  <c r="AE210" i="2" s="1"/>
  <c r="AC210" i="2" a="1"/>
  <c r="AC210" i="2" s="1"/>
  <c r="Y256" i="2" a="1"/>
  <c r="Y256" i="2" s="1"/>
  <c r="W256" i="2" a="1"/>
  <c r="W256" i="2" s="1"/>
  <c r="P191" i="2" a="1"/>
  <c r="P191" i="2" s="1"/>
  <c r="N191" i="2" a="1"/>
  <c r="N191" i="2" s="1"/>
  <c r="Z150" i="2" a="1"/>
  <c r="Z150" i="2" s="1"/>
  <c r="AB150" i="2" a="1"/>
  <c r="AB150" i="2" s="1"/>
  <c r="AF219" i="2" a="1"/>
  <c r="AF219" i="2" s="1"/>
  <c r="AH219" i="2" a="1"/>
  <c r="AH219" i="2" s="1"/>
  <c r="AH93" i="2" a="1"/>
  <c r="AH93" i="2" s="1"/>
  <c r="AF93" i="2" a="1"/>
  <c r="AF93" i="2" s="1"/>
  <c r="Q228" i="2" a="1"/>
  <c r="Q228" i="2" s="1"/>
  <c r="S228" i="2" a="1"/>
  <c r="S228" i="2" s="1"/>
  <c r="AI211" i="2" a="1"/>
  <c r="AI211" i="2" s="1"/>
  <c r="AK211" i="2" a="1"/>
  <c r="AK211" i="2" s="1"/>
  <c r="G121" i="2" a="1"/>
  <c r="G121" i="2" s="1"/>
  <c r="E121" i="2" a="1"/>
  <c r="E121" i="2" s="1"/>
  <c r="G196" i="2" a="1"/>
  <c r="G196" i="2" s="1"/>
  <c r="E196" i="2" a="1"/>
  <c r="E196" i="2" s="1"/>
  <c r="V217" i="2" a="1"/>
  <c r="V217" i="2" s="1"/>
  <c r="T217" i="2" a="1"/>
  <c r="T217" i="2" s="1"/>
  <c r="N110" i="2" a="1"/>
  <c r="N110" i="2" s="1"/>
  <c r="P110" i="2" a="1"/>
  <c r="P110" i="2" s="1"/>
  <c r="AH212" i="2" a="1"/>
  <c r="AH212" i="2" s="1"/>
  <c r="AF212" i="2" a="1"/>
  <c r="AF212" i="2" s="1"/>
  <c r="AC115" i="2" a="1"/>
  <c r="AC115" i="2" s="1"/>
  <c r="AE115" i="2" a="1"/>
  <c r="AE115" i="2" s="1"/>
  <c r="AC255" i="2" a="1"/>
  <c r="AC255" i="2" s="1"/>
  <c r="AE255" i="2" a="1"/>
  <c r="AE255" i="2" s="1"/>
  <c r="AK205" i="2" a="1"/>
  <c r="AK205" i="2" s="1"/>
  <c r="AI205" i="2" a="1"/>
  <c r="AI205" i="2" s="1"/>
  <c r="J91" i="2" a="1"/>
  <c r="J91" i="2" s="1"/>
  <c r="H91" i="2" a="1"/>
  <c r="H91" i="2" s="1"/>
  <c r="AE98" i="2" a="1"/>
  <c r="AE98" i="2" s="1"/>
  <c r="AC98" i="2" a="1"/>
  <c r="AC98" i="2" s="1"/>
  <c r="M183" i="2" a="1"/>
  <c r="M183" i="2" s="1"/>
  <c r="K183" i="2" a="1"/>
  <c r="K183" i="2" s="1"/>
  <c r="Q267" i="2" a="1"/>
  <c r="Q267" i="2" s="1"/>
  <c r="S267" i="2" a="1"/>
  <c r="S267" i="2" s="1"/>
  <c r="W184" i="2" a="1"/>
  <c r="W184" i="2" s="1"/>
  <c r="Y184" i="2" a="1"/>
  <c r="Y184" i="2" s="1"/>
  <c r="P257" i="2" a="1"/>
  <c r="P257" i="2" s="1"/>
  <c r="N257" i="2" a="1"/>
  <c r="N257" i="2" s="1"/>
  <c r="AI249" i="2" a="1"/>
  <c r="AI249" i="2" s="1"/>
  <c r="AK249" i="2" a="1"/>
  <c r="AK249" i="2" s="1"/>
  <c r="M122" i="2" a="1"/>
  <c r="M122" i="2" s="1"/>
  <c r="K122" i="2" a="1"/>
  <c r="K122" i="2" s="1"/>
  <c r="AN151" i="2" a="1"/>
  <c r="AN151" i="2" s="1"/>
  <c r="AL151" i="2" a="1"/>
  <c r="AL151" i="2" s="1"/>
  <c r="E233" i="2" a="1"/>
  <c r="E233" i="2" s="1"/>
  <c r="G233" i="2" a="1"/>
  <c r="G233" i="2" s="1"/>
  <c r="K165" i="2" a="1"/>
  <c r="K165" i="2" s="1"/>
  <c r="M165" i="2" a="1"/>
  <c r="M165" i="2" s="1"/>
  <c r="V105" i="2" a="1"/>
  <c r="V105" i="2" s="1"/>
  <c r="T105" i="2" a="1"/>
  <c r="T105" i="2" s="1"/>
  <c r="Y179" i="2" a="1"/>
  <c r="Y179" i="2" s="1"/>
  <c r="W179" i="2" a="1"/>
  <c r="W179" i="2" s="1"/>
  <c r="G248" i="2" a="1"/>
  <c r="G248" i="2" s="1"/>
  <c r="E248" i="2" a="1"/>
  <c r="E248" i="2" s="1"/>
  <c r="Q269" i="2" a="1"/>
  <c r="Q269" i="2" s="1"/>
  <c r="S269" i="2" a="1"/>
  <c r="S269" i="2" s="1"/>
  <c r="E179" i="2" a="1"/>
  <c r="E179" i="2" s="1"/>
  <c r="G179" i="2" a="1"/>
  <c r="G179" i="2" s="1"/>
  <c r="AF169" i="2" a="1"/>
  <c r="AF169" i="2" s="1"/>
  <c r="AH169" i="2" a="1"/>
  <c r="AH169" i="2" s="1"/>
  <c r="P151" i="2" a="1"/>
  <c r="P151" i="2" s="1"/>
  <c r="N151" i="2" a="1"/>
  <c r="N151" i="2" s="1"/>
  <c r="Q148" i="2" a="1"/>
  <c r="Q148" i="2" s="1"/>
  <c r="S148" i="2" a="1"/>
  <c r="S148" i="2" s="1"/>
  <c r="AL247" i="2" a="1"/>
  <c r="AL247" i="2" s="1"/>
  <c r="AN247" i="2" a="1"/>
  <c r="AN247" i="2" s="1"/>
  <c r="M147" i="2" a="1"/>
  <c r="M147" i="2" s="1"/>
  <c r="K147" i="2" a="1"/>
  <c r="K147" i="2" s="1"/>
  <c r="J190" i="2" a="1"/>
  <c r="J190" i="2" s="1"/>
  <c r="H190" i="2" a="1"/>
  <c r="H190" i="2" s="1"/>
  <c r="H121" i="2" a="1"/>
  <c r="H121" i="2" s="1"/>
  <c r="J121" i="2" a="1"/>
  <c r="J121" i="2" s="1"/>
  <c r="K134" i="2" a="1"/>
  <c r="K134" i="2" s="1"/>
  <c r="M134" i="2" a="1"/>
  <c r="M134" i="2" s="1"/>
  <c r="AI121" i="2" a="1"/>
  <c r="AI121" i="2" s="1"/>
  <c r="AK121" i="2" a="1"/>
  <c r="AK121" i="2" s="1"/>
  <c r="T99" i="2" a="1"/>
  <c r="T99" i="2" s="1"/>
  <c r="V99" i="2" a="1"/>
  <c r="V99" i="2" s="1"/>
  <c r="V189" i="2" a="1"/>
  <c r="V189" i="2" s="1"/>
  <c r="T189" i="2" a="1"/>
  <c r="T189" i="2" s="1"/>
  <c r="H115" i="2" a="1"/>
  <c r="H115" i="2" s="1"/>
  <c r="J115" i="2" a="1"/>
  <c r="J115" i="2" s="1"/>
  <c r="V143" i="2" a="1"/>
  <c r="V143" i="2" s="1"/>
  <c r="T143" i="2" a="1"/>
  <c r="T143" i="2" s="1"/>
  <c r="AB231" i="2" a="1"/>
  <c r="AB231" i="2" s="1"/>
  <c r="Z231" i="2" a="1"/>
  <c r="Z231" i="2" s="1"/>
  <c r="AH231" i="2" a="1"/>
  <c r="AH231" i="2" s="1"/>
  <c r="AF231" i="2" a="1"/>
  <c r="AF231" i="2" s="1"/>
  <c r="S102" i="2" a="1"/>
  <c r="S102" i="2" s="1"/>
  <c r="Q102" i="2" a="1"/>
  <c r="Q102" i="2" s="1"/>
  <c r="W171" i="2" a="1"/>
  <c r="W171" i="2" s="1"/>
  <c r="Y171" i="2" a="1"/>
  <c r="Y171" i="2" s="1"/>
  <c r="Y199" i="2" a="1"/>
  <c r="Y199" i="2" s="1"/>
  <c r="W199" i="2" a="1"/>
  <c r="W199" i="2" s="1"/>
  <c r="AF95" i="2" a="1"/>
  <c r="AF95" i="2" s="1"/>
  <c r="AH95" i="2" a="1"/>
  <c r="AH95" i="2" s="1"/>
  <c r="N252" i="2" a="1"/>
  <c r="N252" i="2" s="1"/>
  <c r="P252" i="2" a="1"/>
  <c r="P252" i="2" s="1"/>
  <c r="Z159" i="2" a="1"/>
  <c r="Z159" i="2" s="1"/>
  <c r="AB159" i="2" a="1"/>
  <c r="AB159" i="2" s="1"/>
  <c r="AI188" i="2" a="1"/>
  <c r="AI188" i="2" s="1"/>
  <c r="AK188" i="2" a="1"/>
  <c r="AK188" i="2" s="1"/>
  <c r="AE95" i="2" a="1"/>
  <c r="AE95" i="2" s="1"/>
  <c r="AC95" i="2" a="1"/>
  <c r="AC95" i="2" s="1"/>
  <c r="AC176" i="2" a="1"/>
  <c r="AC176" i="2" s="1"/>
  <c r="AE176" i="2" a="1"/>
  <c r="AE176" i="2" s="1"/>
  <c r="AI145" i="2" a="1"/>
  <c r="AI145" i="2" s="1"/>
  <c r="AK145" i="2" a="1"/>
  <c r="AK145" i="2" s="1"/>
  <c r="W198" i="2" a="1"/>
  <c r="W198" i="2" s="1"/>
  <c r="Y198" i="2" a="1"/>
  <c r="Y198" i="2" s="1"/>
  <c r="AC268" i="2" a="1"/>
  <c r="AC268" i="2" s="1"/>
  <c r="AE268" i="2" a="1"/>
  <c r="AE268" i="2" s="1"/>
  <c r="AN97" i="2" a="1"/>
  <c r="AN97" i="2" s="1"/>
  <c r="AL97" i="2" a="1"/>
  <c r="AL97" i="2" s="1"/>
  <c r="AC141" i="2" a="1"/>
  <c r="AC141" i="2" s="1"/>
  <c r="AE141" i="2" a="1"/>
  <c r="AE141" i="2" s="1"/>
  <c r="Z248" i="2" a="1"/>
  <c r="Z248" i="2" s="1"/>
  <c r="AB248" i="2" a="1"/>
  <c r="AB248" i="2" s="1"/>
  <c r="AE230" i="2" a="1"/>
  <c r="AE230" i="2" s="1"/>
  <c r="AC230" i="2" a="1"/>
  <c r="AC230" i="2" s="1"/>
  <c r="S172" i="2" a="1"/>
  <c r="S172" i="2" s="1"/>
  <c r="Q172" i="2" a="1"/>
  <c r="Q172" i="2" s="1"/>
  <c r="T184" i="2" a="1"/>
  <c r="T184" i="2" s="1"/>
  <c r="V184" i="2" a="1"/>
  <c r="V184" i="2" s="1"/>
  <c r="AK113" i="2" a="1"/>
  <c r="AK113" i="2" s="1"/>
  <c r="AI113" i="2" a="1"/>
  <c r="AI113" i="2" s="1"/>
  <c r="K259" i="2" a="1"/>
  <c r="K259" i="2" s="1"/>
  <c r="M259" i="2" a="1"/>
  <c r="M259" i="2" s="1"/>
  <c r="AK234" i="2" a="1"/>
  <c r="AK234" i="2" s="1"/>
  <c r="AI234" i="2" a="1"/>
  <c r="AI234" i="2" s="1"/>
  <c r="S151" i="2" a="1"/>
  <c r="S151" i="2" s="1"/>
  <c r="Q151" i="2" a="1"/>
  <c r="Q151" i="2" s="1"/>
  <c r="N118" i="2" a="1"/>
  <c r="N118" i="2" s="1"/>
  <c r="P118" i="2" a="1"/>
  <c r="P118" i="2" s="1"/>
  <c r="N183" i="2" a="1"/>
  <c r="N183" i="2" s="1"/>
  <c r="P183" i="2" a="1"/>
  <c r="P183" i="2" s="1"/>
  <c r="AC263" i="2" a="1"/>
  <c r="AC263" i="2" s="1"/>
  <c r="AE263" i="2" a="1"/>
  <c r="AE263" i="2" s="1"/>
  <c r="H205" i="2" a="1"/>
  <c r="H205" i="2" s="1"/>
  <c r="J205" i="2" a="1"/>
  <c r="J205" i="2" s="1"/>
  <c r="T164" i="2" a="1"/>
  <c r="T164" i="2" s="1"/>
  <c r="V164" i="2" a="1"/>
  <c r="V164" i="2" s="1"/>
  <c r="AF229" i="2" a="1"/>
  <c r="AF229" i="2" s="1"/>
  <c r="AH229" i="2" a="1"/>
  <c r="AH229" i="2" s="1"/>
  <c r="AK204" i="2" a="1"/>
  <c r="AK204" i="2" s="1"/>
  <c r="AI204" i="2" a="1"/>
  <c r="AI204" i="2" s="1"/>
  <c r="AH263" i="2" a="1"/>
  <c r="AH263" i="2" s="1"/>
  <c r="AF263" i="2" a="1"/>
  <c r="AF263" i="2" s="1"/>
  <c r="Y218" i="2" a="1"/>
  <c r="Y218" i="2" s="1"/>
  <c r="W218" i="2" a="1"/>
  <c r="W218" i="2" s="1"/>
  <c r="Z267" i="2" a="1"/>
  <c r="Z267" i="2" s="1"/>
  <c r="AB267" i="2" a="1"/>
  <c r="AB267" i="2" s="1"/>
  <c r="N159" i="2" a="1"/>
  <c r="N159" i="2" s="1"/>
  <c r="P159" i="2" a="1"/>
  <c r="P159" i="2" s="1"/>
  <c r="G130" i="2" a="1"/>
  <c r="G130" i="2" s="1"/>
  <c r="E130" i="2" a="1"/>
  <c r="E130" i="2" s="1"/>
  <c r="J111" i="2" a="1"/>
  <c r="J111" i="2" s="1"/>
  <c r="H111" i="2" a="1"/>
  <c r="H111" i="2" s="1"/>
  <c r="J265" i="2" a="1"/>
  <c r="J265" i="2" s="1"/>
  <c r="H265" i="2" a="1"/>
  <c r="H265" i="2" s="1"/>
  <c r="E269" i="2" a="1"/>
  <c r="E269" i="2" s="1"/>
  <c r="G269" i="2" a="1"/>
  <c r="G269" i="2" s="1"/>
  <c r="AN135" i="2" a="1"/>
  <c r="AN135" i="2" s="1"/>
  <c r="AL135" i="2" a="1"/>
  <c r="AL135" i="2" s="1"/>
  <c r="AH220" i="2" a="1"/>
  <c r="AH220" i="2" s="1"/>
  <c r="AF220" i="2" a="1"/>
  <c r="AF220" i="2" s="1"/>
  <c r="AH192" i="2" a="1"/>
  <c r="AH192" i="2" s="1"/>
  <c r="AF192" i="2" a="1"/>
  <c r="AF192" i="2" s="1"/>
  <c r="N265" i="2" a="1"/>
  <c r="N265" i="2" s="1"/>
  <c r="P265" i="2" a="1"/>
  <c r="P265" i="2" s="1"/>
  <c r="N269" i="2" a="1"/>
  <c r="N269" i="2" s="1"/>
  <c r="P269" i="2" a="1"/>
  <c r="P269" i="2" s="1"/>
  <c r="W241" i="2" a="1"/>
  <c r="W241" i="2" s="1"/>
  <c r="Y241" i="2" a="1"/>
  <c r="Y241" i="2" s="1"/>
  <c r="Q236" i="2" a="1"/>
  <c r="Q236" i="2" s="1"/>
  <c r="S236" i="2" a="1"/>
  <c r="S236" i="2" s="1"/>
  <c r="AC262" i="2" a="1"/>
  <c r="AC262" i="2" s="1"/>
  <c r="AE262" i="2" a="1"/>
  <c r="AE262" i="2" s="1"/>
  <c r="V116" i="2" a="1"/>
  <c r="V116" i="2" s="1"/>
  <c r="T116" i="2" a="1"/>
  <c r="T116" i="2" s="1"/>
  <c r="AC203" i="2" a="1"/>
  <c r="AC203" i="2" s="1"/>
  <c r="AE203" i="2" a="1"/>
  <c r="AE203" i="2" s="1"/>
  <c r="AN160" i="2" a="1"/>
  <c r="AN160" i="2" s="1"/>
  <c r="AL160" i="2" a="1"/>
  <c r="AL160" i="2" s="1"/>
  <c r="AK104" i="2" a="1"/>
  <c r="AK104" i="2" s="1"/>
  <c r="AI104" i="2" a="1"/>
  <c r="AI104" i="2" s="1"/>
  <c r="M222" i="2" a="1"/>
  <c r="M222" i="2" s="1"/>
  <c r="K222" i="2" a="1"/>
  <c r="K222" i="2" s="1"/>
  <c r="AE259" i="2" a="1"/>
  <c r="AE259" i="2" s="1"/>
  <c r="AC259" i="2" a="1"/>
  <c r="AC259" i="2" s="1"/>
  <c r="AL149" i="2" a="1"/>
  <c r="AL149" i="2" s="1"/>
  <c r="AN149" i="2" a="1"/>
  <c r="AN149" i="2" s="1"/>
  <c r="Q273" i="2" a="1"/>
  <c r="Q273" i="2" s="1"/>
  <c r="S273" i="2" a="1"/>
  <c r="S273" i="2" s="1"/>
  <c r="P128" i="2" a="1"/>
  <c r="P128" i="2" s="1"/>
  <c r="N128" i="2" a="1"/>
  <c r="N128" i="2" s="1"/>
  <c r="S163" i="2" a="1"/>
  <c r="S163" i="2" s="1"/>
  <c r="Q163" i="2" a="1"/>
  <c r="Q163" i="2" s="1"/>
  <c r="AL225" i="2" a="1"/>
  <c r="AL225" i="2" s="1"/>
  <c r="AN225" i="2" a="1"/>
  <c r="AN225" i="2" s="1"/>
  <c r="Y270" i="2" a="1"/>
  <c r="Y270" i="2" s="1"/>
  <c r="W270" i="2" a="1"/>
  <c r="W270" i="2" s="1"/>
  <c r="V97" i="2" a="1"/>
  <c r="V97" i="2" s="1"/>
  <c r="T97" i="2" a="1"/>
  <c r="T97" i="2" s="1"/>
  <c r="J145" i="2" a="1"/>
  <c r="J145" i="2" s="1"/>
  <c r="H145" i="2" a="1"/>
  <c r="H145" i="2" s="1"/>
  <c r="AC243" i="2" a="1"/>
  <c r="AC243" i="2" s="1"/>
  <c r="AE243" i="2" a="1"/>
  <c r="AE243" i="2" s="1"/>
  <c r="AK163" i="2" a="1"/>
  <c r="AK163" i="2" s="1"/>
  <c r="AI163" i="2" a="1"/>
  <c r="AI163" i="2" s="1"/>
  <c r="Y234" i="2" a="1"/>
  <c r="Y234" i="2" s="1"/>
  <c r="W234" i="2" a="1"/>
  <c r="W234" i="2" s="1"/>
  <c r="J221" i="2" a="1"/>
  <c r="J221" i="2" s="1"/>
  <c r="H221" i="2" a="1"/>
  <c r="H221" i="2" s="1"/>
  <c r="Z119" i="2" a="1"/>
  <c r="Z119" i="2" s="1"/>
  <c r="AB119" i="2" a="1"/>
  <c r="AB119" i="2" s="1"/>
  <c r="Z250" i="2" a="1"/>
  <c r="Z250" i="2" s="1"/>
  <c r="AB250" i="2" a="1"/>
  <c r="AB250" i="2" s="1"/>
  <c r="AN229" i="2" a="1"/>
  <c r="AN229" i="2" s="1"/>
  <c r="AL229" i="2" a="1"/>
  <c r="AL229" i="2" s="1"/>
  <c r="M105" i="2" a="1"/>
  <c r="M105" i="2" s="1"/>
  <c r="K105" i="2" a="1"/>
  <c r="K105" i="2" s="1"/>
  <c r="Q173" i="2" a="1"/>
  <c r="Q173" i="2" s="1"/>
  <c r="S173" i="2" a="1"/>
  <c r="S173" i="2" s="1"/>
  <c r="Y116" i="2" a="1"/>
  <c r="Y116" i="2" s="1"/>
  <c r="W116" i="2" a="1"/>
  <c r="W116" i="2" s="1"/>
  <c r="AH265" i="2" a="1"/>
  <c r="AH265" i="2" s="1"/>
  <c r="AF265" i="2" a="1"/>
  <c r="AF265" i="2" s="1"/>
  <c r="AB199" i="2" a="1"/>
  <c r="AB199" i="2" s="1"/>
  <c r="Z199" i="2" a="1"/>
  <c r="Z199" i="2" s="1"/>
  <c r="V211" i="2" a="1"/>
  <c r="V211" i="2" s="1"/>
  <c r="T211" i="2" a="1"/>
  <c r="T211" i="2" s="1"/>
  <c r="W222" i="2" a="1"/>
  <c r="W222" i="2" s="1"/>
  <c r="Y222" i="2" a="1"/>
  <c r="Y222" i="2" s="1"/>
  <c r="Y151" i="2" a="1"/>
  <c r="Y151" i="2" s="1"/>
  <c r="W151" i="2" a="1"/>
  <c r="W151" i="2" s="1"/>
  <c r="AN142" i="2" a="1"/>
  <c r="AN142" i="2" s="1"/>
  <c r="AL142" i="2" a="1"/>
  <c r="AL142" i="2" s="1"/>
  <c r="H180" i="2" a="1"/>
  <c r="H180" i="2" s="1"/>
  <c r="J180" i="2" a="1"/>
  <c r="J180" i="2" s="1"/>
  <c r="W259" i="2" a="1"/>
  <c r="W259" i="2" s="1"/>
  <c r="Y259" i="2" a="1"/>
  <c r="Y259" i="2" s="1"/>
  <c r="AE233" i="2" a="1"/>
  <c r="AE233" i="2" s="1"/>
  <c r="AC233" i="2" a="1"/>
  <c r="AC233" i="2" s="1"/>
  <c r="T104" i="2" a="1"/>
  <c r="T104" i="2" s="1"/>
  <c r="V104" i="2" a="1"/>
  <c r="V104" i="2" s="1"/>
  <c r="Q221" i="2" a="1"/>
  <c r="Q221" i="2" s="1"/>
  <c r="S221" i="2" a="1"/>
  <c r="S221" i="2" s="1"/>
  <c r="M218" i="2" a="1"/>
  <c r="M218" i="2" s="1"/>
  <c r="K218" i="2" a="1"/>
  <c r="K218" i="2" s="1"/>
  <c r="P108" i="2" a="1"/>
  <c r="P108" i="2" s="1"/>
  <c r="N108" i="2" a="1"/>
  <c r="N108" i="2" s="1"/>
  <c r="J99" i="2" a="1"/>
  <c r="J99" i="2" s="1"/>
  <c r="H99" i="2" a="1"/>
  <c r="H99" i="2" s="1"/>
  <c r="H187" i="2" a="1"/>
  <c r="H187" i="2" s="1"/>
  <c r="J187" i="2" a="1"/>
  <c r="J187" i="2" s="1"/>
  <c r="N262" i="2" a="1"/>
  <c r="N262" i="2" s="1"/>
  <c r="P262" i="2" a="1"/>
  <c r="P262" i="2" s="1"/>
  <c r="Z252" i="2" a="1"/>
  <c r="Z252" i="2" s="1"/>
  <c r="AB252" i="2" a="1"/>
  <c r="AB252" i="2" s="1"/>
  <c r="Z175" i="2" a="1"/>
  <c r="Z175" i="2" s="1"/>
  <c r="AB175" i="2" a="1"/>
  <c r="AB175" i="2" s="1"/>
  <c r="AI217" i="2" a="1"/>
  <c r="AI217" i="2" s="1"/>
  <c r="AK217" i="2" a="1"/>
  <c r="AK217" i="2" s="1"/>
  <c r="G136" i="2" a="1"/>
  <c r="G136" i="2" s="1"/>
  <c r="E136" i="2" a="1"/>
  <c r="E136" i="2" s="1"/>
  <c r="AL133" i="2" a="1"/>
  <c r="AL133" i="2" s="1"/>
  <c r="AN133" i="2" a="1"/>
  <c r="AN133" i="2" s="1"/>
  <c r="AI112" i="2" a="1"/>
  <c r="AI112" i="2" s="1"/>
  <c r="AK112" i="2" a="1"/>
  <c r="AK112" i="2" s="1"/>
  <c r="E98" i="2" a="1"/>
  <c r="E98" i="2" s="1"/>
  <c r="G98" i="2" a="1"/>
  <c r="G98" i="2" s="1"/>
  <c r="AF139" i="2" a="1"/>
  <c r="AF139" i="2" s="1"/>
  <c r="AH139" i="2" a="1"/>
  <c r="AH139" i="2" s="1"/>
  <c r="AF89" i="2" a="1"/>
  <c r="AF89" i="2" s="1"/>
  <c r="AH89" i="2" a="1"/>
  <c r="AH89" i="2" s="1"/>
  <c r="K234" i="2" a="1"/>
  <c r="K234" i="2" s="1"/>
  <c r="M234" i="2" a="1"/>
  <c r="M234" i="2" s="1"/>
  <c r="J101" i="2" a="1"/>
  <c r="J101" i="2" s="1"/>
  <c r="H101" i="2" a="1"/>
  <c r="H101" i="2" s="1"/>
  <c r="Z269" i="2" a="1"/>
  <c r="Z269" i="2" s="1"/>
  <c r="AB269" i="2" a="1"/>
  <c r="AB269" i="2" s="1"/>
  <c r="AF140" i="2" a="1"/>
  <c r="AF140" i="2" s="1"/>
  <c r="AH140" i="2" a="1"/>
  <c r="AH140" i="2" s="1"/>
  <c r="Y145" i="2" a="1"/>
  <c r="Y145" i="2" s="1"/>
  <c r="W145" i="2" a="1"/>
  <c r="W145" i="2" s="1"/>
  <c r="Q106" i="2" a="1"/>
  <c r="Q106" i="2" s="1"/>
  <c r="S106" i="2" a="1"/>
  <c r="S106" i="2" s="1"/>
  <c r="K238" i="2" a="1"/>
  <c r="K238" i="2" s="1"/>
  <c r="M238" i="2" a="1"/>
  <c r="M238" i="2" s="1"/>
  <c r="AL270" i="2" a="1"/>
  <c r="AL270" i="2" s="1"/>
  <c r="AN270" i="2" a="1"/>
  <c r="AN270" i="2" s="1"/>
  <c r="AK151" i="2" a="1"/>
  <c r="AK151" i="2" s="1"/>
  <c r="AI151" i="2" a="1"/>
  <c r="AI151" i="2" s="1"/>
  <c r="P203" i="2" a="1"/>
  <c r="P203" i="2" s="1"/>
  <c r="N203" i="2" a="1"/>
  <c r="N203" i="2" s="1"/>
  <c r="Q168" i="2" a="1"/>
  <c r="Q168" i="2" s="1"/>
  <c r="S168" i="2" a="1"/>
  <c r="S168" i="2" s="1"/>
  <c r="Y203" i="2" a="1"/>
  <c r="Y203" i="2" s="1"/>
  <c r="W203" i="2" a="1"/>
  <c r="W203" i="2" s="1"/>
  <c r="Q175" i="2" a="1"/>
  <c r="Q175" i="2" s="1"/>
  <c r="S175" i="2" a="1"/>
  <c r="S175" i="2" s="1"/>
  <c r="AK199" i="2" a="1"/>
  <c r="AK199" i="2" s="1"/>
  <c r="AI199" i="2" a="1"/>
  <c r="AI199" i="2" s="1"/>
  <c r="AH194" i="2" a="1"/>
  <c r="AH194" i="2" s="1"/>
  <c r="AF194" i="2" a="1"/>
  <c r="AF194" i="2" s="1"/>
  <c r="AH268" i="2" a="1"/>
  <c r="AH268" i="2" s="1"/>
  <c r="AF268" i="2" a="1"/>
  <c r="AF268" i="2" s="1"/>
  <c r="AF175" i="2" a="1"/>
  <c r="AF175" i="2" s="1"/>
  <c r="AH175" i="2" a="1"/>
  <c r="AH175" i="2" s="1"/>
  <c r="AN130" i="2" a="1"/>
  <c r="AN130" i="2" s="1"/>
  <c r="AL130" i="2" a="1"/>
  <c r="AL130" i="2" s="1"/>
  <c r="W112" i="2" a="1"/>
  <c r="W112" i="2" s="1"/>
  <c r="Y112" i="2" a="1"/>
  <c r="Y112" i="2" s="1"/>
  <c r="AC239" i="2" a="1"/>
  <c r="AC239" i="2" s="1"/>
  <c r="AE239" i="2" a="1"/>
  <c r="AE239" i="2" s="1"/>
  <c r="Y189" i="2" a="1"/>
  <c r="Y189" i="2" s="1"/>
  <c r="W189" i="2" a="1"/>
  <c r="W189" i="2" s="1"/>
  <c r="H204" i="2" a="1"/>
  <c r="H204" i="2" s="1"/>
  <c r="J204" i="2" a="1"/>
  <c r="J204" i="2" s="1"/>
  <c r="AH170" i="2" a="1"/>
  <c r="AH170" i="2" s="1"/>
  <c r="AF170" i="2" a="1"/>
  <c r="AF170" i="2" s="1"/>
  <c r="AN212" i="2" a="1"/>
  <c r="AN212" i="2" s="1"/>
  <c r="AL212" i="2" a="1"/>
  <c r="AL212" i="2" s="1"/>
  <c r="AK118" i="2" a="1"/>
  <c r="AK118" i="2" s="1"/>
  <c r="AI118" i="2" a="1"/>
  <c r="AI118" i="2" s="1"/>
  <c r="AN154" i="2" a="1"/>
  <c r="AN154" i="2" s="1"/>
  <c r="AL154" i="2" a="1"/>
  <c r="AL154" i="2" s="1"/>
  <c r="J224" i="2" a="1"/>
  <c r="J224" i="2" s="1"/>
  <c r="H224" i="2" a="1"/>
  <c r="H224" i="2" s="1"/>
  <c r="T182" i="2" a="1"/>
  <c r="T182" i="2" s="1"/>
  <c r="V182" i="2" a="1"/>
  <c r="V182" i="2" s="1"/>
  <c r="T136" i="2" a="1"/>
  <c r="T136" i="2" s="1"/>
  <c r="V136" i="2" a="1"/>
  <c r="V136" i="2" s="1"/>
  <c r="AE178" i="2" a="1"/>
  <c r="AE178" i="2" s="1"/>
  <c r="AC178" i="2" a="1"/>
  <c r="AC178" i="2" s="1"/>
  <c r="P178" i="2" a="1"/>
  <c r="P178" i="2" s="1"/>
  <c r="N178" i="2" a="1"/>
  <c r="N178" i="2" s="1"/>
  <c r="N200" i="2" a="1"/>
  <c r="N200" i="2" s="1"/>
  <c r="P200" i="2" a="1"/>
  <c r="P200" i="2" s="1"/>
  <c r="AI227" i="2" a="1"/>
  <c r="AI227" i="2" s="1"/>
  <c r="AK227" i="2" a="1"/>
  <c r="AK227" i="2" s="1"/>
  <c r="J261" i="2" a="1"/>
  <c r="J261" i="2" s="1"/>
  <c r="H261" i="2" a="1"/>
  <c r="H261" i="2" s="1"/>
  <c r="G161" i="2" a="1"/>
  <c r="G161" i="2" s="1"/>
  <c r="E161" i="2" a="1"/>
  <c r="E161" i="2" s="1"/>
  <c r="K188" i="2" a="1"/>
  <c r="K188" i="2" s="1"/>
  <c r="M188" i="2" a="1"/>
  <c r="M188" i="2" s="1"/>
  <c r="J232" i="2" a="1"/>
  <c r="J232" i="2" s="1"/>
  <c r="H232" i="2" a="1"/>
  <c r="H232" i="2" s="1"/>
  <c r="AE251" i="2" a="1"/>
  <c r="AE251" i="2" s="1"/>
  <c r="AC251" i="2" a="1"/>
  <c r="AC251" i="2" s="1"/>
  <c r="AN141" i="2" a="1"/>
  <c r="AN141" i="2" s="1"/>
  <c r="AL141" i="2" a="1"/>
  <c r="AL141" i="2" s="1"/>
  <c r="J118" i="2" a="1"/>
  <c r="J118" i="2" s="1"/>
  <c r="H118" i="2" a="1"/>
  <c r="H118" i="2" s="1"/>
  <c r="G101" i="2" a="1"/>
  <c r="G101" i="2" s="1"/>
  <c r="E101" i="2" a="1"/>
  <c r="E101" i="2" s="1"/>
  <c r="Y181" i="2" a="1"/>
  <c r="Y181" i="2" s="1"/>
  <c r="W181" i="2" a="1"/>
  <c r="W181" i="2" s="1"/>
  <c r="H122" i="2" a="1"/>
  <c r="H122" i="2" s="1"/>
  <c r="J122" i="2" a="1"/>
  <c r="J122" i="2" s="1"/>
  <c r="W111" i="2" a="1"/>
  <c r="W111" i="2" s="1"/>
  <c r="Y111" i="2" a="1"/>
  <c r="Y111" i="2" s="1"/>
  <c r="Y240" i="2" a="1"/>
  <c r="Y240" i="2" s="1"/>
  <c r="W240" i="2" a="1"/>
  <c r="W240" i="2" s="1"/>
  <c r="M176" i="2" a="1"/>
  <c r="M176" i="2" s="1"/>
  <c r="K176" i="2" a="1"/>
  <c r="K176" i="2" s="1"/>
  <c r="H236" i="2" a="1"/>
  <c r="H236" i="2" s="1"/>
  <c r="J236" i="2" a="1"/>
  <c r="J236" i="2" s="1"/>
  <c r="AI119" i="2" a="1"/>
  <c r="AI119" i="2" s="1"/>
  <c r="AK119" i="2" a="1"/>
  <c r="AK119" i="2" s="1"/>
  <c r="AF163" i="2" a="1"/>
  <c r="AF163" i="2" s="1"/>
  <c r="AH163" i="2" a="1"/>
  <c r="AH163" i="2" s="1"/>
  <c r="AI235" i="2" a="1"/>
  <c r="AI235" i="2" s="1"/>
  <c r="AK235" i="2" a="1"/>
  <c r="AK235" i="2" s="1"/>
  <c r="M148" i="2" a="1"/>
  <c r="M148" i="2" s="1"/>
  <c r="K148" i="2" a="1"/>
  <c r="K148" i="2" s="1"/>
  <c r="Z268" i="2" a="1"/>
  <c r="Z268" i="2" s="1"/>
  <c r="AB268" i="2" a="1"/>
  <c r="AB268" i="2" s="1"/>
  <c r="P226" i="2" a="1"/>
  <c r="P226" i="2" s="1"/>
  <c r="N226" i="2" a="1"/>
  <c r="N226" i="2" s="1"/>
  <c r="AL272" i="2" a="1"/>
  <c r="AL272" i="2" s="1"/>
  <c r="AN272" i="2" a="1"/>
  <c r="AN272" i="2" s="1"/>
  <c r="Z272" i="2" a="1"/>
  <c r="Z272" i="2" s="1"/>
  <c r="AB272" i="2" a="1"/>
  <c r="AB272" i="2" s="1"/>
  <c r="S238" i="2" a="1"/>
  <c r="S238" i="2" s="1"/>
  <c r="Q238" i="2" a="1"/>
  <c r="Q238" i="2" s="1"/>
  <c r="AK255" i="2" a="1"/>
  <c r="AK255" i="2" s="1"/>
  <c r="AI255" i="2" a="1"/>
  <c r="AI255" i="2" s="1"/>
  <c r="AC116" i="2" a="1"/>
  <c r="AC116" i="2" s="1"/>
  <c r="AE116" i="2" a="1"/>
  <c r="AE116" i="2" s="1"/>
  <c r="Z132" i="2" a="1"/>
  <c r="Z132" i="2" s="1"/>
  <c r="AB132" i="2" a="1"/>
  <c r="AB132" i="2" s="1"/>
  <c r="AC256" i="2" a="1"/>
  <c r="AC256" i="2" s="1"/>
  <c r="AE256" i="2" a="1"/>
  <c r="AE256" i="2" s="1"/>
  <c r="AE138" i="2" a="1"/>
  <c r="AE138" i="2" s="1"/>
  <c r="AC138" i="2" a="1"/>
  <c r="AC138" i="2" s="1"/>
  <c r="Z157" i="2" a="1"/>
  <c r="Z157" i="2" s="1"/>
  <c r="AB157" i="2" a="1"/>
  <c r="AB157" i="2" s="1"/>
  <c r="AF112" i="2" a="1"/>
  <c r="AF112" i="2" s="1"/>
  <c r="AH112" i="2" a="1"/>
  <c r="AH112" i="2" s="1"/>
  <c r="AH228" i="2" a="1"/>
  <c r="AH228" i="2" s="1"/>
  <c r="AF228" i="2" a="1"/>
  <c r="AF228" i="2" s="1"/>
  <c r="Y197" i="2" a="1"/>
  <c r="Y197" i="2" s="1"/>
  <c r="W197" i="2" a="1"/>
  <c r="W197" i="2" s="1"/>
  <c r="AH162" i="2" a="1"/>
  <c r="AH162" i="2" s="1"/>
  <c r="AF162" i="2" a="1"/>
  <c r="AF162" i="2" s="1"/>
  <c r="Y146" i="2" a="1"/>
  <c r="Y146" i="2" s="1"/>
  <c r="W146" i="2" a="1"/>
  <c r="W146" i="2" s="1"/>
  <c r="AH244" i="2" a="1"/>
  <c r="AH244" i="2" s="1"/>
  <c r="AF244" i="2" a="1"/>
  <c r="AF244" i="2" s="1"/>
  <c r="S261" i="2" a="1"/>
  <c r="S261" i="2" s="1"/>
  <c r="Q261" i="2" a="1"/>
  <c r="Q261" i="2" s="1"/>
  <c r="AE132" i="2" a="1"/>
  <c r="AE132" i="2" s="1"/>
  <c r="AC132" i="2" a="1"/>
  <c r="AC132" i="2" s="1"/>
  <c r="G139" i="2" a="1"/>
  <c r="G139" i="2" s="1"/>
  <c r="E139" i="2" a="1"/>
  <c r="E139" i="2" s="1"/>
  <c r="T94" i="2" a="1"/>
  <c r="T94" i="2" s="1"/>
  <c r="V94" i="2" a="1"/>
  <c r="V94" i="2" s="1"/>
  <c r="E153" i="2" a="1"/>
  <c r="E153" i="2" s="1"/>
  <c r="G153" i="2" a="1"/>
  <c r="G153" i="2" s="1"/>
  <c r="W214" i="2" a="1"/>
  <c r="W214" i="2" s="1"/>
  <c r="Y214" i="2" a="1"/>
  <c r="Y214" i="2" s="1"/>
  <c r="V266" i="2" a="1"/>
  <c r="V266" i="2" s="1"/>
  <c r="T266" i="2" a="1"/>
  <c r="T266" i="2" s="1"/>
  <c r="K196" i="2" a="1"/>
  <c r="K196" i="2" s="1"/>
  <c r="M196" i="2" a="1"/>
  <c r="M196" i="2" s="1"/>
  <c r="AI120" i="2" a="1"/>
  <c r="AI120" i="2" s="1"/>
  <c r="AK120" i="2" a="1"/>
  <c r="AK120" i="2" s="1"/>
  <c r="G210" i="2" a="1"/>
  <c r="G210" i="2" s="1"/>
  <c r="E210" i="2" a="1"/>
  <c r="E210" i="2" s="1"/>
  <c r="K92" i="2" a="1"/>
  <c r="K92" i="2" s="1"/>
  <c r="M92" i="2" a="1"/>
  <c r="M92" i="2" s="1"/>
  <c r="AK143" i="2" a="1"/>
  <c r="AK143" i="2" s="1"/>
  <c r="AI143" i="2" a="1"/>
  <c r="AI143" i="2" s="1"/>
  <c r="V132" i="2" a="1"/>
  <c r="V132" i="2" s="1"/>
  <c r="T132" i="2" a="1"/>
  <c r="T132" i="2" s="1"/>
  <c r="M182" i="2" a="1"/>
  <c r="M182" i="2" s="1"/>
  <c r="K182" i="2" a="1"/>
  <c r="K182" i="2" s="1"/>
  <c r="AH166" i="2" a="1"/>
  <c r="AH166" i="2" s="1"/>
  <c r="AF166" i="2" a="1"/>
  <c r="AF166" i="2" s="1"/>
  <c r="AK271" i="2" a="1"/>
  <c r="AK271" i="2" s="1"/>
  <c r="AI271" i="2" a="1"/>
  <c r="AI271" i="2" s="1"/>
  <c r="T114" i="2" a="1"/>
  <c r="T114" i="2" s="1"/>
  <c r="V114" i="2" a="1"/>
  <c r="V114" i="2" s="1"/>
  <c r="AK265" i="2" a="1"/>
  <c r="AK265" i="2" s="1"/>
  <c r="AI265" i="2" a="1"/>
  <c r="AI265" i="2" s="1"/>
  <c r="G120" i="2" a="1"/>
  <c r="G120" i="2" s="1"/>
  <c r="E120" i="2" a="1"/>
  <c r="E120" i="2" s="1"/>
  <c r="AN180" i="2" a="1"/>
  <c r="AN180" i="2" s="1"/>
  <c r="AL180" i="2" a="1"/>
  <c r="AL180" i="2" s="1"/>
  <c r="AL113" i="2" a="1"/>
  <c r="AL113" i="2" s="1"/>
  <c r="AN113" i="2" a="1"/>
  <c r="AN113" i="2" s="1"/>
  <c r="P215" i="2" a="1"/>
  <c r="P215" i="2" s="1"/>
  <c r="N215" i="2" a="1"/>
  <c r="N215" i="2" s="1"/>
  <c r="E194" i="2" a="1"/>
  <c r="E194" i="2" s="1"/>
  <c r="G194" i="2" a="1"/>
  <c r="G194" i="2" s="1"/>
  <c r="K202" i="2" a="1"/>
  <c r="K202" i="2" s="1"/>
  <c r="M202" i="2" a="1"/>
  <c r="M202" i="2" s="1"/>
  <c r="AB169" i="2" a="1"/>
  <c r="AB169" i="2" s="1"/>
  <c r="Z169" i="2" a="1"/>
  <c r="Z169" i="2" s="1"/>
  <c r="M120" i="2" a="1"/>
  <c r="M120" i="2" s="1"/>
  <c r="K120" i="2" a="1"/>
  <c r="K120" i="2" s="1"/>
  <c r="T177" i="2" a="1"/>
  <c r="T177" i="2" s="1"/>
  <c r="V177" i="2" a="1"/>
  <c r="V177" i="2" s="1"/>
  <c r="AE108" i="2" a="1"/>
  <c r="AE108" i="2" s="1"/>
  <c r="AC108" i="2" a="1"/>
  <c r="AC108" i="2" s="1"/>
  <c r="N135" i="2" a="1"/>
  <c r="N135" i="2" s="1"/>
  <c r="P135" i="2" a="1"/>
  <c r="P135" i="2" s="1"/>
  <c r="M111" i="2" a="1"/>
  <c r="M111" i="2" s="1"/>
  <c r="K111" i="2" a="1"/>
  <c r="K111" i="2" s="1"/>
  <c r="V237" i="2" a="1"/>
  <c r="V237" i="2" s="1"/>
  <c r="T237" i="2" a="1"/>
  <c r="T237" i="2" s="1"/>
  <c r="K149" i="2" a="1"/>
  <c r="K149" i="2" s="1"/>
  <c r="M149" i="2" a="1"/>
  <c r="M149" i="2" s="1"/>
  <c r="Z211" i="2" a="1"/>
  <c r="Z211" i="2" s="1"/>
  <c r="AB211" i="2" a="1"/>
  <c r="AB211" i="2" s="1"/>
  <c r="N202" i="2" a="1"/>
  <c r="N202" i="2" s="1"/>
  <c r="P202" i="2" a="1"/>
  <c r="P202" i="2" s="1"/>
  <c r="T200" i="2" a="1"/>
  <c r="T200" i="2" s="1"/>
  <c r="V200" i="2" a="1"/>
  <c r="V200" i="2" s="1"/>
  <c r="S111" i="2" a="1"/>
  <c r="S111" i="2" s="1"/>
  <c r="Q111" i="2" a="1"/>
  <c r="Q111" i="2" s="1"/>
  <c r="AL257" i="2" a="1"/>
  <c r="AL257" i="2" s="1"/>
  <c r="AN257" i="2" a="1"/>
  <c r="AN257" i="2" s="1"/>
  <c r="K151" i="2" a="1"/>
  <c r="K151" i="2" s="1"/>
  <c r="M151" i="2" a="1"/>
  <c r="M151" i="2" s="1"/>
  <c r="AI252" i="2" a="1"/>
  <c r="AI252" i="2" s="1"/>
  <c r="AK252" i="2" a="1"/>
  <c r="AK252" i="2" s="1"/>
  <c r="AI190" i="2" a="1"/>
  <c r="AI190" i="2" s="1"/>
  <c r="AK190" i="2" a="1"/>
  <c r="AK190" i="2" s="1"/>
  <c r="AK154" i="2" a="1"/>
  <c r="AK154" i="2" s="1"/>
  <c r="AI154" i="2" a="1"/>
  <c r="AI154" i="2" s="1"/>
  <c r="E273" i="2" a="1"/>
  <c r="E273" i="2" s="1"/>
  <c r="G273" i="2" a="1"/>
  <c r="G273" i="2" s="1"/>
  <c r="AH187" i="2" a="1"/>
  <c r="AH187" i="2" s="1"/>
  <c r="AF187" i="2" a="1"/>
  <c r="AF187" i="2" s="1"/>
  <c r="AI101" i="2" a="1"/>
  <c r="AI101" i="2" s="1"/>
  <c r="AK101" i="2" a="1"/>
  <c r="AK101" i="2" s="1"/>
  <c r="Q119" i="2" a="1"/>
  <c r="Q119" i="2" s="1"/>
  <c r="S119" i="2" a="1"/>
  <c r="S119" i="2" s="1"/>
  <c r="V244" i="2" a="1"/>
  <c r="V244" i="2" s="1"/>
  <c r="T244" i="2" a="1"/>
  <c r="T244" i="2" s="1"/>
  <c r="E102" i="2" a="1"/>
  <c r="E102" i="2" s="1"/>
  <c r="G102" i="2" a="1"/>
  <c r="G102" i="2" s="1"/>
  <c r="AF206" i="2" a="1"/>
  <c r="AF206" i="2" s="1"/>
  <c r="AH206" i="2" a="1"/>
  <c r="AH206" i="2" s="1"/>
  <c r="AN175" i="2" a="1"/>
  <c r="AN175" i="2" s="1"/>
  <c r="AL175" i="2" a="1"/>
  <c r="AL175" i="2" s="1"/>
  <c r="AC264" i="2" a="1"/>
  <c r="AC264" i="2" s="1"/>
  <c r="AE264" i="2" a="1"/>
  <c r="AE264" i="2" s="1"/>
  <c r="P209" i="2" a="1"/>
  <c r="P209" i="2" s="1"/>
  <c r="N209" i="2" a="1"/>
  <c r="N209" i="2" s="1"/>
  <c r="AI134" i="2" a="1"/>
  <c r="AI134" i="2" s="1"/>
  <c r="AK134" i="2" a="1"/>
  <c r="AK134" i="2" s="1"/>
  <c r="H241" i="2" a="1"/>
  <c r="H241" i="2" s="1"/>
  <c r="J241" i="2" a="1"/>
  <c r="J241" i="2" s="1"/>
  <c r="E239" i="2" a="1"/>
  <c r="E239" i="2" s="1"/>
  <c r="G239" i="2" a="1"/>
  <c r="G239" i="2" s="1"/>
  <c r="G191" i="2" a="1"/>
  <c r="G191" i="2" s="1"/>
  <c r="E191" i="2" a="1"/>
  <c r="E191" i="2" s="1"/>
  <c r="AN188" i="2" a="1"/>
  <c r="AN188" i="2" s="1"/>
  <c r="AL188" i="2" a="1"/>
  <c r="AL188" i="2" s="1"/>
  <c r="J113" i="2" a="1"/>
  <c r="J113" i="2" s="1"/>
  <c r="H113" i="2" a="1"/>
  <c r="H113" i="2" s="1"/>
  <c r="E119" i="2" a="1"/>
  <c r="E119" i="2" s="1"/>
  <c r="G119" i="2" a="1"/>
  <c r="G119" i="2" s="1"/>
  <c r="Z228" i="2" a="1"/>
  <c r="Z228" i="2" s="1"/>
  <c r="AB228" i="2" a="1"/>
  <c r="AB228" i="2" s="1"/>
  <c r="J203" i="2" a="1"/>
  <c r="J203" i="2" s="1"/>
  <c r="H203" i="2" a="1"/>
  <c r="H203" i="2" s="1"/>
  <c r="V90" i="2" a="1"/>
  <c r="V90" i="2" s="1"/>
  <c r="T90" i="2" a="1"/>
  <c r="T90" i="2" s="1"/>
  <c r="J273" i="2" a="1"/>
  <c r="J273" i="2" s="1"/>
  <c r="H273" i="2" a="1"/>
  <c r="H273" i="2" s="1"/>
  <c r="W129" i="2" a="1"/>
  <c r="W129" i="2" s="1"/>
  <c r="Y129" i="2" a="1"/>
  <c r="Y129" i="2" s="1"/>
  <c r="W117" i="2" a="1"/>
  <c r="W117" i="2" s="1"/>
  <c r="Y117" i="2" a="1"/>
  <c r="Y117" i="2" s="1"/>
  <c r="W170" i="2" a="1"/>
  <c r="W170" i="2" s="1"/>
  <c r="Y170" i="2" a="1"/>
  <c r="Y170" i="2" s="1"/>
  <c r="AC113" i="2" a="1"/>
  <c r="AC113" i="2" s="1"/>
  <c r="AE113" i="2" a="1"/>
  <c r="AE113" i="2" s="1"/>
  <c r="J165" i="2" a="1"/>
  <c r="J165" i="2" s="1"/>
  <c r="H165" i="2" a="1"/>
  <c r="H165" i="2" s="1"/>
  <c r="AI208" i="2" a="1"/>
  <c r="AI208" i="2" s="1"/>
  <c r="AK208" i="2" a="1"/>
  <c r="AK208" i="2" s="1"/>
  <c r="AE190" i="2" a="1"/>
  <c r="AE190" i="2" s="1"/>
  <c r="AC190" i="2" a="1"/>
  <c r="AC190" i="2" s="1"/>
  <c r="Q243" i="2" a="1"/>
  <c r="Q243" i="2" s="1"/>
  <c r="S243" i="2" a="1"/>
  <c r="S243" i="2" s="1"/>
  <c r="AF134" i="2" a="1"/>
  <c r="AF134" i="2" s="1"/>
  <c r="AH134" i="2" a="1"/>
  <c r="AH134" i="2" s="1"/>
  <c r="AL208" i="2" a="1"/>
  <c r="AL208" i="2" s="1"/>
  <c r="AN208" i="2" a="1"/>
  <c r="AN208" i="2" s="1"/>
  <c r="AN223" i="2" a="1"/>
  <c r="AN223" i="2" s="1"/>
  <c r="AL223" i="2" a="1"/>
  <c r="AL223" i="2" s="1"/>
  <c r="E267" i="2" a="1"/>
  <c r="E267" i="2" s="1"/>
  <c r="G267" i="2" a="1"/>
  <c r="G267" i="2" s="1"/>
  <c r="Z244" i="2" a="1"/>
  <c r="Z244" i="2" s="1"/>
  <c r="AB244" i="2" a="1"/>
  <c r="AB244" i="2" s="1"/>
  <c r="Y257" i="2" a="1"/>
  <c r="Y257" i="2" s="1"/>
  <c r="W257" i="2" a="1"/>
  <c r="W257" i="2" s="1"/>
  <c r="Q251" i="2" a="1"/>
  <c r="Q251" i="2" s="1"/>
  <c r="S251" i="2" a="1"/>
  <c r="S251" i="2" s="1"/>
  <c r="AE206" i="2" a="1"/>
  <c r="AE206" i="2" s="1"/>
  <c r="AC206" i="2" a="1"/>
  <c r="AC206" i="2" s="1"/>
  <c r="AC186" i="2" a="1"/>
  <c r="AC186" i="2" s="1"/>
  <c r="AE186" i="2" a="1"/>
  <c r="AE186" i="2" s="1"/>
  <c r="J127" i="2" a="1"/>
  <c r="J127" i="2" s="1"/>
  <c r="H127" i="2" a="1"/>
  <c r="H127" i="2" s="1"/>
  <c r="AB205" i="2" a="1"/>
  <c r="AB205" i="2" s="1"/>
  <c r="Z205" i="2" a="1"/>
  <c r="Z205" i="2" s="1"/>
  <c r="AH173" i="2" a="1"/>
  <c r="AH173" i="2" s="1"/>
  <c r="AF173" i="2" a="1"/>
  <c r="AF173" i="2" s="1"/>
  <c r="J229" i="2" a="1"/>
  <c r="J229" i="2" s="1"/>
  <c r="H229" i="2" a="1"/>
  <c r="H229" i="2" s="1"/>
  <c r="P146" i="2" a="1"/>
  <c r="P146" i="2" s="1"/>
  <c r="N146" i="2" a="1"/>
  <c r="N146" i="2" s="1"/>
  <c r="AC100" i="2" a="1"/>
  <c r="AC100" i="2" s="1"/>
  <c r="AE100" i="2" a="1"/>
  <c r="AE100" i="2" s="1"/>
  <c r="H257" i="2" a="1"/>
  <c r="H257" i="2" s="1"/>
  <c r="J257" i="2" a="1"/>
  <c r="J257" i="2" s="1"/>
  <c r="AL150" i="2" a="1"/>
  <c r="AL150" i="2" s="1"/>
  <c r="AN150" i="2" a="1"/>
  <c r="AN150" i="2" s="1"/>
  <c r="W260" i="2" a="1"/>
  <c r="W260" i="2" s="1"/>
  <c r="Y260" i="2" a="1"/>
  <c r="Y260" i="2" s="1"/>
  <c r="H138" i="2" a="1"/>
  <c r="H138" i="2" s="1"/>
  <c r="J138" i="2" a="1"/>
  <c r="J138" i="2" s="1"/>
  <c r="E222" i="2" a="1"/>
  <c r="E222" i="2" s="1"/>
  <c r="G222" i="2" a="1"/>
  <c r="G222" i="2" s="1"/>
  <c r="V197" i="2" a="1"/>
  <c r="V197" i="2" s="1"/>
  <c r="T197" i="2" a="1"/>
  <c r="T197" i="2" s="1"/>
  <c r="K193" i="2" a="1"/>
  <c r="K193" i="2" s="1"/>
  <c r="M193" i="2" a="1"/>
  <c r="M193" i="2" s="1"/>
  <c r="Z273" i="2" a="1"/>
  <c r="Z273" i="2" s="1"/>
  <c r="AB273" i="2" a="1"/>
  <c r="AB273" i="2" s="1"/>
  <c r="G132" i="2" a="1"/>
  <c r="G132" i="2" s="1"/>
  <c r="E132" i="2" a="1"/>
  <c r="E132" i="2" s="1"/>
  <c r="AN185" i="2" a="1"/>
  <c r="AN185" i="2" s="1"/>
  <c r="AL185" i="2" a="1"/>
  <c r="AL185" i="2" s="1"/>
  <c r="J104" i="2" a="1"/>
  <c r="J104" i="2" s="1"/>
  <c r="H104" i="2" a="1"/>
  <c r="H104" i="2" s="1"/>
  <c r="B362" i="2"/>
  <c r="D362" i="2" s="1"/>
  <c r="E360" i="2"/>
  <c r="F360" i="2"/>
  <c r="G360" i="2"/>
  <c r="I360" i="2"/>
  <c r="L360" i="2"/>
  <c r="M360" i="2"/>
  <c r="O360" i="2"/>
  <c r="P360" i="2"/>
  <c r="Q360" i="2"/>
  <c r="U360" i="2"/>
  <c r="V360" i="2"/>
  <c r="AF360" i="2"/>
  <c r="J359" i="2"/>
  <c r="J358" i="2"/>
  <c r="J357" i="2"/>
  <c r="J356" i="2"/>
  <c r="J12" i="2" l="1"/>
  <c r="I12" i="2" s="1"/>
  <c r="J26" i="2"/>
  <c r="I26" i="2" s="1"/>
  <c r="J30" i="2"/>
  <c r="K30" i="2" s="1"/>
  <c r="A360" i="2"/>
  <c r="B361" i="2" s="1"/>
  <c r="D361" i="2" s="1"/>
  <c r="J29" i="2"/>
  <c r="K29" i="2" s="1"/>
  <c r="J23" i="2"/>
  <c r="J8" i="2"/>
  <c r="K8" i="2" s="1"/>
  <c r="J9" i="2"/>
  <c r="J11" i="2"/>
  <c r="J10" i="2"/>
  <c r="J14" i="2"/>
  <c r="K14" i="2" s="1"/>
  <c r="J20" i="2"/>
  <c r="J31" i="2"/>
  <c r="I31" i="2" s="1"/>
  <c r="J18" i="2"/>
  <c r="J15" i="2"/>
  <c r="J7" i="2"/>
  <c r="J21" i="2"/>
  <c r="H21" i="2" s="1"/>
  <c r="J19" i="2"/>
  <c r="J24" i="2"/>
  <c r="J13" i="2"/>
  <c r="J17" i="2"/>
  <c r="K17" i="2" s="1"/>
  <c r="J27" i="2"/>
  <c r="K27" i="2" s="1"/>
  <c r="J28" i="2"/>
  <c r="J22" i="2"/>
  <c r="J32" i="2"/>
  <c r="J33" i="2"/>
  <c r="I33" i="2" s="1"/>
  <c r="J25" i="2"/>
  <c r="AI43" i="2"/>
  <c r="AL43" i="2"/>
  <c r="AC43" i="2"/>
  <c r="AF43" i="2"/>
  <c r="AF322" i="2"/>
  <c r="AF323" i="2"/>
  <c r="AF324" i="2"/>
  <c r="AF325" i="2"/>
  <c r="AF327"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28" i="2"/>
  <c r="AF333" i="2"/>
  <c r="AF332" i="2"/>
  <c r="AF331" i="2"/>
  <c r="AF330" i="2"/>
  <c r="AF329" i="2"/>
  <c r="H30" i="2" l="1"/>
  <c r="I30" i="2"/>
  <c r="I32" i="2"/>
  <c r="K32" i="2"/>
  <c r="K31" i="2"/>
  <c r="I21" i="2"/>
  <c r="H31" i="2"/>
  <c r="K21" i="2"/>
  <c r="H32" i="2"/>
  <c r="K33" i="2"/>
  <c r="H33" i="2"/>
  <c r="P16" i="3"/>
  <c r="P12" i="3"/>
  <c r="P11" i="3"/>
  <c r="I7" i="3"/>
  <c r="J23" i="3" l="1"/>
  <c r="M23" i="3"/>
  <c r="K23" i="3"/>
  <c r="I6" i="3"/>
  <c r="D17" i="2" l="1"/>
  <c r="M27" i="3"/>
  <c r="J27" i="3"/>
  <c r="K27" i="3"/>
  <c r="K31" i="3"/>
  <c r="V359" i="2" l="1"/>
  <c r="G24" i="2"/>
  <c r="G23" i="2"/>
  <c r="F24" i="2"/>
  <c r="F23" i="2"/>
  <c r="E24" i="2"/>
  <c r="E23" i="2"/>
  <c r="I16" i="2" l="1"/>
  <c r="F16" i="2"/>
  <c r="F19" i="2"/>
  <c r="F20" i="2"/>
  <c r="F18" i="2"/>
  <c r="F17" i="2"/>
  <c r="F15" i="2"/>
  <c r="F14" i="2"/>
  <c r="F11" i="2"/>
  <c r="F10" i="2"/>
  <c r="F9" i="2"/>
  <c r="F8" i="2"/>
  <c r="F7" i="2"/>
  <c r="Q359" i="2" l="1"/>
  <c r="E359" i="2" l="1"/>
  <c r="E358" i="2"/>
  <c r="E357" i="2"/>
  <c r="E356" i="2"/>
  <c r="E355" i="2"/>
  <c r="E354" i="2"/>
  <c r="E353" i="2"/>
  <c r="E352" i="2"/>
  <c r="E351" i="2"/>
  <c r="E350" i="2"/>
  <c r="E349" i="2"/>
  <c r="E348" i="2"/>
  <c r="L358" i="2" l="1"/>
  <c r="L357" i="2"/>
  <c r="L356" i="2"/>
  <c r="F359" i="2" l="1"/>
  <c r="F358" i="2"/>
  <c r="F357" i="2"/>
  <c r="F356" i="2"/>
  <c r="F355" i="2"/>
  <c r="K16" i="2" l="1"/>
  <c r="I10" i="2" l="1"/>
  <c r="G10" i="2"/>
  <c r="K333" i="1"/>
  <c r="K331" i="1"/>
  <c r="K332" i="1"/>
  <c r="J309" i="1"/>
  <c r="J310" i="1"/>
  <c r="U359" i="2" l="1"/>
  <c r="U358" i="2"/>
  <c r="G20" i="2"/>
  <c r="E20" i="2"/>
  <c r="E18" i="2" l="1"/>
  <c r="D19" i="2"/>
  <c r="M31" i="3" l="1"/>
  <c r="J31" i="3"/>
  <c r="E7" i="2" l="1"/>
  <c r="Z43" i="2" l="1"/>
  <c r="AC22" i="2"/>
  <c r="AC23" i="2"/>
  <c r="AC24" i="2"/>
  <c r="AC21" i="2"/>
  <c r="AC18" i="2"/>
  <c r="AC19" i="2"/>
  <c r="AC20" i="2"/>
  <c r="AC17" i="2"/>
  <c r="AC10" i="2"/>
  <c r="AC11" i="2"/>
  <c r="AC12" i="2"/>
  <c r="AC9" i="2"/>
  <c r="AC26" i="2"/>
  <c r="AC27" i="2"/>
  <c r="AC28" i="2"/>
  <c r="AC25" i="2"/>
  <c r="AC15" i="2"/>
  <c r="AC16" i="2"/>
  <c r="AC14" i="2"/>
  <c r="AC13" i="2"/>
  <c r="T43" i="2"/>
  <c r="H43" i="2"/>
  <c r="W43" i="2"/>
  <c r="K43" i="2"/>
  <c r="N43" i="2"/>
  <c r="E43" i="2"/>
  <c r="Q43" i="2"/>
  <c r="D7" i="2"/>
  <c r="H339" i="2" l="1"/>
  <c r="H338" i="2"/>
  <c r="H337" i="2"/>
  <c r="H336" i="2"/>
  <c r="H335" i="2"/>
  <c r="H333" i="2" l="1"/>
  <c r="H334" i="2"/>
  <c r="AC12" i="3" l="1"/>
  <c r="AC11" i="3"/>
  <c r="AC10" i="3"/>
  <c r="AC9" i="3"/>
  <c r="AC8" i="3"/>
  <c r="AC7" i="3"/>
  <c r="M128" i="3" l="1"/>
  <c r="K128" i="3"/>
  <c r="M35" i="3" s="1"/>
  <c r="J67" i="3"/>
  <c r="J63" i="3"/>
  <c r="J59" i="3"/>
  <c r="J55" i="3"/>
  <c r="J51" i="3"/>
  <c r="J47" i="3"/>
  <c r="J43" i="3"/>
  <c r="J39" i="3"/>
  <c r="K35" i="3"/>
  <c r="M83" i="3" s="1"/>
  <c r="J35" i="3"/>
  <c r="K83" i="3" l="1"/>
  <c r="O358" i="2"/>
  <c r="O357" i="2"/>
  <c r="Q356" i="2"/>
  <c r="Q357" i="2"/>
  <c r="P356" i="2"/>
  <c r="P357" i="2"/>
  <c r="P358" i="2"/>
  <c r="P359" i="2"/>
  <c r="O356" i="2"/>
  <c r="M356" i="2"/>
  <c r="M357" i="2"/>
  <c r="M358" i="2"/>
  <c r="M359" i="2"/>
  <c r="I356" i="2"/>
  <c r="I357" i="2"/>
  <c r="I358" i="2"/>
  <c r="I359" i="2"/>
  <c r="G356" i="2"/>
  <c r="G357" i="2"/>
  <c r="G358" i="2"/>
  <c r="G359" i="2"/>
  <c r="F323"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22" i="2"/>
  <c r="A357" i="2" l="1"/>
  <c r="A359" i="2"/>
  <c r="B360" i="2" s="1"/>
  <c r="D360" i="2" s="1"/>
  <c r="A358" i="2"/>
  <c r="A356" i="2"/>
  <c r="M116" i="3"/>
  <c r="K116" i="3"/>
  <c r="B359" i="2" l="1"/>
  <c r="D359" i="2" s="1"/>
  <c r="B358" i="2"/>
  <c r="D358" i="2" s="1"/>
  <c r="B357" i="2"/>
  <c r="D357" i="2" s="1"/>
  <c r="M124" i="3"/>
  <c r="K124" i="3"/>
  <c r="M87" i="3" l="1"/>
  <c r="K87" i="3"/>
  <c r="E8" i="2"/>
  <c r="G8" i="2"/>
  <c r="D8" i="2"/>
  <c r="D9" i="2"/>
  <c r="M112" i="3" l="1"/>
  <c r="M93" i="3"/>
  <c r="K112" i="3"/>
  <c r="K93" i="3"/>
  <c r="M79" i="3" l="1"/>
  <c r="K79" i="3"/>
  <c r="D15" i="2"/>
  <c r="M108" i="3" l="1"/>
  <c r="K108" i="3"/>
  <c r="G17" i="2"/>
  <c r="G18" i="2"/>
  <c r="M75" i="3" l="1"/>
  <c r="K75" i="3"/>
  <c r="M104" i="3" l="1"/>
  <c r="K104" i="3"/>
  <c r="M120" i="3" l="1"/>
  <c r="K120" i="3"/>
  <c r="K47" i="3" l="1"/>
  <c r="M47" i="3"/>
  <c r="P355" i="2"/>
  <c r="P354" i="2"/>
  <c r="P353" i="2"/>
  <c r="M43" i="3" l="1"/>
  <c r="K43" i="3"/>
  <c r="D18" i="2"/>
  <c r="M96" i="3" l="1"/>
  <c r="K96" i="3"/>
  <c r="M51" i="3" l="1"/>
  <c r="K51" i="3"/>
  <c r="L354" i="2"/>
  <c r="L353" i="2"/>
  <c r="L352" i="2"/>
  <c r="M55" i="3" l="1"/>
  <c r="K55" i="3"/>
  <c r="E347" i="2"/>
  <c r="E346" i="2"/>
  <c r="E345" i="2"/>
  <c r="E344" i="2"/>
  <c r="E343" i="2"/>
  <c r="E342" i="2"/>
  <c r="E341" i="2"/>
  <c r="E340" i="2"/>
  <c r="E339" i="2"/>
  <c r="E338" i="2"/>
  <c r="E337" i="2"/>
  <c r="E336" i="2"/>
  <c r="E335" i="2"/>
  <c r="E334" i="2"/>
  <c r="L350" i="2"/>
  <c r="Q355" i="2"/>
  <c r="Q354" i="2"/>
  <c r="O352" i="2"/>
  <c r="O353" i="2"/>
  <c r="Q353" i="2"/>
  <c r="O354" i="2"/>
  <c r="G340" i="2"/>
  <c r="G341" i="2"/>
  <c r="G342" i="2"/>
  <c r="I342" i="2"/>
  <c r="G343" i="2"/>
  <c r="I343" i="2"/>
  <c r="J343" i="2"/>
  <c r="G344" i="2"/>
  <c r="I344" i="2"/>
  <c r="J344" i="2"/>
  <c r="G345" i="2"/>
  <c r="I345" i="2"/>
  <c r="J345" i="2"/>
  <c r="L345" i="2"/>
  <c r="G346" i="2"/>
  <c r="I346" i="2"/>
  <c r="J346" i="2"/>
  <c r="L346" i="2"/>
  <c r="G347" i="2"/>
  <c r="I347" i="2"/>
  <c r="J347" i="2"/>
  <c r="G348" i="2"/>
  <c r="I348" i="2"/>
  <c r="J348" i="2"/>
  <c r="L348" i="2"/>
  <c r="G349" i="2"/>
  <c r="I349" i="2"/>
  <c r="J349" i="2"/>
  <c r="L349" i="2"/>
  <c r="M349" i="2"/>
  <c r="G350" i="2"/>
  <c r="I350" i="2"/>
  <c r="J350" i="2"/>
  <c r="M350" i="2"/>
  <c r="G351" i="2"/>
  <c r="I351" i="2"/>
  <c r="J351" i="2"/>
  <c r="M351" i="2"/>
  <c r="G352" i="2"/>
  <c r="I352" i="2"/>
  <c r="J352" i="2"/>
  <c r="M352" i="2"/>
  <c r="G353" i="2"/>
  <c r="I353" i="2"/>
  <c r="J353" i="2"/>
  <c r="M353" i="2"/>
  <c r="G354" i="2"/>
  <c r="I354" i="2"/>
  <c r="J354" i="2"/>
  <c r="M354" i="2"/>
  <c r="G355" i="2"/>
  <c r="I355" i="2"/>
  <c r="J355" i="2"/>
  <c r="M355" i="2"/>
  <c r="E328" i="2"/>
  <c r="G328" i="2"/>
  <c r="E329" i="2"/>
  <c r="G329" i="2"/>
  <c r="E327" i="2"/>
  <c r="G327" i="2"/>
  <c r="E330" i="2"/>
  <c r="G330" i="2"/>
  <c r="E331" i="2"/>
  <c r="G331" i="2"/>
  <c r="E332" i="2"/>
  <c r="G332" i="2"/>
  <c r="E333" i="2"/>
  <c r="G333" i="2"/>
  <c r="G334" i="2"/>
  <c r="G335" i="2"/>
  <c r="G336" i="2"/>
  <c r="G337" i="2"/>
  <c r="G338" i="2"/>
  <c r="G339" i="2"/>
  <c r="A333" i="2" l="1"/>
  <c r="A327" i="2"/>
  <c r="A331" i="2"/>
  <c r="A348" i="2"/>
  <c r="A328" i="2"/>
  <c r="A340" i="2"/>
  <c r="A329" i="2"/>
  <c r="A334" i="2"/>
  <c r="A342" i="2"/>
  <c r="A332" i="2"/>
  <c r="A335" i="2"/>
  <c r="A343" i="2"/>
  <c r="A354" i="2"/>
  <c r="A352" i="2"/>
  <c r="A350" i="2"/>
  <c r="A336" i="2"/>
  <c r="A344" i="2"/>
  <c r="A337" i="2"/>
  <c r="A345" i="2"/>
  <c r="A330" i="2"/>
  <c r="A338" i="2"/>
  <c r="A346" i="2"/>
  <c r="A339" i="2"/>
  <c r="A347" i="2"/>
  <c r="A355" i="2"/>
  <c r="A353" i="2"/>
  <c r="A351" i="2"/>
  <c r="A349" i="2"/>
  <c r="A341" i="2"/>
  <c r="M92" i="3"/>
  <c r="K92" i="3"/>
  <c r="E322" i="2"/>
  <c r="A322" i="2" s="1"/>
  <c r="E323" i="2"/>
  <c r="A323" i="2" s="1"/>
  <c r="E324" i="2"/>
  <c r="E325" i="2"/>
  <c r="G326" i="2"/>
  <c r="A326" i="2" s="1"/>
  <c r="G324" i="2"/>
  <c r="G325" i="2"/>
  <c r="A324" i="2" l="1"/>
  <c r="A325" i="2"/>
  <c r="B323" i="2"/>
  <c r="D323" i="2" s="1"/>
  <c r="B330" i="2"/>
  <c r="D330" i="2" s="1"/>
  <c r="B328" i="2"/>
  <c r="D328" i="2" s="1"/>
  <c r="B329" i="2"/>
  <c r="D329" i="2" s="1"/>
  <c r="B332" i="2"/>
  <c r="D332" i="2" s="1"/>
  <c r="B333" i="2"/>
  <c r="D333" i="2" s="1"/>
  <c r="B331" i="2"/>
  <c r="D331" i="2" s="1"/>
  <c r="B355" i="2"/>
  <c r="D355" i="2" s="1"/>
  <c r="B356" i="2"/>
  <c r="D356" i="2" s="1"/>
  <c r="B351" i="2"/>
  <c r="D351" i="2" s="1"/>
  <c r="B347" i="2"/>
  <c r="D347" i="2" s="1"/>
  <c r="B343" i="2"/>
  <c r="D343" i="2" s="1"/>
  <c r="B339" i="2"/>
  <c r="D339" i="2" s="1"/>
  <c r="B335" i="2"/>
  <c r="D335" i="2" s="1"/>
  <c r="B352" i="2"/>
  <c r="D352" i="2" s="1"/>
  <c r="B348" i="2"/>
  <c r="D348" i="2" s="1"/>
  <c r="B344" i="2"/>
  <c r="D344" i="2" s="1"/>
  <c r="B340" i="2"/>
  <c r="D340" i="2" s="1"/>
  <c r="B336" i="2"/>
  <c r="D336" i="2" s="1"/>
  <c r="B322" i="2"/>
  <c r="D322" i="2" s="1"/>
  <c r="B353" i="2"/>
  <c r="D353" i="2" s="1"/>
  <c r="B349" i="2"/>
  <c r="D349" i="2" s="1"/>
  <c r="B345" i="2"/>
  <c r="D345" i="2" s="1"/>
  <c r="B341" i="2"/>
  <c r="D341" i="2" s="1"/>
  <c r="B337" i="2"/>
  <c r="D337" i="2" s="1"/>
  <c r="B354" i="2"/>
  <c r="D354" i="2" s="1"/>
  <c r="B350" i="2"/>
  <c r="D350" i="2" s="1"/>
  <c r="B346" i="2"/>
  <c r="D346" i="2" s="1"/>
  <c r="B342" i="2"/>
  <c r="D342" i="2" s="1"/>
  <c r="B338" i="2"/>
  <c r="D338" i="2" s="1"/>
  <c r="B334" i="2"/>
  <c r="D334" i="2" s="1"/>
  <c r="K39" i="3"/>
  <c r="M39" i="3"/>
  <c r="D16" i="2"/>
  <c r="D14" i="2"/>
  <c r="D11" i="2"/>
  <c r="D10" i="2"/>
  <c r="B326" i="2" l="1"/>
  <c r="D326" i="2" s="1"/>
  <c r="B327" i="2"/>
  <c r="D327" i="2" s="1"/>
  <c r="B324" i="2"/>
  <c r="D324" i="2" s="1"/>
  <c r="B325" i="2"/>
  <c r="D325" i="2" s="1"/>
  <c r="M63" i="3"/>
  <c r="K63" i="3"/>
  <c r="G19" i="2"/>
  <c r="G15" i="2"/>
  <c r="G14" i="2"/>
  <c r="G11" i="2"/>
  <c r="G9" i="2"/>
  <c r="K330" i="1"/>
  <c r="G16" i="2"/>
  <c r="E16" i="2"/>
  <c r="G35" i="2" l="1"/>
  <c r="AM34" i="2" s="1"/>
  <c r="H16" i="2"/>
  <c r="M71" i="3"/>
  <c r="K71" i="3"/>
  <c r="E19" i="2"/>
  <c r="E17" i="2"/>
  <c r="E15" i="2"/>
  <c r="E14" i="2"/>
  <c r="E11" i="2"/>
  <c r="E10" i="2"/>
  <c r="E9" i="2"/>
  <c r="AM31" i="2" l="1"/>
  <c r="AM30" i="2"/>
  <c r="AM32" i="2"/>
  <c r="AM33" i="2"/>
  <c r="AM21" i="2"/>
  <c r="AM28" i="2"/>
  <c r="AM13" i="2"/>
  <c r="E35" i="2"/>
  <c r="AM9" i="2"/>
  <c r="AM29" i="2"/>
  <c r="AM12" i="2"/>
  <c r="AM14" i="2"/>
  <c r="AM11" i="2"/>
  <c r="AM15" i="2"/>
  <c r="AM27" i="2"/>
  <c r="AM22" i="2"/>
  <c r="AM25" i="2"/>
  <c r="AM7" i="2"/>
  <c r="AM26" i="2"/>
  <c r="AM23" i="2"/>
  <c r="AM24" i="2"/>
  <c r="AM10" i="2"/>
  <c r="AM20" i="2"/>
  <c r="AM8" i="2"/>
  <c r="AM17" i="2"/>
  <c r="AM18" i="2"/>
  <c r="AM16" i="2"/>
  <c r="AM19" i="2"/>
  <c r="M132" i="3"/>
  <c r="K132" i="3"/>
  <c r="AP27" i="2" l="1"/>
  <c r="AO27" i="2" s="1"/>
  <c r="AP19" i="2"/>
  <c r="AO19" i="2" s="1"/>
  <c r="AP11" i="2"/>
  <c r="AO11" i="2" s="1"/>
  <c r="AP34" i="2"/>
  <c r="AO34" i="2" s="1"/>
  <c r="AP26" i="2"/>
  <c r="AO26" i="2" s="1"/>
  <c r="AP18" i="2"/>
  <c r="AO18" i="2" s="1"/>
  <c r="AP10" i="2"/>
  <c r="AO10" i="2" s="1"/>
  <c r="AP31" i="2"/>
  <c r="AO31" i="2" s="1"/>
  <c r="AP23" i="2"/>
  <c r="AO23" i="2" s="1"/>
  <c r="AP15" i="2"/>
  <c r="AO15" i="2" s="1"/>
  <c r="AP7" i="2"/>
  <c r="AO7" i="2" s="1"/>
  <c r="AP33" i="2"/>
  <c r="AO33" i="2" s="1"/>
  <c r="AP25" i="2"/>
  <c r="AO25" i="2" s="1"/>
  <c r="AP17" i="2"/>
  <c r="AO17" i="2" s="1"/>
  <c r="AP9" i="2"/>
  <c r="AO9" i="2" s="1"/>
  <c r="AP32" i="2"/>
  <c r="AO32" i="2" s="1"/>
  <c r="AP24" i="2"/>
  <c r="AO24" i="2" s="1"/>
  <c r="AP16" i="2"/>
  <c r="AO16" i="2" s="1"/>
  <c r="AP8" i="2"/>
  <c r="AO8" i="2" s="1"/>
  <c r="AP29" i="2"/>
  <c r="AO29" i="2" s="1"/>
  <c r="AP21" i="2"/>
  <c r="AO21" i="2" s="1"/>
  <c r="AP13" i="2"/>
  <c r="AO13" i="2" s="1"/>
  <c r="AP28" i="2"/>
  <c r="AO28" i="2" s="1"/>
  <c r="AP20" i="2"/>
  <c r="AO20" i="2" s="1"/>
  <c r="AP12" i="2"/>
  <c r="AO12" i="2" s="1"/>
  <c r="AP30" i="2"/>
  <c r="AO30" i="2" s="1"/>
  <c r="AP22" i="2"/>
  <c r="AO22" i="2" s="1"/>
  <c r="AP14" i="2"/>
  <c r="AO14" i="2" s="1"/>
  <c r="F2126" i="1"/>
  <c r="F2713" i="1" s="1"/>
  <c r="M100" i="3"/>
  <c r="K100" i="3"/>
  <c r="J321" i="1"/>
  <c r="J322" i="1"/>
  <c r="J323" i="1"/>
  <c r="J320" i="1"/>
  <c r="J318" i="1"/>
  <c r="J319" i="1"/>
  <c r="J317" i="1"/>
  <c r="J311" i="1"/>
  <c r="J312" i="1"/>
  <c r="J313" i="1"/>
  <c r="J314" i="1"/>
  <c r="J315" i="1"/>
  <c r="J316" i="1"/>
  <c r="M67" i="3" l="1"/>
  <c r="K67" i="3"/>
  <c r="M59" i="3" l="1"/>
  <c r="K59" i="3"/>
  <c r="N7" i="3"/>
  <c r="AF30" i="3" l="1"/>
  <c r="AF31" i="3"/>
  <c r="AF29" i="3"/>
  <c r="AF27" i="3"/>
  <c r="AF26" i="3"/>
  <c r="AF32" i="3"/>
  <c r="AF28" i="3"/>
  <c r="AF25" i="3"/>
  <c r="AP16" i="3"/>
  <c r="AQ16" i="3" s="1"/>
  <c r="AP18" i="3"/>
  <c r="AQ18" i="3" s="1"/>
  <c r="AQ11" i="3"/>
  <c r="AQ8" i="3"/>
  <c r="AQ10" i="3"/>
  <c r="AQ12" i="3"/>
  <c r="AQ7" i="3"/>
  <c r="AQ9" i="3"/>
  <c r="AF23" i="3"/>
  <c r="AF24" i="3"/>
  <c r="AF7" i="3"/>
  <c r="AP17" i="3"/>
  <c r="AQ17" i="3" s="1"/>
  <c r="AF15" i="3"/>
  <c r="AF16" i="3"/>
  <c r="AF8" i="3"/>
  <c r="AF17" i="3"/>
  <c r="AF9" i="3"/>
  <c r="AF18" i="3"/>
  <c r="AF10" i="3"/>
  <c r="AF19" i="3"/>
  <c r="AF11" i="3"/>
  <c r="AF20" i="3"/>
  <c r="AF12" i="3"/>
  <c r="AF21" i="3"/>
  <c r="AF13" i="3"/>
  <c r="AF22" i="3"/>
  <c r="AF14" i="3"/>
  <c r="AP14" i="3" l="1"/>
  <c r="AB17" i="3" s="1"/>
  <c r="AR17" i="3"/>
  <c r="I35" i="3"/>
  <c r="N75" i="3"/>
  <c r="I128" i="3"/>
  <c r="I15" i="3"/>
  <c r="N67" i="3"/>
  <c r="I50" i="3"/>
  <c r="N128" i="3"/>
  <c r="N132" i="3"/>
  <c r="I66" i="3"/>
  <c r="N87" i="3"/>
  <c r="I79" i="3"/>
  <c r="I123" i="3"/>
  <c r="N120" i="3"/>
  <c r="N104" i="3"/>
  <c r="N108" i="3"/>
  <c r="I62" i="3"/>
  <c r="I63" i="3"/>
  <c r="I51" i="3"/>
  <c r="I71" i="3"/>
  <c r="I83" i="3"/>
  <c r="I92" i="3"/>
  <c r="I55" i="3"/>
  <c r="I82" i="3"/>
  <c r="N11" i="3"/>
  <c r="I127" i="3"/>
  <c r="I116" i="3"/>
  <c r="I54" i="3"/>
  <c r="I10" i="3"/>
  <c r="I46" i="3"/>
  <c r="I91" i="3"/>
  <c r="I47" i="3"/>
  <c r="N93" i="3"/>
  <c r="I115" i="3"/>
  <c r="I18" i="3"/>
  <c r="I100" i="3"/>
  <c r="I95" i="3"/>
  <c r="I119" i="3"/>
  <c r="I23" i="3"/>
  <c r="I27" i="3"/>
  <c r="I87" i="3"/>
  <c r="I124" i="3"/>
  <c r="I74" i="3"/>
  <c r="I42" i="3"/>
  <c r="I75" i="3"/>
  <c r="I96" i="3"/>
  <c r="N35" i="3"/>
  <c r="N116" i="3"/>
  <c r="I99" i="3"/>
  <c r="I67" i="3"/>
  <c r="N19" i="3"/>
  <c r="I111" i="3"/>
  <c r="N51" i="3"/>
  <c r="I43" i="3"/>
  <c r="N59" i="3"/>
  <c r="I86" i="3"/>
  <c r="I59" i="3"/>
  <c r="N100" i="3"/>
  <c r="I11" i="3"/>
  <c r="I103" i="3"/>
  <c r="I14" i="3"/>
  <c r="I108" i="3"/>
  <c r="N112" i="3"/>
  <c r="N63" i="3"/>
  <c r="I104" i="3"/>
  <c r="I31" i="3"/>
  <c r="N83" i="3"/>
  <c r="N39" i="3"/>
  <c r="I58" i="3"/>
  <c r="I26" i="3"/>
  <c r="I120" i="3"/>
  <c r="N71" i="3"/>
  <c r="N79" i="3"/>
  <c r="N31" i="3"/>
  <c r="N15" i="3"/>
  <c r="N43" i="3"/>
  <c r="I38" i="3"/>
  <c r="N47" i="3"/>
  <c r="I132" i="3"/>
  <c r="I34" i="3"/>
  <c r="N23" i="3"/>
  <c r="N92" i="3"/>
  <c r="N55" i="3"/>
  <c r="N27" i="3"/>
  <c r="I78" i="3"/>
  <c r="N124" i="3"/>
  <c r="N96" i="3"/>
  <c r="I39" i="3"/>
  <c r="I107" i="3"/>
  <c r="I19" i="3"/>
  <c r="I112" i="3"/>
  <c r="I22" i="3"/>
  <c r="I30" i="3"/>
  <c r="I93" i="3"/>
  <c r="I70" i="3"/>
  <c r="I131" i="3"/>
  <c r="H20" i="2" l="1"/>
  <c r="K20" i="2"/>
  <c r="I20" i="2"/>
  <c r="H26" i="2"/>
  <c r="K26" i="2"/>
  <c r="K12" i="2"/>
  <c r="H12" i="2"/>
  <c r="K13" i="2"/>
  <c r="H13" i="2"/>
  <c r="I13" i="2"/>
  <c r="K10" i="2"/>
  <c r="H10" i="2"/>
  <c r="H17" i="2"/>
  <c r="I17" i="2"/>
  <c r="H23" i="2"/>
  <c r="I23" i="2"/>
  <c r="K23" i="2"/>
  <c r="H29" i="2"/>
  <c r="I29" i="2"/>
  <c r="H27" i="2"/>
  <c r="I27" i="2"/>
  <c r="K15" i="2"/>
  <c r="H15" i="2"/>
  <c r="I15" i="2"/>
  <c r="K9" i="2"/>
  <c r="H9" i="2"/>
  <c r="I9" i="2"/>
  <c r="K19" i="2"/>
  <c r="H19" i="2"/>
  <c r="I19" i="2"/>
  <c r="I7" i="2"/>
  <c r="K7" i="2"/>
  <c r="H7" i="2"/>
  <c r="H18" i="2"/>
  <c r="K18" i="2"/>
  <c r="I18" i="2"/>
  <c r="I25" i="2"/>
  <c r="H25" i="2"/>
  <c r="K25" i="2"/>
  <c r="K11" i="2"/>
  <c r="I11" i="2"/>
  <c r="H11" i="2"/>
  <c r="H22" i="2"/>
  <c r="I22" i="2"/>
  <c r="K22" i="2"/>
  <c r="H14" i="2"/>
  <c r="I14" i="2"/>
  <c r="H28" i="2"/>
  <c r="K28" i="2"/>
  <c r="I28" i="2"/>
  <c r="H8" i="2"/>
  <c r="I8" i="2"/>
  <c r="H24" i="2"/>
  <c r="K24" i="2"/>
  <c r="I24" i="2"/>
  <c r="K38" i="2" l="1" a="1"/>
  <c r="K38" i="2" s="1"/>
  <c r="K35" i="2" s="1"/>
  <c r="H35" i="2" s="1"/>
  <c r="K3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DDF Kompendium</author>
  </authors>
  <commentList>
    <comment ref="J6" authorId="0" shapeId="0" xr:uid="{BF367F22-FDD6-4316-A1B8-2CCB45CCA2D5}">
      <text>
        <r>
          <rPr>
            <sz val="9"/>
            <color indexed="81"/>
            <rFont val="Tahoma"/>
            <family val="2"/>
          </rPr>
          <t>??? Crimebusters [Grundinfos mit Lesung]
   (von Torsten Lothschuetz, DDF-Bücher, Hörspiele, Videospiele)
   https://www.youtube.com/@crimebusters6424
   16 Folgen 2018-2019
   (Mumie, Rubin, Spinne, Wecker ...) (8:00-15:00 min.)
Die drei Satzzeichen [1 Folge]
   (von Arthur und Zacky)
   https://www.youtube.com/@diedreisatzzeichen7678
   1 Folge (und der Geisterbunker) Feb. 2022 (0:30:15)
Ein Kirschkuchen von Tante Mathilda [Paywall, 1 Folge]
   (by Eiswürfelchen)
   https://podcasters.spotify.com/pod/show/einkirschkuchen
   1 Folge (Trailer) 21.03.2022 (0:00:30)
   1 Folge (Botschaft aus der Unterwelt) 27.03.2022 (0:19:22)
Fangeflüster - Ein Drei Fragezeichen Podcast [1 Folge]
   (Ein Podcast von zwei Drei Fragezeichen Fans von Fans für Fans)
   https://open.spotify.com/show/2KMMJCxwqPJiV5hM0lVwjW
   1 Folge (Gespensterschloss) Nov. 2022 (1:02:13)
   1 Folge (Rocky Beach allgemein) Dez. 2022 (1:05:03)</t>
        </r>
      </text>
    </comment>
    <comment ref="C10" authorId="0" shapeId="0" xr:uid="{00000000-0006-0000-0000-000001000000}">
      <text>
        <r>
          <rPr>
            <sz val="9"/>
            <color indexed="81"/>
            <rFont val="Tahoma"/>
            <family val="2"/>
          </rPr>
          <t>Teaser-Text auf der Website:
"Hallo,
wir sind in der Vorbreitung [sic] für einen Drei Fragezeichen Podcast dem:
FragezeichenPod Teaser
Hier kommt keine neues Fan Hörbuch sondern eine Besprechung der Folgen.
Dieses ist ein unabhängiger privater Podcast ohne finanzielle Interesse.
Was wir noch benötigen, sind Leute die mit uns einzelne Folgen besprechen,
live im Ruhrpott oder per z.B. Skype, Google+, Facebook usw.
Also wer gerne seine Lieblingsfolge mit uns besprechen möchte:
info@fragezeichenpod.de
Viel spass [sic] noch
Thorsten"</t>
        </r>
      </text>
    </comment>
    <comment ref="E11" authorId="0" shapeId="0" xr:uid="{8CBE24E5-C472-4406-9187-CCE8BF6ACB79}">
      <text>
        <r>
          <rPr>
            <sz val="9"/>
            <color indexed="81"/>
            <rFont val="Tahoma"/>
            <family val="2"/>
          </rPr>
          <t>Fragezeichenpod-RSS-Feed:
"&lt;pubDate&gt;Sat, 19 Nov 2011 15:00:00 +0100&lt;/pubDate&gt;"
Fragezeichenpod-YouTube-Kanal:
Video-Titel vom 14.01.2012: 
"POD 001 - 149 - Die drei ??? 'Der namenlose Gegner' 1von4"
Video-Beschreibung vom 14.01.2012: 
"Im Fragezeichenpod - Folge 001 - vom 17. 11. 2011
besprechen Thorsten Runte &amp; Fabian Thiel
die 149. Drei Fragezeichen-Folge 'Der namenlose Gegner'."
Fragezeichenpod-Twitter-Account:
- Tweet vom 21.11.2011:
"Heute ist der neue Podcast http://fragezeichenpod.de online.
1:18 AM · Nov 21, 2011"
- Tweet vom 14.11.2012:
"Nur mal so zur Info:
am 17.11.2011 ist die erste richtige folge des fragezeichenpod 
online gekommen und sie ist... http://fb.me/1IGzuSVnB
4:33 PM · Nov 14, 2012"</t>
        </r>
      </text>
    </comment>
    <comment ref="F15" authorId="0" shapeId="0" xr:uid="{1287A3F6-1005-43DA-A677-4836EB11A1EF}">
      <text>
        <r>
          <rPr>
            <sz val="9"/>
            <color indexed="81"/>
            <rFont val="Tahoma"/>
            <family val="2"/>
          </rPr>
          <t>Die Laufzeit der Folge beträgt 1:27:10 (87:10).
Die Folgenbesprechung mit Intro und Outro geht 
jedoch nur von 00:00 bis 43:35, d. h. genau die 
Hälfte. Die zweite Hälfte der Folge ist ohne Ton.</t>
        </r>
      </text>
    </comment>
    <comment ref="C19" authorId="0" shapeId="0" xr:uid="{00000000-0006-0000-0000-000002000000}">
      <text>
        <r>
          <rPr>
            <sz val="9"/>
            <color indexed="81"/>
            <rFont val="Tahoma"/>
            <family val="2"/>
          </rPr>
          <t>Teaser-Text auf der Website:</t>
        </r>
        <r>
          <rPr>
            <sz val="9"/>
            <color indexed="81"/>
            <rFont val="Tahoma"/>
            <family val="2"/>
          </rPr>
          <t xml:space="preserve">
"Hallo,
wir sind einen Drei Fragezeichen Podcast der:
FragezeichenPod Teaser 2.0
Hier kommt keine neues Fan Hörbuch sondern eine Besprechung der Folgen.
Dieses ist ein unabhängiger privater Podcast ohne finanzielle Interesse.
Was wir noch benötigen, sind Leute die mit uns einzelne Folgen besprechen 
oder uns Anmerkungen senden, oder seine Lieblingsfolge von uns besprochen 
haben möchte:
live im Ruhrpott oder per z.B. Skype, Google+, Facebook, Twitter oder 
uns auf dem Anrufbeantworter reden: 0203 – 87 84 80 9
info@fragezeichenpod.de
Viel spass noch
Thorsten und Fabian"</t>
        </r>
      </text>
    </comment>
    <comment ref="C23" authorId="0" shapeId="0" xr:uid="{E8CF651E-6165-40C7-8008-1068E8EC6258}">
      <text>
        <r>
          <rPr>
            <sz val="9"/>
            <color indexed="81"/>
            <rFont val="Tahoma"/>
            <family val="2"/>
          </rPr>
          <t>Beschreibung:
"Auf der „Die drei ???“ Record Release Party zur Folge 154 „Botschaft aus der Unterwelt“ 
im Gloria Köln haben wir das Glück Oliver Rohrbeck treffen und sprechen zu dürfen.
Wir hatten die Möglichkeit, mit ihm Backstage seine Anfänge, über die drei Fragezeichen 
und die Hörspielszene zu sprechen. Natürliche haben wir die von euch eingeforderten 
Fragen auch stellen können.
Dafür sei ihm an dieser Stelle auch nochmals herzlich gedankt.
Wir wünschen euch nun viel Spaß mit dieser kleinen Sonderausgabe unseres Podcasts"</t>
        </r>
      </text>
    </comment>
    <comment ref="C27" authorId="0" shapeId="0" xr:uid="{F3C4CF9E-50BB-44CD-AF86-B02937989413}">
      <text>
        <r>
          <rPr>
            <sz val="9"/>
            <color indexed="81"/>
            <rFont val="Tahoma"/>
            <family val="2"/>
          </rPr>
          <t>Beschreibung:
"Hallo,
ich bin DAS
ja genau DAS INTERNET
ich bin zuständig für Recherchen und Archiv
im Fragezeichenpod
ich habe da was: der erste und zweite Podcaster, Thorsten und Fabian, werden bald 
eine spezial gelagerte Sonderfolge aufzeichenen und zwar treffen beide die Musikband
JUPITER JONES
und wie ich die beiden kenne, fallen ihnen keine Fragen ein.
Also bitte helft ihnen und schickt ihnen ein paar Fragen:
info@fragezeichenpod.de
viel Spass noch
euer
Fragezeichenpod"</t>
        </r>
      </text>
    </comment>
    <comment ref="C28" authorId="0" shapeId="0" xr:uid="{81878D82-CF62-4A32-AD1B-82FF350CC13D}">
      <text>
        <r>
          <rPr>
            <sz val="9"/>
            <color indexed="81"/>
            <rFont val="Tahoma"/>
            <family val="2"/>
          </rPr>
          <t>Beschreibung:
"Hallo,
und jetzt kommt wieder eine spezial gelagerte Sonderfolge.
Hier kommt das Interview mit Sascha und Becks von Jupiter Jones.
ALSO Schön mitraten, als Gewinne haben die Beiden Gewinne aus ihren Merchandising angeboten.
Wer also herrausbekommt aus welchen Folgen die Audioabschnitte sind…
VIEL SPASS
Fabian , Thorsten und Das Internet"</t>
        </r>
      </text>
    </comment>
    <comment ref="C30" authorId="0" shapeId="0" xr:uid="{6FA64163-E190-49B5-91AF-07008F83A6FE}">
      <text>
        <r>
          <rPr>
            <sz val="9"/>
            <color indexed="81"/>
            <rFont val="Tahoma"/>
            <family val="2"/>
          </rPr>
          <t>Beschreibung:
"Hallo,
und jetzt kommt die spezial gelagerte Sonderauflösungsfolge.
Herzlichen Glückwunsch den Gewinnern:
Das Danni
Tigra “Germamon” Watanabe
Sören Heeckt
Tine Wittler
Jens Kohlmann
Jupiter Jones hat 5 signierte T-Shirts und je eine Kleinigkeit aus ihren Merchandising gesponsert.
VIEL SPASS
Fabian , Thorsten und Das Internet"</t>
        </r>
      </text>
    </comment>
    <comment ref="C46" authorId="0" shapeId="0" xr:uid="{4E1FDA39-0186-4FD1-8FE2-266FC0F79A20}">
      <text>
        <r>
          <rPr>
            <sz val="9"/>
            <color indexed="81"/>
            <rFont val="Tahoma"/>
            <family val="2"/>
          </rPr>
          <t>Beschreibung:
"Hallo,
heute war ich mit meinen Söhnen im Theater.
Theater auf Tour – Fragezeichenkids – Der singende Geist
Theaterstück für Kinder ab 5 Jahren nach dem gleichnamigen Buch von Ulf Blanck und Boris Pfeiffer.
Dort durfte ich vorher mit den drei Fragezeichen Kid´s sprechen.
Justus Jonas – Susanna Sawatzka
Peter Shaw – Stefan Senf
Bob Andrews – Sahrah Dombrowski
www.theater-auf-tour.de/
Mit “Theater auf Tour” sind Die drei ??? Kids gerade in vielen Städten unterwegs. Wenn du die 
Detektive auch einmal nicht nur hören, sondern als Theaterstück live auf der Bühne sehen willst, 
solltest du dir das nicht entgehen lassen. Vielleicht sind sie ja auch einmal in deiner Stadt!?
Dafür sei die Schauspieler an dieser Stelle auch nochmals herzlich gedankt.
Wir wünschen euch nun viel Spaß mit dieser kleinen Sonderausgabe unseres Podcasts"</t>
        </r>
      </text>
    </comment>
    <comment ref="C48" authorId="0" shapeId="0" xr:uid="{13755225-8A69-46D8-9F13-4DBD94BC39AF}">
      <text>
        <r>
          <rPr>
            <sz val="9"/>
            <color indexed="81"/>
            <rFont val="Tahoma"/>
            <family val="2"/>
          </rPr>
          <t>Beschreibung:
"Die drei ???-Tour 2014: PhonoPhobia – Sinfonie der Angst
So Termine stehen fest
09.03.2014 Berlin
10.03.2014 Berlin
12.03.2014 München
13.03.2014 Saarbrücken
15.03.2014 Frankfurt
[…]"</t>
        </r>
      </text>
    </comment>
    <comment ref="C49" authorId="0" shapeId="0" xr:uid="{720F65A1-E4F0-46D3-B9C9-0C0B63DC54CE}">
      <text>
        <r>
          <rPr>
            <sz val="9"/>
            <color indexed="81"/>
            <rFont val="Tahoma"/>
            <family val="2"/>
          </rPr>
          <t>Beschreibung:
"Hallo zusammen,
der drei ??? Kids Autor Boris Pfeiffer hat mit uns ein Gespräch über das Autorwerden, 
Lesen, Schreiben, Bücher, Film und Theater – und natürlich die Drei ??? Kids! geführt.
http://www.borispfeiffer.de/
http://www.facebook.com/BorisPfeiffer.Autor
Boris hat 7 Bücher zu verschenken, ihr müßt nur ein kleines Gedicht über die ??? Kids 
auf seiner Facebookseite stellen.
Wir bedanken uns nochmals für das wirklich wunderbare Telefongespräch bei Boris 
Pfeiffer und hoofen [sic] das es euch beim hören des Podcastes genau so viel Spass 
macht wi wir Spass hatten beim Aufnehmen.
Viel Spass
euer
Fragezeichenpod"</t>
        </r>
      </text>
    </comment>
    <comment ref="C52" authorId="0" shapeId="0" xr:uid="{93ECC785-8FAB-47BC-AABB-2B51B52B7043}">
      <text>
        <r>
          <rPr>
            <sz val="9"/>
            <color indexed="81"/>
            <rFont val="Tahoma"/>
            <family val="2"/>
          </rPr>
          <t>Beschreibung:
"Hallo
in dieser Folge arbeiten wir unsere / eure Post der letzten zwei Monate auf.
Weiter hin stellen wir euch den FragezeichenKidsPod vor, ab dem 01. Mai 2013 kommt 
auf www.fragezeichenkidspod.de ein neuer Audio-Podcast. Hier werden die Hörspiele 
der Drei ??? Kids besprochen. Aber auch Spezial Gelagerte Sonderfolgen mit Personen 
und über Themen rund um die Drei ??? Kids.
Die Musik wurde und von der Gruppe NEPOMUK als Addendorn zu Verfügung gestellt.
www.nepomukke.de
Zu dem Gewinnspiel im ? Kids Pod:
Mal ein Bild rund um die drei ??? Kids und schickt es uns entweder per eMail : 
kontakt@fragezeichenkidspod.de
oder zu der Adresse im Impressum.
Wenn uns ein Bild besonders gefällt bekommt der Gestallter ein Geschenk.
Es gibt kein Einsendeschluß, also ran an die Stifte.
Viel Spass
euer
Fragezeichenpod"</t>
        </r>
      </text>
    </comment>
    <comment ref="F57" authorId="0" shapeId="0" xr:uid="{00000000-0006-0000-0000-000003000000}">
      <text>
        <r>
          <rPr>
            <sz val="9"/>
            <color indexed="81"/>
            <rFont val="Tahoma"/>
            <family val="2"/>
          </rPr>
          <t>Brutto-Zeit: 1:17:45
(Live-Übertragung bei YouTube 
mit technischer Einrichtung)</t>
        </r>
      </text>
    </comment>
    <comment ref="C59" authorId="0" shapeId="0" xr:uid="{4C323B5E-571A-4729-A4C1-1017B9B5B3EC}">
      <text>
        <r>
          <rPr>
            <sz val="9"/>
            <color indexed="81"/>
            <rFont val="Tahoma"/>
            <family val="2"/>
          </rPr>
          <t>Beschreibung:
"0:00 Intro
1:39 Begrüßung
2:45 Amazon
Ohne das ihr mehr bezahlt,bekommen wir 5% des Kaufpreises als Unterstützung!
9:02 Post
10:11 99 Rufmord
10:56 www.whocast.de
12:46 ELEKOM Gewinnspiel
14:52 Lange Inhaltsangaben
16:11 Enissa
18:26 Silberne Spinne
20:55 Post
31:21 www.uiuiuiuiuiuiui.de
34:13 Fabian 2
37:19 Kosmos
38:29 Fabian 3
39:53 Manuel
40:57 Yan
42:48 Fabian 3
45:08 Sascha
48:57 Wichteln
Der FragezeichenPod veranstaltet ein Wichteln unter Fragezeichen Fans.Meldet 
euch bis zum 01.Dezember 2013. Von selbstgestalltes zum Thema ?Pod und 
den ??? , aber es sollte zwischen 5-10 Euro wert sein.
53:12 Outro"</t>
        </r>
      </text>
    </comment>
    <comment ref="E60" authorId="0" shapeId="0" xr:uid="{00000000-0006-0000-0000-000004000000}">
      <text>
        <r>
          <rPr>
            <sz val="9"/>
            <color indexed="81"/>
            <rFont val="Tahoma"/>
            <family val="2"/>
          </rPr>
          <t>Live-Stream: 06.10.2013
Website: 29.10.2013
 Chat der PodWG
 Server: irc.rizon.net
 Raum: #podwg</t>
        </r>
      </text>
    </comment>
    <comment ref="C65" authorId="0" shapeId="0" xr:uid="{45B59720-2BA2-4CB5-8F23-661BAE7CE4E8}">
      <text>
        <r>
          <rPr>
            <sz val="9"/>
            <color indexed="81"/>
            <rFont val="Tahoma"/>
            <family val="2"/>
          </rPr>
          <t>Beschreibung:
"Hallo zusammen,
heute haben wir uns die Aufführung vom
Theater auf Tour
Der Weihnachtsdieb
angeschaut.
Hier konnten wir Justus, Peter , Bob und Skinny treffen."</t>
        </r>
      </text>
    </comment>
    <comment ref="C72" authorId="0" shapeId="0" xr:uid="{00000000-0006-0000-0000-000005000000}">
      <text>
        <r>
          <rPr>
            <sz val="9"/>
            <color indexed="81"/>
            <rFont val="Tahoma"/>
            <family val="2"/>
          </rPr>
          <t>Aufruf der Podcaster zum "Hörertreffen" 
am 13.09.2014 ab 19:00 Uhr 
in der Kutscherstube im Dinslakener Rathaus</t>
        </r>
      </text>
    </comment>
    <comment ref="C82" authorId="0" shapeId="0" xr:uid="{01BF799B-EEBF-4AAC-A18E-78DAC9AFF509}">
      <text>
        <r>
          <rPr>
            <sz val="9"/>
            <color indexed="81"/>
            <rFont val="Tahoma"/>
            <family val="2"/>
          </rPr>
          <t>Die Folge "Der Fluch des Drachen" wurde besprochen und aufgenommen 
konnte aber aufgrund technischer Probleme nicht veröffentlicht werden. 
Das führte dazu, dass Sabrina, die als Gast eingeladen war, ihren eigenen 
DDF-Podcast, den "Was hoerst du so?"-Podcast am 16. Mai 2016 initiierte.</t>
        </r>
      </text>
    </comment>
    <comment ref="C90" authorId="0" shapeId="0" xr:uid="{00000000-0006-0000-0000-000006000000}">
      <text>
        <r>
          <rPr>
            <sz val="9"/>
            <color indexed="81"/>
            <rFont val="Tahoma"/>
            <family val="2"/>
          </rPr>
          <t>Thorsten Runte und Hennes Bender 
besprechen die DDF-Folge 
"schwarze Katze" Live vor der 
Podcastpreisverleihung 2018</t>
        </r>
        <r>
          <rPr>
            <b/>
            <sz val="9"/>
            <color indexed="81"/>
            <rFont val="Tahoma"/>
            <family val="2"/>
          </rPr>
          <t xml:space="preserve">
</t>
        </r>
        <r>
          <rPr>
            <sz val="9"/>
            <color indexed="81"/>
            <rFont val="Tahoma"/>
            <family val="2"/>
          </rPr>
          <t xml:space="preserve">
Liveübertragung am Samstag den 10.03. ab 18:00 Uhr 
durch den twitch-Partner ArtNGamesTV 
aus dem Unperfekthaus in Essen:
"18:00 Uhr – Fragezeichenpod mit Gastpodcaster HENNES BENDER
besprechen die Folge – Die Drei Fragezeichen und die schwarze Katze
19.00 Uhr – Preisverleihung des #PodcastPreis2018
durch den Abend führt Emily Whigham
20:00 Uhr – Sträter Bender Streberg Der Podcast"</t>
        </r>
      </text>
    </comment>
    <comment ref="E113" authorId="0" shapeId="0" xr:uid="{00000000-0006-0000-0000-000007000000}">
      <text>
        <r>
          <rPr>
            <sz val="9"/>
            <color indexed="81"/>
            <rFont val="Tahoma"/>
            <family val="2"/>
          </rPr>
          <t>OhrCast 1 – November 2011
VÖ: 3. November 2011
OhrCast 2 – Dezember 2011
VÖ: 4. Dezember 2011
OhrCast 3 – Januar 2012
VÖ: 12. Januar 2012
OhrCast 4 – Februar 2012
VÖ: 30. Januar 2012
OhrCast 5 – März 2012
VÖ: 3. März 2012
OhrCast 6 – April 2012
VÖ: 19. März 2012
OhrCast 7 – Mai 2012
VÖ: 27. April 2012
OhrCast 8 – Juni 2012
VÖ: 30. Mai 2012
OhrCast 9 – Juli 2012
VÖ: 29. Juni 2012
OhrCast 10 – August 2012
VÖ: 18. Juli 2012</t>
        </r>
      </text>
    </comment>
    <comment ref="C306" authorId="0" shapeId="0" xr:uid="{00000000-0006-0000-0000-000008000000}">
      <text>
        <r>
          <rPr>
            <sz val="9"/>
            <color indexed="81"/>
            <rFont val="Tahoma"/>
            <family val="2"/>
          </rPr>
          <t>Die Timecodes:
0:00:00 Begrüßung
0:02:30 Die Vita
0:17:00 Die schwarze Sieben (Collin)
0:21:55 Fünf Freunde (Julian Kirrin)
0:29:35 Die drei ??? (Justus Jonas)
0:52:40 Tina und Tini (Tobbi Greiling)
0:58:40 Bille und Zottel (Karlchen)
1:07:50 eine kurze Pinkel-Pause für Sebo</t>
        </r>
      </text>
    </comment>
    <comment ref="C307" authorId="0" shapeId="0" xr:uid="{00000000-0006-0000-0000-000009000000}">
      <text>
        <r>
          <rPr>
            <sz val="9"/>
            <color indexed="81"/>
            <rFont val="Tahoma"/>
            <family val="2"/>
          </rPr>
          <t>Die Timecodes:
0:00:00 Begrüßung
0:00:40 Trixie Belden (Martin Belden)
0:05:30 Professor Mobilux (Patrick F. Patrick)
0:12:35 Die Clique vom Reitstall (Jo)
0:21:25 Ducktales/Ghostbusters (Track/Ray)
0:26:20 Bibi und Tina (Freddy)
0:27:20 Die Teufelskicker (Trainer Norbert)
0:33:15 Die Dr3i feat. Maike (Jupiter Jones)
0:44:00 kleinere Rollen - Von Plotzka bis zum kleinen Muck
0:53:45 Rohrbeck pusht das Hörspiel: Die Lauscherlounge
0:56:35 Sebo und der Karpatenhund
1:02:20 Live-Auftritte
1:05:50 Bleiben Sie uns gewogen</t>
        </r>
      </text>
    </comment>
    <comment ref="C308" authorId="0" shapeId="0" xr:uid="{00000000-0006-0000-0000-00000A000000}">
      <text>
        <r>
          <rPr>
            <sz val="9"/>
            <color indexed="81"/>
            <rFont val="Tahoma"/>
            <family val="2"/>
          </rPr>
          <t>Die Timecodes:
0:00:00 - Begrüßung
0:03:40 - Der erste Kontakt
0:15:25 - CD oder MC? Eine Glaubensfrage
0:22:20 - Die Entstehung der Serie
0:40:00 - Ausblick auf das Ranking
0:41:55 - Cover
0:46:10 - Musik
0:55:35 - Merchandising
0:58:25 - Live-Auftritte
1:03:40 - Filme, Gastsprecher, Die Macher - Alles schnell abgefrühstückt
1:05:30 - Community
1:11:30 - Jetzt aber zu den Folgen</t>
        </r>
      </text>
    </comment>
    <comment ref="K331" authorId="0" shapeId="0" xr:uid="{00000000-0006-0000-0000-00000B000000}">
      <text>
        <r>
          <rPr>
            <sz val="9"/>
            <color indexed="81"/>
            <rFont val="Tahoma"/>
            <family val="2"/>
          </rPr>
          <t>minus 1
Folge 29 doppelt (alt/neu)</t>
        </r>
      </text>
    </comment>
    <comment ref="K333" authorId="0" shapeId="0" xr:uid="{00000000-0006-0000-0000-00000C000000}">
      <text>
        <r>
          <rPr>
            <sz val="9"/>
            <color indexed="81"/>
            <rFont val="Tahoma"/>
            <family val="2"/>
          </rPr>
          <t>plus 1
Folge 175</t>
        </r>
      </text>
    </comment>
    <comment ref="D487" authorId="0" shapeId="0" xr:uid="{C3E332EA-72D5-4DAD-96CC-D9B73B28A7D5}">
      <text>
        <r>
          <rPr>
            <sz val="9"/>
            <color indexed="81"/>
            <rFont val="Tahoma"/>
            <family val="2"/>
          </rPr>
          <t>Die "Ein Fall für die Rosen"-Hörspiel-Doppelfolge Nr. 1 "Die Kathedrale der Macht" 
und Nr. 2 "In den Katakomben von Paris" sollte im Rahmen der DiE DR3i-Reihe  
als "DiE DR3i und die unterirdische Kathedrale" im Jahr 2008 veröffentlicht werden. 
Durch das Einstellen der Reihe kam es nicht mehr dazu und das bereits vorhandene 
Skript wurde leicht verändert und mit anderen Protagonisten als erstes und zweites 
"Ein Fall für die Rosen"-Hörspiel vertont.
Die Erstveröffentlichung des Hörspiels "Die Kathedrale der Macht" 
war nicht am 16.04.2012 wie in der Besprechung angeführt. 
Der geplante und angekündigte Veröffentlichungstermin war 
Fr., 27.04.2012, die tatsächliche VÖ war Mi., 02.05.2012.</t>
        </r>
      </text>
    </comment>
    <comment ref="E512" authorId="0" shapeId="0" xr:uid="{DBC3322A-630F-4174-80F8-22DFA5285FAE}">
      <text>
        <r>
          <rPr>
            <sz val="9"/>
            <color indexed="81"/>
            <rFont val="Tahoma"/>
            <family val="2"/>
          </rPr>
          <t>aufgenommen: Juli 2022</t>
        </r>
      </text>
    </comment>
    <comment ref="C524" authorId="0" shapeId="0" xr:uid="{5E34F314-2C53-467A-AA08-2C3FBCE0E0A6}">
      <text>
        <r>
          <rPr>
            <b/>
            <sz val="9"/>
            <color indexed="81"/>
            <rFont val="Segoe UI"/>
            <family val="2"/>
          </rPr>
          <t>Markus Hörl:</t>
        </r>
        <r>
          <rPr>
            <sz val="9"/>
            <color indexed="81"/>
            <rFont val="Segoe UI"/>
            <family val="2"/>
          </rPr>
          <t xml:space="preserve">
Was ist das für 1 Andrews? Unser Podcast prangert an.
Wir zeigen euch eine Folge "3 Minuten Monique" und 
nehmen das Hörspiel "Die drei ???® - Schattenwelt" 
investigativ auseinander.  </t>
        </r>
      </text>
    </comment>
    <comment ref="C525" authorId="0" shapeId="0" xr:uid="{29B989AB-F46F-47AB-8245-F131802CB648}">
      <text>
        <r>
          <rPr>
            <sz val="9"/>
            <color indexed="81"/>
            <rFont val="Segoe UI"/>
            <family val="2"/>
          </rPr>
          <t xml:space="preserve">Freitag, der 13. und dann das noch: Wir „rezensieren“ 
das Hörspiel „Die drei ???® – Todesflug“. Bob Andrews 
hat wieder zugeschlagen. Eine letzte Cola, selbstaufbereitetes 
Trinkwasser und ein Raumgleiter versprechen Spannung 
wie aus dem Füllhorn. </t>
        </r>
      </text>
    </comment>
    <comment ref="C526" authorId="0" shapeId="0" xr:uid="{F475B6DC-0486-4EE4-97DF-C249078191C4}">
      <text>
        <r>
          <rPr>
            <sz val="9"/>
            <color indexed="81"/>
            <rFont val="Tahoma"/>
            <family val="2"/>
          </rPr>
          <t>Beschreibung:
"Leute, Karten auf den Tisch! Was läuft da wirklich zwischen 
Peter und Strand-Jeffrey? Wie treu ist Mathilda Jonas wirklich? 
Was ist die Mehrzahl von Titus? Und was ist das für 1 neues 
Europa-Logo? Also wir haben ja schon vieles gehört, aber 
was in „Die drei ???® und der letzte Song“ (183) abgeht, 
ist nicht mehr feierlich."</t>
        </r>
      </text>
    </comment>
    <comment ref="C527" authorId="0" shapeId="0" xr:uid="{349F0C22-DAEA-4DA1-B8C6-D0A89140E6C9}">
      <text>
        <r>
          <rPr>
            <sz val="9"/>
            <color indexed="81"/>
            <rFont val="Tahoma"/>
            <family val="2"/>
          </rPr>
          <t>Beschreibung:
"Insgeheim wussten wir es alle: Peter Shaw ist nicht die hellste Kerze 
auf der Torte.
Jetzt aber schießt der Dopingmixer endgültig den Vogel ab: 
Er vergisst, dass sein Opa neben ihm wohnt, erkennt seine 
Stimme nicht mehr und der Dietrich-USP ist wohl auch Geschichte."</t>
        </r>
      </text>
    </comment>
    <comment ref="C528" authorId="0" shapeId="0" xr:uid="{B51D804D-9614-498F-98B4-4E178FBAE2E4}">
      <text>
        <r>
          <rPr>
            <b/>
            <sz val="9"/>
            <color indexed="81"/>
            <rFont val="Segoe UI"/>
            <family val="2"/>
          </rPr>
          <t>Markus Hörl:</t>
        </r>
        <r>
          <rPr>
            <sz val="9"/>
            <color indexed="81"/>
            <rFont val="Segoe UI"/>
            <family val="2"/>
          </rPr>
          <t xml:space="preserve">
Wieso benutzt Europa immer die gleichen Geräusche? 
Was geht eigentlich mit Justus? Ist es gut, dass Peter nicht 
bei der Krisenintervention gelandet ist? Und warum ist 
Inspector Cotta so garstig? Ein Klärungsversuch.</t>
        </r>
      </text>
    </comment>
    <comment ref="C529" authorId="0" shapeId="0" xr:uid="{3BA9259A-45C2-4B46-8C52-BB4FE9D0BAD4}">
      <text>
        <r>
          <rPr>
            <b/>
            <sz val="9"/>
            <color indexed="81"/>
            <rFont val="Tahoma"/>
            <family val="2"/>
          </rPr>
          <t>Markus Hörl:</t>
        </r>
        <r>
          <rPr>
            <sz val="9"/>
            <color indexed="81"/>
            <rFont val="Tahoma"/>
            <family val="2"/>
          </rPr>
          <t xml:space="preserve">
Justus hat Zahnschmerzen, Tante Mathilda 
sitzt im Knast und dann fliegt auch noch 
Müll auf den Schrottplatz! Die neue drei ???®-Folge 
hat es echt in sich. Wir sagen euch, ob es sich lohnt.</t>
        </r>
      </text>
    </comment>
    <comment ref="C530" authorId="0" shapeId="0" xr:uid="{B93DB88D-1C56-42CE-886F-CEDA615A61B8}">
      <text>
        <r>
          <rPr>
            <sz val="9"/>
            <color indexed="81"/>
            <rFont val="Tahoma"/>
            <family val="2"/>
          </rPr>
          <t>Beschreibung:
"Ihr wollt in den Urlaub, aber bekommt die Mumie nicht in den Kofferraum? 
Wir hätten da ein paar Tipps. Wie packe ich eine Mumie in meinen MG? 
Wir diskutieren und empfehlen euch die besten ???-Folgen für euren Urlaub."</t>
        </r>
      </text>
    </comment>
    <comment ref="C531" authorId="0" shapeId="0" xr:uid="{A1F3ED39-0E7E-48CE-812E-6CA05FAFECBE}">
      <text>
        <r>
          <rPr>
            <b/>
            <sz val="9"/>
            <color indexed="81"/>
            <rFont val="Segoe UI"/>
            <family val="2"/>
          </rPr>
          <t>Markus Hörl:</t>
        </r>
        <r>
          <rPr>
            <sz val="9"/>
            <color indexed="81"/>
            <rFont val="Segoe UI"/>
            <family val="2"/>
          </rPr>
          <t xml:space="preserve">
Die Sommerpause ist over! Wir sprechen in unserem 
Podcast über die neue ???®-Folge (lustig) und suchen 
Gastsprecher für ein neues Hörspiel…
Bob scheint einen Fable für ältere Damen zu haben, 
Mathilda darf kein Teleshopping mehr machen und 
Justus dippt Rattengift - wir analysieren die neue 
Folge "Die drei ???® - Signale aus dem Jenseits" im fairsten 
Rezensionspodcast der Welt und sprechen über 
Ödipus-Komplexe und merkwürdige Geräusche wi...</t>
        </r>
      </text>
    </comment>
    <comment ref="C532" authorId="0" shapeId="0" xr:uid="{2867A426-F893-446C-93AF-347982C606AD}">
      <text>
        <r>
          <rPr>
            <sz val="9"/>
            <color indexed="81"/>
            <rFont val="Segoe UI"/>
            <family val="2"/>
          </rPr>
          <t>Hey! Ihr glaubt doch nicht ernsthaft, dass wir euch ohne 
eine letzte Podcast-Episode in die Weihnachtsferien 
gehen lassen! Folge 9 des HörspielKellerKanals ist da.
Zahnbürste, Kalender, Vinyls - Was taugen drei ???®-Fanartikel? 
Welche machen sich gut unterm Weihnachtsbaum, welche nicht? 
Wir stellen für euch in einer weihnachtlichen Sonderfolge die 
Merchandise-Welt auf den Kopf…</t>
        </r>
      </text>
    </comment>
    <comment ref="F535" authorId="0" shapeId="0" xr:uid="{00000000-0006-0000-0000-00000D000000}">
      <text>
        <r>
          <rPr>
            <b/>
            <i/>
            <sz val="9"/>
            <color indexed="81"/>
            <rFont val="Tahoma"/>
            <family val="2"/>
          </rPr>
          <t>Gäste bei SSP-Folgen:</t>
        </r>
        <r>
          <rPr>
            <sz val="9"/>
            <color indexed="81"/>
            <rFont val="Tahoma"/>
            <family val="2"/>
          </rPr>
          <t xml:space="preserve">
1. Christin - SSP #8: Der grüne Geist (2017)
2. Fabian Thiel und Thorsten Runte - SSP #12: Der unsichtbare Passagier (2017)
3. Dr. Knick Knobel (erstmals) - SSP #13: Der Mann ohne Kopf (2017)
4. Renate Strümpel - Adventskalender 2017 Tür 3 (2017)
5. Ines - Adventskalender 2017 Tür 6 &amp; 9 &amp; 23 (2017)
6. Ines und Christin - SSP #14 - Tür 10: Die gefährliche Erbschaft (2017)
7. Hannes - Adventskalender 2017 Tür 21 (2017)
8. C. R. Rodenwald - SSP #17: Der Phantomsee (2018)
9. Nilz Bokelberg - SSP #20: Die Musikpiraten (2018)
10. Ines und Christin - SSP #22.5: Das Haus der Rätsel (2018)
11. C. R. Rodenwald - SSP Live #1: Bei Thalia in Bremen (2018)
12. Ines - Adventskalender 2018 Tür 1 &amp; 12 &amp; 15 &amp; 16 (2018)
13. Hannes - Adventskalender 2018 Tür 2 &amp; 3 &amp; 5 &amp; 13 &amp; 17 (2018)
14. Renate Strümpel - Adventskalender 2018 Tür 6 (2018)
15. Christin - SSP #32 - Tür 10: Der heimliche Hehler (2018)
16. Christin - Adventskalender 2018 Tür 11 &amp; 14 &amp; 20 &amp; 22 (2018)
17. Kari Erlhoff - SSP #33: Die singende Schlage (2018)
18. Gregor Goldbach - SSP #34: Der Nebelberg (2019)
19. Andreas Ruch - SSP #35.5: 2xAR Aiga Rasch (2019)
20. André Marx - SSP #36: Der Fluch des Rubins (2019)
21. Fabian Käufer - SSP #38: Nacht in Angst (2019)
22. C. R. Rodenwald - SSP #39: Das versunkene Dorf (2019)
23. Christopher Tauber - SSP #40: Der Feuerteufel (2019)
24. C. R. Rodenwald - SSP Live #2: Bei Winterzeit in Remscheid (2019)
25. Franzi Nox - SSP #42: Botschaft von Geisterhand (2019)
26. Malte Janssen - SSP #45: Der Ameisenmensch (2019)
27. Hannes - Adventskalender 2019 Tür 3 &amp; 11 &amp; 12 &amp; 16 &amp; 21 &amp; 22 (2019)
28. Ines - Adventskalender 2019 Tür 4 &amp; 7 &amp; 15 (2019)
29. Anke und Christin - Adventskalender 2019 Tür 5 (2019)
30. Franzi Nox - Adventskalender 2019 Tür 8 (2019)
31. Sebastian Thies und Dominik Cenia - Adventskalender 2019 Tür 9 (2019)
32. Stefan Sombetzki - Adventskalender 2019 Tür 11 (2019)
33. Christin - Adventskalender 2019 Tür 18 (2019)
</t>
        </r>
        <r>
          <rPr>
            <b/>
            <i/>
            <sz val="9"/>
            <color indexed="81"/>
            <rFont val="Tahoma"/>
            <family val="2"/>
          </rPr>
          <t>SSP-Interview-Gäste:</t>
        </r>
        <r>
          <rPr>
            <sz val="9"/>
            <color indexed="81"/>
            <rFont val="Tahoma"/>
            <family val="2"/>
          </rPr>
          <t xml:space="preserve">
1. C. R. Rodenwald - SSP Interview I (2017)
2. Tobias Grunemann und Philip Bösand - SSP Interview II (2018)
3. Ivar Leon Menger - SSP Interview III (2018)
4. Kari Erlhoff - SSP Interview IV (2018)
5. André Marx - SSP Interview V (2018)
6. David Becher und Christoph Landwehr - SSP Interview VI (2019)
7. Davina - SSP #39.5: Mission Rocky Beach (2019)
8. Markus Winter - SSP Interview VII (2019)
9. C. R. Rodenwald - SSP Interview VIII (2019)
10. Kerstin Draeger - SSP #45.5: HörMich (2019)
11. Christopher Tauber - SSP Interview IX (2019)
12. Markus Winter - Advent Tür 13: Lovecraft (2019)</t>
        </r>
      </text>
    </comment>
    <comment ref="E537" authorId="0" shapeId="0" xr:uid="{0BA1F7B1-B3AC-467D-B1A2-2AD458102455}">
      <text>
        <r>
          <rPr>
            <b/>
            <sz val="9"/>
            <color indexed="81"/>
            <rFont val="Tahoma"/>
            <family val="2"/>
          </rPr>
          <t xml:space="preserve">Milestones:                            </t>
        </r>
        <r>
          <rPr>
            <sz val="9"/>
            <color indexed="81"/>
            <rFont val="Tahoma"/>
            <family val="2"/>
          </rPr>
          <t xml:space="preserve">
SSP01 (DDF1)             Apr 2017
</t>
        </r>
        <r>
          <rPr>
            <b/>
            <sz val="9"/>
            <color indexed="81"/>
            <rFont val="Tahoma"/>
            <family val="2"/>
          </rPr>
          <t>SSP15 (5. Advent)  Ende 2017</t>
        </r>
        <r>
          <rPr>
            <sz val="9"/>
            <color indexed="81"/>
            <rFont val="Tahoma"/>
            <family val="2"/>
          </rPr>
          <t xml:space="preserve">
SSP25 (DDF100)          Jul 2018
</t>
        </r>
        <r>
          <rPr>
            <b/>
            <sz val="9"/>
            <color indexed="81"/>
            <rFont val="Tahoma"/>
            <family val="2"/>
          </rPr>
          <t>SSP33 (DDF25)      Ende 2018</t>
        </r>
        <r>
          <rPr>
            <sz val="9"/>
            <color indexed="81"/>
            <rFont val="Tahoma"/>
            <family val="2"/>
          </rPr>
          <t xml:space="preserve">
SSP50 (DDF6)            Dez 2019
</t>
        </r>
        <r>
          <rPr>
            <b/>
            <sz val="9"/>
            <color indexed="81"/>
            <rFont val="Tahoma"/>
            <family val="2"/>
          </rPr>
          <t>SSP52 (MoC)          Ende 2019</t>
        </r>
        <r>
          <rPr>
            <sz val="9"/>
            <color indexed="81"/>
            <rFont val="Tahoma"/>
            <family val="2"/>
          </rPr>
          <t xml:space="preserve">
SSP61 (DDF50)           Jun 2020
SSP75 (DDF124)         Dez 2020
</t>
        </r>
        <r>
          <rPr>
            <b/>
            <sz val="9"/>
            <color indexed="81"/>
            <rFont val="Tahoma"/>
            <family val="2"/>
          </rPr>
          <t>SSP77 (DDF150)    Ende 2020</t>
        </r>
        <r>
          <rPr>
            <sz val="9"/>
            <color indexed="81"/>
            <rFont val="Tahoma"/>
            <family val="2"/>
          </rPr>
          <t xml:space="preserve">
SSP83 (DDF75)           Apr 2021
</t>
        </r>
        <r>
          <rPr>
            <b/>
            <sz val="9"/>
            <color indexed="81"/>
            <rFont val="Tahoma"/>
            <family val="2"/>
          </rPr>
          <t>SSP100 (DDF200)  Ende 2021</t>
        </r>
      </text>
    </comment>
    <comment ref="F564" authorId="0" shapeId="0" xr:uid="{50C4B797-53DA-4AAB-AEDC-533C15A47290}">
      <text>
        <r>
          <rPr>
            <sz val="9"/>
            <color indexed="81"/>
            <rFont val="Tahoma"/>
            <family val="2"/>
          </rPr>
          <t xml:space="preserve">Der SSP-Adventskalender 2017
mit SSP#14/DDF#17, TKKG#190
dauert verteilt über 24 Folgen </t>
        </r>
        <r>
          <rPr>
            <b/>
            <sz val="9"/>
            <color indexed="81"/>
            <rFont val="Tahoma"/>
            <family val="2"/>
          </rPr>
          <t>08:36:16</t>
        </r>
        <r>
          <rPr>
            <sz val="9"/>
            <color indexed="81"/>
            <rFont val="Tahoma"/>
            <family val="2"/>
          </rPr>
          <t xml:space="preserve"> (+−0%)</t>
        </r>
      </text>
    </comment>
    <comment ref="E569" authorId="0" shapeId="0" xr:uid="{1B421006-F75B-4500-A45C-18BADF19DDB2}">
      <text>
        <r>
          <rPr>
            <sz val="9"/>
            <color indexed="81"/>
            <rFont val="Tahoma"/>
            <family val="2"/>
          </rPr>
          <t>aufgenommen: 12.11.2017</t>
        </r>
      </text>
    </comment>
    <comment ref="B609" authorId="0" shapeId="0" xr:uid="{00000000-0006-0000-0000-00000E000000}">
      <text>
        <r>
          <rPr>
            <sz val="9"/>
            <color indexed="81"/>
            <rFont val="Tahoma"/>
            <family val="2"/>
          </rPr>
          <t>SSP-Live vor Publikum in Bremen am 06.09.2018</t>
        </r>
      </text>
    </comment>
    <comment ref="F618" authorId="0" shapeId="0" xr:uid="{2F206869-D86D-4469-842F-51E0790C58BB}">
      <text>
        <r>
          <rPr>
            <sz val="9"/>
            <color indexed="81"/>
            <rFont val="Tahoma"/>
            <family val="2"/>
          </rPr>
          <t xml:space="preserve">Der SSP-Adventskalender 2018
mit DR3i#1, SSP#32/DDF#37, SSP#33/DDF#25
dauert verteilt über 24 Folgen </t>
        </r>
        <r>
          <rPr>
            <b/>
            <sz val="9"/>
            <color indexed="81"/>
            <rFont val="Tahoma"/>
            <family val="2"/>
          </rPr>
          <t>11:25:12</t>
        </r>
        <r>
          <rPr>
            <sz val="9"/>
            <color indexed="81"/>
            <rFont val="Tahoma"/>
            <family val="2"/>
          </rPr>
          <t xml:space="preserve"> (+33%)
Der SSP-Adventskalender 2017
mit SSP#14/DDF#17, TKKG#190
dauert verteilt über 24 Folgen 08:36:16 (+−0%)</t>
        </r>
      </text>
    </comment>
    <comment ref="B640" authorId="0" shapeId="0" xr:uid="{00000000-0006-0000-0000-00000F000000}">
      <text>
        <r>
          <rPr>
            <sz val="9"/>
            <color indexed="81"/>
            <rFont val="Tahoma"/>
            <family val="2"/>
          </rPr>
          <t>Das angesprochene und auf der Hörmich 2018 von 
Olaf gekaufte "Erotik-Hörspiel" "Sudames Lockruf" 
wird im Adventskalender 2020 Tür 21 besprochen.</t>
        </r>
      </text>
    </comment>
    <comment ref="B653" authorId="0" shapeId="0" xr:uid="{00000000-0006-0000-0000-000010000000}">
      <text>
        <r>
          <rPr>
            <sz val="9"/>
            <color indexed="81"/>
            <rFont val="Tahoma"/>
            <family val="2"/>
          </rPr>
          <t>SSP-Live vor Publikum in Remscheid am 23.03.2019</t>
        </r>
      </text>
    </comment>
    <comment ref="B671" authorId="0" shapeId="0" xr:uid="{00000000-0006-0000-0000-000011000000}">
      <text>
        <r>
          <rPr>
            <sz val="9"/>
            <color indexed="81"/>
            <rFont val="Tahoma"/>
            <family val="2"/>
          </rPr>
          <t>SSP-Live vor Publikum in Bremen am 23.11.2019
(Livepodcast zur 50. Folge des SSP)
Start des Crowdfundings bei Startnext am 28.6.2019.
Versteckter Hinweis in der SSP-Folge 45 am 3.9.2019:
Im Intro werden die Lottozahlen im Radio durchgegeben.
"23, 11, 19, 20, 0, Zusatzzahl 6"
23. November 2019, Beginn: 20:00 Uhr, Folge Nr. 6
Folgenankündigung im SSP-Discord-Kanal am 9.11.2019:
"Und trommelwirbel!!!! [Poster: Text: Spezialgelagerter 
Sonderpodcast und der sprechende Totenkopf]"
Ankündigungstext auf der SSP-Website am 17.11.2019:
"Nach 2 1/2 Jahren Podcast wollen wir mit Euch gemeinsam 
die 50. Folgebesprechung zur Hörspiel-Serie Die drei ??? 
erleben und mit Eurer Unterstützung wird dieser Traum 
Wirklichkeit werden. Der Countdown läuft und wir sammeln 
hier alles Wissenswertes zum #SSP50"</t>
        </r>
      </text>
    </comment>
    <comment ref="F671" authorId="0" shapeId="0" xr:uid="{D117E13B-C6B2-4B17-AC40-43D112AAECF9}">
      <text>
        <r>
          <rPr>
            <sz val="9"/>
            <color indexed="81"/>
            <rFont val="Tahoma"/>
            <family val="2"/>
          </rPr>
          <t xml:space="preserve">Der SSP-Adventskalender 2019
mit SSP#50/DDF#6, DR3i#2, SSP#51/DDF#89, SSP#52/MoC
dauert verteilt über 25 Folgen </t>
        </r>
        <r>
          <rPr>
            <b/>
            <sz val="9"/>
            <color indexed="81"/>
            <rFont val="Tahoma"/>
            <family val="2"/>
          </rPr>
          <t>21:26:24</t>
        </r>
        <r>
          <rPr>
            <sz val="9"/>
            <color indexed="81"/>
            <rFont val="Tahoma"/>
            <family val="2"/>
          </rPr>
          <t xml:space="preserve"> (+~88%)
Der SSP-Adventskalender 2018
mit DR3i#1, SSP#32/DDF#37, SSP#33/DDF#25
dauert verteilt über 24 Folgen 11:25:12 (+33%)
Der SSP-Adventskalender 2017
mit SSP#14/DDF#17, TKKG#190
dauert verteilt über 24 Folgen 08:36:16 (+−0%)</t>
        </r>
      </text>
    </comment>
    <comment ref="B692" authorId="0" shapeId="0" xr:uid="{00000000-0006-0000-0000-000012000000}">
      <text>
        <r>
          <rPr>
            <sz val="9"/>
            <color indexed="81"/>
            <rFont val="Tahoma"/>
            <family val="2"/>
          </rPr>
          <t>Zur Private Eye Charaktererschaffung (RS2.1) 
gibt es kein dazu veröffentlichtes Hörspiel (RS2.2). 
Wegen eines Festplattendefekts konnten die bereits erstellten 
Sprachaufnahmen nicht bearbeitet und veröffentlicht werden.</t>
        </r>
      </text>
    </comment>
    <comment ref="B705" authorId="0" shapeId="0" xr:uid="{00000000-0006-0000-0000-000013000000}">
      <text>
        <r>
          <rPr>
            <sz val="9"/>
            <color indexed="81"/>
            <rFont val="Tahoma"/>
            <family val="2"/>
          </rPr>
          <t>Live auf dem SSP-Discord-Server am 29.03.2020
(Livepodcast zum 3. Geburtstag des SSP)
Teil 1: Live-Interview mit Christopher Tauber 
Teil 2: Besprechung "Die drei ??? – Das schwarze Nest"
Bei der Tonspur des ersten Teils ("Interview Tauber") 
gab es technische Probleme und diese konnte nicht 
archiviert werden. 
Im April 2020 wurden Teile des Interviews inhaltlich 
wiederholt und als "SSP Interview (XI): Hanna Wenzel 
und Christopher Tauber über #RockyBeach2020" 
veröffentlicht.</t>
        </r>
      </text>
    </comment>
    <comment ref="B713" authorId="0" shapeId="0" xr:uid="{00000000-0006-0000-0000-000014000000}">
      <text>
        <r>
          <rPr>
            <b/>
            <sz val="9"/>
            <color indexed="81"/>
            <rFont val="Tahoma"/>
            <family val="2"/>
          </rPr>
          <t>"SSP-Fußball-Trilogie":
SSP-Titel-Vorankündigungen:</t>
        </r>
        <r>
          <rPr>
            <sz val="9"/>
            <color indexed="81"/>
            <rFont val="Tahoma"/>
            <family val="2"/>
          </rPr>
          <t xml:space="preserve">
SSP #63: und das Runde
</t>
        </r>
        <r>
          <rPr>
            <i/>
            <sz val="9"/>
            <color indexed="81"/>
            <rFont val="Tahoma"/>
            <family val="2"/>
          </rPr>
          <t>SSP #64: Ines Geburtstagsfolge</t>
        </r>
        <r>
          <rPr>
            <sz val="9"/>
            <color indexed="81"/>
            <rFont val="Tahoma"/>
            <family val="2"/>
          </rPr>
          <t xml:space="preserve">
SSP #65: und der Fluch des Eckigen
SSP #66: und der Pokal des Schreckens</t>
        </r>
        <r>
          <rPr>
            <b/>
            <sz val="9"/>
            <color indexed="81"/>
            <rFont val="Tahoma"/>
            <family val="2"/>
          </rPr>
          <t xml:space="preserve">
Abgesagte UEFA-EM-2020-Termine:</t>
        </r>
        <r>
          <rPr>
            <sz val="9"/>
            <color indexed="81"/>
            <rFont val="Tahoma"/>
            <family val="2"/>
          </rPr>
          <t xml:space="preserve">
Fußball-EM 2020 Viertelfinale Termine:
Spiel 45: Freitag, </t>
        </r>
        <r>
          <rPr>
            <b/>
            <sz val="9"/>
            <color indexed="81"/>
            <rFont val="Tahoma"/>
            <family val="2"/>
          </rPr>
          <t>3.07.2020</t>
        </r>
        <r>
          <rPr>
            <sz val="9"/>
            <color indexed="81"/>
            <rFont val="Tahoma"/>
            <family val="2"/>
          </rPr>
          <t xml:space="preserve"> um 18 Uhr in Sankt Petersburg: Sieger 42 - Sieger 41
Spiel 46: Freitag, 3.07.2020 um 21 Uhr in München: Sieger 40 - Sieger 38
Spiel 47: Samstag, 4.07.2020 um 18 Uhr in Baku: Sieger 39 - Sieger 37
Spiel 48: Samstag, 4.07.2020 um 21 Uhr in Rom: Sieger 44 - Sieger 43
Fußball-EM 2020 Halbfinale Termine:
Spiel 49: Dienstag, </t>
        </r>
        <r>
          <rPr>
            <sz val="9"/>
            <color indexed="81"/>
            <rFont val="Tahoma"/>
            <family val="2"/>
          </rPr>
          <t>7.07.2020</t>
        </r>
        <r>
          <rPr>
            <sz val="9"/>
            <color indexed="81"/>
            <rFont val="Tahoma"/>
            <family val="2"/>
          </rPr>
          <t xml:space="preserve"> um 21 Uhr in London: Sieger 46 - Sieger 45
Spiel 50: Mittwoch, </t>
        </r>
        <r>
          <rPr>
            <b/>
            <sz val="9"/>
            <color indexed="81"/>
            <rFont val="Tahoma"/>
            <family val="2"/>
          </rPr>
          <t>8.07.2020</t>
        </r>
        <r>
          <rPr>
            <sz val="9"/>
            <color indexed="81"/>
            <rFont val="Tahoma"/>
            <family val="2"/>
          </rPr>
          <t xml:space="preserve"> um 21 Uhr in London: Sieger 48 - Sieger 47
Fußball-EM 2020 Finale Termine:
Sonntag, </t>
        </r>
        <r>
          <rPr>
            <b/>
            <sz val="9"/>
            <color indexed="81"/>
            <rFont val="Tahoma"/>
            <family val="2"/>
          </rPr>
          <t>12.07.2020</t>
        </r>
        <r>
          <rPr>
            <sz val="9"/>
            <color indexed="81"/>
            <rFont val="Tahoma"/>
            <family val="2"/>
          </rPr>
          <t xml:space="preserve"> um 21 Uhr in London: Sieger 49 - Sieger 50</t>
        </r>
      </text>
    </comment>
    <comment ref="B729" authorId="0" shapeId="0" xr:uid="{00000000-0006-0000-0000-000015000000}">
      <text>
        <r>
          <rPr>
            <sz val="9"/>
            <color indexed="81"/>
            <rFont val="Tahoma"/>
            <family val="2"/>
          </rPr>
          <t>SSP-Live bei YouTube am 21.11.2020
Ankündigungstext beim SSP-YouTube-Kanal am 29. Oktober 2020:</t>
        </r>
        <r>
          <rPr>
            <sz val="9"/>
            <color indexed="81"/>
            <rFont val="Tahoma"/>
            <family val="2"/>
          </rPr>
          <t xml:space="preserve">
"Ihr habt es so gewollt: Dank Eurer großartigen Unterstützung hat John Allen 
nun 1234 Abonnenten auf Youtube und wir machen nun einen Livestream. 
Wir freuen uns sehr darüber, dass wir gemeinsam mit JOHN ALLEN einen ganz 
besonderen Fall der drei Jungs aus Rocky Beach besprechen dürfen. Ladys and 
Gentlemen, hier ist der SSP #75: Die drei ??? und die scheißteure Geige aka 
Geister-Canyon. Am 21.11.2020 um 20 Uhr startet die Livestream-Sause - also 
holt Eurer Popcorn heraus und habt mit uns gemeinsam einen tollen Abend!"</t>
        </r>
      </text>
    </comment>
    <comment ref="B730" authorId="0" shapeId="0" xr:uid="{00000000-0006-0000-0000-000016000000}">
      <text>
        <r>
          <rPr>
            <sz val="9"/>
            <color indexed="81"/>
            <rFont val="Tahoma"/>
            <family val="2"/>
          </rPr>
          <t>SSP-Live bei YouTube am 28.11.2020</t>
        </r>
      </text>
    </comment>
    <comment ref="B731" authorId="0" shapeId="0" xr:uid="{00000000-0006-0000-0000-000017000000}">
      <text>
        <r>
          <rPr>
            <sz val="9"/>
            <color indexed="81"/>
            <rFont val="Tahoma"/>
            <family val="2"/>
          </rPr>
          <t>Geschnittene Version von Nr. 192
"SSP Live #5 / SSP #75: Die drei ??? und die scheißteure Geige (124) [aka Geister-Canyon]"</t>
        </r>
      </text>
    </comment>
    <comment ref="F731" authorId="0" shapeId="0" xr:uid="{5DE29ECD-53C5-42DB-8423-BBC23FEF9EA3}">
      <text>
        <r>
          <rPr>
            <sz val="9"/>
            <color indexed="81"/>
            <rFont val="Tahoma"/>
            <family val="2"/>
          </rPr>
          <t xml:space="preserve">Der SSP-Adventskalender 2020
mit SSP#75/DDF#124, DR3i#3, SSP#76/DDF#85, TKKG#35
dauert verteilt über 26 Folgen </t>
        </r>
        <r>
          <rPr>
            <b/>
            <sz val="9"/>
            <color indexed="81"/>
            <rFont val="Tahoma"/>
            <family val="2"/>
          </rPr>
          <t>23:52:12</t>
        </r>
        <r>
          <rPr>
            <sz val="9"/>
            <color indexed="81"/>
            <rFont val="Tahoma"/>
            <family val="2"/>
          </rPr>
          <t xml:space="preserve"> (+11%)
Der SSP-Adventskalender 2019
mit SSP#50/DDF#6, DR3i#2, SSP#51/DDF#89, SSP#52/MoC
dauert verteilt über 25 Folgen 21:26:24 (+88%)
Der SSP-Adventskalender 2018
mit DR3i#1, SSP#32/DDF#37, SSP#33/DDF#25
dauert verteilt über 24 Folgen 11:25:12 (+33%)
Der SSP-Adventskalender 2017
mit SSP#14/DDF#17, TKKG#190
dauert verteilt über 24 Folgen 08:36:16 (+−0%)</t>
        </r>
      </text>
    </comment>
    <comment ref="B745" authorId="0" shapeId="0" xr:uid="{00000000-0006-0000-0000-000018000000}">
      <text>
        <r>
          <rPr>
            <sz val="9"/>
            <color indexed="81"/>
            <rFont val="Tahoma"/>
            <family val="2"/>
          </rPr>
          <t>Geschnittene Version von Nr. 193
"SSP Live #6 / SSP präsentiert: Die drei ??? und die Welt der Hörspiele - Eine Lesung von C. R. Rodenwald"</t>
        </r>
      </text>
    </comment>
    <comment ref="F786" authorId="0" shapeId="0" xr:uid="{5A323489-E2CC-4CF1-A48D-7784C9B80B20}">
      <text>
        <r>
          <rPr>
            <sz val="9"/>
            <color indexed="81"/>
            <rFont val="Tahoma"/>
            <family val="2"/>
          </rPr>
          <t xml:space="preserve">Der SSP-Adventskalender 2021
mit DR3i#4, SSP#97/DDF#138, SSP#98/DDF#83, TKKG#56
SSP#99/Midi#1, SSP#100/DDF#200
dauert verteilt über 27 Folgen </t>
        </r>
        <r>
          <rPr>
            <b/>
            <sz val="9"/>
            <color indexed="81"/>
            <rFont val="Tahoma"/>
            <family val="2"/>
          </rPr>
          <t>27:41:40</t>
        </r>
        <r>
          <rPr>
            <sz val="9"/>
            <color indexed="81"/>
            <rFont val="Tahoma"/>
            <family val="2"/>
          </rPr>
          <t xml:space="preserve"> (+16%)
Der SSP-Adventskalender 2020
mit SSP#75/DDF#124, DR3i#3, SSP#76/DDF#85, TKKG#35
dauert verteilt über 26 Folgen 23:52:12 (+11%)
Der SSP-Adventskalender 2019
mit SSP#50/DDF#6, DR3i#2, SSP#51/DDF#89, SSP#52/MoC
dauert verteilt über 25 Folgen 21:26:24 (+88%)
Der SSP-Adventskalender 2018
mit DR3i#1, SSP#32/DDF#37, SSP#33/DDF#25
dauert verteilt über 24 Folgen 11:25:12 (+33%)
Der SSP-Adventskalender 2017
mit SSP#14/DDF#17, TKKG#190
dauert verteilt über 24 Folgen 08:36:16 (+−0%)</t>
        </r>
      </text>
    </comment>
    <comment ref="E789" authorId="0" shapeId="0" xr:uid="{497B81A3-ACF0-4D63-BEA5-5E007199E940}">
      <text>
        <r>
          <rPr>
            <sz val="9"/>
            <color indexed="81"/>
            <rFont val="Tahoma"/>
            <family val="2"/>
          </rPr>
          <t>Für den 04.12.2021 wurde am 14.09.2021 eine 
SSP-Live-Besprechung der DDF-Folge "Bergmonster" (14)  
in Berlin in der Backfabrik Clinker Lounge angekündigt. 
Am 27.11.2021 wurde diese SSP-Live-Besprechung aufgrund 
hoher Inzidenz-Werte der Coronavirus-Pandemie abgesagt.</t>
        </r>
      </text>
    </comment>
    <comment ref="B793" authorId="0" shapeId="0" xr:uid="{E8C887DD-E30A-4E19-8FED-5386063CB4D9}">
      <text>
        <r>
          <rPr>
            <sz val="9"/>
            <color indexed="81"/>
            <rFont val="Tahoma"/>
            <family val="2"/>
          </rPr>
          <t>SSP-Live bei YouTube am 07.12.2020
Ankündigung beim SSP #96.5 […] SSP Live UNCUT
Der goldene Salamander (Graphic Novel #4)
Eine Lesung von Christopher Tauber + Calle Claus
im Livestream am 07.12.2020 ab 20 Uhr
als Livestream Only (Video später nicht abrufbar)
Interview Teil 1:   9:10
Lesung:             41:34
Interview Teil 2:  28:56</t>
        </r>
      </text>
    </comment>
    <comment ref="B806" authorId="0" shapeId="0" xr:uid="{37ADD332-1C97-4FBB-8303-8206DD45EF82}">
      <text>
        <r>
          <rPr>
            <sz val="9"/>
            <color indexed="81"/>
            <rFont val="Tahoma"/>
            <family val="2"/>
          </rPr>
          <t>Geschnittene Version von Nr. 256 (ohne Lesung, nur Interview)
"SSP Live #7 / SSP präsentiert: Die drei ??? - Der goldene Salamander"</t>
        </r>
      </text>
    </comment>
    <comment ref="B822" authorId="0" shapeId="0" xr:uid="{12E19A44-CA90-4DA7-8554-A89A16DE423C}">
      <text>
        <r>
          <rPr>
            <sz val="9"/>
            <color indexed="81"/>
            <rFont val="Tahoma"/>
            <family val="2"/>
          </rPr>
          <t>"SSP Live #8 / SSP präsentiert: Die drei ??? und das Bergmonster"
in Berlin am 2. April 2022</t>
        </r>
      </text>
    </comment>
    <comment ref="E826" authorId="0" shapeId="0" xr:uid="{07665E28-68C9-47C2-AB6D-A7834F92B9A6}">
      <text>
        <r>
          <rPr>
            <sz val="9"/>
            <color indexed="81"/>
            <rFont val="Tahoma"/>
            <family val="2"/>
          </rPr>
          <t>aufgenommen: 22.06.2022
Folgenkommentar:
"Eine traurige Neuheit beim SSP: Eine Geburtstagsfolge kommt 
nicht am Ehrentag heraus. Leider gabt es bei der Schnittfassung 
zu Ines Geburtstagsfolge ein technisches Problem, sodass wir 
leider noch einmal von Vorne starten mussten."</t>
        </r>
      </text>
    </comment>
    <comment ref="E829" authorId="0" shapeId="0" xr:uid="{FFA1D259-0570-4CD7-9843-C26C7817B9C0}">
      <text>
        <r>
          <rPr>
            <sz val="9"/>
            <color indexed="81"/>
            <rFont val="Tahoma"/>
            <family val="2"/>
          </rPr>
          <t>aufgenommen: 14.07.2022</t>
        </r>
      </text>
    </comment>
    <comment ref="F834" authorId="0" shapeId="0" xr:uid="{D42945F6-6904-411D-BE5B-CC1915B9860E}">
      <text>
        <r>
          <rPr>
            <sz val="9"/>
            <color indexed="81"/>
            <rFont val="Tahoma"/>
            <family val="2"/>
          </rPr>
          <t xml:space="preserve">Der SSP-Adventskalender 2022
mit DR3i#5, SSP#117/DDF#197, SSP#118/Adv4, TKKG#107
dauert verteilt über 24 Folgen </t>
        </r>
        <r>
          <rPr>
            <b/>
            <sz val="9"/>
            <color indexed="81"/>
            <rFont val="Tahoma"/>
            <family val="2"/>
          </rPr>
          <t>27:35:06</t>
        </r>
        <r>
          <rPr>
            <sz val="9"/>
            <color indexed="81"/>
            <rFont val="Tahoma"/>
            <family val="2"/>
          </rPr>
          <t xml:space="preserve"> (−0,4%)
Der SSP-Adventskalender 2021
mit DR3i#4, SSP#97/DDF#138, SSP#98/DDF#83, TKKG#56
SSP#99/Midi#1, SSP#100/DDF#200
dauert verteilt über 27 Folgen 27:41:40 (+16%)
Der SSP-Adventskalender 2020
mit SSP#75/DDF#124, DR3i#3, SSP#76/DDF#85, TKKG#35
dauert verteilt über 26 Folgen 23:52:12 (+11%)
Der SSP-Adventskalender 2019
mit SSP#50/DDF#6, DR3i#2, SSP#51/DDF#89, SSP#52/MoC
dauert verteilt über 25 Folgen 21:26:24 (+88%)
Der SSP-Adventskalender 2018
mit DR3i#1, SSP#32/DDF#37, SSP#33/DDF#25
dauert verteilt über 24 Folgen 11:25:12 (+33%)
Der SSP-Adventskalender 2017
mit SSP#14/DDF#17, TKKG#190
dauert verteilt über 24 Folgen 08:36:16 (+−0%)</t>
        </r>
      </text>
    </comment>
    <comment ref="E859" authorId="0" shapeId="0" xr:uid="{32ADCA13-E340-4089-967B-4DDA90E28F71}">
      <text>
        <r>
          <rPr>
            <sz val="9"/>
            <color indexed="81"/>
            <rFont val="Tahoma"/>
            <family val="2"/>
          </rPr>
          <t>aufgenommen: 11.01.2023</t>
        </r>
      </text>
    </comment>
    <comment ref="B866" authorId="0" shapeId="0" xr:uid="{AB1ECBFB-8CAB-44A6-963A-E34C46C4C364}">
      <text>
        <r>
          <rPr>
            <sz val="9"/>
            <color indexed="81"/>
            <rFont val="Tahoma"/>
            <family val="2"/>
          </rPr>
          <t>Die Ankündigung des Live-Streams erfolgte am 1. April 
am Ende der SSP-Folge #123 durch Olaf</t>
        </r>
      </text>
    </comment>
    <comment ref="F880" authorId="0" shapeId="0" xr:uid="{7A032FB9-B67C-4DC5-985E-3187E7BCDE3A}">
      <text>
        <r>
          <rPr>
            <sz val="9"/>
            <color indexed="81"/>
            <rFont val="Tahoma"/>
            <family val="2"/>
          </rPr>
          <t xml:space="preserve">Der SSP-Adventskalender 2023
mit DR3i#6, KG1.1/2/11/12, SSP#134/DDF#222, TKKG#101
dauert verteilt über 24 Folgen </t>
        </r>
        <r>
          <rPr>
            <b/>
            <sz val="9"/>
            <color indexed="81"/>
            <rFont val="Tahoma"/>
            <family val="2"/>
          </rPr>
          <t>26:25:22</t>
        </r>
        <r>
          <rPr>
            <sz val="9"/>
            <color indexed="81"/>
            <rFont val="Tahoma"/>
            <family val="2"/>
          </rPr>
          <t xml:space="preserve"> (−4,2%)
Der SSP-Adventskalender 2022
mit DR3i#5, SSP#117/DDF#197, SSP#118/Adv4, TKKG#107
dauert verteilt über 24 Folgen 27:35:06 (−0,4%)
Der SSP-Adventskalender 2021
mit DR3i#4, SSP#97/DDF#138, SSP#98/DDF#83, TKKG#56
SSP#99/Midi#1, SSP#100/DDF#200
dauert verteilt über 27 Folgen 27:41:40 (+16%)
Der SSP-Adventskalender 2020
mit SSP#75/DDF#124, DR3i#3, SSP#76/DDF#85, TKKG#35
dauert verteilt über 26 Folgen 23:52:12 (+11%)
Der SSP-Adventskalender 2019
mit SSP#50/DDF#6, DR3i#2, SSP#51/DDF#89, SSP#52/MoC
dauert verteilt über 25 Folgen 21:26:24 (+88%)
Der SSP-Adventskalender 2018
mit DR3i#1, SSP#32/DDF#37, SSP#33/DDF#25
dauert verteilt über 24 Folgen 11:25:12 (+33%)
Der SSP-Adventskalender 2017
mit SSP#14/DDF#17, TKKG#190
dauert verteilt über 24 Folgen 08:36:16 (+−0%)</t>
        </r>
      </text>
    </comment>
    <comment ref="E882" authorId="0" shapeId="0" xr:uid="{043A6AE5-0265-4744-91C3-3DFDC65FA3A6}">
      <text>
        <r>
          <rPr>
            <sz val="9"/>
            <color indexed="81"/>
            <rFont val="Tahoma"/>
            <family val="2"/>
          </rPr>
          <t>aufgenommen: 23.11.2023</t>
        </r>
      </text>
    </comment>
    <comment ref="E915" authorId="0" shapeId="0" xr:uid="{86A5A1CC-FF76-432C-B4CE-F2F59546B7B9}">
      <text>
        <r>
          <rPr>
            <sz val="9"/>
            <color indexed="81"/>
            <rFont val="Tahoma"/>
            <family val="2"/>
          </rPr>
          <t xml:space="preserve">Upload Audio-Datei: </t>
        </r>
        <r>
          <rPr>
            <b/>
            <sz val="9"/>
            <color indexed="81"/>
            <rFont val="Tahoma"/>
            <family val="2"/>
          </rPr>
          <t>8. März 2018</t>
        </r>
        <r>
          <rPr>
            <sz val="9"/>
            <color indexed="81"/>
            <rFont val="Tahoma"/>
            <family val="2"/>
          </rPr>
          <t xml:space="preserve">, 19:17:35 Uhr
"https://cdn.podigee.com/media/podcast_2572_rescherschen_arschiv_episode_1_und_der_sprechende_totenkopf.mp3"
VÖ Webseite mit Link: </t>
        </r>
        <r>
          <rPr>
            <b/>
            <sz val="9"/>
            <color indexed="81"/>
            <rFont val="Tahoma"/>
            <family val="2"/>
          </rPr>
          <t>9. März 2018</t>
        </r>
        <r>
          <rPr>
            <sz val="9"/>
            <color indexed="81"/>
            <rFont val="Tahoma"/>
            <family val="2"/>
          </rPr>
          <t>, 11:45:39 Uhr
"https://www.rescherschen-und-arschiv.de/folge-1-und-der-sprechende-totenkopf/"</t>
        </r>
      </text>
    </comment>
    <comment ref="C930" authorId="0" shapeId="0" xr:uid="{D2F3F559-8EB9-43D8-90F8-43430A6F6246}">
      <text>
        <r>
          <rPr>
            <sz val="9"/>
            <color indexed="81"/>
            <rFont val="Tahoma"/>
            <family val="2"/>
          </rPr>
          <t>Beschreibung:
"Die drei Podcaster
...und die verfluchte Folge
Verflixt und zugenäht!
Anfangs hat sich noch keiner was gedacht, als die Termine immer wegen Krankheit verschoben wurden, 
doch spätestens als plötzlich die Aufnahme nach 20 Minuten wie von Geisterhand einfach unter einem 
fadenscheinigen Vorwand abbrach, hätten die drei bemerken müssen, dass etwas nicht mit rechten 
Dingen zuging. Und so kam es, dass beim zweiten Aufnehmen alles Pulver verschossen war, bereits in 
der ersten Aufnahme getätigte witzige Bemerkungen die anderen eher zu einem gequälten Lächeln er-
munterten und Spekulationen selbst ein für uns unangemessenes Niveau annahmen.
Kurz gesagt: Wir haben vor der unbesprechbaren Folge kapituliert und werden diese in Zukunft meiden.
Leider, leider heißt das für euch, dass wir euch nochmal vertrösten müssen, aber hoch&amp;heilig 
versprechen so schnell wie möglich zu unserem ursprünglichen Rhythmus zurückzukehren. 
Sorry, Leute! Wenigstens – soviel sei verraten – werden wir uns mal einer aktuelleren Folge 
widmen, daher hört mal in alles ab 180 rein….."</t>
        </r>
      </text>
    </comment>
    <comment ref="C995" authorId="0" shapeId="0" xr:uid="{00000000-0006-0000-0000-000019000000}">
      <text>
        <r>
          <rPr>
            <sz val="9"/>
            <color indexed="81"/>
            <rFont val="Tahoma"/>
            <family val="2"/>
          </rPr>
          <t>Inhalte der angekündigten "DiE 2WO" Folge 9:
- Besprechung von "Hotel Luxury End" (DR3i Special)
- Besprechung von "Das lebende Gemälde" (TKKG 171)
- Besprechung von "Die Kathedrale der Macht" (Ein Fall für die Rosen 1)
- Brainstorming: Was hätte noch in der Zukunft bei "DiE DR3i" passieren können?</t>
        </r>
      </text>
    </comment>
    <comment ref="F998" authorId="0" shapeId="0" xr:uid="{00000000-0006-0000-0000-00001A000000}">
      <text>
        <r>
          <rPr>
            <b/>
            <i/>
            <sz val="9"/>
            <color indexed="81"/>
            <rFont val="Tahoma"/>
            <family val="2"/>
          </rPr>
          <t>Teilnehmer bei Die-Zentrale-Folgen:</t>
        </r>
        <r>
          <rPr>
            <sz val="9"/>
            <color indexed="81"/>
            <rFont val="Tahoma"/>
            <family val="2"/>
          </rPr>
          <t xml:space="preserve">
Folge 1-25 (ohne Sonderfolgen):
Thomas Freitag: 23-mal* (92%)
Benjamin Kasper: 19-mal (76%)
Oliver Hecke: 14-mal (56%)
</t>
        </r>
        <r>
          <rPr>
            <sz val="8"/>
            <color indexed="81"/>
            <rFont val="Tahoma"/>
            <family val="2"/>
          </rPr>
          <t xml:space="preserve">*) nicht 13 &amp; 18
</t>
        </r>
        <r>
          <rPr>
            <sz val="9"/>
            <color indexed="81"/>
            <rFont val="Tahoma"/>
            <family val="2"/>
          </rPr>
          <t xml:space="preserve">
Folge 26-50 (ohne Sonderfolgen):
Thomas Freitag: 20-mal* (80%)
Benjamin Kasper: 21-mal** (84%)
Oliver Hecke: 19-mal*** (76%)</t>
        </r>
        <r>
          <rPr>
            <sz val="8"/>
            <color indexed="81"/>
            <rFont val="Tahoma"/>
            <family val="2"/>
          </rPr>
          <t xml:space="preserve">
*) nicht 28, 37, 39, 44, 48
**) nicht 27, 36, 38, 43
***) nicht 26, 31, 32, 33, 40, 47</t>
        </r>
      </text>
    </comment>
    <comment ref="E1001" authorId="0" shapeId="0" xr:uid="{B7A5DE53-2922-4D35-8E77-0A2486595B50}">
      <text>
        <r>
          <rPr>
            <sz val="9"/>
            <color indexed="81"/>
            <rFont val="Tahoma"/>
            <family val="2"/>
          </rPr>
          <t>aufgenommen: 27.10.2018</t>
        </r>
      </text>
    </comment>
    <comment ref="E1002" authorId="0" shapeId="0" xr:uid="{442D9A16-A59D-43FF-B6C4-CDAEE8D3C26C}">
      <text>
        <r>
          <rPr>
            <sz val="9"/>
            <color indexed="81"/>
            <rFont val="Tahoma"/>
            <family val="2"/>
          </rPr>
          <t>aufgenommen: 28.10.2018</t>
        </r>
      </text>
    </comment>
    <comment ref="E1007" authorId="0" shapeId="0" xr:uid="{C03D43B9-3A00-43FF-B219-1B732442011A}">
      <text>
        <r>
          <rPr>
            <sz val="9"/>
            <color indexed="81"/>
            <rFont val="Tahoma"/>
            <family val="2"/>
          </rPr>
          <t>aufgenommen: 08.03.2019</t>
        </r>
      </text>
    </comment>
    <comment ref="E1014" authorId="0" shapeId="0" xr:uid="{0673E1EC-8BD3-4770-A915-58D3A30EA460}">
      <text>
        <r>
          <rPr>
            <sz val="9"/>
            <color indexed="81"/>
            <rFont val="Tahoma"/>
            <family val="2"/>
          </rPr>
          <t>aufgenommen: 20.05.2019</t>
        </r>
      </text>
    </comment>
    <comment ref="E1027" authorId="0" shapeId="0" xr:uid="{4BD4B001-9893-4817-BA4B-2D9F16CFE9C6}">
      <text>
        <r>
          <rPr>
            <sz val="9"/>
            <color indexed="81"/>
            <rFont val="Tahoma"/>
            <family val="2"/>
          </rPr>
          <t>aufgenommen: 06.10.2019</t>
        </r>
      </text>
    </comment>
    <comment ref="B1028" authorId="0" shapeId="0" xr:uid="{620F95A2-422A-43E4-B14F-A40DE967A03B}">
      <text>
        <r>
          <rPr>
            <sz val="9"/>
            <color indexed="81"/>
            <rFont val="Tahoma"/>
            <family val="2"/>
          </rPr>
          <t xml:space="preserve">Besprochene neue Gruselserie-Folgen:
Folge 1: Polterabend – Nacht des Entsetzens
Folge 2: Yeti – Kreatur aus dem Himalaya
Folge 3: Moskitos – Anflug der Killer-Insekten
Folge 4: Projekt X – Invasion der Aliens
Folge 5: Dracula – Tod im All
von Thomas Und Oliver besprochen
</t>
        </r>
        <r>
          <rPr>
            <i/>
            <sz val="9"/>
            <color indexed="81"/>
            <rFont val="Tahoma"/>
            <family val="2"/>
          </rPr>
          <t>siehe auch:</t>
        </r>
        <r>
          <rPr>
            <sz val="9"/>
            <color indexed="81"/>
            <rFont val="Tahoma"/>
            <family val="2"/>
          </rPr>
          <t xml:space="preserve">
Sonderfolge - Die Gruselserie (1981), Wer ist Kai?
vom 30.10.2023</t>
        </r>
      </text>
    </comment>
    <comment ref="E1030" authorId="0" shapeId="0" xr:uid="{4A563709-317E-417D-BFB2-C01C758AC84E}">
      <text>
        <r>
          <rPr>
            <sz val="9"/>
            <color indexed="81"/>
            <rFont val="Tahoma"/>
            <family val="2"/>
          </rPr>
          <t>aufgenommen: 04.11.2019</t>
        </r>
      </text>
    </comment>
    <comment ref="B1031" authorId="0" shapeId="0" xr:uid="{00000000-0006-0000-0000-00001B000000}">
      <text>
        <r>
          <rPr>
            <sz val="9"/>
            <color indexed="81"/>
            <rFont val="Tahoma"/>
            <family val="2"/>
          </rPr>
          <t>Die Die-Zentrale-Podcaster Thomas Freitag und Benjamin Kasper 
sprechen über 24 Tage über den Die-drei-???-Adventskalender 2019 
"Löse die 24 spannenden Rätsel der Geisterbahn" (KOSMOS-Nr. 634162)
Die YouTube-Besprechung der Folge des ???-Adventskalenders 2019
dauert verteilt über 24 Folgen 4:57:42</t>
        </r>
      </text>
    </comment>
    <comment ref="F1031" authorId="0" shapeId="0" xr:uid="{FEE573E2-F340-4907-9E94-B27D6FC58DCF}">
      <text>
        <r>
          <rPr>
            <sz val="9"/>
            <color indexed="81"/>
            <rFont val="Tahoma"/>
            <family val="2"/>
          </rPr>
          <t xml:space="preserve">Der Zentrale-Adventskalender 2019 - Rätsel der Geisterbahn
dauert verteilt über 24 Folgen </t>
        </r>
        <r>
          <rPr>
            <b/>
            <sz val="9"/>
            <color indexed="81"/>
            <rFont val="Tahoma"/>
            <family val="2"/>
          </rPr>
          <t>4:57:42</t>
        </r>
        <r>
          <rPr>
            <sz val="9"/>
            <color indexed="81"/>
            <rFont val="Tahoma"/>
            <family val="2"/>
          </rPr>
          <t xml:space="preserve"> (+−0%)</t>
        </r>
      </text>
    </comment>
    <comment ref="E1052" authorId="0" shapeId="0" xr:uid="{9A99365A-F584-4AAB-BF8B-3B8504949A94}">
      <text>
        <r>
          <rPr>
            <sz val="9"/>
            <color indexed="81"/>
            <rFont val="Tahoma"/>
            <family val="2"/>
          </rPr>
          <t>aufgenommen: 03.10.2019</t>
        </r>
      </text>
    </comment>
    <comment ref="E1056" authorId="0" shapeId="0" xr:uid="{2D2F8C44-01DA-4CCF-B853-4DA79FCC3C79}">
      <text>
        <r>
          <rPr>
            <sz val="9"/>
            <color indexed="81"/>
            <rFont val="Tahoma"/>
            <family val="2"/>
          </rPr>
          <t>aufgenommen: 01.12.2019</t>
        </r>
      </text>
    </comment>
    <comment ref="B1057" authorId="0" shapeId="0" xr:uid="{26395312-D8FE-48FD-B9AB-90BFB75C3724}">
      <text>
        <r>
          <rPr>
            <sz val="9"/>
            <color indexed="81"/>
            <rFont val="Tahoma"/>
            <family val="2"/>
          </rPr>
          <t>Diese Sonderfolge ist von und mit den Podcastern 
"Pook &amp; Voigt" gesprochen als "Der letzte Podcast"</t>
        </r>
      </text>
    </comment>
    <comment ref="B1065" authorId="0" shapeId="0" xr:uid="{F34FEECB-B133-4981-BAEB-AD9F21D9FE6A}">
      <text>
        <r>
          <rPr>
            <b/>
            <sz val="9"/>
            <color indexed="81"/>
            <rFont val="Tahoma"/>
            <family val="2"/>
          </rPr>
          <t>Beschreibung:</t>
        </r>
        <r>
          <rPr>
            <sz val="9"/>
            <color indexed="81"/>
            <rFont val="Tahoma"/>
            <family val="2"/>
          </rPr>
          <t xml:space="preserve">
"Liebe Hörer, 
weiterhin beschäftigt uns alle die Coronakrise. Da Benjamin nur ein Dosentelefon besitzt, 
Ollis PC grad das Windows 95 Update lädt und Thomas noch nicht mal das Morsealphabet 
beherrscht, sind wir weiterhin nicht dazu fähig, euch eine frische Folge "Die Zentrale" auf-
zunehmen. Also hat Thomas erneut in die Mottenkiste gegriffen und dabei diese unveröff-
entlichte Folge von uns herausgefischt. Unveröffentlicht aus gutem Grund, da die Sound-
qualität sehr zu wünschen übrig lässt. Damit ihr aber weiterhin etwas von uns geboten be-
kommt und ihr uns zu Hause nicht eingeht, haben wir uns trotz allem Widerstrebens dazu 
entschlossen, euch heute unsere Folgenbesprechung zum "Super-Papagei" aus der Serie 
Die drei Fragezeichen zu präsentieren. Bitte seid nicht so streng mit uns, wir wissen, dass 
es übersteuert und blechern klingt und ursprünglich war es nie gedacht, euch das zu zei-
gen, weil wir uns so schämen!"</t>
        </r>
      </text>
    </comment>
    <comment ref="B1068" authorId="0" shapeId="0" xr:uid="{00000000-0006-0000-0000-00001C000000}">
      <text>
        <r>
          <rPr>
            <sz val="9"/>
            <color indexed="81"/>
            <rFont val="Tahoma"/>
            <family val="2"/>
          </rPr>
          <t>Die als "</t>
        </r>
        <r>
          <rPr>
            <b/>
            <sz val="9"/>
            <color indexed="81"/>
            <rFont val="Tahoma"/>
            <family val="2"/>
          </rPr>
          <t>17-Stunden-Podcast</t>
        </r>
        <r>
          <rPr>
            <sz val="9"/>
            <color indexed="81"/>
            <rFont val="Tahoma"/>
            <family val="2"/>
          </rPr>
          <t>" angekündigte Folge 
dauert verteilt über vier Die-Zentrale-Folgen 15:26:58</t>
        </r>
      </text>
    </comment>
    <comment ref="Q1070" authorId="0" shapeId="0" xr:uid="{35AA72C1-99BB-4004-B817-E2CDC13779F9}">
      <text>
        <r>
          <rPr>
            <sz val="9"/>
            <color indexed="81"/>
            <rFont val="Tahoma"/>
            <family val="2"/>
          </rPr>
          <t>Im Hintergrund an der Kamera 
mit einzelnen Texteinwürfen</t>
        </r>
      </text>
    </comment>
    <comment ref="E1072" authorId="0" shapeId="0" xr:uid="{00000000-0006-0000-0000-00001D000000}">
      <text>
        <r>
          <rPr>
            <sz val="9"/>
            <color indexed="81"/>
            <rFont val="Tahoma"/>
            <family val="2"/>
          </rPr>
          <t>bei Patreon: 31.05.2020
bei Podigee: 01.06.2020</t>
        </r>
      </text>
    </comment>
    <comment ref="E1073" authorId="0" shapeId="0" xr:uid="{00000000-0006-0000-0000-00001E000000}">
      <text>
        <r>
          <rPr>
            <sz val="9"/>
            <color indexed="81"/>
            <rFont val="Tahoma"/>
            <family val="2"/>
          </rPr>
          <t>bei Patreon: 21.06.2020
bei Podigee: 22.06.2020</t>
        </r>
      </text>
    </comment>
    <comment ref="E1074" authorId="0" shapeId="0" xr:uid="{00000000-0006-0000-0000-00001F000000}">
      <text>
        <r>
          <rPr>
            <sz val="9"/>
            <color indexed="81"/>
            <rFont val="Tahoma"/>
            <family val="2"/>
          </rPr>
          <t>bei Patreon: 04.07.2020
bei Podigee: 05.07.2020</t>
        </r>
      </text>
    </comment>
    <comment ref="E1078" authorId="0" shapeId="0" xr:uid="{00000000-0006-0000-0000-000020000000}">
      <text>
        <r>
          <rPr>
            <sz val="9"/>
            <color indexed="81"/>
            <rFont val="Tahoma"/>
            <family val="2"/>
          </rPr>
          <t>aufgenommen: 16.08.2020
VÖ bei Patreon: 19.09.2020
VÖ bei Podigee: 25.10.2020</t>
        </r>
      </text>
    </comment>
    <comment ref="E1080" authorId="0" shapeId="0" xr:uid="{00000000-0006-0000-0000-000021000000}">
      <text>
        <r>
          <rPr>
            <sz val="9"/>
            <color indexed="81"/>
            <rFont val="Tahoma"/>
            <family val="2"/>
          </rPr>
          <t>bei Patreon: 03.10.2020
bei Podigee: 04.10.2020</t>
        </r>
      </text>
    </comment>
    <comment ref="E1082" authorId="0" shapeId="0" xr:uid="{00000000-0006-0000-0000-000022000000}">
      <text>
        <r>
          <rPr>
            <sz val="9"/>
            <color indexed="81"/>
            <rFont val="Tahoma"/>
            <family val="2"/>
          </rPr>
          <t>bei Patreon: 09.10.2020
bei Podigee: 11.10.2020</t>
        </r>
      </text>
    </comment>
    <comment ref="E1083" authorId="0" shapeId="0" xr:uid="{00000000-0006-0000-0000-000023000000}">
      <text>
        <r>
          <rPr>
            <sz val="9"/>
            <color indexed="81"/>
            <rFont val="Tahoma"/>
            <family val="2"/>
          </rPr>
          <t>bei Patreon: 29.10.2020
bei Podigee: 31.10.2020</t>
        </r>
      </text>
    </comment>
    <comment ref="E1085" authorId="0" shapeId="0" xr:uid="{AFDA49AB-9B48-4738-9408-1CE5F28BCBB9}">
      <text>
        <r>
          <rPr>
            <sz val="9"/>
            <color indexed="81"/>
            <rFont val="Tahoma"/>
            <family val="2"/>
          </rPr>
          <t>aufgenommen: 10.11.2020
bei Patreon: 21.11.2020
  ("Extended Fassung" 2:10:34)
bei Podigee: 22.11.2020
  ("Spotify Fassung" 2:01:19)</t>
        </r>
      </text>
    </comment>
    <comment ref="B1086" authorId="0" shapeId="0" xr:uid="{00000000-0006-0000-0000-000024000000}">
      <text>
        <r>
          <rPr>
            <sz val="9"/>
            <color indexed="81"/>
            <rFont val="Tahoma"/>
            <family val="2"/>
          </rPr>
          <t>Die Podcast-Besprechung der Folge "</t>
        </r>
        <r>
          <rPr>
            <b/>
            <sz val="9"/>
            <color indexed="81"/>
            <rFont val="Tahoma"/>
            <family val="2"/>
          </rPr>
          <t>O du finstere</t>
        </r>
        <r>
          <rPr>
            <sz val="9"/>
            <color indexed="81"/>
            <rFont val="Tahoma"/>
            <family val="2"/>
          </rPr>
          <t>"  
dauert verteilt über 24 Folgen 7:41:25 (h/mm/ss)</t>
        </r>
      </text>
    </comment>
    <comment ref="F1086" authorId="0" shapeId="0" xr:uid="{50B7DD15-339E-4E41-BB9A-70C9DB512767}">
      <text>
        <r>
          <rPr>
            <sz val="9"/>
            <color indexed="81"/>
            <rFont val="Tahoma"/>
            <family val="2"/>
          </rPr>
          <t xml:space="preserve">Der Zentrale-Adventskalender 2020 - O du finstere
dauert verteilt über 24 Folgen </t>
        </r>
        <r>
          <rPr>
            <b/>
            <sz val="9"/>
            <color indexed="81"/>
            <rFont val="Tahoma"/>
            <family val="2"/>
          </rPr>
          <t>7:41:25</t>
        </r>
        <r>
          <rPr>
            <sz val="9"/>
            <color indexed="81"/>
            <rFont val="Tahoma"/>
            <family val="2"/>
          </rPr>
          <t xml:space="preserve"> (+55%)
Der Zentrale-Adventskalender 2019 - Rätsel der Geisterbahn
dauert verteilt über 24 Folgen 4:57:42 (+−0%)</t>
        </r>
      </text>
    </comment>
    <comment ref="E1113" authorId="0" shapeId="0" xr:uid="{DCA85426-2C30-4F59-B632-E40057B2605F}">
      <text>
        <r>
          <rPr>
            <sz val="9"/>
            <color indexed="81"/>
            <rFont val="Tahoma"/>
            <family val="2"/>
          </rPr>
          <t>bei Patreon: 05.02.2021
bei Podigee: 12.02.2021</t>
        </r>
      </text>
    </comment>
    <comment ref="E1115" authorId="0" shapeId="0" xr:uid="{8974958B-E724-4683-99EE-7902A92A49E7}">
      <text>
        <r>
          <rPr>
            <sz val="9"/>
            <color indexed="81"/>
            <rFont val="Tahoma"/>
            <family val="2"/>
          </rPr>
          <t>bei Patreon: 05.03.2021
bei Podigee: 12.03.2021</t>
        </r>
      </text>
    </comment>
    <comment ref="E1118" authorId="0" shapeId="0" xr:uid="{61B030A7-BACA-4BB4-A107-04AC30F475D2}">
      <text>
        <r>
          <rPr>
            <sz val="9"/>
            <color indexed="81"/>
            <rFont val="Tahoma"/>
            <family val="2"/>
          </rPr>
          <t>aufgenommen: 28.02.2021
bei Patreon: 02.04.2021
bei Podigee: 09.04.2021</t>
        </r>
      </text>
    </comment>
    <comment ref="E1121" authorId="0" shapeId="0" xr:uid="{2F44F838-0A08-46F5-BC74-47DAA66F083F}">
      <text>
        <r>
          <rPr>
            <sz val="9"/>
            <color indexed="81"/>
            <rFont val="Tahoma"/>
            <family val="2"/>
          </rPr>
          <t>aufgenommen: 31.01.2021
bei Patreon: 30.04.2021
bei Podigee: 07.05.2021</t>
        </r>
      </text>
    </comment>
    <comment ref="E1122" authorId="0" shapeId="0" xr:uid="{5AFC6980-F4CF-47AC-9EE9-C11B03116FEE}">
      <text>
        <r>
          <rPr>
            <sz val="9"/>
            <color indexed="81"/>
            <rFont val="Tahoma"/>
            <family val="2"/>
          </rPr>
          <t>bei Patreon: 28.05.2021
bei Podigee: 04.06.2021</t>
        </r>
      </text>
    </comment>
    <comment ref="E1123" authorId="0" shapeId="0" xr:uid="{FC90E91C-FAFC-4084-A741-B316E7B0150D}">
      <text>
        <r>
          <rPr>
            <sz val="9"/>
            <color indexed="81"/>
            <rFont val="Tahoma"/>
            <family val="2"/>
          </rPr>
          <t>bei Patreon: 24.06.2021
bei Podigee: 02.07.2021</t>
        </r>
      </text>
    </comment>
    <comment ref="E1124" authorId="0" shapeId="0" xr:uid="{5E41A18B-579A-444A-8562-CC44A37BA4C3}">
      <text>
        <r>
          <rPr>
            <sz val="9"/>
            <color indexed="81"/>
            <rFont val="Tahoma"/>
            <family val="2"/>
          </rPr>
          <t>bei Patreon: 04.07.2021
bei Podigee: 05.07.2021</t>
        </r>
      </text>
    </comment>
    <comment ref="B1125" authorId="0" shapeId="0" xr:uid="{79DF5530-7410-4D57-85DC-6714DF9B0A4E}">
      <text>
        <r>
          <rPr>
            <sz val="9"/>
            <color indexed="81"/>
            <rFont val="Tahoma"/>
            <family val="2"/>
          </rPr>
          <t>Erstveröffentlichung der Folge bei dem TKKG-Podcast
"Die Rasende Hängematte - Neues aus der Millionenstadt" 
mit dem Titel: 
"Sonderfolge: Interview mit Rhea Harder-Vennewald &amp; Sascha Draeger 
(alias Gaby und Tim) - Wir sprechen mit Gaby Glockner und Peter 'Tim' Carsten"
am 16. April 2021 mit einer Spielzeit von 1:10:23</t>
        </r>
      </text>
    </comment>
    <comment ref="E1125" authorId="0" shapeId="0" xr:uid="{15AE6CDA-387F-49A8-898B-A65DA9694094}">
      <text>
        <r>
          <rPr>
            <sz val="9"/>
            <color indexed="81"/>
            <rFont val="Tahoma"/>
            <family val="2"/>
          </rPr>
          <t>bei Patreon: 15.04.2021
bei Podigee: 16.07.2021</t>
        </r>
      </text>
    </comment>
    <comment ref="E1126" authorId="0" shapeId="0" xr:uid="{BF9EAD08-3304-479C-882D-57BD76A4F19F}">
      <text>
        <r>
          <rPr>
            <sz val="9"/>
            <color indexed="81"/>
            <rFont val="Tahoma"/>
            <family val="2"/>
          </rPr>
          <t>bei Patreon: 02.03.2021
bei Podigee: 23.07.2021</t>
        </r>
      </text>
    </comment>
    <comment ref="B1127" authorId="0" shapeId="0" xr:uid="{A9A90133-31DF-4BEC-9EB9-7495F0284AC8}">
      <text>
        <r>
          <rPr>
            <sz val="9"/>
            <color indexed="81"/>
            <rFont val="Tahoma"/>
            <family val="2"/>
          </rPr>
          <t>Erstveröffentlichung der Folge bei dem TKKG-Podcast
"Die Rasende Hängematte - Neues aus der Millionenstadt" 
mit dem Titel: 
"Sonderfolge: Interview mit Manou Lubowski &amp; Tobias Diakow
- Wir sprechen mit Karl und Klößchen von TKKG"
am 17. April 2021 mit einer Spielzeit von 1:15:10</t>
        </r>
      </text>
    </comment>
    <comment ref="E1129" authorId="0" shapeId="0" xr:uid="{5D2A7B69-FC60-497C-A44A-E6D8C6749B49}">
      <text>
        <r>
          <rPr>
            <sz val="9"/>
            <color indexed="81"/>
            <rFont val="Tahoma"/>
            <family val="2"/>
          </rPr>
          <t>bei Patreon: 14.04.2021
bei Podigee: 20.08.2021</t>
        </r>
      </text>
    </comment>
    <comment ref="E1132" authorId="0" shapeId="0" xr:uid="{35C43C2A-CDBB-4C43-B5D3-D6FC78760A6C}">
      <text>
        <r>
          <rPr>
            <sz val="9"/>
            <color indexed="81"/>
            <rFont val="Tahoma"/>
            <family val="2"/>
          </rPr>
          <t>bei Patreon: 14.06.2021
bei Podigee: 24.09.2021</t>
        </r>
      </text>
    </comment>
    <comment ref="E1134" authorId="0" shapeId="0" xr:uid="{45B8E741-E622-4B3D-9744-7C0893A964F4}">
      <text>
        <r>
          <rPr>
            <sz val="9"/>
            <color indexed="81"/>
            <rFont val="Tahoma"/>
            <family val="2"/>
          </rPr>
          <t>bei Patreon: 07.07.2021
bei Podigee: 01.10.2021</t>
        </r>
      </text>
    </comment>
    <comment ref="E1135" authorId="0" shapeId="0" xr:uid="{B91CEFC3-524A-40AB-A968-7E7B5E8CDAC2}">
      <text>
        <r>
          <rPr>
            <sz val="9"/>
            <color indexed="81"/>
            <rFont val="Tahoma"/>
            <family val="2"/>
          </rPr>
          <t>bei Patreon: 08.07.2021
bei Podigee: 15.10.2021</t>
        </r>
      </text>
    </comment>
    <comment ref="E1136" authorId="0" shapeId="0" xr:uid="{B9BBE169-B211-4692-9457-812E32E678C6}">
      <text>
        <r>
          <rPr>
            <sz val="9"/>
            <color indexed="81"/>
            <rFont val="Tahoma"/>
            <family val="2"/>
          </rPr>
          <t>bei Patreon: 21.08.2021
bei Podigee: 22.10.2021</t>
        </r>
      </text>
    </comment>
    <comment ref="C1138" authorId="0" shapeId="0" xr:uid="{CEF0FD70-A862-4657-876E-144818C74C7E}">
      <text>
        <r>
          <rPr>
            <sz val="9"/>
            <color indexed="81"/>
            <rFont val="Tahoma"/>
            <family val="2"/>
          </rPr>
          <t>DTH #12: TKKG - Das lebende Gemälde (171) featuring Rescherschen &amp; Arschiv
Die tosende Hollywoodschaukel - Der TKKG Podcast
(von den Machern von Die Zentrale - Ein Podcast über die drei ???)
Beschreibung:
"Heute besprechen wir eine Folge, deren Entstehungsgeschichte eine besondere ist. Aus diesem Grund 
haben wir uns Verstärkung in Form des drei ??? Podcasts "Rescherschen &amp; Arschiv" dazu geholt! Denn 
das TKKG-Hörspiel "Das lebende Gemälde sollte ursprünglich mal ein Hörspiel für die Serie "Die Dr3i" 
werden. Kenner unter euch wissen, dass diese Interimserie [sic] in den Jahren entstand, als es keine 
drei ??? Hörspiele gab! Was liegt da näher, als mit den Jungs von R&amp;A in die Folgenbesprechung zu 
gehen? Wir bedanken uns bei unseren Gästen und wünschen euch viel Spass [sic] mit diesem spezial-
gelagerten Sonderfall aus der Millionenstadt."</t>
        </r>
      </text>
    </comment>
    <comment ref="E1139" authorId="0" shapeId="0" xr:uid="{06661451-C351-490B-B52E-D1A29F869893}">
      <text>
        <r>
          <rPr>
            <sz val="9"/>
            <color indexed="81"/>
            <rFont val="Tahoma"/>
            <family val="2"/>
          </rPr>
          <t>bei Patreon: 24.11.2021
bei Podigee: 01.12.2021</t>
        </r>
      </text>
    </comment>
    <comment ref="F1139" authorId="0" shapeId="0" xr:uid="{2854D824-3E40-4387-93DC-4522BC3B504B}">
      <text>
        <r>
          <rPr>
            <sz val="9"/>
            <color indexed="81"/>
            <rFont val="Tahoma"/>
            <family val="2"/>
          </rPr>
          <t xml:space="preserve">Der Zentrale-Adventskalender 2021 - fünfter Advent
dauert verteilt über 24 Folgen </t>
        </r>
        <r>
          <rPr>
            <b/>
            <sz val="9"/>
            <color indexed="81"/>
            <rFont val="Tahoma"/>
            <family val="2"/>
          </rPr>
          <t>7:30:06</t>
        </r>
        <r>
          <rPr>
            <sz val="9"/>
            <color indexed="81"/>
            <rFont val="Tahoma"/>
            <family val="2"/>
          </rPr>
          <t xml:space="preserve"> (−2,5%)
Der Zentrale-Adventskalender 2020 - O du finstere
dauert verteilt über 24 Folgen 7:41:25 (+55%)
Der Zentrale-Adventskalender 2019 - Rätsel der Geisterbahn
dauert verteilt über 24 Folgen 4:57:42 (+−0%)</t>
        </r>
      </text>
    </comment>
    <comment ref="E1140" authorId="0" shapeId="0" xr:uid="{1ABB460D-5115-4A78-835F-3CA2EC8427D1}">
      <text>
        <r>
          <rPr>
            <sz val="9"/>
            <color indexed="81"/>
            <rFont val="Tahoma"/>
            <family val="2"/>
          </rPr>
          <t>bei Patreon: 25.11.2021
bei Podigee: 02.12.2021</t>
        </r>
      </text>
    </comment>
    <comment ref="E1163" authorId="0" shapeId="0" xr:uid="{4E39B466-4DA6-461B-89AD-CD291A1E46B3}">
      <text>
        <r>
          <rPr>
            <sz val="9"/>
            <color indexed="81"/>
            <rFont val="Tahoma"/>
            <family val="2"/>
          </rPr>
          <t xml:space="preserve">Erstveröffentlichung im 
rotz + wasser - Geordnetes Chaos - Podcast Adventskalender 2021
Der geheime Gegner Teil 1 - 10. Dezember (8:35)
Der geheime Gegner Teil 2 - 11. Dezember (8:10)
bei Patreon: 12.12.2021
bei Podigee: 25.12.2021
</t>
        </r>
        <r>
          <rPr>
            <i/>
            <sz val="9"/>
            <color indexed="81"/>
            <rFont val="Tahoma"/>
            <family val="2"/>
          </rPr>
          <t xml:space="preserve">Beschreibung: </t>
        </r>
        <r>
          <rPr>
            <sz val="9"/>
            <color indexed="81"/>
            <rFont val="Tahoma"/>
            <family val="2"/>
          </rPr>
          <t xml:space="preserve">
"Ihr alle kennt sie als unsere Off-Sprecherin: Unsere liebe Leonie!
Wenn sie nicht grad ellenlange Texte für unsere beiden Podcasts 
"rotz+wasser" und "Die Zentrale" einspricht, macht sie auch Musik, 
macht Voiceacting oder schreibt Bücher.
Apropos schreibt Bücher und apropos "Die Zentrale": Da Thomas ja 
seine diesjährigen Adventskalendertürchen zur Verfügung stellt, hat 
Leonie die Gelgenheit beim Schopfe gepackt und eine Kurzgeschichte 
über uns drei Podcaster geschrieben, der im Zentrale-Kosmos spielt."</t>
        </r>
      </text>
    </comment>
    <comment ref="E1164" authorId="0" shapeId="0" xr:uid="{CEA86DB1-E4B6-4C4A-B791-04C0A3F82C5D}">
      <text>
        <r>
          <rPr>
            <sz val="9"/>
            <color indexed="81"/>
            <rFont val="Tahoma"/>
            <family val="2"/>
          </rPr>
          <t>bei Patreon: 25.12.2021
bei Podigee: 26.12.2021</t>
        </r>
      </text>
    </comment>
    <comment ref="E1165" authorId="0" shapeId="0" xr:uid="{5B388612-6889-4F10-A715-22AE32A27A23}">
      <text>
        <r>
          <rPr>
            <sz val="9"/>
            <color indexed="81"/>
            <rFont val="Tahoma"/>
            <family val="2"/>
          </rPr>
          <t>bei Patreon: 03.02.2022
bei Podigee: 11.02.2022</t>
        </r>
      </text>
    </comment>
    <comment ref="E1166" authorId="0" shapeId="0" xr:uid="{75A2C2F1-7D52-407A-8743-24E169C12FCE}">
      <text>
        <r>
          <rPr>
            <sz val="9"/>
            <color indexed="81"/>
            <rFont val="Tahoma"/>
            <family val="2"/>
          </rPr>
          <t>aufgenommen: 16.02.2022
bei Patreon: 25.02.2022
bei Podigee: 28.02.2022</t>
        </r>
      </text>
    </comment>
    <comment ref="E1169" authorId="0" shapeId="0" xr:uid="{D90DDB9C-B0DB-4B3D-8AE8-D7C7FF45ADCB}">
      <text>
        <r>
          <rPr>
            <sz val="9"/>
            <color indexed="81"/>
            <rFont val="Tahoma"/>
            <family val="2"/>
          </rPr>
          <t>bei Patreon: 06.03.2022 (2:12:33)
bei Podigee: 11.03.2022 (2:13:36)
+ "In the Middle of the Night"-Einspielung</t>
        </r>
      </text>
    </comment>
    <comment ref="E1170" authorId="0" shapeId="0" xr:uid="{9FF855CE-3431-447E-9DA4-B8C7D41FABD7}">
      <text>
        <r>
          <rPr>
            <sz val="9"/>
            <color indexed="81"/>
            <rFont val="Tahoma"/>
            <family val="2"/>
          </rPr>
          <t>bei Patreon: 04.04.2022
bei Podigee: 08.04.2022</t>
        </r>
      </text>
    </comment>
    <comment ref="F1171" authorId="0" shapeId="0" xr:uid="{53A34E28-79CA-47BB-B595-03DF496A7FAB}">
      <text>
        <r>
          <rPr>
            <sz val="9"/>
            <color indexed="81"/>
            <rFont val="Tahoma"/>
            <family val="2"/>
          </rPr>
          <t>Mit integrierter Folgenbesprechung 
"Das Erbe des Meisterdiebs" (103) 
des "Mach den Verstärker an"-Podcasts
35:44 min (TC: 2:53:24-3:29:08)
und des "Spritz &amp; Sekt"-Podcasts
29:08 min (TC: 4:37:32-5:06:40)</t>
        </r>
      </text>
    </comment>
    <comment ref="B1172" authorId="0" shapeId="0" xr:uid="{431E1FC7-A53D-433F-A407-A1D6A1236240}">
      <text>
        <r>
          <rPr>
            <sz val="9"/>
            <color indexed="81"/>
            <rFont val="Tahoma"/>
            <family val="2"/>
          </rPr>
          <t>Die als 2. "</t>
        </r>
        <r>
          <rPr>
            <b/>
            <sz val="9"/>
            <color indexed="81"/>
            <rFont val="Tahoma"/>
            <family val="2"/>
          </rPr>
          <t>17-Stunden-Podcast</t>
        </r>
        <r>
          <rPr>
            <sz val="9"/>
            <color indexed="81"/>
            <rFont val="Tahoma"/>
            <family val="2"/>
          </rPr>
          <t>" angekündigte Folge 
dauert verteilt über vier Die-Zentrale-Folgen 13:34:31
eine Die-Zentrale-Folge (DDF-Folge 103): 5:07:19
  ohne Gastbeiträge: 4:02:27
drei Die-Zentrale-Folge (DDF-Folge 125): 8:27:12
  ohne Gastbeiträge: 6:11:03</t>
        </r>
      </text>
    </comment>
    <comment ref="E1172" authorId="0" shapeId="0" xr:uid="{EB64196B-C3B9-4388-A426-8E8BE9D14E4E}">
      <text>
        <r>
          <rPr>
            <sz val="9"/>
            <color indexed="81"/>
            <rFont val="Tahoma"/>
            <family val="2"/>
          </rPr>
          <t xml:space="preserve">aufgenommen: 
Sa., 16.04.2022 10:00 Uhr
bis So., 17.04.2022 07:00 Uhr
</t>
        </r>
        <r>
          <rPr>
            <sz val="8"/>
            <color indexed="81"/>
            <rFont val="Tahoma"/>
            <family val="2"/>
          </rPr>
          <t>(längste Pause: 17:40-18:30 Uhr)</t>
        </r>
        <r>
          <rPr>
            <sz val="9"/>
            <color indexed="81"/>
            <rFont val="Tahoma"/>
            <family val="2"/>
          </rPr>
          <t xml:space="preserve">
- 103 bei Patreon: 25.04.2022
  103 bei Podigee: 29.04.2022
- 125A bei Patreon: 05.05.2022
  125A bei Podigee: 13.05.2022
- 125B bei Patreon: 12.05.2022
  125B bei Podigee: 20.05.2022
- 125C bei Patreon: 20.05.2022
  125C bei Podigee: 27.05.2022</t>
        </r>
      </text>
    </comment>
    <comment ref="F1172" authorId="0" shapeId="0" xr:uid="{F620D52B-FE02-44FC-A39D-8F5A405680A8}">
      <text>
        <r>
          <rPr>
            <sz val="9"/>
            <color indexed="81"/>
            <rFont val="Tahoma"/>
            <family val="2"/>
          </rPr>
          <t>Mit integrierter Folgenbesprechung 
"Feuermond" (125) 
des "Die Zw3i"-Podcasts
30:05 min (TC: 0:54:37-1:24:42)
und des "Die drei Fanatiker"-Podcasts
28:00 min (TC: 2:35:17-3:03:17)</t>
        </r>
      </text>
    </comment>
    <comment ref="F1173" authorId="0" shapeId="0" xr:uid="{AE61F955-B015-4DF6-AF5E-AD11DB129413}">
      <text>
        <r>
          <rPr>
            <sz val="9"/>
            <color indexed="81"/>
            <rFont val="Tahoma"/>
            <family val="2"/>
          </rPr>
          <t>Mit integrierter Folgenbesprechung 
"Feuermond" (125) des 
"Mathildas Kirschkuchen"-Podcasts
28:56 min (TC: 1:36:02-2:04:58)</t>
        </r>
      </text>
    </comment>
    <comment ref="F1174" authorId="0" shapeId="0" xr:uid="{11AF926B-4AA2-43CF-B696-800CAA3A7C75}">
      <text>
        <r>
          <rPr>
            <sz val="9"/>
            <color indexed="81"/>
            <rFont val="Tahoma"/>
            <family val="2"/>
          </rPr>
          <t>Mit integrierter Folgenbesprechung 
"Feuermond" (125) des "Kaffeeklatsch 
vom Gebrauchtwarencenter"-Podcasts
49:08 min (TC: 1:34:07-2:23:15)</t>
        </r>
      </text>
    </comment>
    <comment ref="E1175" authorId="0" shapeId="0" xr:uid="{FC19C834-E5E6-477F-AC55-0803DB74B96E}">
      <text>
        <r>
          <rPr>
            <sz val="9"/>
            <color indexed="81"/>
            <rFont val="Tahoma"/>
            <family val="2"/>
          </rPr>
          <t>bei Patreon: 
   Teil 1: 14.06.2022
   Teil 2: 20.06.2022
bei Podigee: 24.06.2022</t>
        </r>
      </text>
    </comment>
    <comment ref="B1177" authorId="0" shapeId="0" xr:uid="{59D20F07-1288-4FD7-9107-627747B53EE6}">
      <text>
        <r>
          <rPr>
            <i/>
            <sz val="9"/>
            <color indexed="81"/>
            <rFont val="Tahoma"/>
            <family val="2"/>
          </rPr>
          <t>siehe auch:</t>
        </r>
        <r>
          <rPr>
            <sz val="9"/>
            <color indexed="81"/>
            <rFont val="Tahoma"/>
            <family val="2"/>
          </rPr>
          <t xml:space="preserve">
Folge 54: Lost and found, Die drei ??? - Der Feuerteufel
VÖ: 24.03.2023</t>
        </r>
      </text>
    </comment>
    <comment ref="E1177" authorId="0" shapeId="0" xr:uid="{0D4FE0FE-6872-4181-A7C8-6D1B12A0D9E4}">
      <text>
        <r>
          <rPr>
            <sz val="9"/>
            <color indexed="81"/>
            <rFont val="Tahoma"/>
            <family val="2"/>
          </rPr>
          <t>aufgenommen: 
Mi., 27.07.2022 ab 20:15 Uhr</t>
        </r>
      </text>
    </comment>
    <comment ref="E1178" authorId="0" shapeId="0" xr:uid="{567487FC-93F3-4788-B109-2A2A2FC287F4}">
      <text>
        <r>
          <rPr>
            <sz val="9"/>
            <color indexed="81"/>
            <rFont val="Tahoma"/>
            <family val="2"/>
          </rPr>
          <t>bei Patreon: 10.09.2022 
     Ollis Fazit nach-
     gereicht: 11.09.2022
bei Podigee: 16.09.2022</t>
        </r>
      </text>
    </comment>
    <comment ref="E1179" authorId="0" shapeId="0" xr:uid="{FED0DD8E-089B-47E8-BAFE-5CC2E1E4D485}">
      <text>
        <r>
          <rPr>
            <sz val="9"/>
            <color indexed="81"/>
            <rFont val="Tahoma"/>
            <family val="2"/>
          </rPr>
          <t>aufgenommen: 18.09.2022
bei Patreon: 07.10.2022
bei Podigee: 14.10.2022</t>
        </r>
      </text>
    </comment>
    <comment ref="E1181" authorId="0" shapeId="0" xr:uid="{5B43E1A7-45FC-4C10-8CB4-5E9D7C89AE70}">
      <text>
        <r>
          <rPr>
            <sz val="9"/>
            <color indexed="81"/>
            <rFont val="Tahoma"/>
            <family val="2"/>
          </rPr>
          <t>aufgenommen: 03.10.2022
bei Patreon: 11.10.2022
bei Podigee: 11.11.2022</t>
        </r>
      </text>
    </comment>
    <comment ref="E1182" authorId="0" shapeId="0" xr:uid="{FEE0BE82-46F3-425D-92BE-405FD4D0FFE1}">
      <text>
        <r>
          <rPr>
            <sz val="9"/>
            <color indexed="81"/>
            <rFont val="Tahoma"/>
            <family val="2"/>
          </rPr>
          <t>bei Patreon: 18.11.2022
bei Podigee: 01.12.2022</t>
        </r>
      </text>
    </comment>
    <comment ref="F1182" authorId="0" shapeId="0" xr:uid="{82FF1BC0-6EBD-4228-B161-8AA9E5EA62A9}">
      <text>
        <r>
          <rPr>
            <sz val="9"/>
            <color indexed="81"/>
            <rFont val="Tahoma"/>
            <family val="2"/>
          </rPr>
          <t xml:space="preserve">Der Zentrale-Adventskalender 2022 - schreckliche Bescherung
dauert verteilt über 24 Folgen </t>
        </r>
        <r>
          <rPr>
            <b/>
            <sz val="9"/>
            <color indexed="81"/>
            <rFont val="Tahoma"/>
            <family val="2"/>
          </rPr>
          <t>9:13:02</t>
        </r>
        <r>
          <rPr>
            <sz val="9"/>
            <color indexed="81"/>
            <rFont val="Tahoma"/>
            <family val="2"/>
          </rPr>
          <t xml:space="preserve"> (+23%)
Der Zentrale-Adventskalender 2021 - fünfter Advent
dauert verteilt über 24 Folgen 7:30:06 (−2,5%)
Der Zentrale-Adventskalender 2020 - O du finstere
dauert verteilt über 24 Folgen 7:41:25 (+55%)
Der Zentrale-Adventskalender 2019 - Rätsel der Geisterbahn
dauert verteilt über 24 Folgen 4:57:42 (+−0%)</t>
        </r>
      </text>
    </comment>
    <comment ref="E1183" authorId="0" shapeId="0" xr:uid="{D26DA6CD-57BA-455F-85DF-9606765DB2FE}">
      <text>
        <r>
          <rPr>
            <sz val="9"/>
            <color indexed="81"/>
            <rFont val="Tahoma"/>
            <family val="2"/>
          </rPr>
          <t>bei Patreon: 19.11.2022
bei Podigee: 02.12.2022</t>
        </r>
      </text>
    </comment>
    <comment ref="E1184" authorId="0" shapeId="0" xr:uid="{B87C54E9-C334-4DD2-8264-A2D9C31634C4}">
      <text>
        <r>
          <rPr>
            <sz val="9"/>
            <color indexed="81"/>
            <rFont val="Tahoma"/>
            <family val="2"/>
          </rPr>
          <t>bei Patreon: 19.11.2022
bei Podigee: 03.12.2022</t>
        </r>
      </text>
    </comment>
    <comment ref="E1185" authorId="0" shapeId="0" xr:uid="{BA809C21-D9BE-481C-8824-83E16223C75C}">
      <text>
        <r>
          <rPr>
            <sz val="9"/>
            <color indexed="81"/>
            <rFont val="Tahoma"/>
            <family val="2"/>
          </rPr>
          <t>bei Patreon: 26.11.2022
bei Podigee: 04.12.2022</t>
        </r>
      </text>
    </comment>
    <comment ref="E1187" authorId="0" shapeId="0" xr:uid="{637D1C64-BDE3-4EFD-A175-B36EE4F114C0}">
      <text>
        <r>
          <rPr>
            <sz val="9"/>
            <color indexed="81"/>
            <rFont val="Tahoma"/>
            <family val="2"/>
          </rPr>
          <t>aufgenommen: 20.11.2022</t>
        </r>
      </text>
    </comment>
    <comment ref="E1207" authorId="0" shapeId="0" xr:uid="{65317F40-65A4-4F52-BFFE-BFBAFBA0186F}">
      <text>
        <r>
          <rPr>
            <sz val="9"/>
            <color indexed="81"/>
            <rFont val="Tahoma"/>
            <family val="2"/>
          </rPr>
          <t>bei Patreon: 08.01.2023
bei Podigee: 27.01.2023</t>
        </r>
      </text>
    </comment>
    <comment ref="E1210" authorId="0" shapeId="0" xr:uid="{FAC92DBF-6A88-4C0A-A97E-E45C7D4E32D8}">
      <text>
        <r>
          <rPr>
            <sz val="9"/>
            <color indexed="81"/>
            <rFont val="Tahoma"/>
            <family val="2"/>
          </rPr>
          <t>Livestream-Aufnahme-Titel:
"Die Zentrale Buchklub-Edition / 
Die Drei ??? - Shoot the Works, Im Visier"
So., 19.02.2023; Sendezeit: 4:54:54
VÖ bei Podigee: 10.03.2023; 4:39:15</t>
        </r>
      </text>
    </comment>
    <comment ref="B1211" authorId="0" shapeId="0" xr:uid="{61D2317A-EF4A-4470-B94D-F21EAFE48ABA}">
      <text>
        <r>
          <rPr>
            <i/>
            <sz val="9"/>
            <color indexed="81"/>
            <rFont val="Tahoma"/>
            <family val="2"/>
          </rPr>
          <t>siehe auch:</t>
        </r>
        <r>
          <rPr>
            <sz val="9"/>
            <color indexed="81"/>
            <rFont val="Tahoma"/>
            <family val="2"/>
          </rPr>
          <t xml:space="preserve">
Folge 48: Die Poker-Hölle Reloaded, Die drei ??? - Der Feuerteufel (Twitch Livestream Edition)
VÖ: 29.07.2022</t>
        </r>
      </text>
    </comment>
    <comment ref="E1219" authorId="0" shapeId="0" xr:uid="{40FCF4B4-DE78-47EA-B5BC-656080D8CFEA}">
      <text>
        <r>
          <rPr>
            <sz val="9"/>
            <color indexed="81"/>
            <rFont val="Tahoma"/>
            <family val="2"/>
          </rPr>
          <t>aufgenommen: 22.06.2023</t>
        </r>
      </text>
    </comment>
    <comment ref="E1220" authorId="0" shapeId="0" xr:uid="{AEE2EB46-60A7-44EC-B216-979DB9831CD5}">
      <text>
        <r>
          <rPr>
            <sz val="9"/>
            <color indexed="81"/>
            <rFont val="Tahoma"/>
            <family val="2"/>
          </rPr>
          <t>aufgenommen: 13.09.2023</t>
        </r>
      </text>
    </comment>
    <comment ref="B1221" authorId="0" shapeId="0" xr:uid="{6579EB1D-8727-4FD9-B60F-B6810BF53EEC}">
      <text>
        <r>
          <rPr>
            <sz val="9"/>
            <color indexed="81"/>
            <rFont val="Tahoma"/>
            <family val="2"/>
          </rPr>
          <t xml:space="preserve">Besprochene alte Gruselserie-Folgen:
Folge 10: Draculas Insel, Kerker des Grauens (von Thomas)
Folge 11: Der Pakt mit dem Teufel (von Oliver)
Folge 18: Das Weltraum-Monster (von Benjamin)
</t>
        </r>
        <r>
          <rPr>
            <i/>
            <sz val="9"/>
            <color indexed="81"/>
            <rFont val="Tahoma"/>
            <family val="2"/>
          </rPr>
          <t>siehe auch:</t>
        </r>
        <r>
          <rPr>
            <sz val="9"/>
            <color indexed="81"/>
            <rFont val="Tahoma"/>
            <family val="2"/>
          </rPr>
          <t xml:space="preserve">
Sonderfolge - Die Gruselserie (2019), Unser Halloweenspecial
vom 30.10.2019</t>
        </r>
      </text>
    </comment>
    <comment ref="F1222" authorId="0" shapeId="0" xr:uid="{799AED00-EAED-4BE7-A0AF-615F464C86B3}">
      <text>
        <r>
          <rPr>
            <sz val="9"/>
            <color indexed="81"/>
            <rFont val="Tahoma"/>
            <family val="2"/>
          </rPr>
          <t xml:space="preserve">Der Zentrale-Adventskalender 2023 - Böser die Glocken nie klingen
dauert verteilt über 24 Folgen </t>
        </r>
        <r>
          <rPr>
            <b/>
            <sz val="9"/>
            <color indexed="81"/>
            <rFont val="Tahoma"/>
            <family val="2"/>
          </rPr>
          <t>9:35:22</t>
        </r>
        <r>
          <rPr>
            <sz val="9"/>
            <color indexed="81"/>
            <rFont val="Tahoma"/>
            <family val="2"/>
          </rPr>
          <t xml:space="preserve"> (+4%)
Der Zentrale-Adventskalender 2022 - schreckliche Bescherung
dauert verteilt über 24 Folgen 9:13:02 (+23%)
Der Zentrale-Adventskalender 2021 - fünfter Advent
dauert verteilt über 24 Folgen 7:30:06 (−2,5%)
Der Zentrale-Adventskalender 2020 - O du finstere
dauert verteilt über 24 Folgen 7:41:25 (+55%)
Der Zentrale-Adventskalender 2019 - Rätsel der Geisterbahn
dauert verteilt über 24 Folgen 4:57:42 (+−0%)</t>
        </r>
      </text>
    </comment>
    <comment ref="B1224" authorId="0" shapeId="0" xr:uid="{89D75157-A00D-4145-AC23-E67DA0F7FD59}">
      <text>
        <r>
          <rPr>
            <sz val="9"/>
            <color indexed="81"/>
            <rFont val="Tahoma"/>
            <family val="2"/>
          </rPr>
          <t>Buch-Kapiteltitel: Vandalismus
Hörspiel-Tracktitel: Tante Mathildas beste Freundin</t>
        </r>
      </text>
    </comment>
    <comment ref="E1248" authorId="0" shapeId="0" xr:uid="{82D247A7-0B96-4215-86AF-BE27E682EB40}">
      <text>
        <r>
          <rPr>
            <sz val="9"/>
            <color indexed="81"/>
            <rFont val="Tahoma"/>
            <family val="2"/>
          </rPr>
          <t>bei Patreon: Fr., 16.02.2024
bei Podigee: Mi., 21.02.2024
"Eigentlich wollten wir bis Freitag warten, 
aber wir können euch es nicht länger vorenthalten! 
Deswegen kommt jetzt die neue Folge Zentrale!"</t>
        </r>
      </text>
    </comment>
    <comment ref="E1251" authorId="0" shapeId="0" xr:uid="{E42A612C-9751-4045-8266-DE74592BA6F4}">
      <text>
        <r>
          <rPr>
            <sz val="9"/>
            <color indexed="81"/>
            <rFont val="Tahoma"/>
            <family val="2"/>
          </rPr>
          <t>aufgenommen: 07.01.2024</t>
        </r>
      </text>
    </comment>
    <comment ref="F1278" authorId="0" shapeId="0" xr:uid="{E8619F6D-01D9-4A1C-8026-FF619B0A414F}">
      <text>
        <r>
          <rPr>
            <sz val="9"/>
            <color indexed="81"/>
            <rFont val="Tahoma"/>
            <family val="2"/>
          </rPr>
          <t>Retroabteil-Besprechung DDF 200 
Summe (Teil 1-4): 6:33:08</t>
        </r>
      </text>
    </comment>
    <comment ref="E1282" authorId="0" shapeId="0" xr:uid="{00000000-0006-0000-0000-000025000000}">
      <text>
        <r>
          <rPr>
            <sz val="9"/>
            <color indexed="81"/>
            <rFont val="Tahoma"/>
            <family val="2"/>
          </rPr>
          <t>Am 17.10.2020 wurde auf der Website-Startseite bekanntgegeben, dass der 
gesamte Podcast eingestellt wird. Am 23.10.2020 verschwand die Mitteilung wieder.
Mitteilung: "Liebe HörerInnen des Retroabteils: 
Leider war es uns nicht möglich, die im August angesprochenen Änderungen 
in unserem Podcast durchhaltefähig umzusetzen. Aus diesem Grund haben wir 
beschlossen, das Retroabteil nun endgültig auf dem Abstellgleis zu parken. Wir 
bedanken uns bei euch, liebe HörerInnen, für eure Treue und teilweise auch für 
das große Engagement, mit welchem ihr euch in unseren Podcast eingebracht habt."</t>
        </r>
      </text>
    </comment>
    <comment ref="E1292" authorId="0" shapeId="0" xr:uid="{00000000-0006-0000-0000-000026000000}">
      <text>
        <r>
          <rPr>
            <sz val="9"/>
            <color indexed="81"/>
            <rFont val="Tahoma"/>
            <family val="2"/>
          </rPr>
          <t>Der Veröffentlichungstermin wurde 
auf der Website und bei Twitter 
am 12.09.2020 für Oktober angegeben:
"Ab Oktober geht es weiter mit neuen 
Folgen des Schrottplatz Podcast."</t>
        </r>
      </text>
    </comment>
    <comment ref="E1370" authorId="0" shapeId="0" xr:uid="{00000000-0006-0000-0000-000027000000}">
      <text>
        <r>
          <rPr>
            <sz val="9"/>
            <color indexed="81"/>
            <rFont val="Tahoma"/>
            <family val="2"/>
          </rPr>
          <t>Die erste DDF-Folgenbesprechung "Musikpiraten" 
unter dem Label "unter_anfuehrungszeichen" 
wurde zunächst als Live-Video-Besprechung 
am So. den 31. Mai 2020 von 19:00 - 21:00 Uhr 
auf dem Videoportal Twitch.tv gesendet (Die Vor-
ankündigung des Streams war am 26. Mai 2020).</t>
        </r>
      </text>
    </comment>
    <comment ref="E1399" authorId="0" shapeId="0" xr:uid="{D956DA7A-7006-46CF-A191-60D08AF830C7}">
      <text>
        <r>
          <rPr>
            <sz val="9"/>
            <color indexed="81"/>
            <rFont val="Tahoma"/>
            <family val="2"/>
          </rPr>
          <t>aufgenommen: 29.11.2022
wegen technischer Probleme 
Veröffentlichung aufgegeben</t>
        </r>
      </text>
    </comment>
    <comment ref="E1417" authorId="0" shapeId="0" xr:uid="{8F98D71B-285F-4C4E-B24C-A45F339603E0}">
      <text>
        <r>
          <rPr>
            <sz val="9"/>
            <color indexed="81"/>
            <rFont val="Tahoma"/>
            <family val="2"/>
          </rPr>
          <t>aufgenommen: 08.03.2024</t>
        </r>
      </text>
    </comment>
    <comment ref="E1428" authorId="0" shapeId="0" xr:uid="{892BCE4F-CFEF-41D7-BB17-0D69FCA68F85}">
      <text>
        <r>
          <rPr>
            <sz val="9"/>
            <color indexed="81"/>
            <rFont val="Tahoma"/>
            <family val="2"/>
          </rPr>
          <t>aufgenommen: 02.12.2020</t>
        </r>
      </text>
    </comment>
    <comment ref="B1429" authorId="0" shapeId="0" xr:uid="{9A995A0C-8AE0-4F30-9BBD-137BD6E1587D}">
      <text>
        <r>
          <rPr>
            <sz val="9"/>
            <color indexed="81"/>
            <rFont val="Tahoma"/>
            <family val="2"/>
          </rPr>
          <t>Die Folge ist ein eigenes "Mini-Hörspiel" 
geschrieben von der "zweiten Podcasterin" Nell</t>
        </r>
      </text>
    </comment>
    <comment ref="C1432" authorId="0" shapeId="0" xr:uid="{8C7E3B99-EDBB-448D-9F0A-0294216C2AA1}">
      <text>
        <r>
          <rPr>
            <sz val="9"/>
            <color indexed="81"/>
            <rFont val="Tahoma"/>
            <family val="2"/>
          </rPr>
          <t>Beschreibung:
"Kaum ist unsere neue Folge draußen, bekommen wir auch schon Besuch 
von der Polizei. Da ist ein gewisser Inspektor Juchi, der Charlotte ermahnt, 
weil sie anscheinend etwas falsches in unserer letzten Folge gesagt hat! 
Das beweist der Inspektor auch gleich mit einer Audiodatei. Da konnte die 
zweite Podcasterin nicht mehr stillhalten und hat doch glatt daraus ein 
Video gemacht, welches ihr euch nun angucken könnt! Nochmal vielen 
Dank Herr Inspektor für diese außergewöhnlich Audio!"</t>
        </r>
      </text>
    </comment>
    <comment ref="C1434" authorId="0" shapeId="0" xr:uid="{C02FD693-8FFD-4C69-81C5-85D3597F1E18}">
      <text>
        <r>
          <rPr>
            <sz val="9"/>
            <color indexed="81"/>
            <rFont val="Tahoma"/>
            <family val="2"/>
          </rPr>
          <t>Beschreibung:
"Wir wünschen euch allen einen schönen ersten April. Wie der Titel schon 
sagt wollten wir eigentlich die Folge Todesflug besprechen, aber dazu ist 
es dann doch nicht wirklich gekommen. Wir hoffen ihr habt trotzdem viel 
Spaß mit dieser Folge!"</t>
        </r>
      </text>
    </comment>
    <comment ref="C1438" authorId="0" shapeId="0" xr:uid="{6D4BC655-9584-434B-9809-FF7B8D2CD652}">
      <text>
        <r>
          <rPr>
            <sz val="9"/>
            <color indexed="81"/>
            <rFont val="Tahoma"/>
            <family val="2"/>
          </rPr>
          <t>Beschreibung:
"Nach einer etwas längeren Pause und internen Zeit Problemen 
kann es dann demnächst doch endlich losgehen! Hier schon 
einmal ein klitzekleiner Vorgeschmack auf das was noch kommt!"
(Mini-Hörspiel mit Thomas (von "Die Zw3i"-Podcast) 
alias Wilbur Graham als Inspektor Cotta)</t>
        </r>
      </text>
    </comment>
    <comment ref="B1439" authorId="0" shapeId="0" xr:uid="{D2280466-9D56-4BC2-9779-64E843C48A78}">
      <text>
        <r>
          <rPr>
            <sz val="9"/>
            <color indexed="81"/>
            <rFont val="Tahoma"/>
            <family val="2"/>
          </rPr>
          <t>Die Folge ist eine Reflexion der bisherigen eigenen Podcast-Folgen 
in Form einer Begegnung mit dem fiktiven Reporter Wilbur Graham</t>
        </r>
      </text>
    </comment>
    <comment ref="B1441" authorId="0" shapeId="0" xr:uid="{3FAB902E-743A-405A-A607-6D7847AEF4A0}">
      <text>
        <r>
          <rPr>
            <sz val="9"/>
            <color indexed="81"/>
            <rFont val="Tahoma"/>
            <family val="2"/>
          </rPr>
          <t>Die beiden Sprecher der Folge sind Nell (von "Die drei Fanatiker") 
und als Gast Thomas Freitag (von "Die-Zentrale"-Podcast)</t>
        </r>
      </text>
    </comment>
    <comment ref="B1469" authorId="0" shapeId="0" xr:uid="{72059397-6754-469D-9B61-EC2B071BE671}">
      <text>
        <r>
          <rPr>
            <sz val="9"/>
            <color indexed="81"/>
            <rFont val="Tahoma"/>
            <family val="2"/>
          </rPr>
          <t>Besprochene Folgen:
1. Tödliche Spur (89); TC 17:33-38:21 (20:48); Catis Lieblingsfolge
2. Der weinende Sarg (42); TC 50:54-68:34 (17:40); Angis Lieblingsfolge
3. Die flüsternde Mumie (10); TC 73:28-91:28 (18:00); Jennys Lieblingsfolge</t>
        </r>
      </text>
    </comment>
    <comment ref="D1562" authorId="0" shapeId="0" xr:uid="{2A8CB78C-947E-4E59-A5F8-80C799CB856F}">
      <text>
        <r>
          <rPr>
            <sz val="9"/>
            <color indexed="81"/>
            <rFont val="Tahoma"/>
            <family val="2"/>
          </rPr>
          <t>1. Besprechung: 26.11.2021 (0:20:48)
2. Besprechung: 25.11.2022 (0:51:05)</t>
        </r>
      </text>
    </comment>
    <comment ref="D1603" authorId="0" shapeId="0" xr:uid="{5AB7FFFF-AB95-4DBD-9847-E0C70832780B}">
      <text>
        <r>
          <rPr>
            <sz val="9"/>
            <color indexed="81"/>
            <rFont val="Tahoma"/>
            <family val="2"/>
          </rPr>
          <t xml:space="preserve">Festival of Friendship #1 (Mrz. 2021) = TSE1.3 [Editor]
Sonderfolge #2 [nicht vorhanden]
</t>
        </r>
        <r>
          <rPr>
            <b/>
            <sz val="9"/>
            <color indexed="81"/>
            <rFont val="Tahoma"/>
            <family val="2"/>
          </rPr>
          <t>Sonderfolge #3 (Apr. 2021) = SF 4 [Editor]</t>
        </r>
        <r>
          <rPr>
            <sz val="9"/>
            <color indexed="81"/>
            <rFont val="Tahoma"/>
            <family val="2"/>
          </rPr>
          <t xml:space="preserve">
SF #5 (Dez. 2021) = Adv3 [Editor]</t>
        </r>
      </text>
    </comment>
    <comment ref="C1626" authorId="0" shapeId="0" xr:uid="{284E409F-4CE7-4CA3-8DFD-47BE612E21E3}">
      <text>
        <r>
          <rPr>
            <sz val="9"/>
            <color indexed="81"/>
            <rFont val="Tahoma"/>
            <family val="2"/>
          </rPr>
          <t>Beschreibung:
"Man nehme 2 betrunkene Hosts, zwei ebenso betrunkene Partner, eine neue 
Formatidee und schon werden aus 5 Minuten Grüße aus der Sommerpause 
ein absolutes Highlight der feuchtfröhlichen Unterhaltung. Die Hälfte die wir 
eigentlich erzählen wollten haben wir vergessen, dafür gibt es knapp 45 Minu-
ten sowas ähnliches wie ein Quizformat. NSFW und die Minderjährigen hören 
sowieso generell weg. Viel Spaß mit 'Die zwei Fragwürdigen'"</t>
        </r>
      </text>
    </comment>
    <comment ref="C1639" authorId="0" shapeId="0" xr:uid="{A2F58222-117C-4F94-9EF9-34A196B73921}">
      <text>
        <r>
          <rPr>
            <sz val="9"/>
            <color indexed="81"/>
            <rFont val="Tahoma"/>
            <family val="2"/>
          </rPr>
          <t>Beschreibung:
"Als kleines Weihnachtsgeschenk, die Überreste unseres Versuchs aus dem letzten Jahr, 
alle anderen Teile [B &amp; C] sind leider weg. Trotzdem viel Spaß damit und Ramona und 
Björn [wünschen?] euch Frohe Weihnachten und einen guten Rutsch ins neue Jahr"
Die drei ??? O du finstere "Adventskalender" auf 3 Audio-CDs [A/B/C] vom 09.10.2020</t>
        </r>
      </text>
    </comment>
    <comment ref="C1711" authorId="0" shapeId="0" xr:uid="{B66E503F-BB32-4CBC-860F-6A0027528F71}">
      <text>
        <r>
          <rPr>
            <sz val="9"/>
            <color indexed="81"/>
            <rFont val="Tahoma"/>
            <family val="2"/>
          </rPr>
          <t xml:space="preserve">Beschreibung:
In der ersten Folge besprechen Kim, Jonas und Jens die Folgen #1 (Der Superpapagei), 
Kims Lieblingsfolge #125 (Feuermond) und Jonas Lieblingsfolge #170 (Straße des Grauens). 
Kim und Jonas waren zu dieser Podcastfolge ursprünglich als Gäste eingeladen, doch während 
des Gesprächs wird klar, dass sie fortan mit Jens zusammen die feste Podcast-Crew bilden. </t>
        </r>
      </text>
    </comment>
    <comment ref="C1712" authorId="0" shapeId="0" xr:uid="{6AF615EF-B4CB-43F7-A8A4-195105A6794F}">
      <text>
        <r>
          <rPr>
            <sz val="9"/>
            <color indexed="81"/>
            <rFont val="Tahoma"/>
            <family val="2"/>
          </rPr>
          <t>Beschreibung:
In der zweiten Folge besprechen Kim, Jonas und Jens die Folgen #2 (und der Phantomsee) 
und #172 (und der Eisenmann), letztere eine von Jens Lieblingsfolgen. Neben Trivia-Fragen, 
Orte an der kanadischen Grenze, Zypressenrätsel, Live-Hörspiele und Zauberer-Büchern 
sprechen die Drei auch über die Verbindung der beiden Folgen. In beiden geht es um Inseln 
und beide haben Verbindungen nach Schottland.</t>
        </r>
      </text>
    </comment>
    <comment ref="C1713" authorId="0" shapeId="0" xr:uid="{813E963C-BABE-4D17-A1C1-67883107809C}">
      <text>
        <r>
          <rPr>
            <sz val="9"/>
            <color indexed="81"/>
            <rFont val="Tahoma"/>
            <family val="2"/>
          </rPr>
          <t>Beschreibung:
In der dritten Folge besprechen Kim, Jonas und Jens die Folgen #3 (und der Karpatenhund) 
und #136 (und das versunkene Dorf). Es geht um Strand- und See-Erinnerungen, Gadgets, 
Mandalas, Johann Sebastian Bach und Thalassophobie (die Angst vor tiefen Gewässern).</t>
        </r>
      </text>
    </comment>
    <comment ref="C1839" authorId="0" shapeId="0" xr:uid="{509725DA-14FB-421C-B162-0B08EC6E41DD}">
      <text>
        <r>
          <rPr>
            <sz val="9"/>
            <color indexed="81"/>
            <rFont val="Tahoma"/>
            <family val="2"/>
          </rPr>
          <t>Beschreibung:
"Eins der gruseligsten Hörspiele der eigenen Jugend und eine der 
eindrucksvollsten Folgen des ganzen "Drei ??? Kosmos". Doch hält 
der Klassiker auch dem Wiederhören stand? Die beiden Actionfigu-
ren Felix Scharlau und Linus Volkmann haben Justus und Co. in 
der Geisterbahn noch mal ein Ohr geliehen. Und erzählen hier nun 
alles Wichtige (und Unwichtige) zu dieser besonderen Folge."</t>
        </r>
      </text>
    </comment>
    <comment ref="C1841" authorId="0" shapeId="0" xr:uid="{C80242F6-D5F5-4767-880B-4A0A1E86111E}">
      <text>
        <r>
          <rPr>
            <sz val="9"/>
            <color indexed="81"/>
            <rFont val="Tahoma"/>
            <family val="2"/>
          </rPr>
          <t>Beschreibung:
"Eine verschwundene Puppe, ein kaputter Filmprojektor und noch 
viel unnützes Zeug mehr führen die alterslosen Juniordetektive aus 
Rocky Beach zu einem neuen Fall. Wenn der tanzende Teufel auf-
tritt, bleibt jedenfalls kein Auge trocken. Felix und Linus von "Aus-
nahme der Rose" widmen sich heute einer Drei Fragezeichen Kult-
Folge. Wie gut ist sie wirklich? Wir sprechen über kulturelle Aneig-
nung, rassistische Stereotypen, aber auch über unterhaltsame Plot-
holes und falsche Kinderstimmen."</t>
        </r>
      </text>
    </comment>
    <comment ref="C1843" authorId="0" shapeId="0" xr:uid="{ED9FD288-3009-45DE-94E5-9890A5759C9C}">
      <text>
        <r>
          <rPr>
            <sz val="9"/>
            <color indexed="81"/>
            <rFont val="Tahoma"/>
            <family val="2"/>
          </rPr>
          <t>Beschreibung:
"Die Drei Fragezeichen und die Frauen … mit dieser Folge tasten 
sich Felix Scharlau (heute show online) und Linus Volkmann (Bril-
lenträger) an dieses Phänomen heran. Immerhin begegnen die drei 
Detektive in "Die singende Schlange" der forschen Allie Jamison. 
Darüber aber auch über den ganzen okkulten Ballast sprechen eure 
Gastgeber in dem wichtigsten Hörspiel-Podcast der freien Welt."</t>
        </r>
      </text>
    </comment>
    <comment ref="C1844" authorId="0" shapeId="0" xr:uid="{8CA7F0D8-5DE9-4266-9E30-806F4E913B58}">
      <text>
        <r>
          <rPr>
            <sz val="9"/>
            <color indexed="81"/>
            <rFont val="Tahoma"/>
            <family val="2"/>
          </rPr>
          <t>Beschreibung:
"Eine Spezial-Folge. Wir feiern 25 Jahre Ausnahme der Rose. Der 
Magister Felix Scharlau und der Selfmade-Journalist Linus Volk-
mann schauen auf ein ganz besonderes Hörspiel - und sprechen 
über die Faszination am Thema selbst. Seid mit dem Herzen da-
bei. Wir sind es auch."
Anmerkung:
Besprechung des eigenen Fanhörspiels 
"Die drei ??? und das verschwundene Schinkenbrot"
(neue Schnittversion aus dem Jahr 2022)
Originaltitel: "Die drei ??? und ihre Nichte" aus dem Jahr 2003
(DDF Kompendium Fanhörspiele Index-Nr. 10)</t>
        </r>
      </text>
    </comment>
    <comment ref="E1880" authorId="0" shapeId="0" xr:uid="{E090374D-CF40-4B99-B3B3-35D824FDC683}">
      <text>
        <r>
          <rPr>
            <sz val="9"/>
            <color indexed="81"/>
            <rFont val="Tahoma"/>
            <family val="2"/>
          </rPr>
          <t>aufgenommen: 03.12.2021</t>
        </r>
      </text>
    </comment>
    <comment ref="E1881" authorId="0" shapeId="0" xr:uid="{ADE8F18D-7DD6-4E1E-9337-C88121325626}">
      <text>
        <r>
          <rPr>
            <sz val="9"/>
            <color indexed="81"/>
            <rFont val="Tahoma"/>
            <family val="2"/>
          </rPr>
          <t>aufgenommen: 21.12.2021</t>
        </r>
      </text>
    </comment>
    <comment ref="E1883" authorId="0" shapeId="0" xr:uid="{F3514611-C069-4D64-915C-DCCEA3376064}">
      <text>
        <r>
          <rPr>
            <sz val="9"/>
            <color indexed="81"/>
            <rFont val="Tahoma"/>
            <family val="2"/>
          </rPr>
          <t>aufgenommen: 09.01.2022</t>
        </r>
      </text>
    </comment>
    <comment ref="F1893" authorId="0" shapeId="0" xr:uid="{41C904BA-5549-41DA-881C-1260D076A00A}">
      <text>
        <r>
          <rPr>
            <sz val="9"/>
            <color indexed="81"/>
            <rFont val="Tahoma"/>
            <family val="2"/>
          </rPr>
          <t>als YouTube-Video-Podcast
3:34:04 (Fr., 24.06.2022)</t>
        </r>
      </text>
    </comment>
    <comment ref="B1899" authorId="0" shapeId="0" xr:uid="{F9F5CD8A-88E5-4509-8978-7195CBE8172C}">
      <text>
        <r>
          <rPr>
            <sz val="9"/>
            <color indexed="81"/>
            <rFont val="Tahoma"/>
            <family val="2"/>
          </rPr>
          <t>Die Besprechung zu ???-"Feuerteufel" enthält am Anfang das 
Die-Zw3i-Mini-Hörspiel "Das Geheimnis von Blackstone" (8:10)
mit Die-Drei-???-/Die-Zw3i-/Die-Zentrale-Zitaten/Anspielungen.
Skriptautoren: Thomas (Die Zw3i), Nell/Emiko
Sprecher: Jessica (Erzählerin), Jonas, Nell, 
             Thomas (Die Zw3i), Thomas "Geist" (Die Zentrale)
Sound und Musik: pixabay.com</t>
        </r>
      </text>
    </comment>
    <comment ref="E1899" authorId="0" shapeId="0" xr:uid="{F0DF46EC-D9CF-4AF6-BA87-5B2D41AB0E69}">
      <text>
        <r>
          <rPr>
            <sz val="9"/>
            <color indexed="81"/>
            <rFont val="Tahoma"/>
            <family val="2"/>
          </rPr>
          <t>aufgenommen: 16.09.2022</t>
        </r>
      </text>
    </comment>
    <comment ref="F1902" authorId="0" shapeId="0" xr:uid="{EBFAA444-66DA-42F2-9573-7DABF21DFEA9}">
      <text>
        <r>
          <rPr>
            <sz val="9"/>
            <color indexed="81"/>
            <rFont val="Tahoma"/>
            <family val="2"/>
          </rPr>
          <t xml:space="preserve">Der Die-Zw3i-Adventskalender 2022 - Rätselserie 1
dauert verteilt über 24 Folgen </t>
        </r>
        <r>
          <rPr>
            <b/>
            <sz val="9"/>
            <color indexed="81"/>
            <rFont val="Tahoma"/>
            <family val="2"/>
          </rPr>
          <t>1:21:52</t>
        </r>
        <r>
          <rPr>
            <sz val="9"/>
            <color indexed="81"/>
            <rFont val="Tahoma"/>
            <family val="2"/>
          </rPr>
          <t xml:space="preserve"> (+−0%)</t>
        </r>
      </text>
    </comment>
    <comment ref="F1945" authorId="0" shapeId="0" xr:uid="{13302551-4C2A-4A0F-9389-EEA4C6E2FE4B}">
      <text>
        <r>
          <rPr>
            <sz val="9"/>
            <color indexed="81"/>
            <rFont val="Tahoma"/>
            <family val="2"/>
          </rPr>
          <t>als YouTube-Video-Podcast
3:59:48 (Sa., 24.06.2023)</t>
        </r>
      </text>
    </comment>
    <comment ref="F1952" authorId="0" shapeId="0" xr:uid="{BD599093-57EE-48D4-8FE3-DF7BC9537CBF}">
      <text>
        <r>
          <rPr>
            <sz val="9"/>
            <color indexed="81"/>
            <rFont val="Tahoma"/>
            <family val="2"/>
          </rPr>
          <t xml:space="preserve">Der Die-Zw3i-Adventskalender 2023 - Rätselserie 2
dauert verteilt über 24 Folgen </t>
        </r>
        <r>
          <rPr>
            <b/>
            <sz val="9"/>
            <color indexed="81"/>
            <rFont val="Tahoma"/>
            <family val="2"/>
          </rPr>
          <t>0:51:21</t>
        </r>
        <r>
          <rPr>
            <sz val="9"/>
            <color indexed="81"/>
            <rFont val="Tahoma"/>
            <family val="2"/>
          </rPr>
          <t xml:space="preserve"> (−37,3%)
Der Die-Zw3i-Adventskalender 2022 - Rätselserie 1
dauert verteilt über 24 Folgen 1:21:52 (+−0%)</t>
        </r>
      </text>
    </comment>
    <comment ref="C2133" authorId="0" shapeId="0" xr:uid="{B00E0903-DA5D-44FD-B9A0-D485040E2760}">
      <text>
        <r>
          <rPr>
            <sz val="9"/>
            <color indexed="81"/>
            <rFont val="Tahoma"/>
            <family val="2"/>
          </rPr>
          <t>Beschreibung:
"In erster Linie geht es in diesem Podcast um die drei ???, aber 
auch andere interessante und witzige Themen finden hier Platz."
© 2006 by Gregor Dietrich (Berlin)</t>
        </r>
      </text>
    </comment>
    <comment ref="C2134" authorId="0" shapeId="0" xr:uid="{22D5866B-5743-400E-9967-259DD3698C17}">
      <text>
        <r>
          <rPr>
            <sz val="9"/>
            <color indexed="81"/>
            <rFont val="Tahoma"/>
            <family val="2"/>
          </rPr>
          <t>Beschreibung:
"Ein interessanter und unterhaltsamer Podcast rund 
um die erfolgreichste Jugenddetektivserie Europas."</t>
        </r>
      </text>
    </comment>
    <comment ref="E2134" authorId="0" shapeId="0" xr:uid="{E55FF239-56F6-4DFB-AB6F-DA8C5EBCC412}">
      <text>
        <r>
          <rPr>
            <sz val="9"/>
            <color indexed="81"/>
            <rFont val="Tahoma"/>
            <family val="2"/>
          </rPr>
          <t>Eintrag vom 14. März 2006:
"Aus urheberrechtlichen Gründen mussten wir in 
unserem Podcast leichte Änderungen vornehmen."
Eintrag vom 17. März 2006:
"Hier eine Überarbeitung von Episode 2."</t>
        </r>
      </text>
    </comment>
    <comment ref="C2135" authorId="0" shapeId="0" xr:uid="{61E63533-0E77-44C7-8FD1-66041E9B2B98}">
      <text>
        <r>
          <rPr>
            <sz val="9"/>
            <color indexed="81"/>
            <rFont val="Tahoma"/>
            <family val="2"/>
          </rPr>
          <t>Beschreibung:
"Die nächste Folge ist in der Produktion…"</t>
        </r>
      </text>
    </comment>
    <comment ref="C2139" authorId="0" shapeId="0" xr:uid="{4A1CB088-126F-4199-AF11-8D643F841F75}">
      <text>
        <r>
          <rPr>
            <sz val="9"/>
            <color indexed="81"/>
            <rFont val="Tahoma"/>
            <family val="2"/>
          </rPr>
          <t>Beschreibung:
"Die drei ??? heißen jetzt DIE DR3I, Justus Jonas ist plötzlich ein "Jupiter Jones" 
und aus Peter Shaw ist ein "Peter Crenshaw" geworden. Gleichzeitig wurden neue 
Folgen der Bücher "Die drei ???" per einstweiliger Verfügung gestoppt und alte 
Hörspielfolgen verschwanden vom Markt. Was ist da los???
Angeblich streiten sich SonyBMG/Europa und der Kosmos-Buchverlag um Lizenzen. 
Doch wer hat welche Rechte und kann wem was verbieten? Gibt es ein Urheber-
recht an Fortsetzungsgeschichten und steht das dem Ursprungserfinder oder den 
Autoren der Fortsetzungsfolgen zu? Und welche Rolle spielt im Streit möglicher-
weise das Markenrecht?
Mit Rechtsanwalt Thomas Ernstschneider, Mitarbeiter am ITM, nähert sich der 
J!Cast der Lösung des großen Halloween-Rätsels."</t>
        </r>
      </text>
    </comment>
    <comment ref="C2143" authorId="0" shapeId="0" xr:uid="{F862513E-C0F1-4C89-9409-699E260D526E}">
      <text>
        <r>
          <rPr>
            <sz val="9"/>
            <color indexed="81"/>
            <rFont val="Tahoma"/>
            <family val="2"/>
          </rPr>
          <t>Beschreibung:
"Hört, hört! Es gibt ihn endlich - einen Drei ??? Podcast!
Die erste Show kann man schon kostenlos auf www.3-Fragezeichen.de herunterladen. 
Mit vielen Informationen und Neuigkeiten zu den drei Detektiven aus Rocky Beach. 
Der Poscast [sic] wird moderiert von Constantin Maier und Fabian Reitzer. 
Außerdem gibt es in diesem Monat auch noch ein Gewinnspiel. Die Sendungen werden 
in regelmäßigen Absänden [sic] von einem Monat erscheinen. Hier also die erste Show.
Informationen: 
Länge: ca. 33 Minuten Größe: 14,9 MB Format: mp3 Qualität: 64 kbit/s Kanäle: Mono
Ausgabe: 1 Moderatoren: Constantin Maier, Fabian Reitzer
Themen: 
+++ FAQs zur Sendung 
+++ Drei ??? News 
+++ News zu 3-fragezeichen.de 
+++ Die Neuvertonung 
+++ Hörprobe "Der grüne Geist" 
+++ Infotrailer zur Drei ??? Aufführung "Der rote Rächer" 
+++ Bewertung der Die Dr3i Folgen 
+++ Link der Woche 
+++ Gewinnspiel"</t>
        </r>
      </text>
    </comment>
    <comment ref="C2144" authorId="0" shapeId="0" xr:uid="{9A614A60-FBD4-4F69-8CE6-E98B60379E07}">
      <text>
        <r>
          <rPr>
            <sz val="9"/>
            <color indexed="81"/>
            <rFont val="Tahoma"/>
            <family val="2"/>
          </rPr>
          <t>Beschreibung:
"Die drei ??? Audio Show Ausgabe 2
Der erste drei Fragezeichen Podcast. 
In Kooperation mit 3-Fragezeichen.de, der drei Fragezeichen Fanseite.
Hört, hört! Die Ausgabe Nr. 2 des Podcastes von Drei-Fragezeichen-Zentrale.de 
bzw. 3-Fragezeichen.de gibt es nun zum Download. Viel Spaß.
Informationen:
Länge: ca. 28 Minuten Größe: 9,4 MB Format: mp3 Qualität: 64 kbit/s Kanäle: Mono
Ausgabe: 2 Moderatoren: Constantin Maier, Fabian Reitzer
Themen: 
+++ Vorschau auf das Jahr 2007 
+++ Drei ??? News 
+++ News zur Website 
+++ Leseprobe "Der Fluch des Drachen" 
+++ Bewertung "Der Fluch des Drachen" 
+++ Die Neuvertonung 
+++ Hörprobe "...und der Geisterzug" 
+++ Folge des Monats 
+++ Homepage des Monats"</t>
        </r>
      </text>
    </comment>
    <comment ref="C2145" authorId="0" shapeId="0" xr:uid="{0238134B-7B28-48FA-81DD-62974354AA03}">
      <text>
        <r>
          <rPr>
            <sz val="9"/>
            <color indexed="81"/>
            <rFont val="Tahoma"/>
            <family val="2"/>
          </rPr>
          <t>Beschreibung:
"Die drei ??? Audio Show Ausgabe 3
Der erste drei Fragezeichen Podcast. 
In Kooperation mit 3-Fragezeichen.de, der drei Fragezeichen Fanseite.
Hört, hört! Die Ausgabe Nr. 3 des Podcastes von Drei-Fragezeichen-Zentrale.de 
bzw. 3-Fragezeichen.de gibt es nun zum Download. Viel Spaß. 
Informationen: 
Länge: ca. 58 Minuten Größe: 26,3 MB Format: mp3 Qualität: 64 kbit/s Kanäle: Mono 
Ausgabe: 3 Moderatoren: Constantin Maier, Fabian Reitzer 
Themen: 
+++ Interview mit dem Machern von "DIE 2WEI" 
+++ Drei ??? News 
+++ News zur Website 
+++ Website des Monats 
+++ Die Neuvertonung 
+++ Reingehört: Späte Rache 
+++ Infos zum Film 
+++ Die neuen Bücher"</t>
        </r>
      </text>
    </comment>
    <comment ref="C2149" authorId="0" shapeId="0" xr:uid="{9AD0C1FF-57D6-415A-BEBC-E7294BC4CA29}">
      <text>
        <r>
          <rPr>
            <sz val="9"/>
            <color indexed="81"/>
            <rFont val="Tahoma"/>
            <family val="2"/>
          </rPr>
          <t>Beschreibung:
"Spezial gelagerte Sonderfolge: Die drei ??? - Das Geheimnis der Geisterinsel 
ist im Kino. Seit dem 8. November ermitteln Justus, Peter und Bob auch auf 
der Leinwand. Worum es im Film geht und ob es sich lohnt den Film zu sehen, 
erfahrt ihr in unserer Hörbarium-Sonderausgabe. Ausserdem haben wir ein 
großes Drei ???-Gewinnspiel am Start: Mit freundlicher Unterstützung von dtp, 
EUROPA und KOSMOS verlosen wir drei drei ???-Bundles sowie das Nintendo 
DS-Spiel zum Film. Hier mitmachen."</t>
        </r>
      </text>
    </comment>
    <comment ref="C2150" authorId="0" shapeId="0" xr:uid="{BD71E794-6722-410A-9810-E12FE2BEA00D}">
      <text>
        <r>
          <rPr>
            <sz val="9"/>
            <color indexed="81"/>
            <rFont val="Tahoma"/>
            <family val="2"/>
          </rPr>
          <t>Beschreibung:
"Interview mit Andreas Fröhlich, Oliver Rohrbeck und Jens Wawrczeck
Schon gehört?
- Awards für Hörbücher vom Bundesverband Musikindustrie
- hr2 Hörfest in Wiesbaden
- Hui Buh-Chat bei Europa
- HörZentrale als kostenloses PDF-Magazin
- Neue hörBücher-Audgabe im Handel
Eingeschaltet
  Die Radio-Hörtipps vom 21. Januar bis 3. Februar
Mitgehört
  Interview mit Andreas Fröhlich, Oliver Rohrbeck und Jens Wawrczeck
Reingehört
  Das Jesus Video
Reingeklickt
  Radio-Tatort: Der Emir
Abonniert
  Sherlock Holmes
Mitgeredet
  Deine Meinung zu Hörbarium"</t>
        </r>
      </text>
    </comment>
    <comment ref="C2151" authorId="0" shapeId="0" xr:uid="{2B74DB34-6816-4EC0-910A-02A4B61A7843}">
      <text>
        <r>
          <rPr>
            <sz val="9"/>
            <color indexed="81"/>
            <rFont val="Tahoma"/>
            <family val="2"/>
          </rPr>
          <t>Beschreibung:
"Hörspiel-Award 2007: Die Ergebnisse
Rezension von 'Liebe Tracey, Liebe Mandy'
Heikedine Körting im Interview zur Rückkehr der Drei ???
Schon gehört?
- Rechtsstreit um “Die drei ???” beigelegt
- Deutscher Hörbuchpreis 2008
- Hörspiel-Award 2007
- Noch ein Radiotatort: Der oskrimi
- Hörspiele live erleben: Kaminski Kong! und das Vollplaybacktheater On Tour
Abonniert
  “Caspar Hauser oder: Die Trägheit des Herzens”
  Der Hörbuch-Podcast von Wolfram Huke
Angehört
  Liebe Tracey, Liebe Mandy
Eingeschaltet
  Die Radio-Hörtipps vom 25. Februar bis 9. März
Mitgehört
  Ich spreche mit Heikedine Körting, langjähriger Hörspiel-Regisseurin und 
  -Produzentin (u.a. TKKG, Fünf Freunde) zur Hörspiel-Rückkehr der Drei ???
Reingeklickt
  ATLAN - Flammenstaub-Zyklus 01: Zwischen den Dimensionen
Mitgeredet
- Probleme mit Windows-DRM
- Eure Meinung zur Rückkehr der Drei ???
- Miese Qualität bei Hörbuch-Downloads
- Hörbarium als Enhanced Podcast?"</t>
        </r>
      </text>
    </comment>
    <comment ref="C2152" authorId="0" shapeId="0" xr:uid="{6F5835D4-1965-47A7-951F-26FA8940BE7D}">
      <text>
        <r>
          <rPr>
            <sz val="9"/>
            <color indexed="81"/>
            <rFont val="Tahoma"/>
            <family val="2"/>
          </rPr>
          <t>Beschreibung:
"Hörbarium bekommt neue Freunde: Ab sofort gibt es in jeder Episode ein neues Abenteuer der 
Hörspiel-Comedy “Die Ferienbande”. Heute spreche ich mit Kai Schwind, einem der Macher der Serie.
Außerdem: Die neuen Folgen der Drei ??? und Tickets für “Die Hörspiel 2008″ zu gewinnen, 
News von Audible, Libri und dem Hörspielprojekt und vieles mehr.
Schon gehört?
- “Die Hörspiel 2008″ am 24. Mai in Hamburg
- Hörbuch-Umsatz im ersten Quartal 2008 zweistellig gestiegen
- Audible bietet neues Flexi-Abo an
- Libri startet neues Download-Portal audiotime.de
- Hörspielprojekt veröffentlicht neuen Podcast
- Interview mit Dietmar Wunder im jokers Voiceletter
- Dreamland sucht Webmaster für Tony Ballard-Homepage
Reingeklickt
  WDR 5-Krimi “Gedächtnislücken” von Ulrich Land kostenlos zum Download.
Mitgehört
  Ab sofort in Hörbarium: Die Ferienbande
  Ein neues Abenteuer in jeder Folge!
  Ich spreche mit Kai Schwind, einem der Macher der Hörspiel-Parodie
  Jetzt die ersten drei CDs der Ferienbande gewinnen!
Abonniert
  Eine halbe Million Gründe - Das große Abenteuer des Michael Pratzke
Angehört
  Die drei ??? - Die neuen Folgen
Eingeschaltet
  Die Radio-Hörtipps vom 21.04. bis 04.05.2008
Mitgeredet
- Hörbarium erstrahlt im neuen Glanz
- Einige der Gratis-Streams schon wieder offline"</t>
        </r>
      </text>
    </comment>
    <comment ref="C2156" authorId="0" shapeId="0" xr:uid="{CB5DE7FE-0DFE-4260-8D0D-EBC97CDEE821}">
      <text>
        <r>
          <rPr>
            <sz val="9"/>
            <color indexed="81"/>
            <rFont val="Tahoma"/>
            <family val="2"/>
          </rPr>
          <t>Beschreibung:
"Oliver Rohrbeck darf nicht altern. In seiner Rolle als Privatdetektiv Justus Jonas hat 
er in den letzten dreißig Jahren gerade einmal vier Jahre zugelegt. Seit Folge 47 der 
Hörspiel-Serie "Die drei ???" darf der Anfang Vierzigjährige, ebenso wie seine Detektiv-
kollegen Peter Shaw und Bob Andrews, als US-Bürger immerhin ein Auto fahren. "Das 
ist natürlich etwas komisch für mich, einen 16-Jährigen zu spielen", gibt Rohrbeck an. 
"Aber im Hörspiel kann man natürlich einiges behaupten."
Erfunden hat die "Drei ???", die auf einem Schrottplatz im fiktiven kalifornischen Ort 
Rocky Beach ihr Hauptquartier haben, Anfang der sechziger Jahre der amerikanische 
Schriftsteller Robert Arthur. Als dieser Alfred Hitchcock gewinnen kann, sein Konterfei 
für die Buchtitel zur Verfügung zu stellen, entwickelt sich die Serie, nach Arthurs Tod 
1969 von mehreren Autoren weitergeführt, unter dem Titel "The Three Investigators" 
zum Bestseller. Vor allem in Deutschland warten Kinder und Jugendliche sehnsüchtig 
auf den nächsten Band, in dem die drei Hobbydetektive mit flüsternden Mumien, tan-
zenden Teufeln, lachenden Schatten oder grünen Geistern zu kämpfen haben. 1990 
wird die Serie in den USA eingestellt. Seitdem sind ausschließlich deutschsprachige Au-
toren für die Abenteuer der "Drei ???" verantwortlich. Am 12. Oktober 1979 erscheint 
mit "Die drei ??? und der Superpapagei" die erste Folge auch als Hörspieladaption. 
Oliver Rohrbeck und seine Kollegen Jens Wawrczeck (Peter Shaw) und Andreas Fröhlich 
(Bob Andrews) sind von Anfang an dabei. Danach erscheint zu allen deutschsprachigen 
Buchausgaben auch eine Version auf Tonträger. In Gastauftritten sind Schauspieler und 
Autoren wie Dirk Bach, Sky Du Mont, Harry Rowohlt oder Ilja Richter zu hören. Die 
Hamburger Hip-Hop-Gruppe Fettes Brot steuert für die Folge "Im Bann des Voodoo" 
(1998) neben ihren Stimmen auch einen Song mit bei. Inzwischen sind über 130 Fol-
gen der "Drei ???" erschienen. Mehr als 37 Millionen Schallplatten, Musikkassetten und 
CDs wanderten über die Ladentische. Von den gefragtesten Folgen verkaufen sich zeit-
weise über 600.000 Stück.
Anders als ihre Helden, sind die Fans der "Drei ???" mit ihrer Hörspiel-Reihe mitgealtert. 
Etwa zwei Drittel aller Hörer sind heute zwischen 20 und 35 Jahre alt. Ob Männer oder 
Frauen, spielt dabei keine Rolle. Will man den Fansites im Internet Glauben schenken, 
dann firmiert die Serie nicht nur als Einschlafhilfe bei Alltagsstress, sondern auch als 
Helfer bei schweren Geburten.So soll eine Lena Justine während der Folge "Der unheim-
liche Drache", eine Emily bei "Die Geisterinsel" das Licht der Welt erblickt haben. Wie 
gut, dass es seit 2006 auch die "Drei ??? Kids" für kleinere Kinder als Hörspiel gibt."</t>
        </r>
      </text>
    </comment>
    <comment ref="C2160" authorId="0" shapeId="0" xr:uid="{BCA41816-1D25-42C6-8687-02C245CF3463}">
      <text>
        <r>
          <rPr>
            <sz val="9"/>
            <color indexed="81"/>
            <rFont val="Tahoma"/>
            <family val="2"/>
          </rPr>
          <t>Beschreibung:
"Als kleinen Nachschlag zum letzten Cast gibt es diese Woche 
das Review zur Folge 3 &amp; 4 der vierten Staffel der Sarah Jane 
Adventures – “The vault of secrets”. Außerdem gibt es einen 
kleinen Exkurs* in die Welt der drei ???."
*) TC: 10:50-15:52 
    u. a. Die drei ??? und der dreiTag 
    und DIE DR3I - Hotel Luxury End
Gesamtlänge der Podcastfolge (25:30)</t>
        </r>
      </text>
    </comment>
    <comment ref="C2161" authorId="0" shapeId="0" xr:uid="{9DD86453-B190-4F16-9B66-092D12839D78}">
      <text>
        <r>
          <rPr>
            <sz val="9"/>
            <color indexed="81"/>
            <rFont val="Tahoma"/>
            <family val="2"/>
          </rPr>
          <t>Beschreibung:
"Da fühlt man sich mal genötigt die Emma zu kaufen und was findet man, wider Erwarten, 
wenn man sie aufschlägt? Alte, weiße Männer… Pfui. Aber zu früh gefreut, denn die Herren 
sind nur dazu da, euch zu erzählen, wie geil das mal wird, wenn sie eine Frau werden. Was? 
Sowas kann es doch nicht geben? Na dann passt mal auf. In der heutigen Episode des 
Whocasts werfen Harald und Raphael einen Blick auf die Null-Nummer (no puns intended) 
der Dreizehnten-Doctor-Comic-Reihe aus dem Hause Panini und finden tatsächlich die ein 
oder andere Überraschung. Außerdem gibt es ein paar Dinge in eigener Sache, die wir unter 
“We want you” zusammenfassen können, Geschenke und Post und für die Hörer unter 
euch, die mit Doctor Who wenig anfangen können, driften wir auch ein wenig zu den drei 
Fragezeichen* ab."
*) TC: 51:25-73:33 
    u. a. Folge 200 Feuriges Auge
    und die schwarze Katze - Neufassung
Gesamtlänge der Podcastfolge (1:13:33)</t>
        </r>
      </text>
    </comment>
    <comment ref="C2165" authorId="0" shapeId="0" xr:uid="{764F6452-9B1B-47A2-9D78-0109EA33BB0A}">
      <text>
        <r>
          <rPr>
            <sz val="9"/>
            <color indexed="81"/>
            <rFont val="Tahoma"/>
            <family val="2"/>
          </rPr>
          <t>Beschreibung:
"Gaststar Dirk ist wieder mit von der Partie, als Experte für die drei Fragezeichen 
und um sein Preview von Folge 26 einzulösen. Stefan und Wolfgang waren kurz 
vor Aufnahme der Folge im gehypten “The Hunger Games” und berichten taufrisch. 
Anschließend stellen wir mit erstaunen fest, dass wir tatsächlich Gutes von einem 
Steven Spielberg Film zu berichten haben."</t>
        </r>
      </text>
    </comment>
    <comment ref="C2169" authorId="0" shapeId="0" xr:uid="{00000000-0006-0000-0000-000028000000}">
      <text>
        <r>
          <rPr>
            <sz val="9"/>
            <color indexed="81"/>
            <rFont val="Tahoma"/>
            <family val="2"/>
          </rPr>
          <t>Beschreibung:
"Warum zum Teufel hört eine Generation von 30-Jährigen heute noch 
Die drei Fragezeichen? Was war so faszinierend an Bibi Blocksberg, 
TKKG oder Regina Regenbogen?
Christian und Peter erklären in der zweiten Folge von Young in the 80s 
den Siegeszug der Audio-Kassette und den Boom der Kinderhörspiele, 
klären ein für alle Mal den Kampf ??? gegen TKKG und würdigen 
Abseitiges wie Arborex und den Spaßvogel.
Am Ende regt sich Christian furchtbar auf; es fällt der Satz “Des is a 
Wurschtigkeit, des ärgert”. Das Gespräch endet harmonisch."
Kapitelmarken:
0:00:00 – Das Jahrzehnt der Kassette
0:08:39 – Wie man Regina Regenbogen richtig hört
0:15:35 – Die Blüte des Kinderhörspiels
0:19:46 – Wo liegt eigentlich Rocky Beach?
0:28:31 – Peter Shaw darf keine Freundin haben
0:31:00 – Was ist die beste ???-Folge?
0:44:25 – TKKG: Fantasie und Turnschuhe
0:53:39 – Synchronsprecher sein ist ein hartes Brot
1:00:00 – Der ewige Kampf: ??? gegen TKKG
1:05:13 – Arborex und der Geheimbund KIM: Öko-Science-Fiction
1:16:20 – Bibi Blocksberg verdirbt die Jugend
1:29:16 – Benjamin Blümchen und die Hörbuch-Mafia
1:34:17 – Der Spaßvogel: Ein bisschen Stretch muss sein!
1:40:06 – Erzähl mir was
1:45:31 – Der Hörspiel-Crash der 90er und das Star-Wars-Problem
1:56:48 – Speiseeis ist auch keine Lösung</t>
        </r>
      </text>
    </comment>
    <comment ref="C2170" authorId="0" shapeId="0" xr:uid="{2DADA942-F6D2-4D6B-B572-3AB806C1DCCC}">
      <text>
        <r>
          <rPr>
            <sz val="9"/>
            <color indexed="81"/>
            <rFont val="Tahoma"/>
            <family val="2"/>
          </rPr>
          <t>Beschreibung:
"Justus Jonas, Peter Shaw und Bob Andrews – genannt Die drei ??? – waren enge Freunde 
unserer Kindheit, mit ihnen sind wir durch Rocky Beach geradelt, haben Rätselfährten verfolgt 
und Geister gejagt. In dieser Folge von Young in the 80s erzählen wir die Geschichte der Buch- 
und Hörspielserie und würdigen deren Bedeutung. Wie funktionieren die Fälle, warum hinter-
lassen sie bis heute einen so starken Eindruck? So sehr wir die alten Folgen lieben, so schwer 
tun wir uns mit dem neuen Material der bis heute laufenden Serie. Wir versuchen zu ergründen, 
woran das liegt.
Podcast-Tipp: Wer tiefer in die Welt der Drei Fragezeichen eintauchen, einzelne Fälle besprochen 
hören will und sich für Interviews mit den Autoren interessiert, der wird beim Spezialgelagerten 
Sonderpodcast fündig.
Lese-Tipp: Die Entstehungsgeschichte und die Zeithistorie der Serie werden im kostenlosen 
E-Book Die drei Fragezeichen ??? Medium Marketing Mystery von Mark-George Dehrmann 
kompakt und plastisch nachgezeichnet.
Zum Mithören: Alle 207 Drei-Fragezeichen-Hörspiele (Stand Oktober 2020) gibt’s bei Spotify.
Viel Spaß beim Hören!"</t>
        </r>
      </text>
    </comment>
    <comment ref="C2174" authorId="0" shapeId="0" xr:uid="{00000000-0006-0000-0000-000029000000}">
      <text>
        <r>
          <rPr>
            <sz val="9"/>
            <color indexed="81"/>
            <rFont val="Tahoma"/>
            <family val="2"/>
          </rPr>
          <t>Beschreibung:
"„Welle Nerdpol und die gebrochene Nase“, so könnte der erste abendfüllende Welle 
Nerdpol-Podcast des Jahres 2016 auch heißen. Mit einem frischen Intro und Gesprächs-
stoff starten die Jungs und Mädels ins neue Jahr und heißen euch heute zum „Drei 
Fragezeichen“-Podcast willkommen."
Kapitelmarken:
0:00:22 – Intro, Disclaimer, Begrüßung
0:02:45 – Updatemeeting – AGDQ, Nasen, Comics und noch mehr Spiele
0:24:00 – Die drei ??? und die fehlende Überleitung
0:39:30 – Die drei ??? und das Wissensgewichse
0:52:00 – Die drei ??? und der Lieblingsdetektiv
0:57:00 – Topfolge: Die drei ??? und der Teufelsgeiger
1:02:00 – Topfolge: Die drei ??? – Die Schattenmänner
1:08:15 – Topfolge: Die drei ??? und der Superpapagei
1:10:00 – Topfolge: Die drei ??? Toteninsel
1:11:30 – Topfolge: Die drei ??? Das leere Grab
1:13:40 – Topfolge: Die drei ??? Spuk im Hotel
1:14:25 – Topfolge: Die drei ??? Das brennende Schwert
1:16:50 – Intermission: Die drei ??? und der Karpatenhund
1:19:00 – Topfolge: Die drei ??? und die schwarze Katze
1:24:45 – Topfolge: Die drei ??? Der lachende Schatten
1:29:50 – Intermission: Wie ist das eigentlich mit dem Roll’s Royce?
1:31:00 – Topfolge: Die drei ??? und der seltsame Wecker
1:36:20 – Topfolge: Die drei ??? und die verschwundene Seglerin
1:40:00 – Topfolge: Die drei ??? Feuerturm
1:47:10 – Topfolge: Die drei ??? und der Dreitag
1:49:40 – Topfolge: Die drei ??? Vampire im Internet (und Angriff der Computerviren)
1:52:00 – Topfolge: Die drei ??? Das Wolfsgesicht
1:53:30 – Topfolge: Die drei ??? Der tanzende Teufel
1:55:00 – Topfolge: Die drei ??? und das Riff der Haie
1:59:20 – Topfolge: Die drei ??? und der magische Kreis
2:01:00 – Topfolge: Die drei ??? und der Teufelsberg
2:04:15 – Topfolge: Die drei ??? und der unheimliche Drache
2:07:25 – Topfolge: Die drei ??? Doppelte Täuschung
2:09:00 – Floppfolge: Die drei ??? Giftige Gockel
2:19:00 – Floppfolge: Die drei ??? Grusel auf Campbell Castle
2:21:00 – Floppfolge: Die drei ??? und die Comicdiebe
2:23:30 – Floppfolge: Die drei ??? Todesflug
2:28:50 – Die drei ??? und unser Lieblingsbösewicht
2:34:00 – Die drei ??? und die Livetournee
2:44:00 – Die drei ??? und das Merchandise und die Filme
2:49:00 – Gedankenspiel: Wie sieht der Schrottplatz aus?
2:55:15 – Die drei ??? und die Graphic Novel: Der dreiäugige Totenkopf
3:03:00 – Abschied und vielen Dank!</t>
        </r>
      </text>
    </comment>
    <comment ref="C2176" authorId="0" shapeId="0" xr:uid="{00000000-0006-0000-0000-00002A000000}">
      <text>
        <r>
          <rPr>
            <sz val="9"/>
            <color indexed="81"/>
            <rFont val="Tahoma"/>
            <family val="2"/>
          </rPr>
          <t>Podcast-Folgen:                                                            
01. Hörma stellt sich vor                      8.03.2016, 0:03:58
02. Hörma 001 – Fünf Freunde           18.03.2016, 1:35:16
03. Hörma 002 – John Sinclair               2.06.2016, 1:33:56
04. Hörma 003 – Jan Tenner              17.09.2016, 2:14:30
05. Hörma 004 – ALF                          5.11.2016, 2:47:49
06. Hörma 005 – Podwichtelgeschenk mit den ???            ,
                                                      24.12.2016, 0:55:25
07. Werbejingle Hörma Podcast,          25.01.2017, 0:01:31
08. Zwischenfolge: Die drei !!!,            28.01.2017, 0:14:56
09. Geburtstagsgrüße-Hörspiel für die Talker-Lounge          ,
                                                      13.02.2017, 0:04:14
10. Ein Jahr Hörma                            16.02.2017, 0:52:05
11. Hörma 006 – TKKG                      26.02.2017, 2:18:58
12. Hörma 007 – Knight Rider             27.05.2017, 2:35:40
13. Hörma 008 – Benjamin Blümchen    8.11.2017, 1:58:52
14. Hörma 009 – Podwichtelspezial      24.12.2017, 1:47:37
15. Hörma 010 – Professor van Dusen  15.04.2018, 1:58:44
16. Hörma 011 – Die Säulen der Erde  13.07.2018, 1:34:47
17. Hörma 012 – Krieg der Welten      30.10.2018, 1:30:55
18. Podwichteln2018 – Hans Paetsch  24.12.2018, 0:55:51
19. Es gibt uns noch!                        14.09.2019, 1:37:40
20. Hörma 013 – Pumuckl                    3.11.2019, 2:24:02
21. Hörma Neujahrsmeldung                 4.02.2020, 1:31:52
22. Hörma 014 – Die Funk Füchse       25.04.2020, 1:57:06
23. Hörma 015 – Hui Buh                   26.09.2020, 1:37:58</t>
        </r>
      </text>
    </comment>
    <comment ref="C2178" authorId="0" shapeId="0" xr:uid="{E3B75B23-F6EC-4182-90A2-6ECF4ED06035}">
      <text>
        <r>
          <rPr>
            <sz val="9"/>
            <color indexed="81"/>
            <rFont val="Tahoma"/>
            <family val="2"/>
          </rPr>
          <t>Beschreibung: 
"Folge Fünf ist an der Reihe und dieses Mal geht es um eine der vielleicht zentralsten 
Hörspiel-Serien auf dem deutschen Markt. Es geht um die Abenteuer der drei Detektive 
Justus Jonas, Peter Shaw und Bob Andrews. Wenn ihr jetzt schon den Song im Ohr 
habt – genau das sind die Drei ??? (Fragezeichen). Und neben diesem besonderen 
Thema, stellt diese Folge auch insgesamt etwas besonderes dar: Wir haben erstmals 
professionelle Sprecher gecastet, damit es hier nicht nur um Hörspiele geht, sondern 
auch nach Hörspiel klingt. Die beiden kommen allerdings hier und da ein bisschen vom 
Thema ab."</t>
        </r>
      </text>
    </comment>
    <comment ref="C2179" authorId="0" shapeId="0" xr:uid="{8C7612F6-1E11-4D97-8029-E4A438CDAC2A}">
      <text>
        <r>
          <rPr>
            <sz val="9"/>
            <color indexed="81"/>
            <rFont val="Tahoma"/>
            <family val="2"/>
          </rPr>
          <t>Beschreibung:
"Dieses Mal unterhalten sich nicht Jörg und Niels über eine Hörspielserie. In dieser kleinen 
Zwischenfolge stellt uns Maija eine ihrer Lieblingshörspiele vor: Die drei !!! Das ist etwas 
spannendes Neues auch für uns. Zum ersten Mal gibt es einen Gast und es soll so etwas 
wie ein Interview stattfinden. Wie das geklappt hat, könnt ihr selbst nachhören."</t>
        </r>
      </text>
    </comment>
    <comment ref="C2183" authorId="0" shapeId="0" xr:uid="{9043EBDC-C9B5-4488-AA45-DFCBFC23B55B}">
      <text>
        <r>
          <rPr>
            <sz val="9"/>
            <color indexed="81"/>
            <rFont val="Tahoma"/>
            <family val="2"/>
          </rPr>
          <t>Beschreibung:
"Heute gibt’s was auf die Ohren, denn wir haben uns Hörspiele-Nerd und Nerdizismus Hörer 
Jan von Umsturzvegan geschnappt und mit ihm über ein Franchise gesprochen, das es schon 
seit über 30 Jahren gibt, zahlreiche Nerds und Fans um sich scharrt und das immer noch bei 
Jung und Alt beliebt ist. Nein, diesmal geht’s nicht um Star Wars. Sondern um Hörspiele. Und 
ganz im Konkreten, um “Die drei ???“. Richtig gehört. Denn auch 30 Jahre nach dem ersten 
Hörspiel sind Justus Jonas, Peter Shaw und Bob Andrews immer noch in neuen Hörspielen 
unterwegs, um ihre Visitenkarte an willige Vorleser auszugeben. Wir quatschen über Folge 186 
mit dem illustren Namen “Die Insel des Vergessens“, die bekannten Synchron-Sprecher hinter 
den Figuren, die Geschichte und Zukunft der Reihe und welche anderen Hörspiele es noch gibt, 
die es lohnt zu hören."</t>
        </r>
      </text>
    </comment>
    <comment ref="C2187" authorId="0" shapeId="0" xr:uid="{00000000-0006-0000-0000-00002B000000}">
      <text>
        <r>
          <rPr>
            <sz val="9"/>
            <color indexed="81"/>
            <rFont val="Tahoma"/>
            <family val="2"/>
          </rPr>
          <t xml:space="preserve">Beschreibung:
"Herzlich willkommen zum siebten PiratenTalk-Podcast.
In diesem Podcast geht es um um den Thriller von J.D. Barker „The Fourth Monkey“, 
die drei Fragezeichen und das „Verbrechen im Nichts“ und einen Einblick in die 
Vorbereitungen auf den Besuch der Leipziger Buchmesse am 16. März 2018.
Viel Spaß mit dem PiratenTalk-Podcast 7!
Achtung! Der Podcast kann Viren oder Bakterien oder sogar auch Viren UND 
Bakterien enthalten! Würmer hingegen nicht…"
Inhaltsübersicht:
Gesamtlänge der Podcastfolge (53:46)
0:00:00 Intro
0:00:24 Anmoderation
0:01:10 BlogNews: Neues vom couchpirat.de-Blog
0:05:12 BlogAufsOhr: J.D.Barkers Thriller 
            “The Fourth Monkey” [ein affiger Mörder = 4MK]
</t>
        </r>
        <r>
          <rPr>
            <b/>
            <sz val="9"/>
            <color indexed="81"/>
            <rFont val="Tahoma"/>
            <family val="2"/>
          </rPr>
          <t>0:15:45 HörspielPirat: Die Drei Fragezeichen 
            “Verbrechen im Nichts” (Folge 191) [ein Fall im Nirgendwo = DDF 191]</t>
        </r>
        <r>
          <rPr>
            <sz val="9"/>
            <color indexed="81"/>
            <rFont val="Tahoma"/>
            <family val="2"/>
          </rPr>
          <t xml:space="preserve">
0:26:28 #piratentour: Vorbereitungen zur Leipziger Buchmesse 
            [LBM18 = Leipziger Buchmesse 2018]
0:49:22 Abmoderation
0:51:14 Musik: “Eyes of Glory” von Aakash Ghandi [sic]
            [richtig: Eyes of Glory by Aakash Gandhi]</t>
        </r>
      </text>
    </comment>
    <comment ref="C2188" authorId="0" shapeId="0" xr:uid="{00000000-0006-0000-0000-00002C000000}">
      <text>
        <r>
          <rPr>
            <sz val="9"/>
            <color indexed="81"/>
            <rFont val="Tahoma"/>
            <family val="2"/>
          </rPr>
          <t>Beschreibung:
"Herzlich willkommen zum neunten Jubiläums-PiratenTalk-Podcast.
In diesem Podcast geht es um die Folge 192 der erfolgreichen Hörspielserie 
„Die Drei ??? – Todesflug 2.0 … äh … Im Bann des Drachen“
Viel Spaß mit dem PiratenTalk-Podcast #9! Nur echt mit dem Clickbait-Titel"
Inhaltsübersicht:
Gesamtlänge der Podcastfolge (20:32)
0:00:00 Intro
0:00:33 Anmoderation
0:01:19 Musik: “A True Master” von Jophannes Bernlöft 
            (mit vorgelesenem Klappentext!)</t>
        </r>
        <r>
          <rPr>
            <b/>
            <sz val="9"/>
            <color indexed="81"/>
            <rFont val="Tahoma"/>
            <family val="2"/>
          </rPr>
          <t xml:space="preserve">
0:03:38 Besprechung “Die Drei ???” Folge 192</t>
        </r>
        <r>
          <rPr>
            <sz val="9"/>
            <color indexed="81"/>
            <rFont val="Tahoma"/>
            <family val="2"/>
          </rPr>
          <t xml:space="preserve">
0:16:25 Abmoderation
0:18:09 Musik: “Skilled in Arts” von Jophannes Bernlöft [sic]
            [richtig: Skilled in The Arts by Johannes Bornlöf]</t>
        </r>
      </text>
    </comment>
    <comment ref="C2192" authorId="0" shapeId="0" xr:uid="{C6A6928D-B2CF-41C4-B114-674A031209D0}">
      <text>
        <r>
          <rPr>
            <sz val="9"/>
            <color indexed="81"/>
            <rFont val="Tahoma"/>
            <family val="2"/>
          </rPr>
          <t>Beschreibung:
"In einer neuen Folge von Ruehrcast folgt Mara einer heißen Spur: 
Und zwar der heißen Spur nach dem queeren Element in der deut-
schen Hörspiel-Serie “Die drei Fragezeichen”. Nach einigen einfüh-
renden Worten über die Serie, folgt Mara Nuancen von Queerness, 
konkreter Queerness und kommt zu überraschenden und weniger 
überraschenden Erkenntnissen. Spannend, investigativ und hörens-
wert – Zumindest diese Folge von Ruehrcast. Alles andere würde ja 
spoilern. 8)
Shownotes:
Detailiert erwähnt werden folgende Folgen:
„Der Super-Papagei“, 001. (Link zum ???-Wiki)
„Stimmen aus dem Nichts“, 076. (Link zum ???-Wiki)
„Das Geisterschiff“, 093. (Link zum ???-Wiki)
„Das Hexenhandy“, 101. (Link zum ???-Wiki)
„Der Mann ohne Kopf“, 106. (Link zum ???-Wiki)
Weitere Shownotes:
Jelena Charkova (???-Wiki-Link)
Amanda Lear (engl. Wikipedia-Link)
Queer Baiting (engl. Wikipedia-Link)
Robert Arthur Jr. (deutscher Wikipedia-Link)
Die drei Fragezeichen (deutscher Wikipedia-Link)
Erwähnung André Marx zu möglichem Schwulsein von Jeffrey: 
http://diedreifragezeichen.wikia.com/wiki/Jeffrey_Palmer"</t>
        </r>
      </text>
    </comment>
    <comment ref="C2196" authorId="0" shapeId="0" xr:uid="{AE3CB7C2-23A2-418E-85A6-6D2DB25405FA}">
      <text>
        <r>
          <rPr>
            <sz val="9"/>
            <color indexed="81"/>
            <rFont val="Tahoma"/>
            <family val="2"/>
          </rPr>
          <t>Beschreibung:
"DAS KALENDERBLATT
12.10.1979: Das erste Hörspiel von "Die drei ???" erscheint
Die erfolgreichste Hörspielserie der Welt: Die "Drei Fragezeichen". 
Seit 1979 sind an die 200 Folgen entstanden, über 46 Millionen Mal 
verkauft, ausgezeichnet mit über 100 Gold- und Platinschallplatten.
VON: Carola Zinner
Ausstrahlung am 12.10.2018"
Der Podcast-Beitrag wurde wenig später am 14.10.2018 wieder von 
der BR-Website entfernt nachdem die schlechte bzw. fehlerhafte 
Recherchearbeit zum Beitrag erkannt wurde.
Es wurde u. a. berichtet, dass die drei ??? nur noch als Hörspiel 
erscheinen wohingegen die Buchreihe längst eingestellt sei und der 
dritte Detektiv Bob Andrews wurde als "Bob Anderson" bezeichnet.</t>
        </r>
      </text>
    </comment>
    <comment ref="C2197" authorId="0" shapeId="0" xr:uid="{0DE448E8-C3B6-4916-8F38-45A85C9B2F1B}">
      <text>
        <r>
          <rPr>
            <sz val="9"/>
            <color indexed="81"/>
            <rFont val="Tahoma"/>
            <family val="2"/>
          </rPr>
          <t>Beschreibung:
"DAS KALENDERBLATT
12.10.1979: Das erste Hörspiel von "Die drei ???" erscheint
Die erfolgreichste Hörspielserie der Welt: Die "Drei Fragezeichen". 
Seit 1979 sind an die 200 Folgen entstanden, über 46 Millionen Mal 
verkauft, ausgezeichnet mit über 100 Gold- und Platinschallplatten.
VON: Carola Zinner
Ausstrahlung am 12.10.2020"</t>
        </r>
      </text>
    </comment>
    <comment ref="C2201" authorId="0" shapeId="0" xr:uid="{B27E6F0B-01F9-432F-8BC3-E5F15EFB3C0C}">
      <text>
        <r>
          <rPr>
            <sz val="9"/>
            <color indexed="81"/>
            <rFont val="Tahoma"/>
            <family val="2"/>
          </rPr>
          <t xml:space="preserve">Beschreibung:
"Endlich haben wir bei Flip the Truck eine Bühne, um die Kultreihe Die Drei ??? zu besprechen. 
Warum ist diese Buch- und (vor allem) Hörspiel-Reihe so unglaublich beliebt? Wie schneidet 
Die Drei !!! im Vergleich ab? Wie funktioniert Gender Marketing? Und was sind die besten 
Folgen, die man nach diesem Podcast unbedingt hören sollte?
</t>
        </r>
        <r>
          <rPr>
            <i/>
            <sz val="9"/>
            <color indexed="81"/>
            <rFont val="Tahoma"/>
            <family val="2"/>
          </rPr>
          <t>Was sind die drei ???</t>
        </r>
        <r>
          <rPr>
            <sz val="9"/>
            <color indexed="81"/>
            <rFont val="Tahoma"/>
            <family val="2"/>
          </rPr>
          <t xml:space="preserve">
Starten wir ganz am Anfang. Geschrieben von Robert Arthur wurde The Three Investigators 
für den deutschen Sprachraum in Die Drei ??? umbenannt. Doch diese Detektiv-Bücher sind 
nicht der Hauptgrund für die Nachhaltigkeit der Serie, sondern eine unglaublich liebevoll pro-
duzierte Hörspielreihe. Seit 1979 werden die drei Detektive gesprochen durch Andreas Fröhlich 
(Bob Andrews), Oliver Rohrbeck (Justus Jonas) und Jens Wawrczeck (Peter Shaw).
Anne schwelgt in Erinnerungen, wenn die Familie sich zusammensetzte, um gemeinsam die 
CD mit dem neuesten Abenteuer zu hören. Und bis heute finden sich die Hardcore Fans der 
Reihe zusammen, um die neuesten Abenteuer gemeinsam zu erleben.
</t>
        </r>
        <r>
          <rPr>
            <i/>
            <sz val="9"/>
            <color indexed="81"/>
            <rFont val="Tahoma"/>
            <family val="2"/>
          </rPr>
          <t>Das Erfolgsrezept der Hörspielreihe wird diskutiert:</t>
        </r>
        <r>
          <rPr>
            <sz val="9"/>
            <color indexed="81"/>
            <rFont val="Tahoma"/>
            <family val="2"/>
          </rPr>
          <t xml:space="preserve">
charismatische Sprecher,
einfache Stories, die aber nicht dumm sind,
sehr gute Werte und Moral, die auch über die Jahre nicht veraltet erscheinen,
eine wenig aufgeregte Erzählart,
und liebevolle Freundschaften der Figuren.
</t>
        </r>
        <r>
          <rPr>
            <i/>
            <sz val="9"/>
            <color indexed="81"/>
            <rFont val="Tahoma"/>
            <family val="2"/>
          </rPr>
          <t>Die Drei !!!</t>
        </r>
        <r>
          <rPr>
            <sz val="9"/>
            <color indexed="81"/>
            <rFont val="Tahoma"/>
            <family val="2"/>
          </rPr>
          <t xml:space="preserve">
Mit dem Motto “Detektivgeschichten für clevere Mädchen” gibt es seit 2006 das Spin-Off Die 
Drei !!!. Und nach den Lobpreisungen über die Hörspielreihe, sind Anne und Michi hier absolut 
unbeeindruckt. Sämtliche Komplexität der Figuren ist weg. Die drei Detektivinnen werden in 
drei Schubladen gesteckt und das Detektiv-Sein wird weit hinten angestellt.
Die Gender-Diskussion wird natürlich geführt… warum genau gibt es Die Drei !!! und wie 
funktioniert Gender-Marketing? Die Rosa-Hellblau-Falle gibt hier spannenden Einblick in die 
Motivation hinter “weiblichen”-Spin Offs und Marken. Und trotz aller Frustration sind sich die 
PodcasterInnen einig: man darf auf dem langen Weg zur Gleichberechtigung nicht jeden 
Zwischenschritt komplett verteufeln, denn vielleicht ist der nächste Film von Die Drei !!! total 
super… you never know.
</t>
        </r>
        <r>
          <rPr>
            <i/>
            <sz val="9"/>
            <color indexed="81"/>
            <rFont val="Tahoma"/>
            <family val="2"/>
          </rPr>
          <t>Encore</t>
        </r>
        <r>
          <rPr>
            <sz val="9"/>
            <color indexed="81"/>
            <rFont val="Tahoma"/>
            <family val="2"/>
          </rPr>
          <t xml:space="preserve">
So… jetzt sind die ganzen gewichtigen Diskussionen vorbei und Anne legt los mit der 
Schwärmerei. Was sind die Top-Folgen Die Drei ???, die man nicht verpassen soll?
Die Drei Emotionalsten:
  106 Der Mann ohne Kopf
  111 Die Höhle des Grauens
  101 Das Hexenhandy
Die Drei Lustigsten:
  103 Das Erbe des Meisterdiebs
  78 Das leere Grab
  76 Stimmen aus dem Nichts
Die Drei Spannendsten:
  100 Toteninsel
  175 Schattenwelt
  62 Spuk im Hotel"</t>
        </r>
      </text>
    </comment>
    <comment ref="C2205" authorId="0" shapeId="0" xr:uid="{060B82C5-306B-45B2-AB7F-07DED190716C}">
      <text>
        <r>
          <rPr>
            <sz val="9"/>
            <color indexed="81"/>
            <rFont val="Tahoma"/>
            <family val="2"/>
          </rPr>
          <t>Beschreibung:
"Wir reden über das bekannte Hörspiel Die Drei Fragezeichen 
 bzw. Die Drei Fragezeichen Kids.
· Drei Fragezeichen original und Kids
· Wer sind die Drei Fragezeichen?
· Die Sprecher der Drei Fragezeichen
· Über 200 Folgen Die Drei Fragezeichen
· Über 70 Folgen Drei Fragezeichen Kids
· Merchandising und Spielzeug
· Computerspiele"</t>
        </r>
      </text>
    </comment>
    <comment ref="C2209" authorId="0" shapeId="0" xr:uid="{D3B76EB1-2817-432F-BAB1-40DD54BB68BF}">
      <text>
        <r>
          <rPr>
            <sz val="9"/>
            <color indexed="81"/>
            <rFont val="Tahoma"/>
            <family val="2"/>
          </rPr>
          <t>Beschreibung:
# 12 Andreas Fröhlich über Die drei Fragezeichen, 
Lieblingsautoren und sein ganz besonderes Autokino
Hörbuchsprecher Andreas Fröhlich im Gespräch mit Dirk Kauffels
Das Interview wurde im Frühjahr 2019 aufgenommen</t>
        </r>
      </text>
    </comment>
    <comment ref="C2210" authorId="0" shapeId="0" xr:uid="{246EDA3C-6A97-4D30-871B-96AE86A90CED}">
      <text>
        <r>
          <rPr>
            <sz val="9"/>
            <color indexed="81"/>
            <rFont val="Tahoma"/>
            <family val="2"/>
          </rPr>
          <t>Beschreibung:
# 13 Jens Wawrczeck über seine markante Stimme, 
Alfred Hitchcock und Die drei Fragezeichen
Schauspieler Jens Wawrczeck im Gespräch mit Dirk Kauffels</t>
        </r>
      </text>
    </comment>
    <comment ref="C2214" authorId="0" shapeId="0" xr:uid="{22E1E385-F160-4F3E-A804-A14AB14723BA}">
      <text>
        <r>
          <rPr>
            <sz val="9"/>
            <color indexed="81"/>
            <rFont val="Tahoma"/>
            <family val="2"/>
          </rPr>
          <t>Beschreibung:
"Die drei ??? – das sind die Detektive Justus Jonas, Peter Shaw und Bob Andrews. 
Sie leben in der Kalifornischen Kleinstadt Rocky Beach. Und Ihre Bücher und Hör-
bücher haben sich bereits millionenfach verkauft. Francesca, ein echter Fan seit 
Kindheitstagen, erzählt uns, wie sie Fan geworden ist, ob sie die Geschichten lieber 
hört oder lieber liest, welche Lieblingsfolge sie hat. Welches ist ihr Lieblingsdetektiv 
und was würde sie ihn fragen, wenn es die Möglichkeit dazu gäbe? Fun-Facts gibt 
es ebenfalls ... und natürlich Buchtipps 👍 Viel Spaß beim Hören!"</t>
        </r>
      </text>
    </comment>
    <comment ref="C2215" authorId="0" shapeId="0" xr:uid="{E6BADDF1-5110-4AD9-A317-E74C3BAF3119}">
      <text>
        <r>
          <rPr>
            <sz val="9"/>
            <color indexed="81"/>
            <rFont val="Tahoma"/>
            <family val="2"/>
          </rPr>
          <t>Beschreibung:
"In unserer Folge 26* sprachen wir schon mal mit unserer Kollegin Francesca Hintz über 
Die Drei ???. Sie ist großer Fan und wir dachten uns, diesem Kult um die Jugendkrimi-
Serie müssen wir weiter auf den Grund gehen. Die "Mutter" der deutschen Ausgabe von 
Die Drei ???, der Kosmos-Verlag hat seinen Sitz in Stuttgart. Diese Chance haben wir 
genutzt und uns uns direkt eine Expertin eingeladen: Anne Pagel betreut das Programm 
rund um Die Drei ???. Wir haben sie gefragt: Seit wann gibt es die ??? in Deutschland, 
wie entstehen eigentliche neue Folgen, wie wird man Drei ??? Autor und was ist das 
Erfolgsrezept der Drei ???? Das und vieles mehr erfahrt Ihr in unserem heutigen Podcast. 
Seid gespannt – es werden auch ein paar Geheimnisse gelüftet!"
*) Anmerkung: fehlerhafte Folgenangabe, gemeint ist Folge 35</t>
        </r>
      </text>
    </comment>
    <comment ref="C2216" authorId="0" shapeId="0" xr:uid="{72D715BE-6338-49BD-9F88-EADA1B4E6CFD}">
      <text>
        <r>
          <rPr>
            <sz val="9"/>
            <color indexed="81"/>
            <rFont val="Tahoma"/>
            <family val="2"/>
          </rPr>
          <t>Beschreibung:
"Kari Erlhoff ist eine deutsche Autorin. Sie studierte Anglistik an der Universität Hamburg. 
Nebenher arbeitete sie bei der DFA als Kamerafrau, jobbte bei einer Sprachenschule für 
Kinder und wirkte bei verschiedenen Hörspielworkshops mit. Bevor sie 2007 beim Carlsen 
Verlag ihr erstes Buch veröffentlichte, arbeitete sie als Presseassistentin und Marketing-
referentin. Seitdem ist sie als freie Autorin und Texterin für verschiedene Verlage tätig. 
Seit 2009 ist sie festes Mitglied des Autorenteams des Kosmos-Verlags und schreibt 
Bücher für die Jugendbuch-Serie Die drei ???. Sie hat den amerikanischen Romans Brain-
wash von Peter Lerangis übersetzt, Bestandteil der im April 2011 erschienenen Top Secret 
Edition der drei ???. Für den PONS-Verlag hat sie die Folge Tödliches Eis ins Englische 
(Arctic Adventure) übersetzt. Es sind aber nicht nur die Drei ???, für die sie schreibt – im 
Carlsen-Verlag sind vier Jugendromane unter ihrem Geburtsnamen Kari Ehrhardt erschie-
nen. Wir haben uns mit ihr darüber unterhalten, wie sie Drei ???-Autorin geworden ist, 
wieviele Drei ???-Geschichten sie selbst geschrieben hat, was sie an ihrem Job besonders 
liebt – und vieles, vieles, vieles mehr."</t>
        </r>
      </text>
    </comment>
    <comment ref="C2218" authorId="0" shapeId="0" xr:uid="{00000000-0006-0000-0000-00002D000000}">
      <text>
        <r>
          <rPr>
            <sz val="9"/>
            <color indexed="81"/>
            <rFont val="Tahoma"/>
            <family val="2"/>
          </rPr>
          <t>Podcast-Folgen:
1. Der Kronkorkenplopp [Podcast-Pilotfolge]                      
    02.05.2020, 20:07
2. Das Tastaturklackern [205. Folge “Das rätselhafte Erbe”] 
    19.06.2020, 29:23</t>
        </r>
      </text>
    </comment>
    <comment ref="C2220" authorId="0" shapeId="0" xr:uid="{94ECFE15-1DC0-4FDF-9896-926E748EB368}">
      <text>
        <r>
          <rPr>
            <sz val="9"/>
            <color indexed="81"/>
            <rFont val="Tahoma"/>
            <family val="2"/>
          </rPr>
          <t>Beschreibung:
"In unserer neuen Podcast-Folge sprechen wir viel über Die drei Fragezeichen, 
besprechen die 205. Folge “Das rätselhafte Erbe”, fragen uns, warum es mitt-
lerweile Frisbeescheiben, Zahnbürsten und Waffeleisen gibt. Und zu guter Letzt 
stellen wir uns eigentlich nur eine Frage: “Was ist denn das für ein Sound?”"</t>
        </r>
      </text>
    </comment>
    <comment ref="C2224" authorId="0" shapeId="0" xr:uid="{AD82A31D-DEC6-4144-9679-DA9EE61CAB1F}">
      <text>
        <r>
          <rPr>
            <sz val="9"/>
            <color indexed="81"/>
            <rFont val="Tahoma"/>
            <family val="2"/>
          </rPr>
          <t>Beschreibung:
"In der ersten Folge unseres neuen Hörspielpodcasts „Hörspielplatz“ erweist uns niemand 
Geringeres als Jens Wawrczeck die Ehre. Er gehört zu Deutschlands bekanntesten Sprechern 
und ist besonders für seine Rolle als Peter Shaw der Erfolgsreihe „Die Drei ???“ bekannt. 
Aber dass Jens Wawrczeck noch viel mehr zu bieten hat, erzählt er uns in diesem Podcast 
und verrät uns, wo seine Leidenschaft zu alten Filmen herkommt und wie er seine Zeit als 
Student in New York erlebt hat. Los geht‘s mit der ersten Folge vom „Hörspielplatz“ viel 
Spaß!"</t>
        </r>
      </text>
    </comment>
    <comment ref="C2225" authorId="0" shapeId="0" xr:uid="{82980BD1-63FD-4C24-8004-F40AA70970E9}">
      <text>
        <r>
          <rPr>
            <sz val="9"/>
            <color indexed="81"/>
            <rFont val="Tahoma"/>
            <family val="2"/>
          </rPr>
          <t>Beschreibung:
"In der dritten Folge vom „Hörspielplatz“ haben wir hohen Besuch, denn die Grand-Dame 
der deutschen Hörspielunterhaltung Heikedine Körting ist bei uns zu Gast. Ihr Name ist seit 
über 40 Jahren fest in der Hörspielszene verankert, sie ist Produzentin der erfolgreichsten 
deutschsprachigen Hörspiele seit Beginn an und maßgeblich für deren Erfolg verantwortlich. 
Angefangen bei „Die drei Fragezeichen“, über „TKKG“ bis hin zu „Fünf Freunde“, sie kennt 
sie alle und hat sie zu dem gemacht, was sie heute sind. Bei uns spricht Heikedine Körting 
über ihre Anfänge im Hörspielgeschäft, die Arbeit mit den Sprecherinnen und Sprechern, 
ihre Leidenschaft zu Geräuschen und die Unterschiede zwischen damals und heute. Und sie 
erklärt uns, warum der Sound einer Kassette für sie etwas ganz Besonderes ist. Los geht‘s 
mit einer neuen Folge „Hörspielplatz“, viel Spaß!"</t>
        </r>
      </text>
    </comment>
    <comment ref="C2226" authorId="0" shapeId="0" xr:uid="{7C1BD726-996B-4CF2-B467-1F6F0FEF0E10}">
      <text>
        <r>
          <rPr>
            <sz val="9"/>
            <color indexed="81"/>
            <rFont val="Tahoma"/>
            <family val="2"/>
          </rPr>
          <t>Beschreibung:</t>
        </r>
        <r>
          <rPr>
            <b/>
            <sz val="9"/>
            <color indexed="81"/>
            <rFont val="Tahoma"/>
            <family val="2"/>
          </rPr>
          <t xml:space="preserve">
"</t>
        </r>
        <r>
          <rPr>
            <sz val="9"/>
            <color indexed="81"/>
            <rFont val="Tahoma"/>
            <family val="2"/>
          </rPr>
          <t>In der zehnten Folge vom „Hörspielplatz“ haben wir zwei ganz besondere Gäste eingeladen. 
André Minninger und Wolfram Damerius sind beide echte Kassettenkinder und haben ihre 
Leidenschaft zum Beruf gemacht. André Minninger ist Autor und Hörspielproduzent, gemein-
sam mit Heikedine Körting ist er beispielsweise für „Die drei ???“ und „TKKG“ Hörspiele 
verantwortlich. Wolfram Damerius ist Illustrator und hat gemeinsam mit André Minninger an 
der Neuauflage der EUROPA „Gruselserie“ gearbeitet. Colin begibt sich mit den beiden auf 
einen wilden Ritt durch eine Vielzahl an Themen, eins spannender als das Nächste. Die drei 
sprechen über Kindheitserinnerungen, Inspiration und natürlich Hörspiele. Wir hoffen, dass 
ihr genauso viel Spaß beim Hören habt, wie wir beim Aufnehmen. Los geht’s!"</t>
        </r>
      </text>
    </comment>
    <comment ref="C2230" authorId="0" shapeId="0" xr:uid="{C4648B17-3A86-46F1-88ED-668BFAC71F28}">
      <text>
        <r>
          <rPr>
            <sz val="9"/>
            <color indexed="81"/>
            <rFont val="Tahoma"/>
            <family val="2"/>
          </rPr>
          <t>Beschreibung:
"Es ist Mittwoch und das heißt, es gibt eine neue Folge Hörspielplatz. In dieser Folge 
begrüßen Colin und Johanna die wundervolle Pia aka „Shurjoka“ im Podcast. Die Twitch-
Streamerin, YouTuberin und Moderatorin hat nicht nur über 230.000 Abos auf Twitch, 
sondern auch ein hervorragendes Thema in der Tasche: Es geht in dieser Folge um „Die 
drei ??? und der Kristallschädel“ (hört euch die Folge vorab gerne noch mal an) und das 
nehmen die drei zum Anlass, über die Entwicklung der Reihe von damals bis heute zu 
sprechen. Was hat sich zu den ersten Folgen aus den 80ern verändert? Neben Musik, 
Storys und den Stimmen? Außerdem reden die drei über Lieblingsfolgen, Plot Holes und 
gruselige Häuser von Verwandten. Viel Spaß beim Hören!"</t>
        </r>
      </text>
    </comment>
    <comment ref="C2236" authorId="0" shapeId="0" xr:uid="{68F97F3B-23A3-43C8-B2F9-9C88C54D012F}">
      <text>
        <r>
          <rPr>
            <sz val="9"/>
            <color indexed="81"/>
            <rFont val="Tahoma"/>
            <family val="2"/>
          </rPr>
          <t xml:space="preserve">Beschreibung:
"Vom Vereins-Fufu über nackte Tatsachen bis hin zum Untreuwerden zweier Moderatoren 
– hier ist alles dabei! Die Drei Fragezeichen ermitteln in Mittelerde, alte Spiele werden neu 
aufgelegt und Klein-Tolkien erlebt allerlei Abenteuer in Südafrika."
Gesamtlänge der Podcastfolge (53:46)
Themen der Folge: 
1. Begrüßung – 2. Die Themen im Überblick – 3. Feedback – 4. Das nicht-stattfindende Nicht-Thing – 
5. Unterstützen des Podcast – 6. Damit macht man immer Geld: Tolkien in 4K – 7. Tolkien in 5 Minuten – 
8. Nackte Tatsachen bei Amazon – 9. DAS HORN – 10. Nackte Tatsachen bei Amazon: Teil 2 – 
</t>
        </r>
        <r>
          <rPr>
            <b/>
            <sz val="9"/>
            <color indexed="81"/>
            <rFont val="Tahoma"/>
            <family val="2"/>
          </rPr>
          <t>11. Tolkien in den Medien*</t>
        </r>
        <r>
          <rPr>
            <sz val="9"/>
            <color indexed="81"/>
            <rFont val="Tahoma"/>
            <family val="2"/>
          </rPr>
          <t xml:space="preserve"> – 12. Ein neues altes Tolkien Online Game – 13. Kurz notiert – 
14. Termine, Termine, Termine – 15. Annika &amp; Tobias bei WDR ZeitZeichen – 
16. Änderung bei den Tolkien Tagen – 17. Letzte Worte – 18. Abspann
*) Punkt 11 mit Drei-Fragezeichen-Bezug
   </t>
        </r>
        <r>
          <rPr>
            <b/>
            <sz val="9"/>
            <color indexed="81"/>
            <rFont val="Tahoma"/>
            <family val="2"/>
          </rPr>
          <t>TC: 47:15-53:22</t>
        </r>
        <r>
          <rPr>
            <sz val="9"/>
            <color indexed="81"/>
            <rFont val="Tahoma"/>
            <family val="2"/>
          </rPr>
          <t xml:space="preserve"> (6 Min. 7 Sek.)
  Beschreibung:
  "Annika schnappt sich kurzerhand Justus, Peter und Bob und klärt in einem 
  spezialgelagerten Sonderfall auf, was Tolkien mit den Drei Fragezeichen zu tun hat."</t>
        </r>
      </text>
    </comment>
    <comment ref="C2240" authorId="0" shapeId="0" xr:uid="{03750244-0445-41BE-9A67-3FC54A3FA028}">
      <text>
        <r>
          <rPr>
            <sz val="9"/>
            <color indexed="81"/>
            <rFont val="Tahoma"/>
            <family val="2"/>
          </rPr>
          <t>Beschreibung:
"Statistisch gesehen gibt es in jedem Haushalt in Deutschland ein Die drei ???-Hörspiel. 
Auch im Buchbereich zählen die Kultdetektive zu den erfolgreichsten Jugendkrimireihen 
der Welt. Kaum jemand kennt sich mit den Jungs aus Rocky Beach besser aus als 
Christian R. Rodenwald. Er ist großer Fan und hat zwei Sachbücher über "Die drei 
Fragezeichen" geschrieben. Birk spricht mit ihm über Hörspiele zum Einschlafen, 
Lieblingsfolgen und das Geheimnis des großen Erfolgs."</t>
        </r>
      </text>
    </comment>
    <comment ref="C2244" authorId="0" shapeId="0" xr:uid="{1372E22D-AC28-4E55-8329-3F254C00A825}">
      <text>
        <r>
          <rPr>
            <sz val="9"/>
            <color indexed="81"/>
            <rFont val="Tahoma"/>
            <family val="2"/>
          </rPr>
          <t>Beschreibung:
"Uiuiuiuiuiuiui. Jan und Marvin befinden sich in den amerikanischen Alpen und warten 
darauf, dass Angi sie abholt, um einen neuen Podcast aufzunehmen. Doch irgendwie 
kommt sie nicht?! Also denken sich die beiden: "Lass uns den Podcast einfach zu 
zweit aufnehmen." Die drei ??? stecken in der selben Lage, wie die zwei Jungs vom 
JAM-Podcast. Es geht um einen Geist. Lebt der Geist mitten unter uns oder.... Ach, 
wisst ihr, hört einfach selber rein."</t>
        </r>
      </text>
    </comment>
    <comment ref="C2245" authorId="0" shapeId="0" xr:uid="{CB9E01B2-F7ED-4C92-AA42-2D96734DB3EC}">
      <text>
        <r>
          <rPr>
            <sz val="9"/>
            <color indexed="81"/>
            <rFont val="Tahoma"/>
            <family val="2"/>
          </rPr>
          <t>Beschreibung:
"Oje oje oje. Ob das gut geht. Jan und Marvin besprechen alleine zum ersten mal ein 
Buch. Aber nicht irgend ein Buch. Es ist die Grafic Novel Rockey Beach, die im Sep-
tember 2020 rausgekommen ist. Das Buch* handelt von den drei ???, wenn sie er-
wachsen geworden wären. Erwachsen werden die zwei Podcaster aber wahrscheinlich 
nie. Hört mal rein, was die zwei zu ihrer Buchanalyse-Premiere zu sagen haben."
*) Rocky Beach: Eine Interpretation (GN4)</t>
        </r>
      </text>
    </comment>
    <comment ref="C2249" authorId="0" shapeId="0" xr:uid="{4EA7042B-A8EE-4587-9ED3-81F2BF559605}">
      <text>
        <r>
          <rPr>
            <sz val="9"/>
            <color indexed="81"/>
            <rFont val="Tahoma"/>
            <family val="2"/>
          </rPr>
          <t>Beschreibung: 
"Wir heften uns heute auf die Spuren unserer Kindheit (und Erwachsenheit) und begeben 
uns dazu in eine Ecke der Welt, in der seit über fünf Jahrzehnten Rätsel und Geheimnisse 
aller Art geschehen, die man üblicherweise an die Helden unserer heutigen Folge heranträgt: 
Die Drei Fragezeichen, die ewig jungen Junior-Detektive – mit ihrer Zentrale in Rocky Beach,  
auf dem Schrottplatz der Familie Jonas, im sonnigen… äh… Amerika! (…war alles, was der 
kleine Felix damals verstanden hat. Wooow! Amerika!!) Wie so viele andere haben auch wir 
gespannt den Abenteuern der Drei Detektive gelauscht und mit ihnen mitgefiebert, wenn 
sie niedergeschlagen, entführt, bedroht, bestohlen und von Skinny Norris verarscht wurden 
– und am Ende (Dank dem genialen Verstand des 1. Detektivs) doch immer brillant das 
große Rätsel lösen konnten. Heute sind zwei Gäste im Sumpf, die auch schon lange und 
mit großer Begeisterung bei der Sache sind, wenn es um Justus, Peter &amp; Bob geht: Felo 
plaudert mit Tanja und (zum ersten mal auf dem Gäste-Feldbett) Jan über die Drei Frage-
zeichen (und verpasst in schändlicher Versäumnis die naheliegendste aller Einführungen… 
diese Schande, diese Schande!)"
Kapitelmarken:
0:00:00 Intro &amp; Begrüßung
0:03:25 Thema: Die Drei Fragezeichen???
0:05:57 Die Bühnen-Shows
0:09:31 Das 1. mal…
0:19:30 Visitenkarte &amp; Rolly Royce
0:22:07 Alfred Hitchcock oder Albert Hitfield?
0:27:18 Fragezeichen…
0:32:14 Wer hat die Bücher geschrieben, wer hat die Musik komponiert?
0:40:52 Das 4. Fragezeichen: Allie Jameson u.a.
0:43:24 Die Dr3i und der Rechtsstreit
0:48:33 Location: Kalifornien und der Schrottplatz
0:55:46 Die Erzähler und andere Sprecher
0:58:02 Vater- und Mutter-Figuren
1:04:27 Die Ferienbande &amp; Hörgestalten
1:07:29 (Be)merkenswerte Figuren, eindrucksvolle Stimmen &amp; wertvolle Kassetten
1:26:50 ???-Verfilmungen
1:31:32 Weitere erinnernswerte Nebendarsteller
1:35:25 Eine Bob-Fan-Theorie
1:37:03 Zitate und Lieblings-Stellen
1:42:51 Aufnahmen, Geräusche, Hörbücher
1:51:21 Die Kreide und andere Markenzeichen
1:54:56 Aiga Rasch
1:58:56 ???-Merchandise
2:04:38 Zwei Empfehlungen zum Schluss
2:06:55 Abschied
2:09:20 Outro</t>
        </r>
      </text>
    </comment>
    <comment ref="C2253" authorId="0" shapeId="0" xr:uid="{E2EC42EA-0F6F-45B1-8AF1-5B4CF3AC3B17}">
      <text>
        <r>
          <rPr>
            <sz val="9"/>
            <color indexed="81"/>
            <rFont val="Tahoma"/>
            <family val="2"/>
          </rPr>
          <t>Beschreibung:
"Den Anfang macht im Juni 2021 im Rahmen des Schwerpunkts Gespräche über Hörspiele 
ein Interview, das Mitherausgeber Sascha Seiler mit C. R. Rodenwald führte !!! Rodenwald 
ist Autor von zwei Büchern, die das Phänomen der Drei ???, dem erfolgreichsten Jugend-
hörspiel Deutschlands, auf interessante Art beleuchten. Der Autor gibt ihm dabei einen 
tiefen Einblick in das Genre, dem manchmal schwierigen Verhältnis zwischen Buch und 
Hörspiel sowie in seine zukünftige Forschungsarbeit zum Thema."</t>
        </r>
      </text>
    </comment>
    <comment ref="C2257" authorId="0" shapeId="0" xr:uid="{78D120BA-C811-4072-BE5C-F3146ACF1D38}">
      <text>
        <r>
          <rPr>
            <sz val="9"/>
            <color indexed="81"/>
            <rFont val="Tahoma"/>
            <family val="2"/>
          </rPr>
          <t>Beschreibung:
"Tom vom Spezialgelagerten Sonderpodcast ist zu Gast im Tropenhaus. Angela und 
Paul reden mit ihm über Die Drei Fragezeichen. Es geht um die Entstehung der Serie, 
Unterschiede zwischen Büchern &amp; Hörspielen, Frauenfiguren in den Geschichten, und 
was Alfred Hitchcock eigentlich mit den drei Detektiven aus Rocky Beach zu tun hat."</t>
        </r>
      </text>
    </comment>
    <comment ref="C2293" authorId="0" shapeId="0" xr:uid="{CBC3B03F-3BC3-4F3E-ABCA-01CEC0E87264}">
      <text>
        <r>
          <rPr>
            <sz val="9"/>
            <color indexed="81"/>
            <rFont val="Tahoma"/>
            <family val="2"/>
          </rPr>
          <t>Beschreibung:
"Hört jetzt unsere neueste Folgenbesprechung zusammen 
mit dem weltbesten #dreifragezeichen Podcast aus Aachen"</t>
        </r>
      </text>
    </comment>
    <comment ref="C2297" authorId="0" shapeId="0" xr:uid="{71CB5CF3-10A4-4F27-B75A-DBBA26379056}">
      <text>
        <r>
          <rPr>
            <sz val="9"/>
            <color indexed="81"/>
            <rFont val="Tahoma"/>
            <family val="2"/>
          </rPr>
          <t>Beschreibung:
"In dieser Plauderecke erzählt Frau Körting Über:
Ihre Anfänge, Frühes Interesse an Harry Potter&amp;Astrid
Lindgren Hörspielen, Ihr Studio, Hexe Schrumpeldei&amp;Hui Buh,
Flitze Feuerzahn's skurille Absetzung, unveröffentlichte
Hörspiele ,Änderung an TKKG Tarzan/Tim, Gut
Hasselburg/Hörspielmuseum, Laufzeit der Drei ??? Folgen .
Teil 2 kommt am 12.Dezember"</t>
        </r>
      </text>
    </comment>
    <comment ref="C2298" authorId="0" shapeId="0" xr:uid="{B15E96BF-DF13-4F2B-B929-1ED91146F59A}">
      <text>
        <r>
          <rPr>
            <sz val="9"/>
            <color indexed="81"/>
            <rFont val="Tahoma"/>
            <family val="2"/>
          </rPr>
          <t>Beschreibung:
"In der Fortsetzung des Interviews erfährt ihr mehr von Frau
Körting Über:
Die Serien Knight Rider, Ghostbusters, und Flash Gordon, Ihr
Lieblingsmedium die Schallplatte, Aufruf an die Fans wegen neue
Hörspielboxen, Roland Kaiser , Pad Panda , Weiters über das Label
Europa,Plus Vorschau.."</t>
        </r>
      </text>
    </comment>
    <comment ref="C2302" authorId="0" shapeId="0" xr:uid="{46C28D72-414C-454B-BE99-9AF1392C1EF9}">
      <text>
        <r>
          <rPr>
            <sz val="9"/>
            <color indexed="81"/>
            <rFont val="Tahoma"/>
            <family val="2"/>
          </rPr>
          <t>Beschreibung:
"Das erste Interview ist endlich verfügbar.
Zusammen mit Thore, einem langjährigen die drei ??? Fan, habe ich 
mich zusammengesetzt und ihm einige Fragen gestellt. Thore erzählt 
unter anderem von seinen Lieblingsfolgen, warum er das Cover der 
silbernen Spinne so mag, was seine erste die drei ??? Folge war die 
er gehört hat und wieso die Folge der Zauberspiegel so viele Cover 
hat. Unter anderem sprechen wir über eine Fan Facebookgruppe und 
ihre seltsamen Beiträge."</t>
        </r>
      </text>
    </comment>
    <comment ref="C2303" authorId="0" shapeId="0" xr:uid="{A1D8FDD9-480D-4640-94E9-C58F34117BD0}">
      <text>
        <r>
          <rPr>
            <sz val="9"/>
            <color indexed="81"/>
            <rFont val="Tahoma"/>
            <family val="2"/>
          </rPr>
          <t>Beschreibung:
"Heute widmen wir uns dem Thema wie Menschen mit Beeinträchtig-
ung in Hörspielen dargestellt werden und wie genau solche Menschen 
Hörspiele wahrnehmen. Carina ist blind, hat einen Blindenhund stets 
an ihrer Seite und erzählt uns wie sie Hörspiele wahrnimmt, was ihre 
Lieblingsfolge ist und wieso William M. Grey einer ihrer Favoriten ist. 
Für mich war es eine besondere Aufnahme, da ich noch nie mit einem 
blinden Menschen ein Interview/Gespräch geführt habe, und ich mich 
schon immer gefragt habe wie es eigentlich so ist eine drei ??? Folge 
zu hören ohne z.B. das Cover zuvor gesehen zu haben etc."</t>
        </r>
      </text>
    </comment>
    <comment ref="C2304" authorId="0" shapeId="0" xr:uid="{D813597F-1E92-409F-B092-43AEF941EFA7}">
      <text>
        <r>
          <rPr>
            <sz val="9"/>
            <color indexed="81"/>
            <rFont val="Tahoma"/>
            <family val="2"/>
          </rPr>
          <t>Beschreibung:
"Heute habe ich ein Interview mit der lieben Nele geführt, die durch 
ihren Vater auf den Geschmack der drei Fragezeichen gekommen 
ist. Wir sprechen über verschiedene Themen, werden von meiner 
Schwester bei der Aufnahme gestört und sprechen über einen 
Bösewicht der leider nur wenige male bisher vorgekommen ist."</t>
        </r>
      </text>
    </comment>
    <comment ref="C2314" authorId="0" shapeId="0" xr:uid="{B9CC6D5D-115B-45C5-8DB6-12A8C328FBEF}">
      <text>
        <r>
          <rPr>
            <sz val="9"/>
            <color indexed="81"/>
            <rFont val="Tahoma"/>
            <family val="2"/>
          </rPr>
          <t>Beschreibung:
Chris entdeckt etwas eigenartiges im Shuttle und bringt damit Markus in ziemliche Erklärungsnot. 
Die Stimmung wird düster und so nehmen die Dinge ihren Lauf…. Markus steuert anschliessend 
das Vinylopresso Shuttle in die erste Folge des Fanspecials zu den drei ???, während Chris sich 
um die Beseitigung des … kümmert.
In dieser Auftaktfolge, diskutiert Markus mit Nils und Ida von DER VINYLIST, dem Buchautoren 
Christian R. Rodenwald und Philipp von der Community rocky-beach.com. Dabei geht es um den 
ersten Kontakt mit Justus Jonas, Peter Shaw und Bob Andrews und die Faszination, die die drei 
Detektive aus Rocky Beach auf Jung und Alt immer noch ausüben.
Weitere Folgen des Fan-Specials zu den drei Fragezeichen erscheinen in unregelmäßigen Abstän-
den, in der die große Welt von „Die drei ???“ unter die Lupe genommen wird und der Hörerschaft 
so einen Einstiegs- und Orientierungspunkt mit Unterstützung von ausgesuchten Gästen bietet."</t>
        </r>
      </text>
    </comment>
    <comment ref="C2332" authorId="0" shapeId="0" xr:uid="{B74AE23C-6DF1-45CD-AABE-9F928E19C1CE}">
      <text>
        <r>
          <rPr>
            <sz val="9"/>
            <color indexed="81"/>
            <rFont val="Tahoma"/>
            <family val="2"/>
          </rPr>
          <t>Beschreibung:
"</t>
        </r>
        <r>
          <rPr>
            <b/>
            <sz val="9"/>
            <color indexed="81"/>
            <rFont val="Tahoma"/>
            <family val="2"/>
          </rPr>
          <t>Wir klären in dieser Folge ein für alle Mal:</t>
        </r>
        <r>
          <rPr>
            <sz val="9"/>
            <color indexed="81"/>
            <rFont val="Tahoma"/>
            <family val="2"/>
          </rPr>
          <t xml:space="preserve">
• Wie kam es dazu, das Andreas Bob Andrews aus den drei ??? spricht?
• Sind die drei ??? eigentlich befreundet?
• Was haben die drei ??? mit Alfred Hitchcock zu tun?
• Wie kam es dazu, dass Andreas Gollum in Herr der Ringe synchronisiert hat?
</t>
        </r>
        <r>
          <rPr>
            <b/>
            <sz val="9"/>
            <color indexed="81"/>
            <rFont val="Tahoma"/>
            <family val="2"/>
          </rPr>
          <t>Wie immer ein paar Fun Facts zur Folge:</t>
        </r>
        <r>
          <rPr>
            <sz val="9"/>
            <color indexed="81"/>
            <rFont val="Tahoma"/>
            <family val="2"/>
          </rPr>
          <t xml:space="preserve">
• Justus Jonas heißt im Original Jupiter Jones und Peter Shaw Pete Crenshaw. Die 
  beiden irischen Brüder Kenneth und Patrick O’Ryan heißen in der Originalserie Hans 
  und Konrad Schmid und kommen aus Bayern. 
• Am 2. Dezember 2021 hat die Deutsche Post AG in der Serie Helden der Kindheit für 
  Die drei ??? ein 80 Cent Briefmarke herausgegeben.
• Der neue Die drei ??? Film Erbe des Drachen erscheint wahrscheinlich im Januar 2023. 
• Die drei ??? halten den Weltrekord als größtes Live-Hörspiel mit mehr als 15.000 
  Zuschauern in der Berliner Waldbühne. Conny Plank hat tatsächlich seine Goldenen 
  und Platin-Schallplatten auf dem Gäste-WC aufgehängt."</t>
        </r>
      </text>
    </comment>
    <comment ref="C2333" authorId="0" shapeId="0" xr:uid="{279DB259-1D99-4004-93A3-B1B09D35B5E5}">
      <text>
        <r>
          <rPr>
            <sz val="9"/>
            <color indexed="81"/>
            <rFont val="Tahoma"/>
            <family val="2"/>
          </rPr>
          <t>Beschreibung:
"</t>
        </r>
        <r>
          <rPr>
            <b/>
            <sz val="9"/>
            <color indexed="81"/>
            <rFont val="Tahoma"/>
            <family val="2"/>
          </rPr>
          <t>Wir klären in dieser Folge ein für alle Mal:</t>
        </r>
        <r>
          <rPr>
            <sz val="9"/>
            <color indexed="81"/>
            <rFont val="Tahoma"/>
            <family val="2"/>
          </rPr>
          <t xml:space="preserve">
• Welcher von Andreas Fröhlich synchronisierte Film hat ihn besonders beeindruckt?
• Wann gibt es Die Drei ??? wieder live?
• Was sind die Zukunftspläne von Andreas Fröhlich?
• Was ist sein liebster Zeitvertreib?
• Welche Gemeinsamkeit hat er mit Gollum?
• Und lebt er wirklich ohne Smartphone?
</t>
        </r>
        <r>
          <rPr>
            <b/>
            <sz val="9"/>
            <color indexed="81"/>
            <rFont val="Tahoma"/>
            <family val="2"/>
          </rPr>
          <t>Wie immer ein paar Fun Facts oder auch nicht so Fun Facts zur Folge:</t>
        </r>
        <r>
          <rPr>
            <sz val="9"/>
            <color indexed="81"/>
            <rFont val="Tahoma"/>
            <family val="2"/>
          </rPr>
          <t xml:space="preserve">
• Im Januar 2022 wurde das Ende von "Fight Club"- das deutliche Kapitalismuskritik 
  äußert - im offiziell immer noch kommunistischen China zensiert und durch einen 
  Textblock ersetzt, der stattdessen die Leistungsfähigkeit des Systems herausstellt.
• Nach massiver Kritik wurde die Zensur inzwischen rückgängig gemacht.
• Der Autor des entsprechenden Romans Chuck Palahniuk verwies darauf, dass seine 
  Bücher auch an einigen Orten in der USA verboten seien und dass das Ende im Film 
  ohnehin von seinem Roman abweiche. Sein lakonischer Kommentar zu der ganzen 
  Affäre: 'Everyone gets a happy ending in China.'"</t>
        </r>
      </text>
    </comment>
    <comment ref="C2337" authorId="0" shapeId="0" xr:uid="{EFD6B789-3A31-4A5D-8BBA-A6995A411205}">
      <text>
        <r>
          <rPr>
            <sz val="9"/>
            <color indexed="81"/>
            <rFont val="Tahoma"/>
            <family val="2"/>
          </rPr>
          <t>Beschreibung:
"Schauspieler Jannik Schümann hat einiges zu tun. Doch zwei Wochenenden müssen 
jedes Jahr frei bleiben in seinem Kalender: für die Aufnahmen von “Die Drei ??? Kids”. 
Seit vielen, vielen Jahren spricht er den Justus Jonas - und so fühlen sich die Aufnah-
men heute wie Familientreffen an.
Mit Annie und Jochen spricht Jannik über Hörspiel-Erinnerungen, wie er bei Drehar-
beiten seine Liebe zum Reiten entdeckte und zeigt hohen körperlichen Einsatz beim 
Spiel “Geräusche-Tabu”. Viel Spaß beim Hören!
Rekorder - Das Hörspielmagazin ist eine Produktion der KIDDINX Media (Insta) 
in Zusammenarbeit mit Viertausendhertz."</t>
        </r>
      </text>
    </comment>
    <comment ref="C2338" authorId="0" shapeId="0" xr:uid="{2E0336FF-3CB5-41AC-B723-5CE23098BC4D}">
      <text>
        <r>
          <rPr>
            <sz val="9"/>
            <color indexed="81"/>
            <rFont val="Tahoma"/>
            <family val="2"/>
          </rPr>
          <t>Beschreibung:
"Schauspielerin Birthe Wolter ist die Königin der Überraschungen. Als Jochens beste 
Freundin kann sie einiges aus dem Nähkästchen erzählen von gelungenen und miss-
lungenen Überraschungen. Außerdem spricht sie mit Annie und Jochen über das 
Hörspiel “Wir entdecken Komponisten” und äußert eine steile These zu den Drei 
Fragezeichen. 
Rekorder - Das Hörspielmagazin ist eine Produktion der KIDDINX Media (Insta) 
in Zusammenarbeit mit Viertausendhertz."</t>
        </r>
      </text>
    </comment>
    <comment ref="C2339" authorId="0" shapeId="0" xr:uid="{56248672-7228-46AC-BEAF-9D226D251C0C}">
      <text>
        <r>
          <rPr>
            <sz val="9"/>
            <color indexed="81"/>
            <rFont val="Tahoma"/>
            <family val="2"/>
          </rPr>
          <t>Beschreibung:
"Bei diesem Interview konnten wir kaum glauben, dass wir NICHT gerade in Rocky Beach 
sitzen. Denn: wir haben Oliver Rohrbeck a.k.a. Justus Jonas von den “Drei Fragezeichen” 
zu Gast. Geht es euch auch so, dass ihr jeden Moment erwartet, mit “Hey, Kollegen” an-
gesprochen zu werden? 
Annie und Jochen sind auf jeden Fall richtige Fangirls und -boys. Schließlich hat Oliver 
auch jede Menge bekannte Synchron-Rollen: er sprach Theo Huxtable, Pinocchio - und 
jetzt Ben Stiller und Chris Rock. Von all dem und mehr erzählt er in dieser Folge von 
“Rekorder”. 
Rekorder - Das Hörspielmagazin ist eine Produktion der KIDDINX Media (Insta) 
in Zusammenarbeit mit Viertausendhertz."</t>
        </r>
      </text>
    </comment>
    <comment ref="C2344" authorId="0" shapeId="0" xr:uid="{B51DD7CD-A105-4D83-B11D-1092177B3EE7}">
      <text>
        <r>
          <rPr>
            <sz val="9"/>
            <color indexed="81"/>
            <rFont val="Tahoma"/>
            <family val="2"/>
          </rPr>
          <t xml:space="preserve">Beschreibung:
"Logikfehler bei den Drei ??? oder Bibi Blocksbergs bester Hexspruch: Podcasts 
über Kinderhörspiele sind vor allem was für Fans. Wir sprechen mit vier 
Podcastmachern über Schwärmereien und den kritischen Blick auf alte Klassiker. 
Geboren in den 70er-, 80er-, 90er- und sogar noch in den Nullerjahren, 
aufgewachsen mit Bandsalat, Seitenwechseln, Bibi Blocksberg, Benjamin Blümchen 
und den Drei ???: Die Kassettenkinder sind eine besondere Zielgruppe für Podcasts.
</t>
        </r>
        <r>
          <rPr>
            <b/>
            <sz val="9"/>
            <color indexed="81"/>
            <rFont val="Tahoma"/>
            <family val="2"/>
          </rPr>
          <t>Hexsprüche und emotionale Momente</t>
        </r>
        <r>
          <rPr>
            <sz val="9"/>
            <color indexed="81"/>
            <rFont val="Tahoma"/>
            <family val="2"/>
          </rPr>
          <t xml:space="preserve">
Heute sitzen manche von ihnen selbst vor dem Mikrofon und schwelgen in 
Podcasts in Kindheitserinnerungen, als jeden Abend noch ein Hörspiel von 
Bibi Blocksberg, den Drei ??? oder TKKG laufen musste, weil Einschlafen 
sonst unmöglich war.
Stefan Springer und Antje Wessels zum Beispiel sind Hörspielfans und 
wurden von der Vertriebs- und Vermarktungsgesellschaft Kiddinx 
beauftragt, einen offiziellen Bibi-Blocksberg-Podcast zu machen: „Bibi 
Blocksberg und die Generation Kassettenkinder“.
Sie besprechen Hintergründe mit Machern und Synchronsprecherinnen, 
werfen mit den besten Hexsprüchen um sich und schwelgen in den 
emotionalsten Momenten. Mit diesem nostalgischen Ansatz lässt sich 
auch das ganze Hörspiel-Material im Kopf sortieren, das sich über 
jahrelanges Hören angesammelt hat.
</t>
        </r>
        <r>
          <rPr>
            <b/>
            <sz val="9"/>
            <color indexed="81"/>
            <rFont val="Tahoma"/>
            <family val="2"/>
          </rPr>
          <t>Kritischer Erwachsenenblick</t>
        </r>
        <r>
          <rPr>
            <sz val="9"/>
            <color indexed="81"/>
            <rFont val="Tahoma"/>
            <family val="2"/>
          </rPr>
          <t xml:space="preserve">
Hörspiel-Podcasts bestehen aber nicht immer nur aus nostalgischer 
Schwärmerei. Die Kulturjournalisten und Comedy-Autoren Felix Scharlau 
und Linus Volkmann hinterfragen in „Die Ausnahme der Rose“ die 
Kinderhörspiele von damals kritisch – mit dem Blick des Erwachsenen von 
heute.
In ihrem Podcast geht es etwa darum, wie Frauenrollen in Hörspielen 
angelegt sind oder ob einzelne Bevölkerungsgruppen diskriminierend 
dargestellt werden.
</t>
        </r>
        <r>
          <rPr>
            <b/>
            <sz val="9"/>
            <color indexed="81"/>
            <rFont val="Tahoma"/>
            <family val="2"/>
          </rPr>
          <t>Podcasts statt Kassetten?</t>
        </r>
        <r>
          <rPr>
            <sz val="9"/>
            <color indexed="81"/>
            <rFont val="Tahoma"/>
            <family val="2"/>
          </rPr>
          <t xml:space="preserve">
In dieser Folge „Über Podcast“ geht Ina Plodroch zusammen mit Antje 
Wessels, Stefan Springer, Felix Scharlau und Linus Volkman der 
Faszination von Hörspiel-Podcasts auf den Grund. Und sie fragt, ob 
Podcasts mittlerweile die Rolle der alten Kinder-Kassetten übernommen 
haben. Beide begleiten einen schließlich mit vertrauten Stimmen durch 
den den Alltag, eignen sich zum Putzen, Joggen oder Einschlafen.
Nur den Bandsalat gibt es bei Podcasts definitiv nicht."</t>
        </r>
      </text>
    </comment>
    <comment ref="E2358" authorId="0" shapeId="0" xr:uid="{0DBA3631-07EE-4CF8-8031-FF3CC6437CCA}">
      <text>
        <r>
          <rPr>
            <sz val="9"/>
            <color indexed="81"/>
            <rFont val="Tahoma"/>
            <family val="2"/>
          </rPr>
          <t>ursprüngliche Episode 11 
vom 16.09.2022 unveröffentlicht</t>
        </r>
      </text>
    </comment>
    <comment ref="C2365" authorId="0" shapeId="0" xr:uid="{CED8DDCD-5B9B-4F75-AC11-037BE0CD2AB1}">
      <text>
        <r>
          <rPr>
            <sz val="9"/>
            <color indexed="81"/>
            <rFont val="Tahoma"/>
            <family val="2"/>
          </rPr>
          <t>Beschreibung:
"In der zweiten Folge von „Hörspiele sehen“ widmen sich Björn Roguszka und Christoph 
Tiemann den Anfängen des Live-Hörspiel-Theaters.
Ihre Gäste: Judith Suermann, Urs von Wulfen und drei junge Detektive aus Rocky Beach.
„Wir LESEN jeden Fall!“ hieß es zwischen 2010 und 2018 bei über 200 Veranstaltungen. 
Das Theater ex libris brachte insgesamt 25 klassische Fälle der drei Detektive als spezial-
gelagerte Sonderlesungen auf die Bühne. Dabei stand stets die weniger bekannte Buch-
vorlage und die amerikanische Original-Serie „The Three Investigators“ im Mittelpunkt.
Judith Suermann und Urs von Wulfen plaudern mit Christoph und Björn über ihre Liebe 
zu den drei Detektiven, entdecken Erstaunliches über Robert Arthur und seine Buchreihe 
und verraten, wie sich aus diesen actiongeladenen Lesungen das Theater ex libris ent-
wickelte."</t>
        </r>
      </text>
    </comment>
    <comment ref="E2386" authorId="0" shapeId="0" xr:uid="{A123734A-5AF5-4D28-A434-4CF035D1D5C6}">
      <text>
        <r>
          <rPr>
            <sz val="9"/>
            <color indexed="81"/>
            <rFont val="Tahoma"/>
            <family val="2"/>
          </rPr>
          <t>geplante/abgesagte Record-Release-Party
Termin: 08.05.2020
Record Release Feature Sonder Podcast 
Aufzeichnung: 17.04.2020
Veröffentlichung: 08.05.2020</t>
        </r>
      </text>
    </comment>
    <comment ref="E2388" authorId="0" shapeId="0" xr:uid="{6B44D43B-8EF7-47E6-A048-7A2D884C0F1D}">
      <text>
        <r>
          <rPr>
            <sz val="9"/>
            <color indexed="81"/>
            <rFont val="Tahoma"/>
            <family val="2"/>
          </rPr>
          <t>geplante/abgesagte Record-Release-Party
Termin: 10.07.2020
Record Release Feature Sonder Podcast 
Aufzeichnung: 21.06.2020
Veröffentlichung: 10.07.2020</t>
        </r>
      </text>
    </comment>
    <comment ref="E2391" authorId="0" shapeId="0" xr:uid="{D3B52666-5F59-41AB-8288-A004B6610BA4}">
      <text>
        <r>
          <rPr>
            <sz val="9"/>
            <color indexed="81"/>
            <rFont val="Tahoma"/>
            <family val="2"/>
          </rPr>
          <t>geplante/abgesagte Record-Release-Party
Termin: 19.09.2020
Record Release Feature Sonder Podcast 
Aufzeichnung: 18.08.2020
Veröffentlichung: 18.09.2020</t>
        </r>
      </text>
    </comment>
    <comment ref="D2411" authorId="0" shapeId="0" xr:uid="{95067473-98A0-41BF-A9E8-B4036EAC9A0D}">
      <text>
        <r>
          <rPr>
            <sz val="9"/>
            <color indexed="81"/>
            <rFont val="Tahoma"/>
            <family val="2"/>
          </rPr>
          <t>Zum DDF-Hörbuch #18 "die flüsternde Mumie" (10) 
von Jan Böhmermann gesprochen gibt es kein Interview</t>
        </r>
      </text>
    </comment>
    <comment ref="D2415" authorId="0" shapeId="0" xr:uid="{CC4053E1-727C-473B-AE1A-7DEA5B16FB00}">
      <text>
        <r>
          <rPr>
            <sz val="9"/>
            <color indexed="81"/>
            <rFont val="Tahoma"/>
            <family val="2"/>
          </rPr>
          <t>Zum DDF-Hörbuch #20 "der Höhlenmensch" (35) 
von Eckart Dux gesprochen gibt es kein Interview</t>
        </r>
      </text>
    </comment>
    <comment ref="F2465" authorId="0" shapeId="0" xr:uid="{87C80714-FAC9-43FA-BC1B-8672CBDAC71D}">
      <text>
        <r>
          <rPr>
            <sz val="9"/>
            <color indexed="81"/>
            <rFont val="Tahoma"/>
            <family val="2"/>
          </rPr>
          <t>Bis zum aktuellen Stand wurde bei folgenden Fan-DDF-Podcasts 
eine Begrüßung durch bzw. Werbung für den "Bobcast" vorgeschaltet:
• Die Zentrale
• Rescherschen und Arschiv (R&amp;A) 
• Spezialgelagerter Sonderpodcast (SSP)
• Die drei Fanatiker
• Die Zw3i</t>
        </r>
      </text>
    </comment>
    <comment ref="C2468" authorId="0" shapeId="0" xr:uid="{16E4D688-B01E-4754-BBB6-0FEC4DE4C191}">
      <text>
        <r>
          <rPr>
            <sz val="9"/>
            <color indexed="81"/>
            <rFont val="Tahoma"/>
            <family val="2"/>
          </rPr>
          <t>Beschreibung:
"Der offizielle und einzigartige Die drei ??? - Bobcast
„Ah! Ich glaub, ich hab einen Haschimitenfürsten im Gehirn!“
Keiner von den drei ??? wird so oft bewusstlos geschlagen und leidet anschließend unter Gedächtnisverlust 
wie der für Recherchen und Archiv zuständige Detektiv Bob Andrews. Es stellt sich die Frage: Woran kann 
sich Sprecher Andreas Fröhlich nach über 200 Fällen überhaupt noch erinnern? Das finden wir im Bobcast 
heraus. Gemeinsam mit Hörspielmacher und Kollege Kai Schwind „erinnert“ sich Andreas Fröhlich zu Hause 
in privater Atmosphäre - das starke Talk-Duo beleuchtet dabei den Die drei ??? Kosmos mit viel Humor und 
erzählt die Geschichten hinter den Geschichten. Umfassend und in chronologischer Reihenfolge konzentrieren 
sich die Bobcast-Macher auf die Anfänge der Serie; immer mit O-Tönen und Musik aus den Hörspielen sowie 
einem Blick ins Original-Manuskript. Ein Podcast, äh – Bobcast für Fans der Hörspielserie UND Podcasthörer:
innen, die Lust auf die alten ???-Fälle haben. Die drei ??? – Macher, legendäre Sprecher:innen und prominen-
te Gäste unterstützen Andreas Fröhlich und Kai Schwind bei ihrer Retrospektive – vorausgesetzt, Bob bobt 
nicht und hat keinen Haschimitenfürsten im Gehirn."</t>
        </r>
      </text>
    </comment>
    <comment ref="B2512" authorId="0" shapeId="0" xr:uid="{C7EC0ABF-13B0-41A2-8B3A-3AE0D27C38BC}">
      <text>
        <r>
          <rPr>
            <sz val="9"/>
            <color indexed="81"/>
            <rFont val="Tahoma"/>
            <family val="2"/>
          </rPr>
          <t>angekündigt als
"Der Bobcast und das Weihnachtsspecial"</t>
        </r>
      </text>
    </comment>
    <comment ref="E2543" authorId="0" shapeId="0" xr:uid="{C4829B8A-6751-4CC0-907F-E27001A25F6C}">
      <text>
        <r>
          <rPr>
            <sz val="9"/>
            <color indexed="81"/>
            <rFont val="Tahoma"/>
            <family val="2"/>
          </rPr>
          <t>reguläre DDF-Kids-Folgen:
Jahr 2021: 28 Folgen (37:41:45)
K01-K03, K07, K10-K13, K15-K18, K22-K23, K27, K33, 
K36, K39-K40, K49-K50, K52, K56, K68, K71, K76, K79, K82
Jahr 2022: 32 Folgen (35:04:54)
K04-K06, K08-K09, K14, K19-K21, K24-K26, K29-K30, K32, K35, 
K37, K41-K45, K47-K48, K53, K57, K59, K64, K75, K78, K83, K86
Jahr 2023: 33 Folgen (35:00:18)
K28, K31, K34, K38, K46, K51, K54-K55, K58, K60-K63, 
K65-K67, K69-K70, K72-K74, K77, K80-K81, K84-K85, K87-K93</t>
        </r>
      </text>
    </comment>
    <comment ref="C2544" authorId="0" shapeId="0" xr:uid="{37EB823C-37D7-425C-9D53-93DAD869AC2F}">
      <text>
        <r>
          <rPr>
            <sz val="9"/>
            <color indexed="81"/>
            <rFont val="Tahoma"/>
            <family val="2"/>
          </rPr>
          <t>Beschreibung:
"Herzlich Willkommen zur allersten Episode dieses Podcasts. Dies 
hier ist gleichzeitig auch der Trailer dieses Podcasts. In diesem 
Trailer stellen wir uns und den Podcast vor. Unter anderem erzäh-
len wir euch, was unser Konzept ist und was uns mit den Drei ??? 
Kids verbindet. Außerdem erfahrt ihr, was unsere Lieblingsepisode 
ist und wie ihr uns kontaktieren könnt. Das Ganze hat dann ir-
gendwie zwanzig Minuten gedauert. Viel Spaß!"</t>
        </r>
      </text>
    </comment>
    <comment ref="C2551" authorId="0" shapeId="0" xr:uid="{F8F473D5-6787-4D3E-95FD-0DE6C237FAF2}">
      <text>
        <r>
          <rPr>
            <sz val="9"/>
            <color indexed="81"/>
            <rFont val="Tahoma"/>
            <family val="2"/>
          </rPr>
          <t>Beschreibung:
"Um euch diese Folge mal ganz kurz zusammenzufassen: Jonathan 
hat extra zu diesem Anlass Kuchen gebacken, welcher in dieser 
Folge auch genüsslich verzehrt wird. Außerdem beantworten wir 
heute Fragen von Zuhörern, lesen unsere Statistiken vor und sind 
überrascht, wie viele Rezensionen wir in den letzten Tagen von 
euch erhalten haben, diese lesen wir heute auch vor. Mittendrin 
klingelt dann irgendwann Jonas´ Handy... klassische Folge also. 
An dieser Stelle nochmal ein riesengroßes Dankeschön an all un-
sere Zuhörer für diese ganze Resonanz und diesen heftigen Sup-
port. Ohne euch wäre das hier nicht unser 10k Special!"</t>
        </r>
      </text>
    </comment>
    <comment ref="C2553" authorId="0" shapeId="0" xr:uid="{CC3D337F-35A2-4C2A-8574-3231752323CF}">
      <text>
        <r>
          <rPr>
            <sz val="9"/>
            <color indexed="81"/>
            <rFont val="Tahoma"/>
            <family val="2"/>
          </rPr>
          <t>Beschreibung:
"Hey Leute, hier eine kleine außerplanmäßige Informationsfolge 
für alle OG-Podcast-Zuhörer (xD). Bitte nehmt euch kurz die Zeit 
und hört es euch bis zum Ende an…"</t>
        </r>
      </text>
    </comment>
    <comment ref="C2557" authorId="0" shapeId="0" xr:uid="{89CC7B06-CDE7-463D-9B2D-3279D84F9118}">
      <text>
        <r>
          <rPr>
            <sz val="9"/>
            <color indexed="81"/>
            <rFont val="Tahoma"/>
            <family val="2"/>
          </rPr>
          <t>Beschreibung:
"Die Episode wird voraussichtlich am Sonntag dieser Woche oder 
Anfang nächster Woche released. Die Folge darauf erscheint dann 
planmäßig nächsten Freitag! Sorry nochmal! Warum diese Folge 
jetzt nicht erscheinen kann, erklärt euch Jonas jetzt. Hört dann 
einfach etwas später noch einmal hier herein! Wir werden dann 
also Jonas kurze Info hier herauslöschen und das eigentliche 
Audio hochladen (die Folge selbst bleibt aber die Gleiche, also 
wundert euch nicht)."</t>
        </r>
      </text>
    </comment>
    <comment ref="C2580" authorId="0" shapeId="0" xr:uid="{E8D78785-E76C-49EB-AF40-EC19E3C12602}">
      <text>
        <r>
          <rPr>
            <sz val="9"/>
            <color indexed="81"/>
            <rFont val="Tahoma"/>
            <family val="2"/>
          </rPr>
          <t xml:space="preserve">Die drei Fragezeichen Kids 
</t>
        </r>
        <r>
          <rPr>
            <sz val="9"/>
            <color indexed="10"/>
            <rFont val="Tahoma"/>
            <family val="2"/>
          </rPr>
          <t>Adventskalender</t>
        </r>
        <r>
          <rPr>
            <sz val="9"/>
            <color indexed="81"/>
            <rFont val="Tahoma"/>
            <family val="2"/>
          </rPr>
          <t xml:space="preserve"> [11]
"24 Tage Chaos im Zoo"
Buch-VÖ: 17. September 2020
Hörspiel-VÖ: 15. Oktober 2021
</t>
        </r>
        <r>
          <rPr>
            <i/>
            <sz val="9"/>
            <color indexed="81"/>
            <rFont val="Tahoma"/>
            <family val="2"/>
          </rPr>
          <t>Podcast-Aufnahme-Sitzung 1:
24.10.2021 (Tag 1-8)
Podcast-Aufnahme-Sitzung 2:
07.11.2021 (Tag 9-12)
Podcast-Aufnahme-Sitzung 3:
11.12.2021 (Tag 13-16)
Podcast-Aufnahme-Sitzung 4:
17.12.2021 (Tag 17-24)</t>
        </r>
      </text>
    </comment>
    <comment ref="D2580" authorId="0" shapeId="0" xr:uid="{5E28AF7E-1879-473A-8E6D-9E1FF62A3780}">
      <text>
        <r>
          <rPr>
            <sz val="9"/>
            <color indexed="81"/>
            <rFont val="Tahoma"/>
            <family val="2"/>
          </rPr>
          <t>KKT Adventskalender 2021:
Adventsband 11 (Buch): Der Adventskalender - 24 Tage Chaos im Zoo (2020)
Adventsalbum 6 (Hörspiel):  Adventskalender - 24 Tage Chaos im Zoo (2021)
KKT Adventskalender 2022:
Adventsband 7 (Buch): Der Adventskalender - 24 Tage im Weihnachtsland (2016)
Adventsalbum 2 (Hörspiel): 24 Tage im Weihnachtsland - Adventskalender (2016)</t>
        </r>
      </text>
    </comment>
    <comment ref="F2580" authorId="0" shapeId="0" xr:uid="{AC4A2D7D-B2AC-41A8-82B1-0289C0F461F8}">
      <text>
        <r>
          <rPr>
            <sz val="9"/>
            <color indexed="81"/>
            <rFont val="Tahoma"/>
            <family val="2"/>
          </rPr>
          <t xml:space="preserve">Der Kaffeekannen-Adventskalender 2021 - Chaos im Zoo
dauert verteilt über 24 Folgen </t>
        </r>
        <r>
          <rPr>
            <b/>
            <sz val="9"/>
            <color indexed="81"/>
            <rFont val="Tahoma"/>
            <family val="2"/>
          </rPr>
          <t>6:16:51</t>
        </r>
        <r>
          <rPr>
            <sz val="9"/>
            <color indexed="81"/>
            <rFont val="Tahoma"/>
            <family val="2"/>
          </rPr>
          <t xml:space="preserve"> (+−0%)</t>
        </r>
      </text>
    </comment>
    <comment ref="E2603" authorId="0" shapeId="0" xr:uid="{4BF210B2-B3C6-46C5-A5AC-6C8F05451C12}">
      <text>
        <r>
          <rPr>
            <sz val="9"/>
            <color indexed="81"/>
            <rFont val="Tahoma"/>
            <family val="2"/>
          </rPr>
          <t>war geplant:
24 Tage Chaos im Zoo - Tag 24 (KAdv11)
VÖ: 24.12.2021 00.00 Uhr
#29 - Der Weihnachtsdieb (K57)
VÖ: 24.12.2021 18.00 Uhr</t>
        </r>
      </text>
    </comment>
    <comment ref="C2611" authorId="0" shapeId="0" xr:uid="{09E15AFA-DD75-4F41-A55F-8BA45B0753FF}">
      <text>
        <r>
          <rPr>
            <sz val="9"/>
            <color indexed="81"/>
            <rFont val="Tahoma"/>
            <family val="2"/>
          </rPr>
          <t>Beschreibung:
"Wir beginnen am Samstag, dem 26.02.2022 
ein Minecraft Projekt mit der Community!
Alle Infos: https://www.youtube.com/watch?v=fVQ7_g_RWD0
Für Aternos Zugriff sendet uns eure Benutzernamen!"</t>
        </r>
      </text>
    </comment>
    <comment ref="C2621" authorId="0" shapeId="0" xr:uid="{3FA4D5D2-8C32-42FA-89CA-77A6DE0AB119}">
      <text>
        <r>
          <rPr>
            <sz val="9"/>
            <color indexed="81"/>
            <rFont val="Tahoma"/>
            <family val="2"/>
          </rPr>
          <t>Wettbewerb: Besprechung einer ???-Kids-Folge durch die Hörer
Aufruf zur Teilnahme am Wettbewerb in der Folge "#40 - Insel der Haie"
3. Platz: Ole mit "Im Wilden Westen" (35) [3:29-6:56]
2. Platz: BL4CKing08 mit "Fußball-Alarm" (26) [10:10-37:44]
1. Platz: Grottenolm mit "Tanz der Skelette" (48) [42:05-51:06]</t>
        </r>
      </text>
    </comment>
    <comment ref="D2640" authorId="0" shapeId="0" xr:uid="{0C07F9E9-B32C-4010-A4F5-682A3E003DCE}">
      <text>
        <r>
          <rPr>
            <sz val="9"/>
            <color indexed="81"/>
            <rFont val="Tahoma"/>
            <family val="2"/>
          </rPr>
          <t>KKT Adventskalender 2021:
Adventsband 11 (Buch): Der Adventskalender - 24 Tage Chaos im Zoo (2020)
Adventsalbum 6 (Hörspiel):  Adventskalender - 24 Tage Chaos im Zoo (2021)
KKT Adventskalender 2022:
Adventsband 7 (Buch): Der Adventskalender - 24 Tage im Weihnachtsland (2016)
Adventsalbum 2 (Hörspiel): 24 Tage im Weihnachtsland - Adventskalender (2016)</t>
        </r>
      </text>
    </comment>
    <comment ref="F2640" authorId="0" shapeId="0" xr:uid="{73F51975-6CE1-4D2A-BC32-863564E06319}">
      <text>
        <r>
          <rPr>
            <sz val="9"/>
            <color indexed="81"/>
            <rFont val="Tahoma"/>
            <family val="2"/>
          </rPr>
          <t xml:space="preserve">Der Kaffeekannen-Adventskalender 2022 - Im Weihnachtsland
dauert verteilt über 24 Folgen </t>
        </r>
        <r>
          <rPr>
            <b/>
            <sz val="9"/>
            <color indexed="81"/>
            <rFont val="Tahoma"/>
            <family val="2"/>
          </rPr>
          <t>4:11:28</t>
        </r>
        <r>
          <rPr>
            <sz val="9"/>
            <color indexed="81"/>
            <rFont val="Tahoma"/>
            <family val="2"/>
          </rPr>
          <t xml:space="preserve"> (−33%)
Der Kaffeekannen-Adventskalender 2021 - Chaos im Zoo
dauert verteilt über 24 Folgen 6:16:51 (+−0%)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DDF Kompendium</author>
    <author>Markus Hörl</author>
  </authors>
  <commentList>
    <comment ref="J4" authorId="0" shapeId="0" xr:uid="{00000000-0006-0000-0100-000001000000}">
      <text>
        <r>
          <rPr>
            <i/>
            <sz val="9"/>
            <color indexed="81"/>
            <rFont val="Tahoma"/>
            <family val="2"/>
          </rPr>
          <t>Spalte</t>
        </r>
        <r>
          <rPr>
            <sz val="9"/>
            <color indexed="81"/>
            <rFont val="Tahoma"/>
            <family val="2"/>
          </rPr>
          <t xml:space="preserve"> Anzahl fehlende:
  noch nicht besprochene 
  nur "reguläre" DDF-Folgen
</t>
        </r>
        <r>
          <rPr>
            <i/>
            <sz val="9"/>
            <color indexed="81"/>
            <rFont val="Tahoma"/>
            <family val="2"/>
          </rPr>
          <t>Spalte</t>
        </r>
        <r>
          <rPr>
            <sz val="9"/>
            <color indexed="81"/>
            <rFont val="Tahoma"/>
            <family val="2"/>
          </rPr>
          <t xml:space="preserve"> Anzahl VÖ:
  besprochene DDF-Folgen
  - reguläre DDF-Folgen (ohne Klammern)
  - in Klammern inkl. Sonder-DDF-Folgen</t>
        </r>
      </text>
    </comment>
    <comment ref="K7" authorId="0" shapeId="0" xr:uid="{00000000-0006-0000-0100-000002000000}">
      <text>
        <r>
          <rPr>
            <sz val="9"/>
            <color indexed="81"/>
            <rFont val="Tahoma"/>
            <family val="2"/>
          </rPr>
          <t>reguläre DDF-Folgen (ohne Klammern)
inkl. DDF-Sonderfolgen (in Klammern)
- Geisterlampe (KG1) [2012]
[Panik im Paradies (Kids 1) 2013]
[Der singende Geist (Kids 49) 2013]
- fünfter Advent (Adv1) [2013]
- dreiäugiger Totenkopf (GN1) [2015]</t>
        </r>
      </text>
    </comment>
    <comment ref="K8" authorId="0" shapeId="0" xr:uid="{00000000-0006-0000-0100-000003000000}">
      <text>
        <r>
          <rPr>
            <sz val="9"/>
            <color indexed="81"/>
            <rFont val="Tahoma"/>
            <family val="2"/>
          </rPr>
          <t>reguläre DDF-Folgen (ohne Klammern)
inkl. DDF-Sonderfolgen (in Klammern)
- Geisterlampe (KG1) [2012]
- Rätsel der Sieben (KG2) [2014]
- Zeitgeist (KG3) [2016]
- schwarzer Tag (KG4) [2018]
- fünfter Advent (Adv1) [2013]
- stille Nacht düstere Nacht (Adv2) [2016]
- O du finstere (Adv3) [2020]
- schreckliche Bescherung (Adv4) [2022]
- Böser die Glocken nie klingen (Adv5) [2023]
- Grab der Inka-Mumie (Midi 1) [2017]
- Tornadojäger (Midi 2) [2017]
- kaltes Auge (Midi 3) [2017]
- High Strung (CB13/TSE1.3) [2011]
- versunkenes Schiff (TSE2.3) [2019]
- Phonophobia (PP) [2014]
- schwarze Katze (sK17) [2019]
- grüner Geist (Hörbuch) [2019]
- Grab der Maya (V1) [2020]
- dreiäugiger Totenkopf (GN1) [2020]
[26 Kids-Hörspiel-Besprechungen]</t>
        </r>
      </text>
    </comment>
    <comment ref="K9" authorId="0" shapeId="0" xr:uid="{00000000-0006-0000-0100-000004000000}">
      <text>
        <r>
          <rPr>
            <sz val="9"/>
            <color indexed="81"/>
            <rFont val="Tahoma"/>
            <family val="2"/>
          </rPr>
          <t>reguläre DDF-Folgen (ohne Klammern)
inkl. DDF-Sonderfolgen (in Klammern)
- Geisterlampe (KG1) [2012]</t>
        </r>
      </text>
    </comment>
    <comment ref="K10" authorId="0" shapeId="0" xr:uid="{00000000-0006-0000-0100-000005000000}">
      <text>
        <r>
          <rPr>
            <sz val="9"/>
            <color indexed="81"/>
            <rFont val="Tahoma"/>
            <family val="2"/>
          </rPr>
          <t>reguläre DDF-Folgen (ohne Klammern)
inkl. DDF-Sonderfolgen (in Klammern)
- dreiTag (3T) [2014]
- fünfter Advent (Adv1) [2014]
- Brainwash (CB12/TSE1.1) [2014]
- High Strung (CB13/TSE1.3) [2014]
- House of Horrors (FYF3/TSE1.2) [2014]
- Geisterlampe (KG1) [2014]
- Master of Chess (MoC) [2014]
- Rocky Beach Radio Show (RBRS) [2014]
- Super-Papagei 2004 (SP04) [2014]</t>
        </r>
      </text>
    </comment>
    <comment ref="K11" authorId="0" shapeId="0" xr:uid="{00000000-0006-0000-0100-000006000000}">
      <text>
        <r>
          <rPr>
            <sz val="9"/>
            <color indexed="81"/>
            <rFont val="Tahoma"/>
            <family val="2"/>
          </rPr>
          <t>reguläre DDF-Folgen (ohne Klammern)
inkl. DDF-Sonderfolgen (in Klammern)
- kopfloser Reiter (DR3i 7) [2016]
- Zeitgeist (KG3.1) [2018]
- Geisterlampe (KG1.12) [2020]</t>
        </r>
      </text>
    </comment>
    <comment ref="K14" authorId="0" shapeId="0" xr:uid="{00000000-0006-0000-0100-000007000000}">
      <text>
        <r>
          <rPr>
            <sz val="9"/>
            <color indexed="81"/>
            <rFont val="Tahoma"/>
            <family val="2"/>
          </rPr>
          <t>reguläre DDF-Folgen (ohne Klammern)
2017: 14 Folgen; 2018: 18 Folgen; 
2019: 18 Folgen; 2020: 25 Folgen; 
2021: 22 Folgen; 2022: 15 Folgen; 
2023: 16 Folgen; [2024: 20 Folgen geplant]
inkl. DDF-Sonderfolgen (in Klammern)
- fünfter Advent (Adv1) SSP#15 [2017]
- schreckliche Bescherung (Adv4) SSP #118 [2022]
- Seeungeheuer (DR3i 1) [2018]
- Pforte zum Jenseits (DR3i 2) [2019]
- Verschollen in der Zeit (DR3i 3) [2020]
- Zug um Zug (DR3i 4) [2021]
- Haus der 1000 Rätsel (DR3i 5) [2022]
- tödliche Regie (DR3i 6) [2023]
- Master of Chess (MoC) SSP#52 [2019]
- Geisterlampe I Geisterlampe (KG1.1) [2023]
{Geisterlampe I dunkle Vergangenheit (KG1.2) [2023]}
{Geisterlampe II Psychomoon (KG1.11) [2023]}
{Geisterlampe II Weihnachtsmann (KG1.12) [2023]}
- schwarzer Tag (KG4.6) [2020]
- goldener Salamander (GN4) [2021]
- Grab der Inka-Mumie (M1) SSP#99 [2021]
- Brainwash (CB12/TSE1.1) SSP#111 [2022]
- dreiäugiger Totenkopf (GN1) SSP#114 [2022]</t>
        </r>
      </text>
    </comment>
    <comment ref="K15" authorId="0" shapeId="0" xr:uid="{6423C65A-1B13-403D-A3E9-BC015153E1D2}">
      <text>
        <r>
          <rPr>
            <sz val="9"/>
            <color indexed="81"/>
            <rFont val="Tahoma"/>
            <family val="2"/>
          </rPr>
          <t>reguläre DDF-Folgen (ohne Klammern)
inkl. DDF-Sonderfolgen (in Klammern)
[Schatz in der Drachenhöhle (TKKG 19) 2019]
[feuriges Auge (200) Special 2019]
- Brainwash (CB12/TSE1.1) [2021]</t>
        </r>
      </text>
    </comment>
    <comment ref="K16" authorId="0" shapeId="0" xr:uid="{00000000-0006-0000-0100-000008000000}">
      <text>
        <r>
          <rPr>
            <sz val="9"/>
            <color indexed="81"/>
            <rFont val="Tahoma"/>
            <family val="2"/>
          </rPr>
          <t>reguläre DDF-Folgen (ohne Klammern)
keine
inkl. Interimsfolgen (in Klammern)
DiE DR3i #1 bis #8</t>
        </r>
      </text>
    </comment>
    <comment ref="K17" authorId="0" shapeId="0" xr:uid="{00000000-0006-0000-0100-000009000000}">
      <text>
        <r>
          <rPr>
            <sz val="9"/>
            <color indexed="81"/>
            <rFont val="Tahoma"/>
            <family val="2"/>
          </rPr>
          <t>reguläre DDF-Folgen (ohne Klammern)
2019: 19 Folgen; 2020: 11 Folgen; 
2021:  9 Folgen; 2022: 10 Folgen; 
2023:  7 Folgen; [2024: 10 Folgen geplant]
(inkl. DDF-Folge 1 ohne Podcast-Nr. [2020])
(inkl. DDF-Folgen 103/125 eine Podcast-Nr. Zentrale#46 [2022])
inkl. DDF-Sonderfolgen (in Klammern)
- House of Horrors (FYF3/TSE1.2) Zentrale#16 [2019]
- Savage Statue (FYF4/TSE2.1) [2019]
- fremder Freund (dreiTag-Teil P) [3T3] Zentrale#20 [2019]
- Im Zeichen der Ritter (dreiTag-Teil B) Zentrale#36 [3T2] [2021]
- Fluch der Sheldon Street (dreiTag-Teil J) Zentrale#58 [3T1] [2023]
- Geisterlampe I Psychomoon (KG1.11) [2021]
{Geisterlampe II SOS (KG1.5) [2021]}
{Geisterlampe III Dunkle Vergangenheit (KG1.2) [2021]}
{Geisterlampe IV Entführt! (KG1.3) [2022]}
- Rätsel der Sieben I Bis um sieben zurück (KG2.2) Zentrale#32 [2020]
{Rätsel der Sieben II Der siebte Gast (KG2.1) [2023]}
{Rätsel der Sieben III Die rote Sieben (KG2.4) [2023]}
- Zeitgeist I Rückwärtsgang (KG3.5) [2021]
- Shoot the works (CB8) [2023]
[lebendes Gemälde (TKKG 171) DTH#12 2021]
- fünfter Advent (Adv1) [2021]
- O du finstere (Adv3) [2020]
- schreckliche Bescherung (Adv4) [2022]
- Böser die Glocken nie klingen (Adv5) [2023]</t>
        </r>
      </text>
    </comment>
    <comment ref="K18" authorId="0" shapeId="0" xr:uid="{00000000-0006-0000-0100-00000A000000}">
      <text>
        <r>
          <rPr>
            <sz val="9"/>
            <color indexed="81"/>
            <rFont val="Tahoma"/>
            <family val="2"/>
          </rPr>
          <t>reguläre DDF-Folgen (ohne Klammern)
inkl. DDF-Sonderfolgen (in Klammern)
- dunkler Taipan (dT) [2019]</t>
        </r>
      </text>
    </comment>
    <comment ref="K26" authorId="0" shapeId="0" xr:uid="{8323A0CD-F947-4A57-B730-994348FA4ACE}">
      <text>
        <r>
          <rPr>
            <sz val="9"/>
            <color indexed="81"/>
            <rFont val="Tahoma"/>
            <family val="2"/>
          </rPr>
          <t>reguläre DDF-Folgen (ohne Klammern)
inkl. DDF-Sonderfolgen (in Klammern)
- High Strung (CB13/TSE1.3) [2021]
- O du finstere (Adv3) [2021]</t>
        </r>
      </text>
    </comment>
    <comment ref="K27" authorId="0" shapeId="0" xr:uid="{3C9D52D5-14CF-40FD-8888-21109DF1C52C}">
      <text>
        <r>
          <rPr>
            <sz val="9"/>
            <color indexed="81"/>
            <rFont val="Tahoma"/>
            <family val="2"/>
          </rPr>
          <t>reguläre DDF-Folgen (ohne Klammern)
inkl. DDF-Sonderfolgen (in Klammern)
- dreiäugiger Totenkopf (GN1) [2021]
- fünfter Advent (Adv1) [2021]
- Brainwash (CB12/TSE1.1) [2023]</t>
        </r>
      </text>
    </comment>
    <comment ref="K29" authorId="0" shapeId="0" xr:uid="{B679FEC2-4469-4E1E-9585-C6AB569F7413}">
      <text>
        <r>
          <rPr>
            <sz val="9"/>
            <color indexed="81"/>
            <rFont val="Tahoma"/>
            <family val="2"/>
          </rPr>
          <t>reguläre DDF-Folgen (ohne Klammern)
inkl. DDF-Sonderfolgen (in Klammern)
- Dorf der Teufel (GN2) [2021]
- Grab der Maya (V1) [2022]
- Pforte zum Jenseits (DR3i 2) [2023]
- Verschollen in der Zeit (DR3i 3) [2021]
- Zug um Zug (DR3i 4) [2024]
- tödliche Regie (DR3i 6) [2023]
- kopfloser Reiter (DR3i 7) [2022]
- Jahrhundertstein (DR3i 8) [2022]
- O du finstere (Adv3) [2021]
- schreckliche Bescherung (Adv4) [2022]
- Böser die Glocken nie klingen (Adv5) [2023]
- Master of Chess (MoC) [2023]</t>
        </r>
      </text>
    </comment>
    <comment ref="K32" authorId="1" shapeId="0" xr:uid="{F9D9DFB9-C4BC-496F-B9C1-0ACEE0630FA2}">
      <text>
        <r>
          <rPr>
            <sz val="9"/>
            <color indexed="81"/>
            <rFont val="Tahoma"/>
            <family val="2"/>
          </rPr>
          <t>reguläre DDF-Folgen (ohne Klammern)
inkl. DDF-Sonderfolgen (in Klammern)
- fünfter Advent (Adv1) [2023]</t>
        </r>
      </text>
    </comment>
    <comment ref="K36" authorId="0" shapeId="0" xr:uid="{31F06157-38F0-411C-8A4C-FA6D8034AFF7}">
      <text>
        <r>
          <rPr>
            <sz val="9"/>
            <color indexed="81"/>
            <rFont val="Tahoma"/>
            <family val="2"/>
          </rPr>
          <t>Pirat (2): 191, 192
Box (1): 205
JAM (1/1): 202, GN4
Leichen (2): 216, 217
Label (23): 205-227
Kanal (6): 10, 18, 80, 
               84, 101, 106
Bobcast (49): 1-50 [¬29]</t>
        </r>
      </text>
    </comment>
    <comment ref="F288" authorId="0" shapeId="0" xr:uid="{7F6AB01D-124C-4CDD-B562-A6CBC9D0FA0A}">
      <text>
        <r>
          <rPr>
            <sz val="9"/>
            <color indexed="81"/>
            <rFont val="Tahoma"/>
            <family val="2"/>
          </rPr>
          <t>- Planetariumshörspiel | Spezial-Feature [04.09.2020] 0:15:18
- Kopfhörer-Hörspiel | Spezial-Feature   [13.11.2020] 0:20:08</t>
        </r>
      </text>
    </comment>
    <comment ref="F289" authorId="0" shapeId="0" xr:uid="{06062705-32BD-4634-BC19-F606D18A3E00}">
      <text>
        <r>
          <rPr>
            <sz val="9"/>
            <color indexed="81"/>
            <rFont val="Tahoma"/>
            <family val="2"/>
          </rPr>
          <t>- Interview mit Kai Schwind, die neue Tour der Drei ??? und mehr... [03.03.2013] 0:27:24
- Interview mit Kai Schwind zur Drei ???-Tour "Phonophobia"          [29.11.2013] 0:35:59
- Die drei ??? Phonophobia DVD                                                [02.11.2014] 0:06:58</t>
        </r>
      </text>
    </comment>
    <comment ref="O307" authorId="0" shapeId="0" xr:uid="{F0EBE4FE-A108-4AEA-92D2-096A660237C1}">
      <text>
        <r>
          <rPr>
            <sz val="9"/>
            <color indexed="81"/>
            <rFont val="Tahoma"/>
            <family val="2"/>
          </rPr>
          <t>- Geisterlampe – Jagd auf den Weihnachtsmann (KG1.12) [20.01.2020] 1:27:54</t>
        </r>
      </text>
    </comment>
    <comment ref="R307" authorId="0" shapeId="0" xr:uid="{F22C8662-FB4A-47B9-939E-9B0B85E488D2}">
      <text>
        <r>
          <rPr>
            <sz val="9"/>
            <color indexed="81"/>
            <rFont val="Tahoma"/>
            <family val="2"/>
          </rPr>
          <t>- Geisterlampe I Psychomoon (KG1.11)              [23.07.2021] 1:00:15
- Geisterlampe II SOS (KG1.5)                          [24.09.2021] 0:42:40
- Geisterlampe III Dunkle Vergangenheit (KG1.2) [01.10.2021] 0:51:23
- Geisterlampe IV Entführt! (KG1.3)                   [26.07.2022] 1:25:36</t>
        </r>
      </text>
    </comment>
    <comment ref="U307" authorId="1" shapeId="0" xr:uid="{8961ADA0-8BDE-40EB-A59A-39A1E2C8D315}">
      <text>
        <r>
          <rPr>
            <sz val="9"/>
            <color indexed="81"/>
            <rFont val="Tahoma"/>
            <family val="2"/>
          </rPr>
          <t>- Geisterlampe I Geisterlampe (KG1.1)              [06.12.2023] 0:41:17
- Geisterlampe I dunkle Vergangenheit (KG1.2)  [06.12.2023] 0:16:35
- Geisterlampe II Psychomoon (KG1.11)           [24.12.2023] 0:46:04
- Geisterlampe II Weihnachtsmann (KG1.12)     [24.12.2023] 0:36:00</t>
        </r>
      </text>
    </comment>
    <comment ref="I308" authorId="0" shapeId="0" xr:uid="{BDC1C162-BD1C-4F9E-B113-AFD0A695F34D}">
      <text>
        <r>
          <rPr>
            <sz val="9"/>
            <color indexed="81"/>
            <rFont val="Tahoma"/>
            <family val="2"/>
          </rPr>
          <t>- Rätsel der Sieben I Bis um sieben zurück (KG2.2) [21.11.2020] 2:01:19
- Rätsel der Sieben II Der siebte Gast (KG2.1)        [05.05.2023] 1:37:23
- Rätsel der Sieben III Die rote Sieben (KG2.4)       [02.06.2023] 1:16:49</t>
        </r>
      </text>
    </comment>
    <comment ref="I309" authorId="0" shapeId="0" xr:uid="{C177DE29-9AEF-49FE-8A8F-09CE6CE84D55}">
      <text>
        <r>
          <rPr>
            <sz val="9"/>
            <color indexed="81"/>
            <rFont val="Tahoma"/>
            <family val="2"/>
          </rPr>
          <t>- Zeitgeist – Immer und immer wieder (KG3.1) [23.12.2018] 0:48:22</t>
        </r>
      </text>
    </comment>
    <comment ref="L309" authorId="0" shapeId="0" xr:uid="{6E500C6B-4CBC-499B-ADE0-87D0323B39ED}">
      <text>
        <r>
          <rPr>
            <sz val="9"/>
            <color indexed="81"/>
            <rFont val="Tahoma"/>
            <family val="2"/>
          </rPr>
          <t>- Zeitgeist – Rückwärtsgang (KG3.5) [20.08.2021] 1:19:59</t>
        </r>
      </text>
    </comment>
    <comment ref="I310" authorId="0" shapeId="0" xr:uid="{38F0B764-8BD5-4F27-AA4B-86C16CE20EF0}">
      <text>
        <r>
          <rPr>
            <sz val="9"/>
            <color indexed="81"/>
            <rFont val="Tahoma"/>
            <family val="2"/>
          </rPr>
          <t>- schwarzer Tag – Das schwarze Nest (KG4.6) [01.04.2020] 1:03:35</t>
        </r>
      </text>
    </comment>
    <comment ref="N320" authorId="0" shapeId="0" xr:uid="{00000000-0006-0000-0100-00000B000000}">
      <text>
        <r>
          <rPr>
            <sz val="9"/>
            <color indexed="81"/>
            <rFont val="Tahoma"/>
            <family val="2"/>
          </rPr>
          <t>DiE 2WO ist ein DiE-DR3i-Podcast
Nicht in den Quartalssummen enthalten!</t>
        </r>
      </text>
    </comment>
    <comment ref="AF320" authorId="0" shapeId="0" xr:uid="{00000000-0006-0000-0100-00000C000000}">
      <text>
        <r>
          <rPr>
            <sz val="9"/>
            <color indexed="81"/>
            <rFont val="Tahoma"/>
            <family val="2"/>
          </rPr>
          <t>Sonstige Podcasts mit DDF-Besprechungen
(reguläre DDF-Folgen oder allgemein)
Nicht in den Quartalssummen enthalten!</t>
        </r>
      </text>
    </comment>
    <comment ref="AH357" authorId="0" shapeId="0" xr:uid="{FB83F6DE-A21B-4DB2-B672-E1242F86F0B9}">
      <text>
        <r>
          <rPr>
            <sz val="9"/>
            <color indexed="81"/>
            <rFont val="Tahoma"/>
            <family val="2"/>
          </rPr>
          <t>Quartal mit außergewöhnlichem Peak 
durch "Die Zentrale" mit dem 
"17-Stunden-Podcast"
(15:26:58 = 926,966 min.)</t>
        </r>
      </text>
    </comment>
    <comment ref="AS357" authorId="0" shapeId="0" xr:uid="{DB4961A0-D813-488E-8B0E-4F29EBF7A82C}">
      <text>
        <r>
          <rPr>
            <sz val="9"/>
            <color indexed="81"/>
            <rFont val="Tahoma"/>
            <family val="2"/>
          </rPr>
          <t>Quartal mit 
"17-Stunden-Podcast"</t>
        </r>
      </text>
    </comment>
    <comment ref="AH365" authorId="0" shapeId="0" xr:uid="{1048EA79-433E-4F79-A55F-E9C42FB18FB4}">
      <text>
        <r>
          <rPr>
            <sz val="9"/>
            <color indexed="81"/>
            <rFont val="Tahoma"/>
            <family val="2"/>
          </rPr>
          <t>Quartal mit außergewöhnlichem Peak 
durch "Die Zentrale" mit dem 
2. "17-Stunden-Podcast"
(13:34:31 = 814,516 min.)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DDF Kompendium</author>
  </authors>
  <commentList>
    <comment ref="AS3" authorId="0" shapeId="0" xr:uid="{DDE81D24-8E7F-4924-930F-7C8D087EC1E9}">
      <text>
        <r>
          <rPr>
            <sz val="9"/>
            <color indexed="81"/>
            <rFont val="Tahoma"/>
            <family val="2"/>
          </rPr>
          <t xml:space="preserve">Positionen des "OF"-Signet des SSP-Podcasters 
Olaf Felten auf den Cover-Collagen der SSP-Folgen  
1. Darstellung:
Cover in 9 Sektoren aufgeteilt (3 mal 3 Quadrate)
Quadrate von 1-9 durchnummeriert 
(links nach rechts und oben nach unten) 
2. Darstellung:
Cover im kartesischen Koordinatensystem (Achsen)
x-Achse von 0-100% (links nach rechts)
y-Achse von 0-100% (unten nach oben) </t>
        </r>
      </text>
    </comment>
    <comment ref="AP14" authorId="0" shapeId="0" xr:uid="{07AA8FE2-4668-4C6A-8C42-D6B169F580AB}">
      <text>
        <r>
          <rPr>
            <sz val="9"/>
            <color indexed="81"/>
            <rFont val="Tahoma"/>
            <family val="2"/>
          </rPr>
          <t>Anm.:
Die 11te Abstimmung bis zum 21.02.2018 
hat zwei Ergebnisse da Stimmengleichstand</t>
        </r>
      </text>
    </comment>
    <comment ref="AS80" authorId="0" shapeId="0" xr:uid="{9BAD3B1F-7EF1-4A84-A74B-A2DE578FB1EB}">
      <text>
        <r>
          <rPr>
            <sz val="9"/>
            <color indexed="81"/>
            <rFont val="Tahoma"/>
            <family val="2"/>
          </rPr>
          <t>OF-Position:
über dem Scheitel des Wesens im Monitor</t>
        </r>
      </text>
    </comment>
    <comment ref="BB82" authorId="0" shapeId="0" xr:uid="{5C6D28D9-4FBF-4862-9702-BFD7E5A24876}">
      <text>
        <r>
          <rPr>
            <sz val="9"/>
            <color indexed="81"/>
            <rFont val="Tahoma"/>
            <family val="2"/>
          </rPr>
          <t>"CT"-Signet
(Christopher Tauber)</t>
        </r>
      </text>
    </comment>
    <comment ref="AS88" authorId="0" shapeId="0" xr:uid="{95763BC3-D03A-40B8-8886-912DEEA6D26D}">
      <text>
        <r>
          <rPr>
            <sz val="9"/>
            <color indexed="81"/>
            <rFont val="Tahoma"/>
            <family val="2"/>
          </rPr>
          <t>OF-Position:
in der linken oberen Ecke über dem Kopf des Kea</t>
        </r>
      </text>
    </comment>
    <comment ref="AY112" authorId="0" shapeId="0" xr:uid="{AF62EABE-D6C3-4491-971B-4445B32E4613}">
      <text>
        <r>
          <rPr>
            <sz val="9"/>
            <color indexed="81"/>
            <rFont val="Tahoma"/>
            <family val="2"/>
          </rPr>
          <t>"AR"-Signet
(Andreas Ruch)</t>
        </r>
      </text>
    </comment>
    <comment ref="AS117" authorId="0" shapeId="0" xr:uid="{4ABAF931-C5D1-438B-961B-CB5EB825B627}">
      <text>
        <r>
          <rPr>
            <sz val="9"/>
            <color indexed="81"/>
            <rFont val="Tahoma"/>
            <family val="2"/>
          </rPr>
          <t>OF-Position:
zwischen blauer Flasche und rechtem Rand im unteren Bereich</t>
        </r>
      </text>
    </comment>
    <comment ref="AS124" authorId="0" shapeId="0" xr:uid="{2D674E3A-1648-475C-B139-9663538D2FDF}">
      <text>
        <r>
          <rPr>
            <sz val="9"/>
            <color indexed="81"/>
            <rFont val="Tahoma"/>
            <family val="2"/>
          </rPr>
          <t>OF-Position:
zwischen dem blauen "E" und "S" im unteren Bereich</t>
        </r>
      </text>
    </comment>
    <comment ref="K131" authorId="0" shapeId="0" xr:uid="{00000000-0006-0000-0200-000001000000}">
      <text>
        <r>
          <rPr>
            <sz val="9"/>
            <color indexed="81"/>
            <rFont val="Tahoma"/>
            <family val="2"/>
          </rPr>
          <t>End Date: No Expiry</t>
        </r>
      </text>
    </comment>
    <comment ref="AS132" authorId="0" shapeId="0" xr:uid="{A33EC157-AC15-4DA7-8243-96650ED5FAD0}">
      <text>
        <r>
          <rPr>
            <sz val="9"/>
            <color indexed="81"/>
            <rFont val="Tahoma"/>
            <family val="2"/>
          </rPr>
          <t>OF-Position:
in der linken unteren Ecke des "B"</t>
        </r>
      </text>
    </comment>
    <comment ref="AS134" authorId="0" shapeId="0" xr:uid="{892F9A96-F6EB-4A52-9372-EC3418DA43D1}">
      <text>
        <r>
          <rPr>
            <sz val="9"/>
            <color indexed="81"/>
            <rFont val="Tahoma"/>
            <family val="2"/>
          </rPr>
          <t>OF-Position:
im linken oberen Bogen des "C"</t>
        </r>
      </text>
    </comment>
    <comment ref="AS136" authorId="0" shapeId="0" xr:uid="{1052A8D3-8E6D-4F77-8C06-3FE94BB5E5D4}">
      <text>
        <r>
          <rPr>
            <sz val="9"/>
            <color indexed="81"/>
            <rFont val="Tahoma"/>
            <family val="2"/>
          </rPr>
          <t>OF-Position:
zwischen "K" und rechtem Gesicht</t>
        </r>
      </text>
    </comment>
    <comment ref="AS142" authorId="0" shapeId="0" xr:uid="{56CB9F5C-A0F4-48FA-994C-8B576EDB3F01}">
      <text>
        <r>
          <rPr>
            <sz val="9"/>
            <color indexed="81"/>
            <rFont val="Tahoma"/>
            <family val="2"/>
          </rPr>
          <t>OF-Position:
im oberen Querstrich des "F"</t>
        </r>
      </text>
    </comment>
    <comment ref="AS181" authorId="0" shapeId="0" xr:uid="{77F18367-507D-4CD6-83B5-0C31C370FA47}">
      <text>
        <r>
          <rPr>
            <sz val="9"/>
            <color indexed="81"/>
            <rFont val="Tahoma"/>
            <family val="2"/>
          </rPr>
          <t>Interview9a = Adv19.11</t>
        </r>
      </text>
    </comment>
    <comment ref="AS190" authorId="0" shapeId="0" xr:uid="{445CC7FD-3CC9-4F76-B03F-0DA2ACC02A73}">
      <text>
        <r>
          <rPr>
            <sz val="9"/>
            <color indexed="81"/>
            <rFont val="Tahoma"/>
            <family val="2"/>
          </rPr>
          <t>Interview18 = Adv21.8</t>
        </r>
      </text>
    </comment>
    <comment ref="AS192" authorId="0" shapeId="0" xr:uid="{77E11E35-4319-4AB5-A507-FFC72C7F957D}">
      <text>
        <r>
          <rPr>
            <sz val="9"/>
            <color indexed="81"/>
            <rFont val="Tahoma"/>
            <family val="2"/>
          </rPr>
          <t>Interview20 = Adv22.2</t>
        </r>
      </text>
    </comment>
    <comment ref="AS193" authorId="0" shapeId="0" xr:uid="{DF419F90-30D0-4727-9A3F-6D08D4283D2F}">
      <text>
        <r>
          <rPr>
            <sz val="9"/>
            <color indexed="81"/>
            <rFont val="Tahoma"/>
            <family val="2"/>
          </rPr>
          <t>Interview21 = Adv22.17</t>
        </r>
      </text>
    </comment>
    <comment ref="AS194" authorId="0" shapeId="0" xr:uid="{017710CB-F418-4A33-ACF1-133930454D46}">
      <text>
        <r>
          <rPr>
            <sz val="9"/>
            <color indexed="81"/>
            <rFont val="Tahoma"/>
            <family val="2"/>
          </rPr>
          <t>SSP Live #1: Die Welt der drei Fragezeichen bei Thalia in Bremen (06.09.18) [Podcast-VÖ: 11. September 2018]
SSP Live #2: Remmidemmi in Remscheid - Die Welt der drei Fragezeichen (23.03.19) [Podcast-VÖ: 23. Mai 2019]
SSP Live #3 / SSP #50a/b: Die drei ??? und der sprechende Totenkopf in Bremen (23.11.19) Seite A [Podcast-VÖ: 1.+ 2. Dezember 2019]
SSP Live #4 / SSP Live@Home: Die drei ??? – Das schwarze Nest (29.03.20) [KG4.6] [Podcast-VÖ: 1. April 2020]
SSP Live #5 / SSP #75: Die drei ??? und die scheißteure Geige (124) [aka Geister-Canyon] (21.11.20) [Podcast-VÖ: 1. Dezember 2020]
SSP Live #6 / Adv20.15 SSP präsentiert: Die drei ??? und die Welt der Hörspiele - Eine Lesung von C. R. Rodenwald (28.11.20) [Podcast-VÖ: 15. Dezember 2020]</t>
        </r>
      </text>
    </comment>
    <comment ref="AS196" authorId="0" shapeId="0" xr:uid="{D08BBF22-9180-4780-9F67-44F438149859}">
      <text>
        <r>
          <rPr>
            <sz val="9"/>
            <color indexed="81"/>
            <rFont val="Tahoma"/>
            <family val="2"/>
          </rPr>
          <t>Live3 = SSP50a/b</t>
        </r>
      </text>
    </comment>
    <comment ref="AS198" authorId="0" shapeId="0" xr:uid="{025C510F-E381-4069-B982-95A2DFE64ACD}">
      <text>
        <r>
          <rPr>
            <sz val="9"/>
            <color indexed="81"/>
            <rFont val="Tahoma"/>
            <family val="2"/>
          </rPr>
          <t>Live5 = SSP75</t>
        </r>
      </text>
    </comment>
    <comment ref="AS199" authorId="0" shapeId="0" xr:uid="{C936AE16-175C-4245-AE34-08F4C5F9295F}">
      <text>
        <r>
          <rPr>
            <sz val="9"/>
            <color indexed="81"/>
            <rFont val="Tahoma"/>
            <family val="2"/>
          </rPr>
          <t>Live6 = Adv20.15</t>
        </r>
      </text>
    </comment>
    <comment ref="AS200" authorId="0" shapeId="0" xr:uid="{E6F6BE75-64B4-432B-8596-6C30B36052B1}">
      <text>
        <r>
          <rPr>
            <sz val="9"/>
            <color indexed="81"/>
            <rFont val="Tahoma"/>
            <family val="2"/>
          </rPr>
          <t>Live7 = Adv21.20</t>
        </r>
      </text>
    </comment>
    <comment ref="AS205" authorId="0" shapeId="0" xr:uid="{B2950EBE-7AE3-4F5C-ACE9-579B523CD2F8}">
      <text>
        <r>
          <rPr>
            <sz val="9"/>
            <color indexed="81"/>
            <rFont val="Tahoma"/>
            <family val="2"/>
          </rPr>
          <t>Adv17.10 = SSP14</t>
        </r>
      </text>
    </comment>
    <comment ref="AS208" authorId="0" shapeId="0" xr:uid="{7A1E21AC-BA9B-4B6B-BDEA-90BF16C25E58}">
      <text>
        <r>
          <rPr>
            <sz val="9"/>
            <color indexed="81"/>
            <rFont val="Tahoma"/>
            <family val="2"/>
          </rPr>
          <t>Adv17.24 = SSP15</t>
        </r>
      </text>
    </comment>
    <comment ref="AS218" authorId="0" shapeId="0" xr:uid="{EBAB89F4-D384-44CA-B30E-15EBCDBF8F9D}">
      <text>
        <r>
          <rPr>
            <sz val="9"/>
            <color indexed="81"/>
            <rFont val="Tahoma"/>
            <family val="2"/>
          </rPr>
          <t>Adv18.10 = SSP32</t>
        </r>
      </text>
    </comment>
    <comment ref="AS232" authorId="0" shapeId="0" xr:uid="{954AB621-0762-40AC-8A86-7E5BAE1C4F26}">
      <text>
        <r>
          <rPr>
            <sz val="9"/>
            <color indexed="81"/>
            <rFont val="Tahoma"/>
            <family val="2"/>
          </rPr>
          <t>Adv18.24 = SSP33</t>
        </r>
      </text>
    </comment>
    <comment ref="AS233" authorId="0" shapeId="0" xr:uid="{E38D715C-7DDC-432E-A4F1-BD84624ECBBD}">
      <text>
        <r>
          <rPr>
            <sz val="9"/>
            <color indexed="81"/>
            <rFont val="Tahoma"/>
            <family val="2"/>
          </rPr>
          <t>Adv19.1-2 = SSP50a-SSP50b</t>
        </r>
      </text>
    </comment>
    <comment ref="AS238" authorId="0" shapeId="0" xr:uid="{C09E646F-A433-4AD2-9C78-5BBCD8B5178F}">
      <text>
        <r>
          <rPr>
            <sz val="9"/>
            <color indexed="81"/>
            <rFont val="Tahoma"/>
            <family val="2"/>
          </rPr>
          <t>OF-Position:
in der Mitte der linken Sessellehne</t>
        </r>
      </text>
    </comment>
    <comment ref="AS241" authorId="0" shapeId="0" xr:uid="{0CE4500C-519E-4FE8-AD2E-78E7DC33C582}">
      <text>
        <r>
          <rPr>
            <sz val="9"/>
            <color indexed="81"/>
            <rFont val="Tahoma"/>
            <family val="2"/>
          </rPr>
          <t>Adv19.10 = SSP51</t>
        </r>
      </text>
    </comment>
    <comment ref="AS246" authorId="0" shapeId="0" xr:uid="{A54FFB54-39A7-4C9F-AA09-A61B8143AEBB}">
      <text>
        <r>
          <rPr>
            <sz val="9"/>
            <color indexed="81"/>
            <rFont val="Tahoma"/>
            <family val="2"/>
          </rPr>
          <t>OF-Position:
rechts neben der Spritze</t>
        </r>
      </text>
    </comment>
    <comment ref="AS248" authorId="0" shapeId="0" xr:uid="{BFBE9918-50C5-466B-98CB-0958F7D73125}">
      <text>
        <r>
          <rPr>
            <sz val="9"/>
            <color indexed="81"/>
            <rFont val="Tahoma"/>
            <family val="2"/>
          </rPr>
          <t>OF-Position:
im (vom Betrachter aus) linken Auge</t>
        </r>
      </text>
    </comment>
    <comment ref="AS255" authorId="0" shapeId="0" xr:uid="{3E3893D5-5852-40D5-BCEF-AAFE2ECF6C03}">
      <text>
        <r>
          <rPr>
            <sz val="9"/>
            <color indexed="81"/>
            <rFont val="Tahoma"/>
            <family val="2"/>
          </rPr>
          <t>Adv19.24 = SSP52</t>
        </r>
      </text>
    </comment>
    <comment ref="AS257" authorId="0" shapeId="0" xr:uid="{CBFDBDE6-F325-4587-AC28-432BDE018854}">
      <text>
        <r>
          <rPr>
            <sz val="9"/>
            <color indexed="81"/>
            <rFont val="Tahoma"/>
            <family val="2"/>
          </rPr>
          <t>Adv20.1 = SSP75</t>
        </r>
      </text>
    </comment>
    <comment ref="AS266" authorId="0" shapeId="0" xr:uid="{420A54E3-AFE2-4EB9-8760-D93C871272C0}">
      <text>
        <r>
          <rPr>
            <sz val="9"/>
            <color indexed="81"/>
            <rFont val="Tahoma"/>
            <family val="2"/>
          </rPr>
          <t>Adv20.10 = SSP76</t>
        </r>
      </text>
    </comment>
    <comment ref="AS280" authorId="0" shapeId="0" xr:uid="{1386E4D9-E761-42F8-89C2-9EB131EB8E66}">
      <text>
        <r>
          <rPr>
            <sz val="9"/>
            <color indexed="81"/>
            <rFont val="Tahoma"/>
            <family val="2"/>
          </rPr>
          <t>Adv20.24-20.26 = SSP77a-77c</t>
        </r>
      </text>
    </comment>
    <comment ref="AS288" authorId="0" shapeId="0" xr:uid="{62112F9E-4D7E-441C-8895-7DA83ED6C355}">
      <text>
        <r>
          <rPr>
            <sz val="9"/>
            <color indexed="81"/>
            <rFont val="Tahoma"/>
            <family val="2"/>
          </rPr>
          <t>Adv21.6 = SSP97</t>
        </r>
      </text>
    </comment>
    <comment ref="AS290" authorId="0" shapeId="0" xr:uid="{F7585327-2F5D-447A-B4BB-C78EE44BA732}">
      <text>
        <r>
          <rPr>
            <sz val="9"/>
            <color indexed="81"/>
            <rFont val="Tahoma"/>
            <family val="2"/>
          </rPr>
          <t>Adv21.8 = Interview18</t>
        </r>
      </text>
    </comment>
    <comment ref="AS292" authorId="0" shapeId="0" xr:uid="{6DD0237A-611A-4D85-AFE2-579C829BD500}">
      <text>
        <r>
          <rPr>
            <sz val="9"/>
            <color indexed="81"/>
            <rFont val="Tahoma"/>
            <family val="2"/>
          </rPr>
          <t>Adv21.10 = SSP98</t>
        </r>
      </text>
    </comment>
    <comment ref="AS299" authorId="0" shapeId="0" xr:uid="{77A4019D-1BE6-445C-8EAE-870E5384B629}">
      <text>
        <r>
          <rPr>
            <sz val="9"/>
            <color indexed="81"/>
            <rFont val="Tahoma"/>
            <family val="2"/>
          </rPr>
          <t>Adv21.17 = SSP99</t>
        </r>
      </text>
    </comment>
    <comment ref="AS306" authorId="0" shapeId="0" xr:uid="{845CF95A-2EB4-48DB-AC1F-C4846A31ECB5}">
      <text>
        <r>
          <rPr>
            <sz val="9"/>
            <color indexed="81"/>
            <rFont val="Tahoma"/>
            <family val="2"/>
          </rPr>
          <t>Adv21.24-21.27 = SSP100a-100d</t>
        </r>
      </text>
    </comment>
    <comment ref="AS311" authorId="0" shapeId="0" xr:uid="{AA2F859D-8A36-41A7-AC6C-698E42E3084D}">
      <text>
        <r>
          <rPr>
            <sz val="9"/>
            <color indexed="81"/>
            <rFont val="Tahoma"/>
            <family val="2"/>
          </rPr>
          <t>Adv22.2 = Interview20</t>
        </r>
      </text>
    </comment>
    <comment ref="AS319" authorId="0" shapeId="0" xr:uid="{E9A8E48E-C25A-4458-8602-F264F022F1F6}">
      <text>
        <r>
          <rPr>
            <sz val="9"/>
            <color indexed="81"/>
            <rFont val="Tahoma"/>
            <family val="2"/>
          </rPr>
          <t>Adv22.10 = SSP117</t>
        </r>
      </text>
    </comment>
    <comment ref="AS326" authorId="0" shapeId="0" xr:uid="{FE46D18A-3067-46A6-8E89-B8EB380F1321}">
      <text>
        <r>
          <rPr>
            <sz val="9"/>
            <color indexed="81"/>
            <rFont val="Tahoma"/>
            <family val="2"/>
          </rPr>
          <t>Adv22.17 = Interview21</t>
        </r>
      </text>
    </comment>
    <comment ref="AS333" authorId="0" shapeId="0" xr:uid="{12220561-6C24-4851-8230-F03674D216DE}">
      <text>
        <r>
          <rPr>
            <sz val="9"/>
            <color indexed="81"/>
            <rFont val="Tahoma"/>
            <family val="2"/>
          </rPr>
          <t>Adv22.24 = SSP118</t>
        </r>
      </text>
    </comment>
  </commentList>
</comments>
</file>

<file path=xl/sharedStrings.xml><?xml version="1.0" encoding="utf-8"?>
<sst xmlns="http://schemas.openxmlformats.org/spreadsheetml/2006/main" count="10010" uniqueCount="4491">
  <si>
    <t>Folge 10: Rollenverteilung, Die drei ??? und der unheimliche Drache</t>
  </si>
  <si>
    <t>Folge 12: BA DUM TSSS!, Die drei ??? - Fußballgangster</t>
  </si>
  <si>
    <t>Folge 13: Thomas sein Geburtstagsgeschenk, Die drei ??? - Musik des Teufels</t>
  </si>
  <si>
    <t>Folge 15: Gullivers Waisen, Die drei ??? und der sprechende Totenkopf</t>
  </si>
  <si>
    <t>Folge</t>
  </si>
  <si>
    <t>L-Nr.</t>
  </si>
  <si>
    <t>Podcast-Titel</t>
  </si>
  <si>
    <t>Dauer</t>
  </si>
  <si>
    <t>VÖ</t>
  </si>
  <si>
    <t>Ankündigung: Ende der Sommerpause, Wir sind wieder da</t>
  </si>
  <si>
    <t>Folge 16: Zum fürchten, Die drei ??? - House of Horrors</t>
  </si>
  <si>
    <t>FYF3</t>
  </si>
  <si>
    <t>FYF4</t>
  </si>
  <si>
    <t>Folge 16,5: Einer liest, einer schläft, Bonus: Die drei ??? - Savage Statue (Grausame Göttin)</t>
  </si>
  <si>
    <t>http://www.youtube.com/channel/UCLK4k-NjboJxUfkUR0TWbgw</t>
  </si>
  <si>
    <t>DD1</t>
  </si>
  <si>
    <t>DD2</t>
  </si>
  <si>
    <t>DD3</t>
  </si>
  <si>
    <t>DD4</t>
  </si>
  <si>
    <t>DD5</t>
  </si>
  <si>
    <t>DD6</t>
  </si>
  <si>
    <t>DD7</t>
  </si>
  <si>
    <t>DD8</t>
  </si>
  <si>
    <t>DiE 2WO - Folge 1 - Tödliche Regie</t>
  </si>
  <si>
    <t>DiE 2WO - Folge 2 - Verschollen in der Zeit</t>
  </si>
  <si>
    <t>DiE 2WO - Folge 3 - Der kopflose Reiter</t>
  </si>
  <si>
    <t>DiE 2WO - Folge 4 - Die Pforte zum Jenseits</t>
  </si>
  <si>
    <t>DiE 2WO - Folge 5 - Das Haus der 1000 Rätsel</t>
  </si>
  <si>
    <t>DiE 2WO - Folge 6 - Das Seeungeheuer</t>
  </si>
  <si>
    <t>DiE 2WO - Folge 7 - Zug um Zug</t>
  </si>
  <si>
    <t>DiE 2WO - Folge 8 - Der Jahrhundertstein</t>
  </si>
  <si>
    <t>Podcast</t>
  </si>
  <si>
    <t>Zeitraum</t>
  </si>
  <si>
    <t>Ø VÖ</t>
  </si>
  <si>
    <t>DiE 2WO</t>
  </si>
  <si>
    <t>#001 - … und der sprechende Totenkopf</t>
  </si>
  <si>
    <t>#005 - Das Erbe des Meisterdiebs</t>
  </si>
  <si>
    <t>#006 - … und die Geisterinsel</t>
  </si>
  <si>
    <t>#007 - Geheimakte UFO</t>
  </si>
  <si>
    <t>#008 - Der Nebelberg</t>
  </si>
  <si>
    <t>#009 - … und der Fluch des Rubins</t>
  </si>
  <si>
    <t>#010 - … und der Superpapagei</t>
  </si>
  <si>
    <t>#015 - Musik des Teufels (Aufnahme abgebrochen)</t>
  </si>
  <si>
    <t>ca. 20 min.</t>
  </si>
  <si>
    <t>R&amp;A</t>
  </si>
  <si>
    <t>—</t>
  </si>
  <si>
    <t>SSP #10: Die drei ??? – Todesflug (92)</t>
  </si>
  <si>
    <t>SSP #11: Die drei ??? – Die sieben Tore (108)</t>
  </si>
  <si>
    <t>SSP #11.5: Die sieben versunkenen Schiffe</t>
  </si>
  <si>
    <t>SSP #15.5: Der spezialgelagerte Jahresrückblick (2017)</t>
  </si>
  <si>
    <t>SSP #16: Die drei ??? – Gefährliches Quiz (109)</t>
  </si>
  <si>
    <t>SSP #17.5: Kinskis gefährliches Phantom-Quiz – Sonderfeedback</t>
  </si>
  <si>
    <t>SSP #18: Die drei ??? und der giftige Gockel (47)</t>
  </si>
  <si>
    <t>SSP #19: Die drei ??? und die Comic-Diebe (49)</t>
  </si>
  <si>
    <t>SSP #20: Die drei ??? und die Musikpiraten (52) mit Nilz Bokelberg</t>
  </si>
  <si>
    <t>SSP #21: Die drei ??? – Haus des Schreckens (131)</t>
  </si>
  <si>
    <t>SSP Interview (II): Neuvertonung, das Hörspiel-Projekt</t>
  </si>
  <si>
    <t>SSP #23: Die drei ??? und das blaue Biest (167)</t>
  </si>
  <si>
    <t>SSP #24: Die drei ??? – Stimmen aus dem Nichts (76)</t>
  </si>
  <si>
    <t>SSP Interview (III): Ivar Leon Menger und die Hörmich 2018</t>
  </si>
  <si>
    <t>SSP #25a: Die drei ??? – Toteninsel – Das Rätsel der Sphinx (100A)</t>
  </si>
  <si>
    <t>SSP #25b: Die drei ??? – Toteninsel – Das vergessene Volk (100B)</t>
  </si>
  <si>
    <t>SSP #25c: Die drei ??? – Toteninsel – Der Fluch der Gräber (100C)</t>
  </si>
  <si>
    <t>SSP #27: Die drei ??? – Skateboardfieber (152)</t>
  </si>
  <si>
    <t>SSP Live #1: Die Welt der drei Fragezeichen bei Thalia in Bremen (06.09.18)</t>
  </si>
  <si>
    <t>SSP #28: Die drei ??? – Tödliches Eis (142)</t>
  </si>
  <si>
    <t>SSP Interview (IV): Kari Erlhoff und das Bermudadreieck</t>
  </si>
  <si>
    <t>DSSP #1: 1W6 Freunde und der verschwundene Leuchter (Seite A)</t>
  </si>
  <si>
    <t>SSP #29: Die drei ??? – Der schwarze Skorpion (120)</t>
  </si>
  <si>
    <t>SSP #30: Die drei ??? und der tanzende Teufel (21)</t>
  </si>
  <si>
    <t>SSP Interview (V): André Marx und das wilde Pack</t>
  </si>
  <si>
    <t>Spezialgelagerter Adventskalender 2018 – Tür 1: Die Brautprinzessin</t>
  </si>
  <si>
    <t>Spezialgelagerter Adventskalender 2018 – Tür 2: Offenbarung 23</t>
  </si>
  <si>
    <t>Spezialgelagerter Adventskalender 2018 – Tür 4: Edgar Wallace von Maritim</t>
  </si>
  <si>
    <t>Spezialgelagerter Adventskalender 2018 – Tür 5: Käpt’n Jack und seine Piraten</t>
  </si>
  <si>
    <t>Spezialgelagerter Adventskalender 2018 – Tür 6: SSP und die Originalmusik (von Dr. Orgel)</t>
  </si>
  <si>
    <t>Spezialgelagerter Adventskalender 2018 – Tür 7: Monster 1983</t>
  </si>
  <si>
    <t>Spezialgelagerter Adventskalender 2018 – Tür 8: Die Funk-Füchse von Europa</t>
  </si>
  <si>
    <t>Spezialgelagerter Adventskalender 2018 – Tür 9: Summer of ’84</t>
  </si>
  <si>
    <t>Spezialgelagerter Adventskalender 2018 – Tür 11: Donjon</t>
  </si>
  <si>
    <t>Spezialgelagerter Adventskalender 2018 – Tür 12: Runenzauber (Gruselkabinett 140)</t>
  </si>
  <si>
    <t>Spezialgelagerter Adventskalender 2018 – Tür 13: Jan Tenner (sportlicher Student)</t>
  </si>
  <si>
    <t>Spezialgelagerter Adventskalender 2018 – Tür 14: Scotland Yard</t>
  </si>
  <si>
    <t>Spezialgelagerter Adventskalender 2018 – Tür 15: QualityLand</t>
  </si>
  <si>
    <t>Spezialgelagerter Adventskalender 2018 – Tür 16: Terry Pratchett Hörbücher</t>
  </si>
  <si>
    <t>Spezialgelagerter Adventskalender 2018 – Tür 17: Die Chroniken von Azuhr</t>
  </si>
  <si>
    <t>Spezialgelagerter Adventskalender 2018 – Tür 18: Der Hund der Baskervilles</t>
  </si>
  <si>
    <t>Spezialgelagerter Adventskalender 2018 – Tür 19: Der goldene Handschuh</t>
  </si>
  <si>
    <t>Spezialgelagerter Adventskalender 2018 – Tür 20: Tim und Struppi</t>
  </si>
  <si>
    <t>Spezialgelagerter Adventskalender 2018 – Tür 21: Airwolf Hörspiele</t>
  </si>
  <si>
    <t>Spezialgelagerter Adventskalender 2018 – Tür 22: Heimlich und Co.</t>
  </si>
  <si>
    <t>Spezialgelagerter Adventskalender 2018 – Tür 23: Spezialgelagerte Outtakes ’18</t>
  </si>
  <si>
    <t>SSP #33.5: Der spezialgelagerte Jahresrückblick (2018)</t>
  </si>
  <si>
    <t>SSP #34: Die drei ??? – Der Nebelberg (105) mit Gregor vom Felsenstrand</t>
  </si>
  <si>
    <t>SSP #35: Die drei ??? und der Schatz der Mönche (107)</t>
  </si>
  <si>
    <t>SSP #35.5: 2xAR Aiga Rasch und Andreas Ruch in Fulda</t>
  </si>
  <si>
    <t>SSP #36: Die drei ??? und der Fluch des Rubins (5) mit André Marx</t>
  </si>
  <si>
    <t>SSP #37: Die drei ??? und die flüsternden Puppen (180)</t>
  </si>
  <si>
    <t>SSP Interview (VI): Das Vollplaybacktheater VPT</t>
  </si>
  <si>
    <t>SSP #39.5: Mission Rocky Beach – Das Erbe des Geisterpiraten</t>
  </si>
  <si>
    <t>SSP #40: Die drei ??? – Der Feuerteufel (90) mit Christopher Tauber</t>
  </si>
  <si>
    <t>SSP Live #2: Remmidemmi in Remscheid - Die Welt der drei Fragezeichen (23.03.19)</t>
  </si>
  <si>
    <t>SSP #40.5: Sonderfeedback vom #fragdenssp bis zum Klischee</t>
  </si>
  <si>
    <t>SSP #41: Die drei ??? und der letzte Song (183)</t>
  </si>
  <si>
    <t>SSP Interview (VII): Markus Winter</t>
  </si>
  <si>
    <t>SSP #42.5: Fünfzig, Fragen, Fragezeichen und Feedback</t>
  </si>
  <si>
    <t>DSSP #2: 1W6 Freunde und der verschwundene Leuchter (Seite B)</t>
  </si>
  <si>
    <t>SSP #43: Die drei ??? und der Mann ohne Augen (185)</t>
  </si>
  <si>
    <t>SSP #44: Die drei ??? – SMS aus dem Grab (129)</t>
  </si>
  <si>
    <t>SSP</t>
  </si>
  <si>
    <t>Adv1</t>
  </si>
  <si>
    <t>SSP #44.5: Mehr Fünfzig, Fragen, Fragezeichen und Feedback</t>
  </si>
  <si>
    <t>SSP #45: Die drei ??? und der Ameisenmensch (32) mit Malte Janssen</t>
  </si>
  <si>
    <t>SSP #46: Die drei ??? – Geheimnis des Bauchredners (196)</t>
  </si>
  <si>
    <t>Schrott</t>
  </si>
  <si>
    <t>#16 Oliver Rohrbeck - Ein Portrait (Teil1)</t>
  </si>
  <si>
    <t>#17 Oliver Rohrbeck - Ein Portrait (Teil2)</t>
  </si>
  <si>
    <t>#22 Serienmäßig: Die drei ???</t>
  </si>
  <si>
    <t>#23 Ein Gros ???-Folgen (Platz 144 - 133)</t>
  </si>
  <si>
    <t>#24 Ein Gros ???-Folgen (Platz 132 - 121)</t>
  </si>
  <si>
    <t>#34 Ein Gros ???-Folgen (Platz 120 - 109)</t>
  </si>
  <si>
    <t>#36 Ein Gros ???-Folgen (Platz 108 - 97)</t>
  </si>
  <si>
    <t>#39 Ein Gros ???-Folgen (Platz 96 - 85)</t>
  </si>
  <si>
    <t>#43 Ein Gros ???-Folgen (Platz 84 - 73)</t>
  </si>
  <si>
    <t>#46 Ein Gros ???-Folgen (Platz 72 - 61)</t>
  </si>
  <si>
    <t>#49 Ein Gros ???-Folgen (Platz 60 - 49)</t>
  </si>
  <si>
    <t>#52 Ein Gros ???-Folgen (Platz 48 - 41)</t>
  </si>
  <si>
    <t>#55 Ein Gros ???-Folgen (Platz 40 - 33)</t>
  </si>
  <si>
    <t>#59 Ein Gros ???-Folgen (Platz 32 - 25)</t>
  </si>
  <si>
    <t>#64 Ein Gros ???-Folgen (Platz 24 - 19)</t>
  </si>
  <si>
    <t>#67 Ein Gros ???-Folgen (Platz 18 - 13)</t>
  </si>
  <si>
    <t>#71 Ein Gros ???-Folgen (Platz 12 - 7)</t>
  </si>
  <si>
    <t>#73 Ein Gros ???-Folgen (Platz 6 - 1)</t>
  </si>
  <si>
    <t>#78 Im Wesir: Die drei ??? 175 - Schattenwelt</t>
  </si>
  <si>
    <t>#0 Am Anfang war das Wort</t>
  </si>
  <si>
    <t>#90 Das Jahresabschlussinterview</t>
  </si>
  <si>
    <t>#111 Unser letzter Podcast</t>
  </si>
  <si>
    <t>FragezeichenPod – 149 – Der namenlose Gegner</t>
  </si>
  <si>
    <t>FragezeichenPod – 017 – und die gefährliche Erbschaft</t>
  </si>
  <si>
    <t>FragezeichenPod – 092 – Todesflug</t>
  </si>
  <si>
    <t>FragezeichenPod – 116 – Codename Cobra</t>
  </si>
  <si>
    <t>FragezeichenPod – 045 – Das Gold der Wikinger</t>
  </si>
  <si>
    <t>FragezeichenPod – 049 – Die Comic Diebe</t>
  </si>
  <si>
    <t>KG1.1</t>
  </si>
  <si>
    <t>KG1.2</t>
  </si>
  <si>
    <t>KG1.3</t>
  </si>
  <si>
    <t>KG1.4</t>
  </si>
  <si>
    <t>KG1.5</t>
  </si>
  <si>
    <t>KG1.6</t>
  </si>
  <si>
    <t>KG1.7</t>
  </si>
  <si>
    <t>KG1.8</t>
  </si>
  <si>
    <t>KG1.9</t>
  </si>
  <si>
    <t>KG1.10</t>
  </si>
  <si>
    <t>KG1.11</t>
  </si>
  <si>
    <t>KG1.12</t>
  </si>
  <si>
    <t>PP</t>
  </si>
  <si>
    <t>K01</t>
  </si>
  <si>
    <t>GN1</t>
  </si>
  <si>
    <t>Teaser 2.0</t>
  </si>
  <si>
    <t>FragezeichenPod – 154 – Botschaft aus der Unterwelt</t>
  </si>
  <si>
    <t>FragezeichenPod – Spezial gelagerte Sonderfolge – Jupiter Jones</t>
  </si>
  <si>
    <t>FragezeichenPod – Spezial gelagerte Sonderauflösungsfolge – Jupiter Jones</t>
  </si>
  <si>
    <t>FragezeichenPod und die Geisterlampe (1)</t>
  </si>
  <si>
    <t>FragezeichenPod und die Geisterlampe – Dunkle Vergangenheit</t>
  </si>
  <si>
    <t>FragezeichenPod und die Geisterlampe – Entführt</t>
  </si>
  <si>
    <t>FragezeichenPod und die Geisterlampe – Verschwörung auf der Eagle Ranch</t>
  </si>
  <si>
    <t>FragezeichenPod und die Geisterlampe – SOS</t>
  </si>
  <si>
    <t>FragezeichenPod und die Geisterlampe – Der graue Dämon</t>
  </si>
  <si>
    <t>FragezeichenPod und die Geisterlampe – Das Lehrstück</t>
  </si>
  <si>
    <t>FragezeichenPod und die Geisterlampe – Das Rätsel der schwarzen Nadel</t>
  </si>
  <si>
    <t>FragezeichenPod und die Geisterlampe – Der verschwundene Superstar</t>
  </si>
  <si>
    <t>FragezeichenPod und die Geisterlampe – Manches verlernt man nie</t>
  </si>
  <si>
    <t>FragezeichenPod und die Geisterlampe – Psychomoon</t>
  </si>
  <si>
    <t>FragezeichenPod und die Geisterlampe – Jagd auf den Weihnachtsmann</t>
  </si>
  <si>
    <t>FragezeichenPod – 159 – Nacht der Tiger</t>
  </si>
  <si>
    <t>FragezeichenPod – 037 – und der heimliche Hehler</t>
  </si>
  <si>
    <t>FragezeichenKidsPod – 001 – Panik im Paradies</t>
  </si>
  <si>
    <t>FragezeichenPod – 101 – und das Hexenhandy</t>
  </si>
  <si>
    <t>FragezeichenPod – 010 – und die flüsternde Mumie</t>
  </si>
  <si>
    <t>FragezeichenPod – 076 – Stimmen aus dem Nichts</t>
  </si>
  <si>
    <t>FragezeichenPod – 099 – Rufmord</t>
  </si>
  <si>
    <t>FragezeichenPod – Theater auf Tour – Interview Teil 1</t>
  </si>
  <si>
    <t>FragezeichenPod – Theater auf Tour – Interview Teil 2</t>
  </si>
  <si>
    <t>FragezeichenPod – Der 5. Advent – 1. Woche</t>
  </si>
  <si>
    <t>FragezeichenPod – Der 5. Advent – 2. Woche</t>
  </si>
  <si>
    <t>FragezeichenPod – Der 5. Advent – 3. Woche</t>
  </si>
  <si>
    <t>FragezeichenPod – Podwichtelspecial 2013 – 11 – Die Drei ??? und das Gespensterschloss</t>
  </si>
  <si>
    <t>FragezeichenPod – 024 – und die silberne Spinne</t>
  </si>
  <si>
    <t>FragezeichenPod – Phonophobia LIVE Teil 1</t>
  </si>
  <si>
    <t>FragezeichenPod – 151 – Schwarze Sonne</t>
  </si>
  <si>
    <t>FragezeichenPod – Weihnachtspost 2015</t>
  </si>
  <si>
    <t>Fragezeichen-Wichtel-Pod – und der dreiäugige Totenkopf</t>
  </si>
  <si>
    <t>FragezeichenPod – 179 – Die Rache des Untoten (Interview mit Marco Sonnleitner per Skype)</t>
  </si>
  <si>
    <t>FragezeichenPod – 052 – und die Musikpiraten</t>
  </si>
  <si>
    <t>FragezeichenPod – 046 – Der schrullige Millionär</t>
  </si>
  <si>
    <t>FragezeichenPod – 184 – und der Hexengarten</t>
  </si>
  <si>
    <t>FragezeichenPod – 088 – Vampir im Internet – Podwichtel 2018</t>
  </si>
  <si>
    <t>???od</t>
  </si>
  <si>
    <t>Fürst</t>
  </si>
  <si>
    <t>Zentrale</t>
  </si>
  <si>
    <t>http://www.retroabteil.de/die-drei-fragezeichen/</t>
  </si>
  <si>
    <t>Retro</t>
  </si>
  <si>
    <t>Nr.</t>
  </si>
  <si>
    <t>Name</t>
  </si>
  <si>
    <t>#002 - Rufmord</t>
  </si>
  <si>
    <t>#003 - … und der magische Kreis</t>
  </si>
  <si>
    <t>#004 - … und die Perlenvögel</t>
  </si>
  <si>
    <t>#011 - Der namenlose Gegner</t>
  </si>
  <si>
    <t>#012 - Tal des Schreckens</t>
  </si>
  <si>
    <t>#014 - … und das Bergmonster</t>
  </si>
  <si>
    <t>#016 - Insel des Vergessens</t>
  </si>
  <si>
    <t>#017 - Signale aus dem Jenseits</t>
  </si>
  <si>
    <t>#018 - … und der verschwundene Schatz</t>
  </si>
  <si>
    <t>FragezeichenPod – 030 – Podcastwichtelfolge2017 Riff der Haie</t>
  </si>
  <si>
    <t>Teaser 000</t>
  </si>
  <si>
    <t>FragezeichenKidsPod – 000 – Teaser</t>
  </si>
  <si>
    <t>FragezeichenPod – Post – April 2013</t>
  </si>
  <si>
    <t>FragezeichenPod – Post – Oktober 2013</t>
  </si>
  <si>
    <t>KG1</t>
  </si>
  <si>
    <t>Wichtelaufruf – Anmeldeschluss ist der 2. Advent 2013</t>
  </si>
  <si>
    <t>SSP #47: Die drei ??? – Musik des Teufels (84)</t>
  </si>
  <si>
    <t>Platz 001</t>
  </si>
  <si>
    <t>Platz 002</t>
  </si>
  <si>
    <t>Platz 003</t>
  </si>
  <si>
    <t>Platz 004</t>
  </si>
  <si>
    <t>Platz 005</t>
  </si>
  <si>
    <t>Platz 006</t>
  </si>
  <si>
    <t>Platz 007</t>
  </si>
  <si>
    <t>Platz 008</t>
  </si>
  <si>
    <t>Platz 009</t>
  </si>
  <si>
    <t>Platz 010</t>
  </si>
  <si>
    <t>Platz 011</t>
  </si>
  <si>
    <t>Platz 012</t>
  </si>
  <si>
    <t>Platz 013</t>
  </si>
  <si>
    <t>Haschimitenfürst-Platzierungen</t>
  </si>
  <si>
    <t>Platz</t>
  </si>
  <si>
    <t>Σ Platz 144 bis 1</t>
  </si>
  <si>
    <t>Ø Platz 144 bis 1</t>
  </si>
  <si>
    <t>Platz 014</t>
  </si>
  <si>
    <t>Platz 015</t>
  </si>
  <si>
    <t>Platz 016</t>
  </si>
  <si>
    <t>Platz 017</t>
  </si>
  <si>
    <t>Platz 018</t>
  </si>
  <si>
    <t>Platz 019</t>
  </si>
  <si>
    <t>Platz 020</t>
  </si>
  <si>
    <t>Platz 021</t>
  </si>
  <si>
    <t>Platz 022</t>
  </si>
  <si>
    <t>Platz 023</t>
  </si>
  <si>
    <t>Platz 024</t>
  </si>
  <si>
    <t>Platz 025</t>
  </si>
  <si>
    <t>Platz 026</t>
  </si>
  <si>
    <t>Platz 027</t>
  </si>
  <si>
    <t>Platz 028</t>
  </si>
  <si>
    <t>Platz 029</t>
  </si>
  <si>
    <t>Platz 030</t>
  </si>
  <si>
    <t>Platz 031</t>
  </si>
  <si>
    <t>Platz 032</t>
  </si>
  <si>
    <t>Platz 033</t>
  </si>
  <si>
    <t>Platz 034</t>
  </si>
  <si>
    <t>Platz 035</t>
  </si>
  <si>
    <t>Platz 036</t>
  </si>
  <si>
    <t>Platz 037</t>
  </si>
  <si>
    <t>Platz 038</t>
  </si>
  <si>
    <t>Platz 039</t>
  </si>
  <si>
    <t>Platz 040</t>
  </si>
  <si>
    <t>Platz 041</t>
  </si>
  <si>
    <t>Platz 042</t>
  </si>
  <si>
    <t>Platz 043</t>
  </si>
  <si>
    <t>Platz 044</t>
  </si>
  <si>
    <t>Platz 045</t>
  </si>
  <si>
    <t>Platz 046</t>
  </si>
  <si>
    <t>Platz 047</t>
  </si>
  <si>
    <t>Platz 048</t>
  </si>
  <si>
    <t>Platz 049</t>
  </si>
  <si>
    <t>Platz 050</t>
  </si>
  <si>
    <t>Platz 051</t>
  </si>
  <si>
    <t>Platz 052</t>
  </si>
  <si>
    <t>Platz 053</t>
  </si>
  <si>
    <t>Platz 054</t>
  </si>
  <si>
    <t>Platz 055</t>
  </si>
  <si>
    <t>Platz 056</t>
  </si>
  <si>
    <t>Platz 057</t>
  </si>
  <si>
    <t>Platz 058</t>
  </si>
  <si>
    <t>Platz 059</t>
  </si>
  <si>
    <t>Platz 060</t>
  </si>
  <si>
    <t>Platz 061</t>
  </si>
  <si>
    <t>Platz 062</t>
  </si>
  <si>
    <t>Platz 063</t>
  </si>
  <si>
    <t>Platz 064</t>
  </si>
  <si>
    <t>Platz 065</t>
  </si>
  <si>
    <t>Platz 066</t>
  </si>
  <si>
    <t>Platz 067</t>
  </si>
  <si>
    <t>Platz 068</t>
  </si>
  <si>
    <t>Platz 069</t>
  </si>
  <si>
    <t>Platz 070</t>
  </si>
  <si>
    <t>Platz 071</t>
  </si>
  <si>
    <t>Platz 072</t>
  </si>
  <si>
    <t>Platz 073</t>
  </si>
  <si>
    <t>Platz 074</t>
  </si>
  <si>
    <t>Platz 075</t>
  </si>
  <si>
    <t>Platz 076</t>
  </si>
  <si>
    <t>Platz 077</t>
  </si>
  <si>
    <t>Platz 078</t>
  </si>
  <si>
    <t>Platz 079</t>
  </si>
  <si>
    <t>Platz 080</t>
  </si>
  <si>
    <t>Platz 081</t>
  </si>
  <si>
    <t>Platz 082</t>
  </si>
  <si>
    <t>Platz 083</t>
  </si>
  <si>
    <t>Platz 084</t>
  </si>
  <si>
    <t>Platz 085</t>
  </si>
  <si>
    <t>Platz 086</t>
  </si>
  <si>
    <t>Platz 087</t>
  </si>
  <si>
    <t>Platz 088</t>
  </si>
  <si>
    <t>Platz 089</t>
  </si>
  <si>
    <t>Platz 090</t>
  </si>
  <si>
    <t>Platz 091</t>
  </si>
  <si>
    <t>Platz 092</t>
  </si>
  <si>
    <t>Platz 093</t>
  </si>
  <si>
    <t>Platz 094</t>
  </si>
  <si>
    <t>Platz 095</t>
  </si>
  <si>
    <t>Platz 096</t>
  </si>
  <si>
    <t>Platz 097</t>
  </si>
  <si>
    <t>Platz 098</t>
  </si>
  <si>
    <t>Platz 099</t>
  </si>
  <si>
    <t>Platz 100</t>
  </si>
  <si>
    <t>Platz 101</t>
  </si>
  <si>
    <t>Platz 102</t>
  </si>
  <si>
    <t>Platz 103</t>
  </si>
  <si>
    <t>Platz 104</t>
  </si>
  <si>
    <t>Platz 105</t>
  </si>
  <si>
    <t>Platz 106</t>
  </si>
  <si>
    <t>Platz 107</t>
  </si>
  <si>
    <t>Platz 108</t>
  </si>
  <si>
    <t>Platz 109</t>
  </si>
  <si>
    <t>Platz 110</t>
  </si>
  <si>
    <t>Platz 111</t>
  </si>
  <si>
    <t>Platz 112</t>
  </si>
  <si>
    <t>Platz 113</t>
  </si>
  <si>
    <t>Platz 114</t>
  </si>
  <si>
    <t>Platz 115</t>
  </si>
  <si>
    <t>Platz 116</t>
  </si>
  <si>
    <t>Platz 117</t>
  </si>
  <si>
    <t>Platz 118</t>
  </si>
  <si>
    <t>Platz 119</t>
  </si>
  <si>
    <t>Platz 120</t>
  </si>
  <si>
    <t>Platz 121</t>
  </si>
  <si>
    <t>Platz 122</t>
  </si>
  <si>
    <t>Platz 123</t>
  </si>
  <si>
    <t>Platz 124</t>
  </si>
  <si>
    <t>Platz 125</t>
  </si>
  <si>
    <t>Platz 126</t>
  </si>
  <si>
    <t>Platz 127</t>
  </si>
  <si>
    <t>Platz 128</t>
  </si>
  <si>
    <t>Platz 129</t>
  </si>
  <si>
    <t>Platz 130</t>
  </si>
  <si>
    <t>Platz 131</t>
  </si>
  <si>
    <t>Platz 132</t>
  </si>
  <si>
    <t>Platz 133</t>
  </si>
  <si>
    <t>Platz 134</t>
  </si>
  <si>
    <t>Platz 135</t>
  </si>
  <si>
    <t>Platz 136</t>
  </si>
  <si>
    <t>Platz 137</t>
  </si>
  <si>
    <t>Platz 138</t>
  </si>
  <si>
    <t>Platz 139</t>
  </si>
  <si>
    <t>Platz 140</t>
  </si>
  <si>
    <t>Platz 141</t>
  </si>
  <si>
    <t>Platz 142</t>
  </si>
  <si>
    <t>Platz 143</t>
  </si>
  <si>
    <t>Platz 144</t>
  </si>
  <si>
    <t>CB12</t>
  </si>
  <si>
    <t>x</t>
  </si>
  <si>
    <t>3T</t>
  </si>
  <si>
    <t>Häufigkeit</t>
  </si>
  <si>
    <t>CB13</t>
  </si>
  <si>
    <t>MoC</t>
  </si>
  <si>
    <t>12 Folgen</t>
  </si>
  <si>
    <t>6 Folgen</t>
  </si>
  <si>
    <t>8 Folgen</t>
  </si>
  <si>
    <t>Podcast Haschimitenfürst aufgeteilt (Ranking Folge 1-166)</t>
  </si>
  <si>
    <t>SP04</t>
  </si>
  <si>
    <t>Anzahl</t>
  </si>
  <si>
    <t>Die Talker-Lounge 132: Die drei ??? – 013 – …und der lachende Schatten (Rezension)</t>
  </si>
  <si>
    <t>Die Talker-Lounge 126: Die drei ??? – 186 – Insel des Vergessens (Rezension)</t>
  </si>
  <si>
    <t>http://talker-lounge.de/tag/die-drei-fragezeichen/</t>
  </si>
  <si>
    <t>Die Talker-Lounge 132: Talk im Studio – 090 – 200 Folgen und 40 Hörspieljahre “Die drei ???”</t>
  </si>
  <si>
    <t>RS</t>
  </si>
  <si>
    <t>PiratenTalk-Podcast #9: Todesflug 2.0 oder “Die Drei ??? – Im Bann des Drachen”</t>
  </si>
  <si>
    <t>Podcast #12 – Die drei Fragezeichen</t>
  </si>
  <si>
    <t>http://wellenerdpol.podigee.io/</t>
  </si>
  <si>
    <t>http://www.nerdizismus.de/episoden/</t>
  </si>
  <si>
    <t>http://couchpirat.de/category/medien/podcasts/</t>
  </si>
  <si>
    <t>http://washoerstduso.wordpress.com/alle-folgen/</t>
  </si>
  <si>
    <t>Folge 003: Die drei Fragezeichen – Das leere Grab</t>
  </si>
  <si>
    <t>Folge 004: DiE DR3i – und der kopflose Reiter</t>
  </si>
  <si>
    <t>Folge 009: Die drei Fragezeichen – Musik des Teufels</t>
  </si>
  <si>
    <t>Folge 029: Die drei Fragezeichen – und der Zeitgeist – Immer und immer wieder</t>
  </si>
  <si>
    <t>Hoerst</t>
  </si>
  <si>
    <t>KG3.1</t>
  </si>
  <si>
    <t>Folge 17: Echt pfiffig, Die drei ??? und das versunkene Dorf</t>
  </si>
  <si>
    <t>#020 - Geheimnisvolle Botschaften</t>
  </si>
  <si>
    <t>#021 - … und die gefährlichen Fässer</t>
  </si>
  <si>
    <t>#022 - … und der tanzende Teufel</t>
  </si>
  <si>
    <t>SSP Interview (IX): Christopher Tauber und das Ritual der Schlangen</t>
  </si>
  <si>
    <t>FragezeichenPod – 028 – und der Doppelgänger</t>
  </si>
  <si>
    <t>FragezeichenPod – Aufruf für Jupiter Jones</t>
  </si>
  <si>
    <t>FragezeichenPod und die Geisterlampe</t>
  </si>
  <si>
    <t>Katastrophe auf den Philippinen</t>
  </si>
  <si>
    <t>FragezeichenPod – 194 – und die Zeitreisende</t>
  </si>
  <si>
    <t>Teaser 3.0 (ab 2016 ist der FragezeichenPod ein Podcast der VierOhren.de Familie)</t>
  </si>
  <si>
    <t>Podwichtelfolge vom FragezeichenPod für den Ach! Podcast</t>
  </si>
  <si>
    <t>FragezeichenPod – Spezialgelagert – 189 und der unsichtbare Passagier (Gemeinschaftsproduktion mit Spezialgelagerter Sonderpodcast)</t>
  </si>
  <si>
    <t>SSP #26: Die drei ??? – Fußball-Gangster (63)</t>
  </si>
  <si>
    <t>SSP #29.5: Skateboardende Eisskorpione – Das Sonderfeedback</t>
  </si>
  <si>
    <t>Die Talker-Lounge 122: Die drei ??? – 014 – …und das Bergmonster (Rezension)</t>
  </si>
  <si>
    <t>SSP #48: Die drei ??? – Spuk im Netz (132)</t>
  </si>
  <si>
    <t>#019 - … und die bedrohte Ranch</t>
  </si>
  <si>
    <t>Talker</t>
  </si>
  <si>
    <t>Feedback Folge 2: Die Zentrale meets Rotz+Wasser</t>
  </si>
  <si>
    <t>Feedback Folge 3: Die Zentrale meets Rotz+Wasser</t>
  </si>
  <si>
    <t>Feedback Folge 1: Zwischenfolge - Feedback</t>
  </si>
  <si>
    <t>Folge 03: Kurz vor der Anarchie, Die drei ??? - Poltergeist</t>
  </si>
  <si>
    <t>Folge 04: Hahn im Korb, Die drei ??? und der giftige Gockel</t>
  </si>
  <si>
    <t>Folge 05: Ant-Man kann einpacken, Die drei ??? und der Ameisenmensch</t>
  </si>
  <si>
    <t>Folge 06: In den Fluten der Detailkonfusität, Die drei ??? - Im Auge des Sturms</t>
  </si>
  <si>
    <t>Folge 07: Klickgeile Schweine, Die drei ??? - Die Legende der Gaukler</t>
  </si>
  <si>
    <t>Folge 08: Kurz und knackig, Die drei ??? - Grusel auf Campbell Castle</t>
  </si>
  <si>
    <t>Folge 09: Wir sind ja eigentlich Fans..., Die drei ??? und die Zeitreisende</t>
  </si>
  <si>
    <r>
      <t>SSP #</t>
    </r>
    <r>
      <rPr>
        <sz val="1"/>
        <color theme="1"/>
        <rFont val="Calibri"/>
        <family val="2"/>
        <scheme val="minor"/>
      </rPr>
      <t>0</t>
    </r>
    <r>
      <rPr>
        <sz val="11"/>
        <color theme="1"/>
        <rFont val="Calibri"/>
        <family val="2"/>
        <scheme val="minor"/>
      </rPr>
      <t>1.5: Superpapagei – Das Sonderfeedback</t>
    </r>
  </si>
  <si>
    <r>
      <t>SSP #</t>
    </r>
    <r>
      <rPr>
        <sz val="1"/>
        <color theme="1"/>
        <rFont val="Calibri"/>
        <family val="2"/>
        <scheme val="minor"/>
      </rPr>
      <t>0</t>
    </r>
    <r>
      <rPr>
        <sz val="11"/>
        <color theme="1"/>
        <rFont val="Calibri"/>
        <family val="2"/>
        <scheme val="minor"/>
      </rPr>
      <t>2.5: Silberspinne – Das Sonderfeedback</t>
    </r>
  </si>
  <si>
    <r>
      <t>SSP #</t>
    </r>
    <r>
      <rPr>
        <sz val="1"/>
        <color theme="1"/>
        <rFont val="Calibri"/>
        <family val="2"/>
        <scheme val="minor"/>
      </rPr>
      <t>0</t>
    </r>
    <r>
      <rPr>
        <sz val="11"/>
        <color theme="1"/>
        <rFont val="Calibri"/>
        <family val="2"/>
        <scheme val="minor"/>
      </rPr>
      <t>3.5: Mumiengeflüster – Das Sonderfeedback</t>
    </r>
  </si>
  <si>
    <r>
      <t>SSP #</t>
    </r>
    <r>
      <rPr>
        <sz val="1"/>
        <color theme="1"/>
        <rFont val="Calibri"/>
        <family val="2"/>
        <scheme val="minor"/>
      </rPr>
      <t>0</t>
    </r>
    <r>
      <rPr>
        <sz val="11"/>
        <color theme="1"/>
        <rFont val="Calibri"/>
        <family val="2"/>
        <scheme val="minor"/>
      </rPr>
      <t>4.5: Spielerspur – Das Sonderfeedback</t>
    </r>
  </si>
  <si>
    <r>
      <t>SSP #</t>
    </r>
    <r>
      <rPr>
        <sz val="1"/>
        <color theme="1"/>
        <rFont val="Calibri"/>
        <family val="2"/>
        <scheme val="minor"/>
      </rPr>
      <t>0</t>
    </r>
    <r>
      <rPr>
        <sz val="11"/>
        <color theme="1"/>
        <rFont val="Calibri"/>
        <family val="2"/>
        <scheme val="minor"/>
      </rPr>
      <t>5.5: Aiga und Ivar im Götterlabyrinth</t>
    </r>
  </si>
  <si>
    <r>
      <t>SSP #</t>
    </r>
    <r>
      <rPr>
        <sz val="1"/>
        <color theme="1"/>
        <rFont val="Calibri"/>
        <family val="2"/>
        <scheme val="minor"/>
      </rPr>
      <t>0</t>
    </r>
    <r>
      <rPr>
        <sz val="11"/>
        <color theme="1"/>
        <rFont val="Calibri"/>
        <family val="2"/>
        <scheme val="minor"/>
      </rPr>
      <t>6.5: Internetvampire auf der Hörmich</t>
    </r>
  </si>
  <si>
    <r>
      <t>SSP #</t>
    </r>
    <r>
      <rPr>
        <sz val="1"/>
        <color theme="1"/>
        <rFont val="Calibri"/>
        <family val="2"/>
        <scheme val="minor"/>
      </rPr>
      <t>0</t>
    </r>
    <r>
      <rPr>
        <sz val="11"/>
        <color theme="1"/>
        <rFont val="Calibri"/>
        <family val="2"/>
        <scheme val="minor"/>
      </rPr>
      <t>6: Die drei ??? – Vampir im Internet (88)</t>
    </r>
  </si>
  <si>
    <r>
      <t>SSP #</t>
    </r>
    <r>
      <rPr>
        <sz val="1"/>
        <color theme="1"/>
        <rFont val="Calibri"/>
        <family val="2"/>
        <scheme val="minor"/>
      </rPr>
      <t>0</t>
    </r>
    <r>
      <rPr>
        <sz val="11"/>
        <color theme="1"/>
        <rFont val="Calibri"/>
        <family val="2"/>
        <scheme val="minor"/>
      </rPr>
      <t>7.5: Der unsichtbare Kommissar – Sonderfeedback</t>
    </r>
  </si>
  <si>
    <r>
      <t>SSP #</t>
    </r>
    <r>
      <rPr>
        <sz val="1"/>
        <color theme="1"/>
        <rFont val="Calibri"/>
        <family val="2"/>
        <scheme val="minor"/>
      </rPr>
      <t>0</t>
    </r>
    <r>
      <rPr>
        <sz val="11"/>
        <color theme="1"/>
        <rFont val="Calibri"/>
        <family val="2"/>
        <scheme val="minor"/>
      </rPr>
      <t>7: Die drei ??? und der unsichtbare Gegner (38)</t>
    </r>
  </si>
  <si>
    <r>
      <t>SSP #</t>
    </r>
    <r>
      <rPr>
        <sz val="1"/>
        <color theme="1"/>
        <rFont val="Calibri"/>
        <family val="2"/>
        <scheme val="minor"/>
      </rPr>
      <t>0</t>
    </r>
    <r>
      <rPr>
        <sz val="11"/>
        <color theme="1"/>
        <rFont val="Calibri"/>
        <family val="2"/>
        <scheme val="minor"/>
      </rPr>
      <t>8.5: Der grüngeistige Inspektor – Sonderfeedback</t>
    </r>
  </si>
  <si>
    <r>
      <t>SSP #</t>
    </r>
    <r>
      <rPr>
        <sz val="1"/>
        <color theme="1"/>
        <rFont val="Calibri"/>
        <family val="2"/>
        <scheme val="minor"/>
      </rPr>
      <t>0</t>
    </r>
    <r>
      <rPr>
        <sz val="11"/>
        <color theme="1"/>
        <rFont val="Calibri"/>
        <family val="2"/>
        <scheme val="minor"/>
      </rPr>
      <t>8: Die drei ??? und der grüne Geist (8)</t>
    </r>
  </si>
  <si>
    <r>
      <t>SSP #</t>
    </r>
    <r>
      <rPr>
        <sz val="1"/>
        <color theme="1"/>
        <rFont val="Calibri"/>
        <family val="2"/>
        <scheme val="minor"/>
      </rPr>
      <t>0</t>
    </r>
    <r>
      <rPr>
        <sz val="11"/>
        <color theme="1"/>
        <rFont val="Calibri"/>
        <family val="2"/>
        <scheme val="minor"/>
      </rPr>
      <t>9.5: Der Bergseeschatz und das klischeehafte Sonderfeedback</t>
    </r>
  </si>
  <si>
    <r>
      <t>SSP #</t>
    </r>
    <r>
      <rPr>
        <sz val="1"/>
        <color theme="1"/>
        <rFont val="Calibri"/>
        <family val="2"/>
        <scheme val="minor"/>
      </rPr>
      <t>0</t>
    </r>
    <r>
      <rPr>
        <sz val="11"/>
        <color theme="1"/>
        <rFont val="Calibri"/>
        <family val="2"/>
        <scheme val="minor"/>
      </rPr>
      <t>9: Die drei ??? und der Schatz im Bergsee (68)</t>
    </r>
  </si>
  <si>
    <t>Die Talker-Lounge 117: Talk im Studio – 075 – Rivalität zwischen Drei ???- und TKKG-Fans – Warum?</t>
  </si>
  <si>
    <t>Die Talker-Lounge 109: Die drei ??? – 169 – Spur des Spielers (Rezension)</t>
  </si>
  <si>
    <t>Die Talker-Lounge 100: Die drei ??? – 076 – Stimmen aus dem Nichts (Rezension)</t>
  </si>
  <si>
    <r>
      <t xml:space="preserve">Die Talker-Lounge </t>
    </r>
    <r>
      <rPr>
        <sz val="1"/>
        <color theme="1"/>
        <rFont val="Calibri"/>
        <family val="2"/>
        <scheme val="minor"/>
      </rPr>
      <t>0</t>
    </r>
    <r>
      <rPr>
        <sz val="11"/>
        <color theme="1"/>
        <rFont val="Calibri"/>
        <family val="2"/>
        <scheme val="minor"/>
      </rPr>
      <t>01: Die drei ??? (151): Schwarze Sonne</t>
    </r>
  </si>
  <si>
    <r>
      <t xml:space="preserve">Die Talker-Lounge </t>
    </r>
    <r>
      <rPr>
        <sz val="1"/>
        <color theme="1"/>
        <rFont val="Calibri"/>
        <family val="2"/>
        <scheme val="minor"/>
      </rPr>
      <t>0</t>
    </r>
    <r>
      <rPr>
        <sz val="11"/>
        <color theme="1"/>
        <rFont val="Calibri"/>
        <family val="2"/>
        <scheme val="minor"/>
      </rPr>
      <t>03: Die drei ??? (001): Der Super-Papagei</t>
    </r>
  </si>
  <si>
    <r>
      <t xml:space="preserve">Die Talker-Lounge </t>
    </r>
    <r>
      <rPr>
        <sz val="1"/>
        <color theme="1"/>
        <rFont val="Calibri"/>
        <family val="2"/>
        <scheme val="minor"/>
      </rPr>
      <t>0</t>
    </r>
    <r>
      <rPr>
        <sz val="11"/>
        <color theme="1"/>
        <rFont val="Calibri"/>
        <family val="2"/>
        <scheme val="minor"/>
      </rPr>
      <t>05: Die drei ??? (002): ...und der Phantomsee</t>
    </r>
  </si>
  <si>
    <r>
      <t xml:space="preserve">Die Talker-Lounge </t>
    </r>
    <r>
      <rPr>
        <sz val="1"/>
        <color theme="1"/>
        <rFont val="Calibri"/>
        <family val="2"/>
        <scheme val="minor"/>
      </rPr>
      <t>0</t>
    </r>
    <r>
      <rPr>
        <sz val="11"/>
        <color theme="1"/>
        <rFont val="Calibri"/>
        <family val="2"/>
        <scheme val="minor"/>
      </rPr>
      <t>07: Die drei ??? (152): Skateboardfieber</t>
    </r>
  </si>
  <si>
    <r>
      <t xml:space="preserve">Die Talker-Lounge </t>
    </r>
    <r>
      <rPr>
        <sz val="1"/>
        <rFont val="Calibri"/>
        <family val="2"/>
        <scheme val="minor"/>
      </rPr>
      <t>0</t>
    </r>
    <r>
      <rPr>
        <sz val="11"/>
        <rFont val="Calibri"/>
        <family val="2"/>
        <scheme val="minor"/>
      </rPr>
      <t>09: Die drei ??? (153): ...und das Fußballphantom</t>
    </r>
  </si>
  <si>
    <r>
      <t xml:space="preserve">Die Talker-Lounge </t>
    </r>
    <r>
      <rPr>
        <sz val="1"/>
        <rFont val="Calibri"/>
        <family val="2"/>
        <scheme val="minor"/>
      </rPr>
      <t>0</t>
    </r>
    <r>
      <rPr>
        <sz val="11"/>
        <rFont val="Calibri"/>
        <family val="2"/>
        <scheme val="minor"/>
      </rPr>
      <t>12: Die drei ??? (003): ...und der Karpatenhund</t>
    </r>
  </si>
  <si>
    <r>
      <t xml:space="preserve">Die Talker-Lounge </t>
    </r>
    <r>
      <rPr>
        <sz val="1"/>
        <rFont val="Calibri"/>
        <family val="2"/>
        <scheme val="minor"/>
      </rPr>
      <t>0</t>
    </r>
    <r>
      <rPr>
        <sz val="11"/>
        <rFont val="Calibri"/>
        <family val="2"/>
        <scheme val="minor"/>
      </rPr>
      <t>15: Die drei ??? (154): Botschaft aus der Unterwelt</t>
    </r>
  </si>
  <si>
    <r>
      <t xml:space="preserve">Die Talker-Lounge </t>
    </r>
    <r>
      <rPr>
        <sz val="1"/>
        <rFont val="Calibri"/>
        <family val="2"/>
        <scheme val="minor"/>
      </rPr>
      <t>0</t>
    </r>
    <r>
      <rPr>
        <sz val="11"/>
        <rFont val="Calibri"/>
        <family val="2"/>
        <scheme val="minor"/>
      </rPr>
      <t>17: Die drei ??? (155): Der Meister des Todes</t>
    </r>
  </si>
  <si>
    <r>
      <t xml:space="preserve">Die Talker-Lounge </t>
    </r>
    <r>
      <rPr>
        <sz val="1"/>
        <rFont val="Calibri"/>
        <family val="2"/>
        <scheme val="minor"/>
      </rPr>
      <t>0</t>
    </r>
    <r>
      <rPr>
        <sz val="11"/>
        <rFont val="Calibri"/>
        <family val="2"/>
        <scheme val="minor"/>
      </rPr>
      <t>18: Die drei ??? (156): Im Netz des Drachen</t>
    </r>
  </si>
  <si>
    <r>
      <t xml:space="preserve">Die Talker-Lounge </t>
    </r>
    <r>
      <rPr>
        <sz val="1"/>
        <rFont val="Calibri"/>
        <family val="2"/>
        <scheme val="minor"/>
      </rPr>
      <t>0</t>
    </r>
    <r>
      <rPr>
        <sz val="11"/>
        <rFont val="Calibri"/>
        <family val="2"/>
        <scheme val="minor"/>
      </rPr>
      <t>21: Die drei ??? (xxx): Die Geisterlampe (12 Kurzrezensionen)</t>
    </r>
  </si>
  <si>
    <r>
      <t xml:space="preserve">Die Talker-Lounge </t>
    </r>
    <r>
      <rPr>
        <sz val="1"/>
        <rFont val="Calibri"/>
        <family val="2"/>
        <scheme val="minor"/>
      </rPr>
      <t>0</t>
    </r>
    <r>
      <rPr>
        <sz val="11"/>
        <rFont val="Calibri"/>
        <family val="2"/>
        <scheme val="minor"/>
      </rPr>
      <t>21: Die drei ??? (157): Im Zeichen der Schlange</t>
    </r>
  </si>
  <si>
    <r>
      <t xml:space="preserve">Die Talker-Lounge </t>
    </r>
    <r>
      <rPr>
        <sz val="1"/>
        <rFont val="Calibri"/>
        <family val="2"/>
        <scheme val="minor"/>
      </rPr>
      <t>0</t>
    </r>
    <r>
      <rPr>
        <sz val="11"/>
        <rFont val="Calibri"/>
        <family val="2"/>
        <scheme val="minor"/>
      </rPr>
      <t>21: Die drei ??? (015): Der rasende Löwe</t>
    </r>
  </si>
  <si>
    <r>
      <t xml:space="preserve">Die Talker-Lounge </t>
    </r>
    <r>
      <rPr>
        <sz val="1"/>
        <rFont val="Calibri"/>
        <family val="2"/>
        <scheme val="minor"/>
      </rPr>
      <t>0</t>
    </r>
    <r>
      <rPr>
        <sz val="11"/>
        <rFont val="Calibri"/>
        <family val="2"/>
        <scheme val="minor"/>
      </rPr>
      <t>22: Die drei ??? (090): der Feuerteufel</t>
    </r>
  </si>
  <si>
    <r>
      <t xml:space="preserve">Die Talker-Lounge </t>
    </r>
    <r>
      <rPr>
        <sz val="1"/>
        <rFont val="Calibri"/>
        <family val="2"/>
        <scheme val="minor"/>
      </rPr>
      <t>0</t>
    </r>
    <r>
      <rPr>
        <sz val="11"/>
        <rFont val="Calibri"/>
        <family val="2"/>
        <scheme val="minor"/>
      </rPr>
      <t>22: Die drei ??? (111): Die Höhle des Grauens</t>
    </r>
  </si>
  <si>
    <r>
      <t xml:space="preserve">Die Talker-Lounge </t>
    </r>
    <r>
      <rPr>
        <sz val="1"/>
        <rFont val="Calibri"/>
        <family val="2"/>
        <scheme val="minor"/>
      </rPr>
      <t>0</t>
    </r>
    <r>
      <rPr>
        <sz val="11"/>
        <rFont val="Calibri"/>
        <family val="2"/>
        <scheme val="minor"/>
      </rPr>
      <t>25: Die drei ??? (158): Der Feuergeist</t>
    </r>
  </si>
  <si>
    <r>
      <t xml:space="preserve">Die Talker-Lounge </t>
    </r>
    <r>
      <rPr>
        <sz val="1"/>
        <rFont val="Calibri"/>
        <family val="2"/>
        <scheme val="minor"/>
      </rPr>
      <t>0</t>
    </r>
    <r>
      <rPr>
        <sz val="11"/>
        <rFont val="Calibri"/>
        <family val="2"/>
        <scheme val="minor"/>
      </rPr>
      <t>36: Die drei Fragezeichen (004): Die schwarze Katze</t>
    </r>
  </si>
  <si>
    <r>
      <t xml:space="preserve">Die Talker-Lounge </t>
    </r>
    <r>
      <rPr>
        <sz val="1"/>
        <rFont val="Calibri"/>
        <family val="2"/>
        <scheme val="minor"/>
      </rPr>
      <t>0</t>
    </r>
    <r>
      <rPr>
        <sz val="11"/>
        <rFont val="Calibri"/>
        <family val="2"/>
        <scheme val="minor"/>
      </rPr>
      <t>39: Die drei Fragezeichen (162): und der schreiende Nebel</t>
    </r>
  </si>
  <si>
    <r>
      <t xml:space="preserve">Die Talker-Lounge </t>
    </r>
    <r>
      <rPr>
        <sz val="1"/>
        <rFont val="Calibri"/>
        <family val="2"/>
        <scheme val="minor"/>
      </rPr>
      <t>0</t>
    </r>
    <r>
      <rPr>
        <sz val="11"/>
        <rFont val="Calibri"/>
        <family val="2"/>
        <scheme val="minor"/>
      </rPr>
      <t>45: Die drei Fragezeichen (005): Der Fluch des Rubin</t>
    </r>
  </si>
  <si>
    <r>
      <t xml:space="preserve">Die Talker-Lounge </t>
    </r>
    <r>
      <rPr>
        <sz val="1"/>
        <rFont val="Calibri"/>
        <family val="2"/>
        <scheme val="minor"/>
      </rPr>
      <t>0</t>
    </r>
    <r>
      <rPr>
        <sz val="11"/>
        <rFont val="Calibri"/>
        <family val="2"/>
        <scheme val="minor"/>
      </rPr>
      <t>47: Die drei Fragezeichen (163): und der verschollene Pilot</t>
    </r>
  </si>
  <si>
    <r>
      <t xml:space="preserve">Die Talker-Lounge </t>
    </r>
    <r>
      <rPr>
        <sz val="1"/>
        <rFont val="Calibri"/>
        <family val="2"/>
        <scheme val="minor"/>
      </rPr>
      <t>0</t>
    </r>
    <r>
      <rPr>
        <sz val="11"/>
        <rFont val="Calibri"/>
        <family val="2"/>
        <scheme val="minor"/>
      </rPr>
      <t>56: Bericht über ???-Veranstaltung im Planetarium Hamburg</t>
    </r>
  </si>
  <si>
    <r>
      <t xml:space="preserve">Die Talker-Lounge </t>
    </r>
    <r>
      <rPr>
        <sz val="1"/>
        <rFont val="Calibri"/>
        <family val="2"/>
        <scheme val="minor"/>
      </rPr>
      <t>0</t>
    </r>
    <r>
      <rPr>
        <sz val="11"/>
        <rFont val="Calibri"/>
        <family val="2"/>
        <scheme val="minor"/>
      </rPr>
      <t>56: Die drei Fragezeichen – 164 Fußball-Teufel</t>
    </r>
  </si>
  <si>
    <r>
      <t xml:space="preserve">Die Talker-Lounge </t>
    </r>
    <r>
      <rPr>
        <sz val="1"/>
        <color theme="1"/>
        <rFont val="Calibri"/>
        <family val="2"/>
        <scheme val="minor"/>
      </rPr>
      <t>0</t>
    </r>
    <r>
      <rPr>
        <sz val="11"/>
        <color theme="1"/>
        <rFont val="Calibri"/>
        <family val="2"/>
        <scheme val="minor"/>
      </rPr>
      <t>62: Die drei Fragezeichen – 006 und der sprechende Totenkopf</t>
    </r>
  </si>
  <si>
    <r>
      <t xml:space="preserve">Die Talker-Lounge </t>
    </r>
    <r>
      <rPr>
        <sz val="1"/>
        <color theme="1"/>
        <rFont val="Calibri"/>
        <family val="2"/>
        <scheme val="minor"/>
      </rPr>
      <t>0</t>
    </r>
    <r>
      <rPr>
        <sz val="11"/>
        <color theme="1"/>
        <rFont val="Calibri"/>
        <family val="2"/>
        <scheme val="minor"/>
      </rPr>
      <t>64: Talk im Studio – 023 Was ist das Erfolgsrezept der “Die drei Fragezeichen” ?</t>
    </r>
  </si>
  <si>
    <r>
      <t xml:space="preserve">Die Talker-Lounge </t>
    </r>
    <r>
      <rPr>
        <sz val="1"/>
        <color theme="1"/>
        <rFont val="Calibri"/>
        <family val="2"/>
        <scheme val="minor"/>
      </rPr>
      <t>0</t>
    </r>
    <r>
      <rPr>
        <sz val="11"/>
        <color theme="1"/>
        <rFont val="Calibri"/>
        <family val="2"/>
        <scheme val="minor"/>
      </rPr>
      <t>65: Die drei Fragezeichen – 170 Straße des Grauens</t>
    </r>
  </si>
  <si>
    <r>
      <t xml:space="preserve">Die Talker-Lounge </t>
    </r>
    <r>
      <rPr>
        <sz val="1"/>
        <color theme="1"/>
        <rFont val="Calibri"/>
        <family val="2"/>
        <scheme val="minor"/>
      </rPr>
      <t>0</t>
    </r>
    <r>
      <rPr>
        <sz val="11"/>
        <color theme="1"/>
        <rFont val="Calibri"/>
        <family val="2"/>
        <scheme val="minor"/>
      </rPr>
      <t>71: Bericht von der Record Release Party Folge 175 Drei ???</t>
    </r>
  </si>
  <si>
    <r>
      <t xml:space="preserve">Die Talker-Lounge </t>
    </r>
    <r>
      <rPr>
        <sz val="1"/>
        <color theme="1"/>
        <rFont val="Calibri"/>
        <family val="2"/>
        <scheme val="minor"/>
      </rPr>
      <t>0</t>
    </r>
    <r>
      <rPr>
        <sz val="11"/>
        <color theme="1"/>
        <rFont val="Calibri"/>
        <family val="2"/>
        <scheme val="minor"/>
      </rPr>
      <t>75: Die drei Fragezeichen – 007 Der unheimliche Drache</t>
    </r>
  </si>
  <si>
    <r>
      <t xml:space="preserve">Die Talker-Lounge </t>
    </r>
    <r>
      <rPr>
        <sz val="1"/>
        <color theme="1"/>
        <rFont val="Calibri"/>
        <family val="2"/>
        <scheme val="minor"/>
      </rPr>
      <t>0</t>
    </r>
    <r>
      <rPr>
        <sz val="11"/>
        <color theme="1"/>
        <rFont val="Calibri"/>
        <family val="2"/>
        <scheme val="minor"/>
      </rPr>
      <t>78: Die drei Fragezeichen – 166 Die brennende Stadt</t>
    </r>
  </si>
  <si>
    <r>
      <t xml:space="preserve">Die Talker-Lounge </t>
    </r>
    <r>
      <rPr>
        <sz val="1"/>
        <color theme="1"/>
        <rFont val="Calibri"/>
        <family val="2"/>
        <scheme val="minor"/>
      </rPr>
      <t>0</t>
    </r>
    <r>
      <rPr>
        <sz val="11"/>
        <color theme="1"/>
        <rFont val="Calibri"/>
        <family val="2"/>
        <scheme val="minor"/>
      </rPr>
      <t>78: Talk im Studio – 037 Was ist das Erfolgsrezept der “Die drei Fragezeichen” ? 2.0</t>
    </r>
  </si>
  <si>
    <r>
      <t xml:space="preserve">Die Talker-Lounge </t>
    </r>
    <r>
      <rPr>
        <sz val="1"/>
        <color theme="1"/>
        <rFont val="Calibri"/>
        <family val="2"/>
        <scheme val="minor"/>
      </rPr>
      <t>0</t>
    </r>
    <r>
      <rPr>
        <sz val="11"/>
        <color theme="1"/>
        <rFont val="Calibri"/>
        <family val="2"/>
        <scheme val="minor"/>
      </rPr>
      <t>83: Die drei Fragezeichen – 008 …und der grüne Geist</t>
    </r>
  </si>
  <si>
    <r>
      <t xml:space="preserve">Die Talker-Lounge </t>
    </r>
    <r>
      <rPr>
        <sz val="1"/>
        <color theme="1"/>
        <rFont val="Calibri"/>
        <family val="2"/>
        <scheme val="minor"/>
      </rPr>
      <t>0</t>
    </r>
    <r>
      <rPr>
        <sz val="11"/>
        <color theme="1"/>
        <rFont val="Calibri"/>
        <family val="2"/>
        <scheme val="minor"/>
      </rPr>
      <t>87: Die drei Fragezeichen – 180 …und die flüsternden Puppen (Rezension)</t>
    </r>
  </si>
  <si>
    <r>
      <t xml:space="preserve">Die Talker-Lounge </t>
    </r>
    <r>
      <rPr>
        <sz val="1"/>
        <color theme="1"/>
        <rFont val="Calibri"/>
        <family val="2"/>
        <scheme val="minor"/>
      </rPr>
      <t>0</t>
    </r>
    <r>
      <rPr>
        <sz val="11"/>
        <color theme="1"/>
        <rFont val="Calibri"/>
        <family val="2"/>
        <scheme val="minor"/>
      </rPr>
      <t>92: Die drei ??? – 009 – …und die rätselhaften Bilder (Rezension)</t>
    </r>
  </si>
  <si>
    <r>
      <t xml:space="preserve">Die Talker-Lounge </t>
    </r>
    <r>
      <rPr>
        <sz val="1"/>
        <color theme="1"/>
        <rFont val="Calibri"/>
        <family val="2"/>
        <scheme val="minor"/>
      </rPr>
      <t>0</t>
    </r>
    <r>
      <rPr>
        <sz val="11"/>
        <color theme="1"/>
        <rFont val="Calibri"/>
        <family val="2"/>
        <scheme val="minor"/>
      </rPr>
      <t>98: Die drei ??? – 183 – Der letzte Song (Rezension)</t>
    </r>
  </si>
  <si>
    <r>
      <t xml:space="preserve">Die Talker-Lounge </t>
    </r>
    <r>
      <rPr>
        <sz val="1"/>
        <rFont val="Calibri"/>
        <family val="2"/>
        <scheme val="minor"/>
      </rPr>
      <t>0</t>
    </r>
    <r>
      <rPr>
        <sz val="11"/>
        <rFont val="Calibri"/>
        <family val="2"/>
        <scheme val="minor"/>
      </rPr>
      <t>99: Die drei ??? – 010 – …und die flüsternde Mumie (Rezension)</t>
    </r>
  </si>
  <si>
    <r>
      <t xml:space="preserve">Die Talker-Lounge </t>
    </r>
    <r>
      <rPr>
        <sz val="1"/>
        <color theme="1"/>
        <rFont val="Calibri"/>
        <family val="2"/>
        <scheme val="minor"/>
      </rPr>
      <t>0</t>
    </r>
    <r>
      <rPr>
        <sz val="11"/>
        <color theme="1"/>
        <rFont val="Calibri"/>
        <family val="2"/>
        <scheme val="minor"/>
      </rPr>
      <t>80: Interview mit Andreas Fröhlich &amp; Michael Esser</t>
    </r>
  </si>
  <si>
    <r>
      <t xml:space="preserve">Die Talker-Lounge </t>
    </r>
    <r>
      <rPr>
        <sz val="1"/>
        <rFont val="Calibri"/>
        <family val="2"/>
        <scheme val="minor"/>
      </rPr>
      <t>0</t>
    </r>
    <r>
      <rPr>
        <sz val="11"/>
        <rFont val="Calibri"/>
        <family val="2"/>
        <scheme val="minor"/>
      </rPr>
      <t>47: Interview mit Oliver Rohrbeck &amp; Jens Wawrczeck</t>
    </r>
  </si>
  <si>
    <t>Die Talker-Lounge 117: Die drei ??? – 012 – …und der seltsame Wecker (Rezension)</t>
  </si>
  <si>
    <t>http://www.spezialgelagert.de</t>
  </si>
  <si>
    <t>FragezeichenPod – Spezial gelagerte Sonderfolge – Theater auf Tour – Fragezeichenkids</t>
  </si>
  <si>
    <t>FragezeichenPod – Spezial gelagerte Sonderfolge – Boris Pfeiffer (Interview mit Boris Pfeiffer per Skype)</t>
  </si>
  <si>
    <t>FragezeichenPod – Spezial gelagerte Sonderfolge – Hennes Bender</t>
  </si>
  <si>
    <t>FragezeichenPod – Spezial gelagerte Sonderfolge – Hennes Bender – Auflösung</t>
  </si>
  <si>
    <t>FragezeichenPod – Spezial gelagerte Sonderfolge – Oliver Rohrbeck (Interview mit Oliver Rohrbeck vis-a-vis)</t>
  </si>
  <si>
    <t>DT</t>
  </si>
  <si>
    <t>OhrCast 26-6 Interview mit Kai Schwind zur Drei ???-Tour "Phonophobia"</t>
  </si>
  <si>
    <t>OhrCast 17-8 Interview mit Kai Schwind, die neue Tour der Drei ??? und mehr...</t>
  </si>
  <si>
    <t>http://hoerspieltipps.net/ohrcast/ohrcast.html</t>
  </si>
  <si>
    <t>OhrCast Special-12 Interview mit Kai Schwind zur Live-Tour "Die drei ??? und der dunkle Taipan"</t>
  </si>
  <si>
    <t>Nerdizismus Folge 40 | Die 2 drei ??? Hörspiele Nerds</t>
  </si>
  <si>
    <r>
      <t xml:space="preserve">Welle Nerdpol </t>
    </r>
    <r>
      <rPr>
        <sz val="11"/>
        <rFont val="Calibri"/>
        <family val="2"/>
        <scheme val="minor"/>
      </rPr>
      <t xml:space="preserve">- Der monatliche Podcast über alle Nerd-Themen </t>
    </r>
    <r>
      <rPr>
        <sz val="11"/>
        <color theme="0"/>
        <rFont val="Calibri"/>
        <family val="2"/>
        <scheme val="minor"/>
      </rPr>
      <t>(seit 27. März 2014)</t>
    </r>
  </si>
  <si>
    <r>
      <t xml:space="preserve">Nerdizismus </t>
    </r>
    <r>
      <rPr>
        <sz val="11"/>
        <color theme="1"/>
        <rFont val="Calibri"/>
        <family val="2"/>
        <scheme val="minor"/>
      </rPr>
      <t xml:space="preserve">- Der nerdige Podcast </t>
    </r>
    <r>
      <rPr>
        <sz val="11"/>
        <color theme="0"/>
        <rFont val="Calibri"/>
        <family val="2"/>
        <scheme val="minor"/>
      </rPr>
      <t>(seit 21. Dezember 2014)</t>
    </r>
  </si>
  <si>
    <r>
      <t xml:space="preserve">Der Couchpirat </t>
    </r>
    <r>
      <rPr>
        <sz val="11"/>
        <color theme="1"/>
        <rFont val="Calibri"/>
        <family val="2"/>
        <scheme val="minor"/>
      </rPr>
      <t xml:space="preserve">- PiratenTalk-Podcast </t>
    </r>
    <r>
      <rPr>
        <sz val="11"/>
        <color theme="0"/>
        <rFont val="Calibri"/>
        <family val="2"/>
        <scheme val="minor"/>
      </rPr>
      <t>(seit 23. Dezember 2017)</t>
    </r>
  </si>
  <si>
    <r>
      <t>SSP #</t>
    </r>
    <r>
      <rPr>
        <sz val="1"/>
        <color theme="1"/>
        <rFont val="Calibri"/>
        <family val="2"/>
        <scheme val="minor"/>
      </rPr>
      <t>0</t>
    </r>
    <r>
      <rPr>
        <sz val="11"/>
        <color theme="1"/>
        <rFont val="Calibri"/>
        <family val="2"/>
        <scheme val="minor"/>
      </rPr>
      <t>5: Die drei ??? – Labyrinth der Götter (91)</t>
    </r>
  </si>
  <si>
    <t>SSP #13: Die drei ??? – Der Mann ohne Kopf (106)</t>
  </si>
  <si>
    <t>SSP #38: Die drei ??? – Nacht in Angst (86) mit Fabian Käufer</t>
  </si>
  <si>
    <r>
      <t xml:space="preserve">Talker-Lounge Unplugged </t>
    </r>
    <r>
      <rPr>
        <sz val="1"/>
        <rFont val="Calibri"/>
        <family val="2"/>
        <scheme val="minor"/>
      </rPr>
      <t>0</t>
    </r>
    <r>
      <rPr>
        <sz val="11"/>
        <rFont val="Calibri"/>
        <family val="2"/>
        <scheme val="minor"/>
      </rPr>
      <t>2 – Interview André Marx – Premiere “Die drei ??? und das versunkene Schiff” 12.09.2017</t>
    </r>
  </si>
  <si>
    <r>
      <t xml:space="preserve">Talker-Lounge Unplugged </t>
    </r>
    <r>
      <rPr>
        <sz val="1"/>
        <rFont val="Calibri"/>
        <family val="2"/>
        <scheme val="minor"/>
      </rPr>
      <t>0</t>
    </r>
    <r>
      <rPr>
        <sz val="11"/>
        <rFont val="Calibri"/>
        <family val="2"/>
        <scheme val="minor"/>
      </rPr>
      <t>4 – Interview Kai Schwind – Premiere “Die drei ??? und das versunkene Schiff” 12.09.2017</t>
    </r>
  </si>
  <si>
    <r>
      <t xml:space="preserve">Talker-Lounge Unplugged </t>
    </r>
    <r>
      <rPr>
        <sz val="1"/>
        <rFont val="Calibri"/>
        <family val="2"/>
        <scheme val="minor"/>
      </rPr>
      <t>0</t>
    </r>
    <r>
      <rPr>
        <sz val="11"/>
        <rFont val="Calibri"/>
        <family val="2"/>
        <scheme val="minor"/>
      </rPr>
      <t>5 – Interview Maike Müller – Premiere “Die drei ??? und das versunkene Schiff” 12.09.2017</t>
    </r>
  </si>
  <si>
    <r>
      <t xml:space="preserve">Talker-Lounge Unplugged </t>
    </r>
    <r>
      <rPr>
        <sz val="1"/>
        <rFont val="Calibri"/>
        <family val="2"/>
        <scheme val="minor"/>
      </rPr>
      <t>0</t>
    </r>
    <r>
      <rPr>
        <sz val="11"/>
        <rFont val="Calibri"/>
        <family val="2"/>
        <scheme val="minor"/>
      </rPr>
      <t>6 – Interview Ivar Leon Menger – Ein monströses Interview</t>
    </r>
  </si>
  <si>
    <r>
      <t xml:space="preserve">Talker-Lounge Unplugged </t>
    </r>
    <r>
      <rPr>
        <sz val="1"/>
        <rFont val="Calibri"/>
        <family val="2"/>
        <scheme val="minor"/>
      </rPr>
      <t>0</t>
    </r>
    <r>
      <rPr>
        <sz val="11"/>
        <rFont val="Calibri"/>
        <family val="2"/>
        <scheme val="minor"/>
      </rPr>
      <t>7 – Interview C. R. Rodenwald – “Die Welt der Drei Fragezeichen”</t>
    </r>
  </si>
  <si>
    <r>
      <t xml:space="preserve">Talker-Lounge Unplugged </t>
    </r>
    <r>
      <rPr>
        <sz val="1"/>
        <rFont val="Calibri"/>
        <family val="2"/>
        <scheme val="minor"/>
      </rPr>
      <t>0</t>
    </r>
    <r>
      <rPr>
        <sz val="11"/>
        <rFont val="Calibri"/>
        <family val="2"/>
        <scheme val="minor"/>
      </rPr>
      <t>3 – Interview Heikedine Körting – Premiere “Die drei ??? und das versunkene Schiff” 12.09.2017</t>
    </r>
  </si>
  <si>
    <r>
      <t xml:space="preserve">Talker-Lounge Unplugged </t>
    </r>
    <r>
      <rPr>
        <sz val="1"/>
        <rFont val="Calibri"/>
        <family val="2"/>
        <scheme val="minor"/>
      </rPr>
      <t>0</t>
    </r>
    <r>
      <rPr>
        <sz val="11"/>
        <rFont val="Calibri"/>
        <family val="2"/>
        <scheme val="minor"/>
      </rPr>
      <t>9 – Interview Heikedine Körting – Thementage Film- und TV-Hörspiele</t>
    </r>
  </si>
  <si>
    <t>Talker-Lounge Unplugged 18 – Interview Heikedine Körting – Thementage zum 40 jährigen Hörspieljubiläum der "Fünf Freunde"</t>
  </si>
  <si>
    <t>Bonus 2: Clarissa &amp; Bob – Euer Feedback</t>
  </si>
  <si>
    <t>Die drei ???-Tour 2014: Phonophobia – Sinfonie der Angst</t>
  </si>
  <si>
    <t>#023 - … und das brennende Schwert</t>
  </si>
  <si>
    <t>PiratenTalk-Podcast #7: #LBM18, ein Fall im Nirgendwo und ein affiger Mörder</t>
  </si>
  <si>
    <t>Die Talker-Lounge 135: Die Talker-Lounge vor Ort – Die drei ??? und der dunkle Taipan – Premiere 2019 in Berlin</t>
  </si>
  <si>
    <t>Folge 17+: Fanservice und Easter Eggs, Bonus: Die drei ??? und das versunkene Dorf</t>
  </si>
  <si>
    <t>#024 - Dreckiger Deal</t>
  </si>
  <si>
    <t>SSP Live #3 / SSP #50a: Die drei ??? und der sprechende Totenkopf in Bremen (23.11.19) Seite A – Tür 1</t>
  </si>
  <si>
    <t>SSP Live #3 / SSP #50b: Die drei ??? und der sprechende Totenkopf in Bremen (23.11.19) Seite B – Tür 2</t>
  </si>
  <si>
    <t>K00</t>
  </si>
  <si>
    <t>Special: Was hat BJHW je für uns getan? (featuring Uli)</t>
  </si>
  <si>
    <t>Spezialgelagerter Adventskalender 2019 – Tür 4: Der Spezi-Test</t>
  </si>
  <si>
    <t>Spezialgelagerter Adventskalender 2019 – Tür 5: Bibi Blocksberg – Die Weihnachtsmänner (38)</t>
  </si>
  <si>
    <t>Spezialgelagerter Adventskalender 2019 – Tür 6: Lords of the Trident unplugged in Bremen</t>
  </si>
  <si>
    <t>Spezialgelagerter Adventskalender 2019 – Tür 7: Flavia de Luce – Mord im Gurkenbeet</t>
  </si>
  <si>
    <t>Spezialgelagerter Adventskalender 2019 – Tür 8: John Sinclair Edition 2000</t>
  </si>
  <si>
    <t>Spezialgelagerter Adventskalender 2019 – Tür 9: TV Serien als Hörspiel mit dem TV Serien Stars Podcast</t>
  </si>
  <si>
    <t>Spezialgelagerter Adventskalender 2019 – Tür 11: Interview mit Stefan Sombetzki</t>
  </si>
  <si>
    <t>Spezialgelagerter Adventskalender 2019 – Tür 12: Jan Tenner der neue Superheld</t>
  </si>
  <si>
    <t>Spezialgelagerter Adventskalender 2019 – Tür 13: Lovecraft – Chroniken des Grauens mit Markus Winter</t>
  </si>
  <si>
    <t>Spezialgelagerter Adventskalender 2019 – Tür 14: Fünf Freunde endlich erwachsen</t>
  </si>
  <si>
    <t>Spezialgelagerter Adventskalender 2019 – Tür 15: Herbert West, der Wieder-Erwecker</t>
  </si>
  <si>
    <t>Spezialgelagerter Adventskalender 2019 – Tür 16: Mortal Engines</t>
  </si>
  <si>
    <t>Spezialgelagerter Adventskalender 2019 – Tür 17: Ghostbox</t>
  </si>
  <si>
    <t>Spezialgelagerter Adventskalender 2019 – Tür 18: Tony Ballard</t>
  </si>
  <si>
    <r>
      <t>Veröffentlichungszeitraum</t>
    </r>
    <r>
      <rPr>
        <sz val="11"/>
        <color theme="0"/>
        <rFont val="Calibri"/>
        <family val="2"/>
        <scheme val="minor"/>
      </rPr>
      <t xml:space="preserve"> (alle Podcastfolgen)</t>
    </r>
  </si>
  <si>
    <t>SSP #45.5: Kerstin Draeger und die Tabletopper von der Hörmich 2019</t>
  </si>
  <si>
    <t>Spezialgelagerter Adventskalender 2017 – Tür 1: John Sinclair</t>
  </si>
  <si>
    <t>Spezialgelagerter Adventskalender 2017 – Tür 2: Moby Dick – Europa Klassiker (8)</t>
  </si>
  <si>
    <t>Spezialgelagerter Adventskalender 2017 – Tür 3: Die drei Fragezeichen Kids</t>
  </si>
  <si>
    <t>Spezialgelagerter Adventskalender 2017 – Tür 4: Ferdinand Balzac</t>
  </si>
  <si>
    <t>Spezialgelagerter Adventskalender 2017 – Tür 5: Django – Ein Sarg voll Rache</t>
  </si>
  <si>
    <t>Spezialgelagerter Adventskalender 2017 – Tür 6: Mathildas Kirschkuchen (Cherry Pie)</t>
  </si>
  <si>
    <t>Spezialgelagerter Adventskalender 2017 – Tür 7: Berge des Wahnsinns (LPL)</t>
  </si>
  <si>
    <t>Spezialgelagerter Adventskalender 2017 – Tür 8: Frankenstein</t>
  </si>
  <si>
    <t>Spezialgelagerter Adventskalender 2017 – Tür 9: Der Wunschpunch von Michael Ende</t>
  </si>
  <si>
    <t>Spezialgelagerter Adventskalender 2017 – Tür 11: Krieg im All – Europa Originale 51</t>
  </si>
  <si>
    <t>Spezialgelagerter Adventskalender 2017 – Tür 12: Tony Ballard</t>
  </si>
  <si>
    <t>Spezialgelagerter Adventskalender 2017 – Tür 13: Stenkelfeld</t>
  </si>
  <si>
    <t>Spezialgelagerter Adventskalender 2017 – Tür 14: 20.000 Meilen unter dem Meer</t>
  </si>
  <si>
    <t>Spezialgelagerter Adventskalender 2017 – Tür 15: Schatten über Innsmounth</t>
  </si>
  <si>
    <t>Spezialgelagerter Adventskalender 2017 – Tür 16: Geschichte des Zeppelins</t>
  </si>
  <si>
    <t>Spezialgelagerter Adventskalender 2017 – Tür 17: Spezialgelagerte Outtakes</t>
  </si>
  <si>
    <t>Spezialgelagerter Adventskalender 2017 – Tür 18: In 80 Tagen um die Welt</t>
  </si>
  <si>
    <t>Spezialgelagerter Adventskalender 2017 – Tür 19: Das Schwarze Auge Hörspiele</t>
  </si>
  <si>
    <t>Spezialgelagerter Adventskalender 2017 – Tür 20: Robinson Crusoe</t>
  </si>
  <si>
    <t>Spezialgelagerter Adventskalender 2017 – Tür 21: Die 13 1/2 Leben des Käpt’n Blaubär</t>
  </si>
  <si>
    <t>Spezialgelagerter Adventskalender 2017 – Tür 22: TKKG – Der eiskalte Clown (190)</t>
  </si>
  <si>
    <t>Spezialgelagerter Adventskalender 2017 – Tür 23: 1W6 Freunde – Charaktererschaffung</t>
  </si>
  <si>
    <t>SSP #33: Die drei ??? und die singende Schlange (25) – Tür 24 mit Kari Erlhoff</t>
  </si>
  <si>
    <t>SSP Interview (I): C. R. Rodenwald und die Welt der drei Fragezeichen</t>
  </si>
  <si>
    <t>SSP #17: Die drei ??? und der Phantomsee (2) mit C. R. Rodenwald</t>
  </si>
  <si>
    <t>SSP Interview (VIII): C. R. Rodenwald und neues aus Rocky Beach</t>
  </si>
  <si>
    <t>SSP #42: Die drei ??? – Botschaft von Geisterhand (95) mit Franzi Nox</t>
  </si>
  <si>
    <t>Spezialgelagerter Adventskalender 2019 – Tür 19: Mr. Petersons Vermächtnis</t>
  </si>
  <si>
    <t>3T3</t>
  </si>
  <si>
    <t>Spezialgelagerter Adventskalender 2019 – Tür 20: Macabros Classics</t>
  </si>
  <si>
    <t>Spezialgelagerter Adventskalender 2019 – Tür 21: Sherlock Holmes Chronicles</t>
  </si>
  <si>
    <t>Spezialgelagerter Adventskalender 2019 – Tür 22: Private Eye – Charaktererschaffung</t>
  </si>
  <si>
    <t>Spezialgelagerter Adventskalender 2019 – Tür 23: Die Outtakes 2019</t>
  </si>
  <si>
    <t>SSP #52: Die drei ??? – Master of Chess – Tür 24</t>
  </si>
  <si>
    <t>Spezialgelagerter Adventskalender 2019 – Tür 25: Lorem Ipsum</t>
  </si>
  <si>
    <t>SSP #52.5: Der spezialgelagerte Jahresrückblick (2019)</t>
  </si>
  <si>
    <t xml:space="preserve">Gäste </t>
  </si>
  <si>
    <t>SSP #26.5: Mission Rocky Beach – Die Truhe der Meister</t>
  </si>
  <si>
    <t>Special: Das feurige Auge (Gastbeitrag für Die Zentrale Podcast)</t>
  </si>
  <si>
    <t>#013 - Gefährliches Quiz (Podwichtelfolge von Wichtel 1 &amp; 2)</t>
  </si>
  <si>
    <t>Gebraucht</t>
  </si>
  <si>
    <t>bis Quartal</t>
  </si>
  <si>
    <t>Zwischenfolge: Countdown zu "Feuriges Auge", Wir sind wieder da - Schnittfassung Thomas</t>
  </si>
  <si>
    <t>Zwischenfolge: Countdown zu "Feuriges Auge", Wir sind wieder da - Schnittfassung Benjamin</t>
  </si>
  <si>
    <t>Folge 22: Erpresser sind auch nur Menschen, Die drei ??? - Giftiges Wasser</t>
  </si>
  <si>
    <t>Folge 23: 'nen schönen Pulli hat er an, Die drei ??? und der höllische Werwolf</t>
  </si>
  <si>
    <t>Folge 24: Kraut und Rüben, Die drei ??? und der Hexengarten</t>
  </si>
  <si>
    <t>Lost Episode: Der Super-Papagei / Super-Papagei 2004</t>
  </si>
  <si>
    <t>Folge 039: Die drei Fragezeichen – und die Geisterlampe – Jagd auf den Weihnachtsmann</t>
  </si>
  <si>
    <t>Special: Es geht los! - Die digitale Schnitzeljagd</t>
  </si>
  <si>
    <t>#025 - … und die rätselhaften Bilder</t>
  </si>
  <si>
    <t>#026 - Panik im Park</t>
  </si>
  <si>
    <t>Die Talker-Lounge 137: Die drei ??? – 188 – Signale aus dem Jenseits (Rezension)</t>
  </si>
  <si>
    <t>#027 - Straße des Grauens</t>
  </si>
  <si>
    <t>SSP #53: Die drei ??? – Angriff der Computer-Viren (56)</t>
  </si>
  <si>
    <t>SSP Interview (X): Kai Schwind und der dunkle Taipan</t>
  </si>
  <si>
    <t>SSP #55: Die drei ??? und die Kammer der Rätsel (190)</t>
  </si>
  <si>
    <t>SSP #56: Die drei ??? – Höhenangst (201)</t>
  </si>
  <si>
    <t>Trailer: Der Spezialgelagerte Sonderpodcast</t>
  </si>
  <si>
    <t>SSP #57: Die drei ??? und die bedrohte Ranch (33)</t>
  </si>
  <si>
    <t>KG4.6</t>
  </si>
  <si>
    <t>SSP #58: Die drei ??? – Der namenlose Gegner (149)</t>
  </si>
  <si>
    <t>#028 - … und das Gold der Wikinger</t>
  </si>
  <si>
    <t>Folge 16 - Schatten über Hollywood (128)</t>
  </si>
  <si>
    <t>Folge 18 - Zwillinge der Finsternis (144)</t>
  </si>
  <si>
    <t>Folge 20 - Geheimnisvolle Botschaften (160)</t>
  </si>
  <si>
    <t>Folge 22 - Der gestohlene Sieg (176)</t>
  </si>
  <si>
    <t>Folge 24 - Im Bann des Drachen (192)</t>
  </si>
  <si>
    <t>Summe:</t>
  </si>
  <si>
    <t>SSP Interview (XI): Hanna Wenzel und Christopher Tauber über #RockyBeach2020</t>
  </si>
  <si>
    <t>Die drei ??? – Panik im Park (110)</t>
  </si>
  <si>
    <t>Die drei ??? – Dreckiger Deal (72)</t>
  </si>
  <si>
    <t>Nachbesprechung zu: Die drei ??? – Panik im Park (110)</t>
  </si>
  <si>
    <t>Folge 14 - Schlucht der Dämonen (112)</t>
  </si>
  <si>
    <t>SSP #60: Die drei ??? – Schwarze Sonne (151)</t>
  </si>
  <si>
    <t>SSP #60.5: Spezialgelagertes Klischeefeedback</t>
  </si>
  <si>
    <t>#029 - … und die silberne Spinne</t>
  </si>
  <si>
    <t>Folge 26: Was soll denn das?, Die drei ??? und der gestohlene Preis</t>
  </si>
  <si>
    <t>#030 - … und die Silbermine</t>
  </si>
  <si>
    <t>Folge 27: Sheriff Donnerknall reloaded, Die drei ??? und der Höhlenmensch</t>
  </si>
  <si>
    <t>SSP #62: Die drei Fragezeichen und der Zauberspiegel (16) mit Kai Schwind und Sven Buchholz</t>
  </si>
  <si>
    <t>SSP #61: Die drei Fragezeichen und der verschwundene Filmstar (50)</t>
  </si>
  <si>
    <t>Folge 28: Und schon wieder hat er Geburtstag!, Die drei ??? und das Bergmonster</t>
  </si>
  <si>
    <t>SSP #65: Die drei Fragezeichen und die Fußball-Falle (141)</t>
  </si>
  <si>
    <t>SSP #22.5: Das Haus der Rätsel und das Sonderfeedback</t>
  </si>
  <si>
    <t>SSP #24.5: Blaue Stimmen von der Hörmich, Sonderfeedback</t>
  </si>
  <si>
    <t>SSP #63: Die drei Fragezeichen – Fußballfieber (123)</t>
  </si>
  <si>
    <t>Folge 11: Vegane Scheiße, Die drei ??? und der grüne Kobold</t>
  </si>
  <si>
    <t>Folge 14: Der heiße Scheiß, Die drei ??? - SMS aus dem Grab</t>
  </si>
  <si>
    <t>OhrCast 96-3 Rückhör November 2019, Die drei ??? (202) Das weiße Grab</t>
  </si>
  <si>
    <t>OhrCast 98-2 Update Februar 2020, Die drei ??? und der dreiäugige Totenkopf</t>
  </si>
  <si>
    <t>OhrCast 98-3 Rückhör Januar 2020, Die drei ??? (203) Tauchgang ins Ungewisse</t>
  </si>
  <si>
    <t>OhrCast 99-5 Rückhör März 2020, Die drei ??? (204) Der dunkle Wächter</t>
  </si>
  <si>
    <t>OhrCast 94-3 Rückhör September 2019, Die drei ??? (201) Höhenangst</t>
  </si>
  <si>
    <t>OhrCast 89-1 Update Mai 2019, Die drei ??? (199) und der grüne Kobold</t>
  </si>
  <si>
    <t>KG4</t>
  </si>
  <si>
    <t>OhrCast 78-2 Rückblick Mai 2018, Die drei ??? (193) Schrecken aus der Tiefe</t>
  </si>
  <si>
    <t>OhrCast 76-1 Rückschau März 2018, Die drei ??? (192) Im Bann des Drachen</t>
  </si>
  <si>
    <t>Podcast #142 – Der epische “Die Drei ???” Podcast</t>
  </si>
  <si>
    <t>http://www.flipthetruck.com/category/podcasts/</t>
  </si>
  <si>
    <t>http://hoerspieltipps.net/serien/die_drei____.html</t>
  </si>
  <si>
    <t>OhrCast 80-3 Hörspiele Juli 2018, Die drei ??? (194) und die Zeitreisende</t>
  </si>
  <si>
    <t>OhrCast 74-1 Nachtrag Februar 2018, Die drei ??? (191) Verbrechen im Nichts</t>
  </si>
  <si>
    <t>M2</t>
  </si>
  <si>
    <t>Ohr</t>
  </si>
  <si>
    <t>OhrCast 93-3 Rückhör Juli/August 2019, Die drei ??? (200) Feuriges Auge</t>
  </si>
  <si>
    <t>OhrCast 88-2 Rückblick März 2019, Die drei ??? (198) Die Legende der Gaukler</t>
  </si>
  <si>
    <t>OhrCast 87-2 Rückblick Februar 2019, Die drei ??? (SE) und die schwarze Katze</t>
  </si>
  <si>
    <t>OhrCast 86-2 Hörspiele Januar, Die drei ??? (197) Im Auge des Sturms</t>
  </si>
  <si>
    <t>OhrCast 84-3 Rückblick November 2018, Die drei ??? (196) Geheimnis des Bauchredners</t>
  </si>
  <si>
    <t>OhrCast 83-3 Rückblick Oktober 2018, Die drei ??? (SE) Der schwarze Tag</t>
  </si>
  <si>
    <t>OhrCast 82-2 Rückblick September, Die drei ??? (195) Im Reich der Ungeheuer</t>
  </si>
  <si>
    <t>OhrCast 73-2 Hörspiele Dezember 2017, Die drei ??? (190) und die Kammer der Rätsel KAMMER DER RÄTSEL</t>
  </si>
  <si>
    <t>OhrCast 69-2 Hörspiele September 2017, Die drei ??? (189) Der unsichtbare Passagier</t>
  </si>
  <si>
    <t>OhrCast 67-5 Hörspiele Juli 2017, Die drei ??? (188) Signale aus dem Jenseits</t>
  </si>
  <si>
    <t>OhrCast 67-1 Hörspiele Mai 2017, Die drei ??? (187) und das silberne Amulett</t>
  </si>
  <si>
    <t>OhrCast 67-3 Hörspiele Juni 2017, Die drei ??? (SE) und der Tornadojäger</t>
  </si>
  <si>
    <t>OhrCast 65-2 Rückblick März 2017, Die drei ??? (186) Insel des Vergessens</t>
  </si>
  <si>
    <t>OhrCast 63-2 Rückblick Januar 2017, Die drei ??? (185) und der Mann ohne Augen</t>
  </si>
  <si>
    <t>OhrCast 63-3 Nachtrag Dezember 2016, Die drei ??? (184) und der Hexengarten</t>
  </si>
  <si>
    <t>OhrCast 59-4 Hörspiele September 2016, Die drei ??? (183) und der letzte Song</t>
  </si>
  <si>
    <t>OhrCast 55-4 Rückblick Mai 2016, Die drei ??? (181) Das Kabinett des Zauberers</t>
  </si>
  <si>
    <t>OhrCast 58-5 Hörspiele Juli 2016, Die drei ??? (182) Im Haus des Henkers</t>
  </si>
  <si>
    <t>OhrCast 53-4 Rückblick März 2016, Die drei ??? (180) Die flüsternden Puppen</t>
  </si>
  <si>
    <t>OhrCast 51-4 Hörspiele Januar 2016, Die drei ??? (179) Die Rache der Untoten</t>
  </si>
  <si>
    <t>OhrCast 50-4 Hörspiele Dezember 2015, Die drei ??? (178) Der gefiederte Schrecken</t>
  </si>
  <si>
    <t>K47</t>
  </si>
  <si>
    <t>OhrCast 50-4 Hörspiele Dezember 2015, Die drei ??? Kids (47) Falsche Fußballfreunde</t>
  </si>
  <si>
    <t>OhrCast 48-4 Hörspiele Oktober 2015, Die drei ??? (177) Der Geist des Goldgräbers</t>
  </si>
  <si>
    <t>K46</t>
  </si>
  <si>
    <t>OhrCast 48-4 Hörspiele Oktober 2015, Die drei ??? Kids (46) Jagd auf das Dino-Ei</t>
  </si>
  <si>
    <t>OhrCast 45-4 Hörspiele Juli 2015, Die drei ??? (176) und der gestohlene Sieg</t>
  </si>
  <si>
    <t>K45</t>
  </si>
  <si>
    <t>OhrCast 45-4 Hörspiele Juli 2015, Die drei ??? Kids (45) Ein Fall für Superhelden</t>
  </si>
  <si>
    <t>K44</t>
  </si>
  <si>
    <t>OhrCast 43-4 Hörspiele Mai 2015, Die drei ??? (175) Schattenwelt</t>
  </si>
  <si>
    <t>OhrCast 43-4 Hörspiele Mai 2015, Die drei ??? Kids (44) Monster in Rocky Beach</t>
  </si>
  <si>
    <t>OhrCast 41-2 Hörspiele März 2015, Die drei ??? (174) und das Tuch der Toten</t>
  </si>
  <si>
    <t>OhrCast 41-2 Hörspiele März 2015, Die drei ??? Kids (43) Duell der Ritter</t>
  </si>
  <si>
    <t>K43</t>
  </si>
  <si>
    <t>OhrCast 39-2 Hörspiele Januar 2015, Die drei ??? (173) Dämon der Rache</t>
  </si>
  <si>
    <t>OhrCast 38-4 Hörspiele November 2014, Die drei ??? (172) und der Eisenmann</t>
  </si>
  <si>
    <t>OhrCast 38-4 Hörspiele November 2014, Die drei ??? Kids (41) Insel der Haie</t>
  </si>
  <si>
    <t>K41</t>
  </si>
  <si>
    <t>K42</t>
  </si>
  <si>
    <t>OhrCast 39-2 Hörspiele Januar 2015, Die drei ??? Kids (42) Fußballgötter</t>
  </si>
  <si>
    <t>OhrCast 36-2 Hörspiele Oktober 2014, Die drei ??? (171) und das Phantom aus dem Meer</t>
  </si>
  <si>
    <t>OhrCast 36-2 Hörspiele Oktober 2014, Die drei ??? Phonophobia DVD</t>
  </si>
  <si>
    <t>OhrCast 35-4 Hörspiele August 2014, Die drei ??? (170) Straße des Grauens</t>
  </si>
  <si>
    <t>K40</t>
  </si>
  <si>
    <t>OhrCast 35-4 Hörspiele August 2014, Die drei ??? Kids (40) Brennendes Eis</t>
  </si>
  <si>
    <t>OhrCast 34-2 Hörspiele Juli 2014, Die drei ??? (169) Die Spur des Spielers</t>
  </si>
  <si>
    <t>K39</t>
  </si>
  <si>
    <t>OhrCast 32-2 Rückblick Mai 2014, Die drei ??? Kids (39) Der verrückte Erfinder</t>
  </si>
  <si>
    <t>OhrCast 32-2 Rückblick Mai 2014, Die drei ??? (168) GPS-Gangster</t>
  </si>
  <si>
    <t>OhrCast 30-2 Hörspiele Februar 2014, Die drei ??? (167) und das Blaue Biest</t>
  </si>
  <si>
    <t>OhrCast 30-2 Hörspiele Februar 2014, Die drei ??? (SE) Das Rätsel der Sieben</t>
  </si>
  <si>
    <t>OhrCast 30-2 Hörspiele Februar 2014, Die drei ??? Kids (38) Stunde der Wahrheit</t>
  </si>
  <si>
    <t>K38</t>
  </si>
  <si>
    <t>KG2</t>
  </si>
  <si>
    <t>OhrCast 28-1 Hörspiele Januar 2014, Die drei ??? (166) und die brennende Stadt</t>
  </si>
  <si>
    <t>K37</t>
  </si>
  <si>
    <t>OhrCast 28-1 Hörspiele Januar 2014, Die drei ??? Kids (37) Der Fluch der Indianer</t>
  </si>
  <si>
    <t>OhrCast 06-1 Rückblick März 2012, Die drei ??? (152) Skateboardfieber</t>
  </si>
  <si>
    <t>K26</t>
  </si>
  <si>
    <t>OhrCast 06-1 Rückblick März 2012, Die drei ??? Kids (26) Fußball-Alarm</t>
  </si>
  <si>
    <t>K25</t>
  </si>
  <si>
    <t>OhrCast 27-2 Rückblick November 2013, Die drei ??? (165) Im Schatten des Giganten</t>
  </si>
  <si>
    <t>OhrCast 27-2 Rückblick November 2013, Die drei ??? Kids (36) Mission Mars</t>
  </si>
  <si>
    <t>K36</t>
  </si>
  <si>
    <t>K57</t>
  </si>
  <si>
    <t>OhrCast 27-2 Rückblick November 2013, Die drei ??? Kids Der Weihnachtsdieb</t>
  </si>
  <si>
    <t>OhrCast 25-1 Hörspiele Oktober 2013, Die drei ??? (164) Fußball-Teufel</t>
  </si>
  <si>
    <t>OhrCast 25-1 Hörspiele Oktober 2013, Die drei ??? (SE) Der 5. Advent</t>
  </si>
  <si>
    <t>K35</t>
  </si>
  <si>
    <t>OhrCast 25-1 Hörspiele Oktober 2013, Die drei ??? Kids (35) Im Wilden Westen</t>
  </si>
  <si>
    <t>OhrCast 24-2 Nachtrag August 2013, Die drei ??? (163) und der verschollene Pilot</t>
  </si>
  <si>
    <t>K34</t>
  </si>
  <si>
    <t>OhrCast 24-2 Nachtrag August 2013, Die drei ??? Kids (34) Falsches Gold</t>
  </si>
  <si>
    <t>OhrCast 22-1 Hörspiele Juli 2013, Die drei ??? (162) und der schreiende Nebel</t>
  </si>
  <si>
    <t>K33</t>
  </si>
  <si>
    <t>OhrCast 20-1 Hörspiele Mai 2013, Die drei ??? (161) Die blutenden Bilder</t>
  </si>
  <si>
    <t>OhrCast 20-1 Hörspiele Mai 2013, Die drei ??? Kids (33) Nacht im Kerker</t>
  </si>
  <si>
    <t>OhrCast 18-1 Hörspiele März 2013, Die drei ??? (160) Geheimnisvolle Botschaften</t>
  </si>
  <si>
    <t>K32</t>
  </si>
  <si>
    <t>OhrCast 18-1 Hörspiele März 2013, Die drei ??? Kids (32) Die Gruselfalle</t>
  </si>
  <si>
    <t>K31</t>
  </si>
  <si>
    <t>OhrCast 17-2 Nachtrag Januar 2013, Die drei ??? Kids (31) Rückkehr der Saurier</t>
  </si>
  <si>
    <t>OhrCast 16-1 Rückschau Januar 2013, Die drei ??? (159) Nacht der Tiger</t>
  </si>
  <si>
    <t>OhrCast 15-2 Hörspiele November 2012, Die drei ??? (158) und der Feuergeist</t>
  </si>
  <si>
    <t>K30</t>
  </si>
  <si>
    <t>OhrCast 15-2 Hörspiele November 2012, Die drei ??? Kids (30) Im Geisterschiff</t>
  </si>
  <si>
    <t>OhrCast 13-2 Rückblick Okt-Sep 2012, Die drei ??? (SE) und die Geisterlampe</t>
  </si>
  <si>
    <t>OhrCast 13-2 Rückblick Okt-Sep 2012, Die drei ??? (157) Im Zeichen der Schlangen</t>
  </si>
  <si>
    <t>K29</t>
  </si>
  <si>
    <t>OhrCast 13-2 Rückblick Okt-Sep 2012, Die drei ??? Kids (29) Monsterpilze</t>
  </si>
  <si>
    <t>OhrCast 11-1 Hörspiele August/Juli 2012, Die drei ??? (155) und der Meister des Todes</t>
  </si>
  <si>
    <t>OhrCast 11-1 Hörspiele August/Juli 2012, Die drei ??? (156) Im Netz des Drachen</t>
  </si>
  <si>
    <t>OhrCast 08-1 Hörspiele Mai 2012, Die drei ??? (154) Botschaft aus der Unterwelt</t>
  </si>
  <si>
    <t>OhrCast 07-1 Hörspiele April 2012, Die drei ??? (153) und das Fußball-Phantom</t>
  </si>
  <si>
    <t>K27</t>
  </si>
  <si>
    <t>OhrCast 07-1 Hörspiele April 2012, Die drei ??? Kids (27) Die Schokofalle</t>
  </si>
  <si>
    <t>KG3</t>
  </si>
  <si>
    <t>OhrCast 53-4 Rückblick März 2016, Die drei ??? (SE) und der Zeitgeist</t>
  </si>
  <si>
    <t>K49</t>
  </si>
  <si>
    <t>OhrCast 53-4 Rückblick März 2016, Die drei ??? Kids (49) Der singende Geist</t>
  </si>
  <si>
    <t>K50</t>
  </si>
  <si>
    <t>OhrCast 53-4 Rückblick März 2016, Die drei ??? Kids (50) Schatz der Piraten</t>
  </si>
  <si>
    <t>OhrCast 65-2 Rückblick März 2017, Die drei ??? (SE) Das Grab der Inka-Mumie</t>
  </si>
  <si>
    <t>M1</t>
  </si>
  <si>
    <t>M3</t>
  </si>
  <si>
    <t>OhrCast 68-2 Rückblick August 2017, Die drei ??? (SE) Das kalte Auge</t>
  </si>
  <si>
    <t>OhrCast 95-2 Update November 2019, Die drei ??? (SE) und das versunkene Schiff</t>
  </si>
  <si>
    <t>sK17</t>
  </si>
  <si>
    <t>Adv2</t>
  </si>
  <si>
    <t>OhrCast 61-4 Rückblick November 2016, Die drei ??? (SE) Stille Nacht, düstere Nacht</t>
  </si>
  <si>
    <t>KAdv7</t>
  </si>
  <si>
    <t>OhrCast 61-4 Rückblick November 2016, Die drei ??? Kids (SE) 24 Tage im Weihnachtsland</t>
  </si>
  <si>
    <t>#031 - … und das Hexenhandy</t>
  </si>
  <si>
    <t>TSE1.3</t>
  </si>
  <si>
    <t>TSE2.3</t>
  </si>
  <si>
    <t>OhrCast 93-4 News Reste Gedöns, Die Welt der drei Fragezeichen (C. R. Rodenwald)</t>
  </si>
  <si>
    <t>OhrCast 93-4 News Reste Gedöns, Die drei ??? und der grüne Geist (Hörbuch)</t>
  </si>
  <si>
    <t>SSP #69: Die drei ??? – Späte Rache (69)</t>
  </si>
  <si>
    <t>SSP #68.5: Danke Fips!</t>
  </si>
  <si>
    <t>SSP #68: Die drei ??? und der gestohlene Preis (44) mit Silke und Daniel Schröckert</t>
  </si>
  <si>
    <t>SSP #67: Die drei ??? – Straße des Grauens (170)</t>
  </si>
  <si>
    <t>#032 - Mann ohne Kopf</t>
  </si>
  <si>
    <t>#100 DDF – Der Einstieg</t>
  </si>
  <si>
    <t>#101 (Staffel 1, Folge 1) DDF – Der Fluch des Rubins</t>
  </si>
  <si>
    <t>#102 (Staffel 1, Folge 2) DDF – Feuriges Auge (Teil 1)</t>
  </si>
  <si>
    <t>#103 (Staffel 1, Folge 3) DDF – Feuriges Auge (Teil 2)</t>
  </si>
  <si>
    <t>#104 (Staffel 1, Folge 4) DDF – Feuriges Auge (Teil 3)</t>
  </si>
  <si>
    <t>#105 (Staffel 1, Folge 5) DDF – Feuriges Auge (Teil 4)</t>
  </si>
  <si>
    <t>#106 (Staffel 1, Folge 6) DDF – Schwarze Katze "alt &amp; neu"</t>
  </si>
  <si>
    <t>#107 (Staffel 1, Folge 7) DDF – Blaues Biest</t>
  </si>
  <si>
    <t>#108 (Staffel 1, Folge 8) DDF – Singende Schlange</t>
  </si>
  <si>
    <t>Vote-No.</t>
  </si>
  <si>
    <t>Folgennr.</t>
  </si>
  <si>
    <t>Abstimmung</t>
  </si>
  <si>
    <t>Stimmen</t>
  </si>
  <si>
    <t>Veröffentlichung</t>
  </si>
  <si>
    <t>L-Nr. (laufende Nummer)</t>
  </si>
  <si>
    <t>V-Nr. (Abstimmung Nummer X)</t>
  </si>
  <si>
    <t>Titel</t>
  </si>
  <si>
    <t>%</t>
  </si>
  <si>
    <t>|x|</t>
  </si>
  <si>
    <t>Start</t>
  </si>
  <si>
    <t>Ende</t>
  </si>
  <si>
    <t>Tage</t>
  </si>
  <si>
    <t xml:space="preserve"> </t>
  </si>
  <si>
    <t>SSP #69: Welche Folge sollen wir besprechen?</t>
  </si>
  <si>
    <t>(148) und die feurige Flut (26%, 88 Votes)</t>
  </si>
  <si>
    <t>(134) Der tote Mönch (22%, 75 Votes)</t>
  </si>
  <si>
    <t>SSP #62: Welche Folge sollen wir besprechen?</t>
  </si>
  <si>
    <t>(172) und der Eisenmann (32%, 114 Votes)</t>
  </si>
  <si>
    <t>(171) und das Phantom aus dem Meer (13%, 47 Votes)</t>
  </si>
  <si>
    <t>und die gefährlichen Fässer (48) (36%, 159 Votes)</t>
  </si>
  <si>
    <t>und die Automafia (53) (20%, 90 Votes)</t>
  </si>
  <si>
    <t>SSP #55: Welche Folge sollen wir besprechen?</t>
  </si>
  <si>
    <t>(199) Der grüne Kobold (25%, 104 Votes)</t>
  </si>
  <si>
    <t>(198) Legende der Gaukler (17%, 71 Votes)</t>
  </si>
  <si>
    <t>SSP #48: Welche Folge sollen wir besprechen?</t>
  </si>
  <si>
    <t>Die drei ??? Codename: Cobra (116) (35%, 109 Votes)</t>
  </si>
  <si>
    <t>Die drei ??? Gift per E-Mail (104) (29%, 93 Votes)</t>
  </si>
  <si>
    <t>SSP #45: Welche Folge sollen wir besprechen?</t>
  </si>
  <si>
    <t>Die drei ??? und die bedrohte Ranch (33) (37%, 125 Votes)</t>
  </si>
  <si>
    <t>Die drei ??? und das Narbengesicht (31) (23%, 79 Votes)</t>
  </si>
  <si>
    <t>SSP #42: Welche Folge sollen wir machen?</t>
  </si>
  <si>
    <t>Die Dr3i: Die Pforten zum Jenseits (2) (35%, 168 Votes)</t>
  </si>
  <si>
    <t>Die drei ???: Signale aus dem Jenseits (188) (29%, 139 Votes)</t>
  </si>
  <si>
    <t>SSP #40: Welche Folge sollen wir machen?</t>
  </si>
  <si>
    <t>(70) Schüsse aus dem Dunkel (24%, 86 Votes)</t>
  </si>
  <si>
    <t>(159) Nacht der Tiger (18%, 66 Votes)</t>
  </si>
  <si>
    <t>SSP #33: Welche Folge sollen wir machen?</t>
  </si>
  <si>
    <t>(177) Der Geist des Goldgräbers (40%, 104 Votes)</t>
  </si>
  <si>
    <t>(187) und das silberne Amulett (16%, 41 Votes)</t>
  </si>
  <si>
    <t>SSP #28: Welche Folge sollen wir machen?</t>
  </si>
  <si>
    <t>(151) Schwarze Sonne (35%, 85 Votes)</t>
  </si>
  <si>
    <t>(127) Schwarze Madonna (28%, 68 Votes)</t>
  </si>
  <si>
    <t>SSP #27: Welche Folge sollen wir machen?</t>
  </si>
  <si>
    <t>(138) Die geheime Treppe (37%, 88 Votes)</t>
  </si>
  <si>
    <t>(168) GPS-Gangster (23%, 52 Votes)</t>
  </si>
  <si>
    <t>SSP #26: Welche Folge sollen wir machen?</t>
  </si>
  <si>
    <t>(153) und das Fußballphantom (39%, 71 Votes)</t>
  </si>
  <si>
    <t>SSP #24: Welche Folge sollen wir machen?</t>
  </si>
  <si>
    <t>(121) Spur ins Nichts (36%, 64 Votes)</t>
  </si>
  <si>
    <t>(191) Verbrechen im Nichts (11%, 21 Votes)</t>
  </si>
  <si>
    <t>SSP #23: Welche Folge sollen wir machen?</t>
  </si>
  <si>
    <t>(94) Das schwarze Monster (28%, 64 Votes)</t>
  </si>
  <si>
    <t>(146) Der Biss der Bestie (24%, 55 Votes)</t>
  </si>
  <si>
    <t>(164) Fussball-Teufel (10%, 24 Votes)</t>
  </si>
  <si>
    <t>SSP #19: Welche Folge sollen wir machen???</t>
  </si>
  <si>
    <t>(163) und der verschollene Pilot (18%, 44 Votes)</t>
  </si>
  <si>
    <t>SSP #18: Welche Folge sollen wir machen???</t>
  </si>
  <si>
    <t>(180) und die flüsternden Puppen (28%, 52 Votes)</t>
  </si>
  <si>
    <t>(107) und der Schatz der Mönche (20%, 36 Votes)</t>
  </si>
  <si>
    <t>SSP #16: Welche Folge sollen wir machen???</t>
  </si>
  <si>
    <t>(186) Insel des Vergessens (27%, 53 Votes)</t>
  </si>
  <si>
    <t>(180) und die flüsternden Puppen (27%, 51 Votes)</t>
  </si>
  <si>
    <t>SSP #13: Welche Folge sollen wir machen???</t>
  </si>
  <si>
    <t>Die drei ??? und das brennende Schwert (74) (36%, 72 Votes)</t>
  </si>
  <si>
    <t>Die drei ??? - Der finstere Rivale (117) (22%, 45 Votes)</t>
  </si>
  <si>
    <t>SSP #11: Welche Folge sollen wir machen???</t>
  </si>
  <si>
    <t>(87) Die drei ??? - Wolfsgesicht (43%, 81 Votes)</t>
  </si>
  <si>
    <t>(174) Die drei ??? und das Tuch der Toten (14%, 26 Votes)</t>
  </si>
  <si>
    <t>SSP #10: Welche Folge sollen wir machen?</t>
  </si>
  <si>
    <t>(???) Todesflug (15%, 16 Votes)</t>
  </si>
  <si>
    <t>(???) Folge 92 (13%, 14 Votes)</t>
  </si>
  <si>
    <t>SSP #9 Welche Folge sollen wir machen?</t>
  </si>
  <si>
    <t>(124) Die drei ??? - Geister-Canyon (28%, 36 Votes)</t>
  </si>
  <si>
    <t>(153) Die drei ??? und das Fußballphantom (14%, 18 Votes)</t>
  </si>
  <si>
    <t>SSP #8: Welche Folge sollen wir machen?</t>
  </si>
  <si>
    <t>(80) Geheimakte Ufo (31%, 28 Votes)</t>
  </si>
  <si>
    <t>(126) Schrecken aus dem Moor (27%, 24 Votes)</t>
  </si>
  <si>
    <t>SSP #7: Welche Folge sollen wir machen?</t>
  </si>
  <si>
    <t>(180) und die flüsternden Puppen (40%, 38 Votes)</t>
  </si>
  <si>
    <t>(113) Das Auge des Drachen (14%, 13 Votes)</t>
  </si>
  <si>
    <t>SSP #6: Welche Folge sollen wir machen?</t>
  </si>
  <si>
    <t>(166) Die brennende Stadt (32%, 28 Votes)</t>
  </si>
  <si>
    <t>(72) Dreckiger Deal (32%, 28 Votes)</t>
  </si>
  <si>
    <t>SSP #5: Welche Folge sollen wir machen?</t>
  </si>
  <si>
    <t>(62) Spuk im Hotel (36%, 24 Votes)</t>
  </si>
  <si>
    <t>(79) Im Bann des Voodoo (13%, 9 Votes)</t>
  </si>
  <si>
    <t xml:space="preserve"> zusammengestellt von         DDF Kompendium</t>
  </si>
  <si>
    <t>0-1 Woche</t>
  </si>
  <si>
    <t>1-2 Wochen</t>
  </si>
  <si>
    <t>2-3 Wochen</t>
  </si>
  <si>
    <t>3-4 Wochen</t>
  </si>
  <si>
    <t>4-5 Wochen</t>
  </si>
  <si>
    <t>5-6 Wochen</t>
  </si>
  <si>
    <t>6-7 Wochen</t>
  </si>
  <si>
    <t>7-8 Wochen</t>
  </si>
  <si>
    <t>8-9 Wochen</t>
  </si>
  <si>
    <t>9-10 Wochen</t>
  </si>
  <si>
    <t>10-11 Wochen</t>
  </si>
  <si>
    <t>11-12 Wochen</t>
  </si>
  <si>
    <t>12-13 Wochen</t>
  </si>
  <si>
    <t>13-14 Wochen</t>
  </si>
  <si>
    <t>14-15 Wochen</t>
  </si>
  <si>
    <t>15-16 Wochen</t>
  </si>
  <si>
    <t>Zeitraum zwischen Ende einer Folgenabstimmung und Veröffentlichung</t>
  </si>
  <si>
    <t>x-mal</t>
  </si>
  <si>
    <t>Woche(n)</t>
  </si>
  <si>
    <t>abgegebene Stimmen je Abstimmung</t>
  </si>
  <si>
    <t>1-100 Stimmen</t>
  </si>
  <si>
    <t>101-200 Stimmen</t>
  </si>
  <si>
    <t>201-300 Stimmen</t>
  </si>
  <si>
    <t>301-400 Stimmen</t>
  </si>
  <si>
    <t>401-500 Stimmen</t>
  </si>
  <si>
    <t>501-600 Stimmen</t>
  </si>
  <si>
    <t>SSP-Folgenabstimmungen</t>
  </si>
  <si>
    <r>
      <rPr>
        <b/>
        <sz val="11"/>
        <rFont val="Calibri"/>
        <family val="2"/>
        <scheme val="minor"/>
      </rPr>
      <t>Flip the Truck</t>
    </r>
    <r>
      <rPr>
        <sz val="11"/>
        <rFont val="Calibri"/>
        <family val="2"/>
        <scheme val="minor"/>
      </rPr>
      <t xml:space="preserve"> - Der österreichische Film-Podcast </t>
    </r>
    <r>
      <rPr>
        <sz val="11"/>
        <color theme="0"/>
        <rFont val="Calibri"/>
        <family val="2"/>
        <scheme val="minor"/>
      </rPr>
      <t>(seit 1. April 2014)</t>
    </r>
  </si>
  <si>
    <t>#73.1 Ein Gros ???-Folgen (Platz 6 - 1) - Phantomsee</t>
  </si>
  <si>
    <t>#73.2 Ein Gros ???-Folgen (Platz 6 - 1) - tanzender Teufel</t>
  </si>
  <si>
    <t>#73.3 Ein Gros ???-Folgen (Platz 6 - 1) - Rache des Tigers</t>
  </si>
  <si>
    <t>#73.4 Ein Gros ???-Folgen (Platz 6 - 1) - grüner Geist</t>
  </si>
  <si>
    <t>#73.5 Ein Gros ???-Folgen (Platz 6 - 1) - Volk der Winde</t>
  </si>
  <si>
    <t>#73.6 Ein Gros ???-Folgen (Platz 6 - 1) - Ameisenmensch</t>
  </si>
  <si>
    <t>#71.1 Ein Gros ???-Folgen (Platz 12 - 7) - Fußball-Gangster</t>
  </si>
  <si>
    <t>#71.6 Ein Gros ???-Folgen (Platz 12 - 7) - Nebelberg</t>
  </si>
  <si>
    <t>#71.5 Ein Gros ???-Folgen (Platz 12 - 7) - unheimlicher Drache</t>
  </si>
  <si>
    <t>#71.4 Ein Gros ???-Folgen (Platz 12 - 7) - Spuk im Hotel</t>
  </si>
  <si>
    <t>#71.3 Ein Gros ???-Folgen (Platz 12 - 7) - Gold der Wikinger</t>
  </si>
  <si>
    <t>#71.2 Ein Gros ???-Folgen (Platz 12 - 7) - Höhlenmensch</t>
  </si>
  <si>
    <t>#67.6 Ein Gros ???-Folgen (Platz 18 - 13) - Karpatenhund</t>
  </si>
  <si>
    <t>#67.5 Ein Gros ???-Folgen (Platz 18 - 13) - singende Schlange</t>
  </si>
  <si>
    <t>#67.4 Ein Gros ???-Folgen (Platz 18 - 13) - gefährliche Erbschaft</t>
  </si>
  <si>
    <t>#67.3 Ein Gros ???-Folgen (Platz 18 - 13) - Gefahr im Verzug</t>
  </si>
  <si>
    <t>#67.2 Ein Gros ???-Folgen (Platz 18 - 13) - Angriff der Computer-Viren</t>
  </si>
  <si>
    <t>#67.1 Ein Gros ???-Folgen (Platz 18 - 13) - Silbermine</t>
  </si>
  <si>
    <t>#64.6 Ein Gros ???-Folgen (Platz 24 - 19) - Brainwash (CB12/TSE1.1)</t>
  </si>
  <si>
    <t>#64.5 Ein Gros ???-Folgen (Platz 24 - 19) - Geisterinsel</t>
  </si>
  <si>
    <t>#64.4 Ein Gros ???-Folgen (Platz 24 - 19) - Stimmen aus dem Nichts</t>
  </si>
  <si>
    <t>#64.3 Ein Gros ???-Folgen (Platz 24 - 19) - heimlicher Hehler</t>
  </si>
  <si>
    <t>#64.2 Ein Gros ???-Folgen (Platz 24 - 19) - Feuerturm</t>
  </si>
  <si>
    <t>#64.1 Ein Gros ???-Folgen (Platz 24 - 19) - giftiger Gockel</t>
  </si>
  <si>
    <t>#59.8 Ein Gros ???-Folgen (Platz 32 - 25) - Insektenstachel</t>
  </si>
  <si>
    <t>#59.7 Ein Gros ???-Folgen (Platz 32 - 25) - Rufmord</t>
  </si>
  <si>
    <t>#59.6 Ein Gros ???-Folgen (Platz 32 - 25) - rasender Löwe</t>
  </si>
  <si>
    <t>#59.5 Ein Gros ???-Folgen (Platz 32 - 25) - Poltergeist</t>
  </si>
  <si>
    <t>#59.4 Ein Gros ???-Folgen (Platz 32 - 25) - Höhle des Grauens</t>
  </si>
  <si>
    <t>#59.3 Ein Gros ???-Folgen (Platz 32 - 25) - Toteninsel</t>
  </si>
  <si>
    <t>#59.2 Ein Gros ???-Folgen (Platz 32 - 25) - Geheimnis der Särge</t>
  </si>
  <si>
    <t>#59.1 Ein Gros ???-Folgen (Platz 32 - 25) - brennendes Schwert</t>
  </si>
  <si>
    <t>#55.8 Ein Gros ???-Folgen (Platz 40 - 33) - Comic-Diebe</t>
  </si>
  <si>
    <t>#55.7 Ein Gros ???-Folgen (Platz 40 - 33) - silberne Spinne</t>
  </si>
  <si>
    <t>#55.6 Ein Gros ???-Folgen (Platz 40 - 33) - Tal des Schreckens</t>
  </si>
  <si>
    <t>#55.5 Ein Gros ???-Folgen (Platz 40 - 33) - geheimer Schlüssel</t>
  </si>
  <si>
    <t>#55.4 Ein Gros ???-Folgen (Platz 40 - 33) - seltsamer Wecker</t>
  </si>
  <si>
    <t>#55.3 Ein Gros ???-Folgen (Platz 40 - 33) - Aztekenschwert</t>
  </si>
  <si>
    <t>#55.2 Ein Gros ???-Folgen (Platz 40 - 33) - flüsternde Mumie</t>
  </si>
  <si>
    <t>#55.1 Ein Gros ???-Folgen (Platz 40 - 33) - Geisterstadt</t>
  </si>
  <si>
    <t>#52.8 Ein Gros ???-Folgen (Platz 48 - 41) - Labyrinth der Götter</t>
  </si>
  <si>
    <t>#52.7 Ein Gros ???-Folgen (Platz 48 - 41) - Teufelsberg</t>
  </si>
  <si>
    <t>#52.6 Ein Gros ???-Folgen (Platz 48 - 41) - Musik des Teufels</t>
  </si>
  <si>
    <t>#52.5 Ein Gros ???-Folgen (Platz 48 - 41) - gefährliche Fässer</t>
  </si>
  <si>
    <t>#52.4 Ein Gros ???-Folgen (Platz 48 - 41) - verschwundene Seglerin</t>
  </si>
  <si>
    <t>#52.3 Ein Gros ???-Folgen (Platz 48 - 41) - Tatort Zirkus</t>
  </si>
  <si>
    <t>#52.2 Ein Gros ???-Folgen (Platz 48 - 41) - versunkenes Dorf</t>
  </si>
  <si>
    <t>#52.1 Ein Gros ???-Folgen (Platz 48 - 41) - Schüsse aus dem Dunkel</t>
  </si>
  <si>
    <t>#49.12 Ein Gros ???-Folgen (Platz 60 - 49) - Nacht in Angst</t>
  </si>
  <si>
    <t>#49.11 Ein Gros ???-Folgen (Platz 60 - 49) - Super-Papagei</t>
  </si>
  <si>
    <t>#49.10 Ein Gros ???-Folgen (Platz 60 - 49) - Super-Wal</t>
  </si>
  <si>
    <t>#49.6 Ein Gros ???-Folgen (Platz 60 - 49) - Bergmonster</t>
  </si>
  <si>
    <t>#49.5 Ein Gros ???-Folgen (Platz 60 - 49) - roter Rächer</t>
  </si>
  <si>
    <t>#49.4 Ein Gros ???-Folgen (Platz 60 - 49) - Originalmusik (neu)</t>
  </si>
  <si>
    <t>#49.3 Ein Gros ???-Folgen (Platz 60 - 49) - Im Bann des Voodoo</t>
  </si>
  <si>
    <t>#49.2 Ein Gros ???-Folgen (Platz 60 - 49) - Meuterei auf hoher See</t>
  </si>
  <si>
    <t>#49.1 Ein Gros ???-Folgen (Platz 60 - 49) - Wolfsgesicht</t>
  </si>
  <si>
    <t>#49.9 Ein Gros ???-Folgen (Platz 60 - 49) - Gespensterschloß</t>
  </si>
  <si>
    <t>#49.8 Ein Gros ???-Folgen (Platz 60 - 49) - magischer Kreis</t>
  </si>
  <si>
    <t>#49.7 Ein Gros ???-Folgen (Platz 60 - 49) - bedrohte Ranch</t>
  </si>
  <si>
    <t>#46.12 Ein Gros ???-Folgen (Platz 72 - 61) - Vampir im Internet</t>
  </si>
  <si>
    <t>#46.11 Ein Gros ???-Folgen (Platz 72 - 61) - riskanter Ritt</t>
  </si>
  <si>
    <t>#46.10 Ein Gros ???-Folgen (Platz 72 - 61) - Geisterzug</t>
  </si>
  <si>
    <t>#46.9 Ein Gros ???-Folgen (Platz 72 - 61) - leeres Grab</t>
  </si>
  <si>
    <t>#46.8 Ein Gros ???-Folgen (Platz 72 - 61) - Hexenhandy</t>
  </si>
  <si>
    <t>#46.7 Ein Gros ???-Folgen (Platz 72 - 61) - roter Pirat</t>
  </si>
  <si>
    <t>#46.6 Ein Gros ???-Folgen (Platz 72 - 61) - dreiTag (Teil J/P/B)</t>
  </si>
  <si>
    <t>#46.5 Ein Gros ???-Folgen (Platz 72 - 61) - Schattenmänner</t>
  </si>
  <si>
    <t>#46.4 Ein Gros ???-Folgen (Platz 72 - 61) - sprechender Totenkopf</t>
  </si>
  <si>
    <t>#46.3 Ein Gros ???-Folgen (Platz 72 - 61) - Geisterschiff</t>
  </si>
  <si>
    <t>#46.2 Ein Gros ???-Folgen (Platz 72 - 61) - Spur des Raben</t>
  </si>
  <si>
    <t>#46.1 Ein Gros ???-Folgen (Platz 72 - 61) - giftiges Wasser</t>
  </si>
  <si>
    <t>#43.12 Ein Gros ???-Folgen (Platz 84 - 73) - Narbengesicht</t>
  </si>
  <si>
    <t>#43.11 Ein Gros ???-Folgen (Platz 84 - 73) - verrückter Maler</t>
  </si>
  <si>
    <t>#43.10 Ein Gros ???-Folgen (Platz 84 - 73) - Zauberspiegel</t>
  </si>
  <si>
    <t>#43.9 Ein Gros ???-Folgen (Platz 84 - 73) - feurige Flut</t>
  </si>
  <si>
    <t>#43.8 Ein Gros ???-Folgen (Platz 84 - 73) - schrulliger Millionär</t>
  </si>
  <si>
    <t>#43.7 Ein Gros ???-Folgen (Platz 84 - 73) - Originalmusik (alt)</t>
  </si>
  <si>
    <t>#43.6 Ein Gros ???-Folgen (Platz 84 - 73) - Schatz im Bergsee</t>
  </si>
  <si>
    <t>#43.5 Ein Gros ???-Folgen (Platz 84 - 73) - Geheimakte UFO</t>
  </si>
  <si>
    <t>#43.4 Ein Gros ???-Folgen (Platz 84 - 73) - Erbe des Meisterdiebs</t>
  </si>
  <si>
    <t>#43.3 Ein Gros ???-Folgen (Platz 84 - 73) - verschwundener Schatz</t>
  </si>
  <si>
    <t>#43.2 Ein Gros ???-Folgen (Platz 84 - 73) - Auge des Drachen</t>
  </si>
  <si>
    <t>#43.1 Ein Gros ???-Folgen (Platz 84 - 73) - Riff der Haie</t>
  </si>
  <si>
    <t>#39.12 Ein Gros ???-Folgen (Platz 96 - 85) - weinender Sarg</t>
  </si>
  <si>
    <t>#39.11 Ein Gros ???-Folgen (Platz 96 - 85) - lachender Schatten</t>
  </si>
  <si>
    <t>#39.10 Ein Gros ???-Folgen (Platz 96 - 85) - schwarzes Monster</t>
  </si>
  <si>
    <t>#39.9 Ein Gros ???-Folgen (Platz 96 - 85) - Diamantenschmuggel</t>
  </si>
  <si>
    <t>#39.8 Ein Gros ???-Folgen (Platz 96 - 85) - Feuerteufel</t>
  </si>
  <si>
    <t>#39.7 Ein Gros ???-Folgen (Platz 96 - 85) - schwarze Katze</t>
  </si>
  <si>
    <t>#39.6 Ein Gros ???-Folgen (Platz 96 - 85) - Dopingmixer</t>
  </si>
  <si>
    <t>#39.5 Ein Gros ???-Folgen (Platz 96 - 85) - Perlenvögel</t>
  </si>
  <si>
    <t>#39.4 Ein Gros ???-Folgen (Platz 96 - 85) - dreckiger Deal</t>
  </si>
  <si>
    <t>#39.3 Ein Gros ???-Folgen (Platz 96 - 85) - flammende Spur</t>
  </si>
  <si>
    <t>#39.2 Ein Gros ???-Folgen (Platz 96 - 85) - Mann ohne Kopf</t>
  </si>
  <si>
    <t>#39.1 Ein Gros ???-Folgen (Platz 96 - 85) - späte Rache</t>
  </si>
  <si>
    <t>#36.12 Ein Gros ???-Folgen (Platz 108 - 97) - unsichtbarer Gegner</t>
  </si>
  <si>
    <t>#36.11 Ein Gros ???-Folgen (Platz 108 - 97) - verdeckte Fouls</t>
  </si>
  <si>
    <t>#36.10 Ein Gros ???-Folgen (Platz 108 - 97) - schreiender Nebel</t>
  </si>
  <si>
    <t>#36.9 Ein Gros ???-Folgen (Platz 108 - 97) - tödliche Spur</t>
  </si>
  <si>
    <t>#36.8 Ein Gros ???-Folgen (Platz 108 - 97) - Fluch des Rubins</t>
  </si>
  <si>
    <t>#36.7 Ein Gros ???-Folgen (Platz 108 - 97) - geheime Treppe</t>
  </si>
  <si>
    <t>#36.6 Ein Gros ???-Folgen (Platz 108 - 97) - verschwundener Filmstar</t>
  </si>
  <si>
    <t>#36.5 Ein Gros ???-Folgen (Platz 108 - 97) - gekaufte Spieler</t>
  </si>
  <si>
    <t>#36.4 Ein Gros ???-Folgen (Platz 108 - 97) - Feuermond</t>
  </si>
  <si>
    <t>#36.3 Ein Gros ???-Folgen (Platz 108 - 97) - Schlucht der Dämonen</t>
  </si>
  <si>
    <t>#36.2 Ein Gros ???-Folgen (Platz 108 - 97) - fünfter Advent (Special)</t>
  </si>
  <si>
    <t>#36.1 Ein Gros ???-Folgen (Platz 108 - 97) - High Strung (CB13/TSE1.3)</t>
  </si>
  <si>
    <t>#34.12 Ein Gros ???-Folgen (Platz 120 - 109) - Musikpiraten</t>
  </si>
  <si>
    <t>#34.11 Ein Gros ???-Folgen (Platz 120 - 109) - Todesflug</t>
  </si>
  <si>
    <t>#34.10 Ein Gros ???-Folgen (Platz 120 - 109) - höllischer Werwolf</t>
  </si>
  <si>
    <t>#34.9 Ein Gros ???-Folgen (Platz 120 - 109) - Karten des Bösen</t>
  </si>
  <si>
    <t>#34.8 Ein Gros ???-Folgen (Platz 120 - 109) - Gift per E-Mail</t>
  </si>
  <si>
    <t>#34.7 Ein Gros ???-Folgen (Platz 120 - 109) - sieben Tore</t>
  </si>
  <si>
    <t>#34.6 Ein Gros ???-Folgen (Platz 120 - 109) - Geister-Canyon</t>
  </si>
  <si>
    <t>#34.5 Ein Gros ???-Folgen (Platz 120 - 109) - gestohlener Preis</t>
  </si>
  <si>
    <t>#34.4 Ein Gros ???-Folgen (Platz 120 - 109) - Pfad der Angst</t>
  </si>
  <si>
    <t>#34.3 Ein Gros ???-Folgen (Platz 120 - 109) - rätselhafte Bilder</t>
  </si>
  <si>
    <t>#34.2 Ein Gros ???-Folgen (Platz 120 - 109) - Automarder</t>
  </si>
  <si>
    <t>#34.1 Ein Gros ???-Folgen (Platz 120 - 109) - Panik im Park</t>
  </si>
  <si>
    <t>#24.12 Ein Gros ???-Folgen (Platz 132 - 121) - SMS aus dem Grab</t>
  </si>
  <si>
    <t>#24.11 Ein Gros ???-Folgen (Platz 132 - 121) - Geisterbucht</t>
  </si>
  <si>
    <t>#24.10 Ein Gros ???-Folgen (Platz 132 - 121) - Automafia</t>
  </si>
  <si>
    <t>#24.9 Ein Gros ???-Folgen (Platz 132 - 121) - Master of Chess</t>
  </si>
  <si>
    <t>#24.8 Ein Gros ???-Folgen (Platz 132 - 121) - House of Horrors (FYF3/TSE1.2)</t>
  </si>
  <si>
    <t>#24.7 Ein Gros ???-Folgen (Platz 132 - 121) - Pistenteufel</t>
  </si>
  <si>
    <t>#24.6 Ein Gros ???-Folgen (Platz 132 - 121) - Haus des Schreckens</t>
  </si>
  <si>
    <t>#24.5 Ein Gros ???-Folgen (Platz 132 - 121) - Geisterlampe</t>
  </si>
  <si>
    <t>#24.4 Ein Gros ???-Folgen (Platz 132 - 121) - Fußballfieber</t>
  </si>
  <si>
    <t>#24.3 Ein Gros ???-Folgen (Platz 132 - 121) - gefährliches Quiz</t>
  </si>
  <si>
    <t>#24.2 Ein Gros ???-Folgen (Platz 132 - 121) - Spur ins Nichts</t>
  </si>
  <si>
    <t>#24.1 Ein Gros ???-Folgen (Platz 132 - 121) - Doppelgänger</t>
  </si>
  <si>
    <t>#23.12 Ein Gros ???-Folgen (Platz 144 - 133) - Botschaft aus der Unterwelt</t>
  </si>
  <si>
    <t>#23.11 Ein Gros ???-Folgen (Platz 144 - 133) - Schrecken aus dem Moor</t>
  </si>
  <si>
    <t>#23.10 Ein Gros ???-Folgen (Platz 144 - 133) - Stadt der Vampire</t>
  </si>
  <si>
    <t>#23.9 Ein Gros ???-Folgen (Platz 144 - 133) - Biss der Bestie</t>
  </si>
  <si>
    <t>#23.8 Ein Gros ???-Folgen (Platz 144 - 133) - Im Zeichen der Schlangen</t>
  </si>
  <si>
    <t>#23.7 Ein Gros ???-Folgen (Platz 144 - 133) - Fußball-Teufel</t>
  </si>
  <si>
    <t>#23.6 Ein Gros ???-Folgen (Platz 144 - 133) - Meister des Todes</t>
  </si>
  <si>
    <t>#23.5 Ein Gros ???-Folgen (Platz 144 - 133) - Super-Papagei 2004</t>
  </si>
  <si>
    <t>#23.4 Ein Gros ???-Folgen (Platz 144 - 133) - Schatz der Mönche</t>
  </si>
  <si>
    <t>#23.3 Ein Gros ???-Folgen (Platz 144 - 133) - Rache der Samurai</t>
  </si>
  <si>
    <t>#23.2 Ein Gros ???-Folgen (Platz 144 - 133) - Im Schatten des Giganten</t>
  </si>
  <si>
    <t>#23.1 Ein Gros ???-Folgen (Platz 144 - 133) - Rocky Beach Radio Show</t>
  </si>
  <si>
    <t>… und der Super-Papagei</t>
  </si>
  <si>
    <t>… und der Phantomsee</t>
  </si>
  <si>
    <t>… und der Karpatenhund</t>
  </si>
  <si>
    <t>… und die schwarze Katze</t>
  </si>
  <si>
    <t>… und der Fluch des Rubins</t>
  </si>
  <si>
    <t>… und der sprechende Totenkopf</t>
  </si>
  <si>
    <t>… und der unheimliche Drache</t>
  </si>
  <si>
    <t>… und der grüne Geist</t>
  </si>
  <si>
    <t>… und die rätselhaften Bilder</t>
  </si>
  <si>
    <t>… und die flüsternde Mumie</t>
  </si>
  <si>
    <t>… und das Gespensterschloß</t>
  </si>
  <si>
    <t>… und der seltsame Wecker</t>
  </si>
  <si>
    <t>… und der lachende Schatten</t>
  </si>
  <si>
    <t>… und das Bergmonster</t>
  </si>
  <si>
    <t>… und der rasende Löwe</t>
  </si>
  <si>
    <t>… und der Zauberspiegel</t>
  </si>
  <si>
    <t>… und die gefährliche Erbschaft</t>
  </si>
  <si>
    <t>… und die Geisterinsel</t>
  </si>
  <si>
    <t>… und der Teufelsberg</t>
  </si>
  <si>
    <t>… und die flammende Spur</t>
  </si>
  <si>
    <t>… und der tanzende Teufel</t>
  </si>
  <si>
    <t>… und der verschwundene Schatz</t>
  </si>
  <si>
    <t>… und das Aztekenschwert</t>
  </si>
  <si>
    <t>… und die silberne Spinne</t>
  </si>
  <si>
    <t>… und die singende Schlange</t>
  </si>
  <si>
    <t>… und die Silbermine</t>
  </si>
  <si>
    <t>… und der magische Kreis</t>
  </si>
  <si>
    <t>… und der Doppelgänger</t>
  </si>
  <si>
    <t>Die Originalmusik</t>
  </si>
  <si>
    <t>… und das Riff der Haie</t>
  </si>
  <si>
    <t>… und das Narbengesicht</t>
  </si>
  <si>
    <t>… und der Ameisenmensch</t>
  </si>
  <si>
    <t>… und die bedrohte Ranch</t>
  </si>
  <si>
    <t>… und der rote Pirat</t>
  </si>
  <si>
    <t>… und der Höhlenmensch</t>
  </si>
  <si>
    <t>… und der Super-Wal</t>
  </si>
  <si>
    <t>… und der heimliche Hehler</t>
  </si>
  <si>
    <t>… und der unsichtbare Gegner</t>
  </si>
  <si>
    <t>… und die Perlenvögel</t>
  </si>
  <si>
    <t>… und der Automarder</t>
  </si>
  <si>
    <t>… und das Volk der Winde</t>
  </si>
  <si>
    <t>… und der weinende Sarg</t>
  </si>
  <si>
    <t>… und der höllische Werwolf</t>
  </si>
  <si>
    <t>… und der gestohlene Preis</t>
  </si>
  <si>
    <t>… und das Gold der Wikinger</t>
  </si>
  <si>
    <t>… und der schrullige Millionär</t>
  </si>
  <si>
    <t>… und der giftige Gockel</t>
  </si>
  <si>
    <t>… und die gefährlichen Fässer</t>
  </si>
  <si>
    <t>… und die Comic-Diebe</t>
  </si>
  <si>
    <t>… und der verschwundene Filmstar</t>
  </si>
  <si>
    <t>… und der riskante Ritt</t>
  </si>
  <si>
    <t>… und die Musikpiraten</t>
  </si>
  <si>
    <t>… und die Automafia</t>
  </si>
  <si>
    <t>Gefahr im Verzug</t>
  </si>
  <si>
    <t>Gekaufte Spieler</t>
  </si>
  <si>
    <t>Angriff der Computer-Viren</t>
  </si>
  <si>
    <t>Tatort Zirkus</t>
  </si>
  <si>
    <t>… und der verrückte Maler</t>
  </si>
  <si>
    <t>Giftiges Wasser</t>
  </si>
  <si>
    <t>Dopingmixer</t>
  </si>
  <si>
    <t>… und die Rache des Tigers</t>
  </si>
  <si>
    <t>Spuk im Hotel</t>
  </si>
  <si>
    <t>Fußball-Gangster</t>
  </si>
  <si>
    <t>Geisterstadt</t>
  </si>
  <si>
    <t>Diamantenschmuggel</t>
  </si>
  <si>
    <t>… und die Schattenmänner</t>
  </si>
  <si>
    <t>… und das Geheimnis der Särge</t>
  </si>
  <si>
    <t>… und der Schatz im Bergsee</t>
  </si>
  <si>
    <t>Späte Rache</t>
  </si>
  <si>
    <t>Schüsse aus dem Dunkel</t>
  </si>
  <si>
    <t>Die verschwundene Seglerin</t>
  </si>
  <si>
    <t>Dreckiger Deal</t>
  </si>
  <si>
    <t>Poltergeist</t>
  </si>
  <si>
    <t>… und das brennende Schwert</t>
  </si>
  <si>
    <t>Die Spur des Raben</t>
  </si>
  <si>
    <t>Stimmen aus dem Nichts</t>
  </si>
  <si>
    <t>Pistenteufel</t>
  </si>
  <si>
    <t>Das leere Grab</t>
  </si>
  <si>
    <t>Im Bann des Voodoo</t>
  </si>
  <si>
    <t>Geheimakte Ufo</t>
  </si>
  <si>
    <t>Verdeckte Fouls</t>
  </si>
  <si>
    <t>Die Karten des Bösen</t>
  </si>
  <si>
    <t>Meuterei auf hoher See</t>
  </si>
  <si>
    <t>Musik des Teufels</t>
  </si>
  <si>
    <t>Feuerturm</t>
  </si>
  <si>
    <t>Nacht in Angst</t>
  </si>
  <si>
    <t>Wolfsgesicht</t>
  </si>
  <si>
    <t>Vampir im Internet</t>
  </si>
  <si>
    <t>Tödliche Spur</t>
  </si>
  <si>
    <t>Der Feuerteufel</t>
  </si>
  <si>
    <t>Labyrinth der Götter</t>
  </si>
  <si>
    <t>Todesflug</t>
  </si>
  <si>
    <t>… und das Geisterschiff</t>
  </si>
  <si>
    <t>Das schwarze Monster</t>
  </si>
  <si>
    <t>Botschaft von Geisterhand</t>
  </si>
  <si>
    <t>… und der rote Rächer</t>
  </si>
  <si>
    <t>Insektenstachel</t>
  </si>
  <si>
    <t>Tal des Schreckens</t>
  </si>
  <si>
    <t>Rufmord</t>
  </si>
  <si>
    <t>… und das Hexen-Handy</t>
  </si>
  <si>
    <t>Doppelte Täuschung</t>
  </si>
  <si>
    <t>Das Erbe des Meisterdiebes</t>
  </si>
  <si>
    <t>Gift per E-Mail</t>
  </si>
  <si>
    <t>… und der Nebelberg</t>
  </si>
  <si>
    <t>Der Mann ohne Kopf</t>
  </si>
  <si>
    <t>… und der Schatz der Mönche</t>
  </si>
  <si>
    <t>Die sieben Tore</t>
  </si>
  <si>
    <t>Gefährliches Quiz</t>
  </si>
  <si>
    <t>Panik im Park</t>
  </si>
  <si>
    <t>Die Höhle des Grauens</t>
  </si>
  <si>
    <t>Schlucht der Dämonen</t>
  </si>
  <si>
    <t>Das Auge des Drachen</t>
  </si>
  <si>
    <t>Die Villa der Toten</t>
  </si>
  <si>
    <t>Auf tödlichem Kurs</t>
  </si>
  <si>
    <t>Codename: Cobra</t>
  </si>
  <si>
    <t>Der finstere Rivale</t>
  </si>
  <si>
    <t>Das düstere Vermächtnis</t>
  </si>
  <si>
    <t>Der geheime Schlüssel</t>
  </si>
  <si>
    <t>Der schwarze Skorpion</t>
  </si>
  <si>
    <t>Spur ins Nichts</t>
  </si>
  <si>
    <t>… und der Geisterzug</t>
  </si>
  <si>
    <t>Fußballfieber</t>
  </si>
  <si>
    <t>Geister-Canyon</t>
  </si>
  <si>
    <t>Schrecken aus dem Moor</t>
  </si>
  <si>
    <t>Schwarze Madonna</t>
  </si>
  <si>
    <t>Schatten über Hollywood</t>
  </si>
  <si>
    <t>SMS aus dem Grab</t>
  </si>
  <si>
    <t>Der Fluch des Drachen</t>
  </si>
  <si>
    <t>Haus des Schreckens</t>
  </si>
  <si>
    <t>Spuk im Netz</t>
  </si>
  <si>
    <t>Fels der Dämonen</t>
  </si>
  <si>
    <t>Der tote Mönch</t>
  </si>
  <si>
    <t>Fluch des Piraten</t>
  </si>
  <si>
    <t>… und das versunkene Dorf</t>
  </si>
  <si>
    <t>Pfad der Angst</t>
  </si>
  <si>
    <t>Die geheime Treppe</t>
  </si>
  <si>
    <t>Das Geheimnis der Diva</t>
  </si>
  <si>
    <t>Stadt der Vampire</t>
  </si>
  <si>
    <t>… und die Fußball-Falle</t>
  </si>
  <si>
    <t>Tödliches Eis</t>
  </si>
  <si>
    <t>… und die Poker-Hölle</t>
  </si>
  <si>
    <t>Zwillinge der Finsternis</t>
  </si>
  <si>
    <t>… und die Rache der Samurai</t>
  </si>
  <si>
    <t>Der Biss der Bestie</t>
  </si>
  <si>
    <t>Grusel auf Campbell Castle</t>
  </si>
  <si>
    <t>… und die feurige Flut</t>
  </si>
  <si>
    <t>Der namenlose Gegner</t>
  </si>
  <si>
    <t>Schwarze Sonne</t>
  </si>
  <si>
    <t>Skateboardfieber</t>
  </si>
  <si>
    <t>… und das Fußballphantom</t>
  </si>
  <si>
    <t>Botschaft aus der Unterwelt</t>
  </si>
  <si>
    <t>… und der Meister des Todes</t>
  </si>
  <si>
    <t>Im Netz des Drachen</t>
  </si>
  <si>
    <t>Im Zeichen der Schlangen</t>
  </si>
  <si>
    <t>… und der Feuergeist</t>
  </si>
  <si>
    <t>Nacht der Tiger</t>
  </si>
  <si>
    <t>Geheimnisvolle Botschaften</t>
  </si>
  <si>
    <t>Die blutenden Bilder</t>
  </si>
  <si>
    <t>… und der schreiende Nebel</t>
  </si>
  <si>
    <t>… und der verschollene Pilot</t>
  </si>
  <si>
    <t>Fußball-Teufel</t>
  </si>
  <si>
    <t>Im Schatten des Giganten</t>
  </si>
  <si>
    <t>… und die brennende Stadt</t>
  </si>
  <si>
    <t>… und das blaue Biest</t>
  </si>
  <si>
    <t>GPS-Gangster</t>
  </si>
  <si>
    <t>Die Spur des Spielers</t>
  </si>
  <si>
    <t>Straße des Grauens</t>
  </si>
  <si>
    <t>… und das Phantom aus dem Meer</t>
  </si>
  <si>
    <t>… und der Eisenmann</t>
  </si>
  <si>
    <t>Dämon der Rache</t>
  </si>
  <si>
    <t>… und das Tuch der Toten</t>
  </si>
  <si>
    <t>… und der gestohlene Sieg</t>
  </si>
  <si>
    <t>Der Geist des Goldgräbers</t>
  </si>
  <si>
    <t>Der gefiederte Schrecken</t>
  </si>
  <si>
    <t>Die Rache des Untoten</t>
  </si>
  <si>
    <t>… und die flüsternden Puppen</t>
  </si>
  <si>
    <t>Das Kabinett des Zauberers</t>
  </si>
  <si>
    <t>Im Haus des Henkers</t>
  </si>
  <si>
    <t>… und der letzte Song</t>
  </si>
  <si>
    <t>… und der Hexengarten</t>
  </si>
  <si>
    <t>… und der Mann ohne Augen</t>
  </si>
  <si>
    <t>Insel des Vergessens</t>
  </si>
  <si>
    <t>… und das silberne Amulett</t>
  </si>
  <si>
    <t>Signale aus dem Jenseits</t>
  </si>
  <si>
    <t>… und der unsichtbare Passagier</t>
  </si>
  <si>
    <t>… und die Kammer der Rätsel</t>
  </si>
  <si>
    <t>Verbrechen im Nichts</t>
  </si>
  <si>
    <t>Im Bann des Drachen</t>
  </si>
  <si>
    <t>Schrecken aus der Tiefe</t>
  </si>
  <si>
    <t>… und die Zeitreisende</t>
  </si>
  <si>
    <t>Im Reich der Ungeheuer</t>
  </si>
  <si>
    <t>Geheimnis des Bauchredners</t>
  </si>
  <si>
    <t>Im Auge des Sturms</t>
  </si>
  <si>
    <t>Die Legende der Gaukler</t>
  </si>
  <si>
    <t>… und der grüne Kobold</t>
  </si>
  <si>
    <t>Toteninsel (3 Folgen)</t>
  </si>
  <si>
    <t>Feuermond (3 Folgen)</t>
  </si>
  <si>
    <t>Geisterbucht (3 Folgen)</t>
  </si>
  <si>
    <t>Schattenwelt (3 Folgen)</t>
  </si>
  <si>
    <t>Feuriges Auge (3 Folgen)</t>
  </si>
  <si>
    <t>2WO</t>
  </si>
  <si>
    <t>Pirat</t>
  </si>
  <si>
    <t>für Podcast-VÖs in Tabelle Synopsis</t>
  </si>
  <si>
    <t>Veröffentlichungsgeschichte</t>
  </si>
  <si>
    <r>
      <t>alle Folgen</t>
    </r>
    <r>
      <rPr>
        <sz val="10"/>
        <color theme="0"/>
        <rFont val="Calibri"/>
        <family val="2"/>
        <scheme val="minor"/>
      </rPr>
      <t>: Summe alle Podcast-Folgen (Σ reguläre DDF-Folgen - besprochen)</t>
    </r>
  </si>
  <si>
    <r>
      <t>Σ VÖ</t>
    </r>
    <r>
      <rPr>
        <sz val="10"/>
        <color theme="0"/>
        <rFont val="Calibri"/>
        <family val="2"/>
        <scheme val="minor"/>
      </rPr>
      <t xml:space="preserve"> (Gesamtzeitraum)</t>
    </r>
  </si>
  <si>
    <r>
      <t>fehlende</t>
    </r>
    <r>
      <rPr>
        <sz val="10"/>
        <color theme="0"/>
        <rFont val="Calibri"/>
        <family val="2"/>
        <scheme val="minor"/>
      </rPr>
      <t xml:space="preserve"> (nur reguläre DDF-Folgen bis 200) - noch nicht besprochen</t>
    </r>
  </si>
  <si>
    <t>Gesamt-</t>
  </si>
  <si>
    <r>
      <t>VÖ</t>
    </r>
    <r>
      <rPr>
        <sz val="10"/>
        <color theme="0"/>
        <rFont val="Calibri"/>
        <family val="2"/>
        <scheme val="minor"/>
      </rPr>
      <t xml:space="preserve"> (reguläre DDF-Folgen + Sonder-DDF-Folgen in Klammern) - besprochen</t>
    </r>
  </si>
  <si>
    <r>
      <t xml:space="preserve">Spielzeit </t>
    </r>
    <r>
      <rPr>
        <sz val="10"/>
        <color theme="0"/>
        <rFont val="Calibri"/>
        <family val="2"/>
        <scheme val="minor"/>
      </rPr>
      <t>(alle aufgelisteten Podcast-Folgen des jeweiligen Podcast-Hosts in der Tabelle 1)</t>
    </r>
  </si>
  <si>
    <r>
      <t xml:space="preserve">Std. </t>
    </r>
    <r>
      <rPr>
        <sz val="11"/>
        <color theme="0" tint="-4.9989318521683403E-2"/>
        <rFont val="Calibri"/>
        <family val="2"/>
        <scheme val="minor"/>
      </rPr>
      <t>Σ gesamt</t>
    </r>
  </si>
  <si>
    <r>
      <t xml:space="preserve">alle </t>
    </r>
    <r>
      <rPr>
        <sz val="11"/>
        <color theme="0" tint="-4.9989318521683403E-2"/>
        <rFont val="Calibri"/>
        <family val="2"/>
        <scheme val="minor"/>
      </rPr>
      <t>Ø gesamt</t>
    </r>
  </si>
  <si>
    <r>
      <t xml:space="preserve"> Anzahl</t>
    </r>
    <r>
      <rPr>
        <sz val="11"/>
        <color theme="0" tint="-4.9989318521683403E-2"/>
        <rFont val="Calibri"/>
        <family val="2"/>
        <scheme val="minor"/>
      </rPr>
      <t>: nur regulär (bis 200)</t>
    </r>
  </si>
  <si>
    <r>
      <t xml:space="preserve"> Anzahl</t>
    </r>
    <r>
      <rPr>
        <sz val="11"/>
        <color theme="0" tint="-4.9989318521683403E-2"/>
        <rFont val="Calibri"/>
        <family val="2"/>
        <scheme val="minor"/>
      </rPr>
      <t>: 1. Zahl regulär (2. Zahl regulär + Sonderfolgen)</t>
    </r>
  </si>
  <si>
    <t>Veröffentlichungszeiten</t>
  </si>
  <si>
    <t>Veröffentlichungsquartale</t>
  </si>
  <si>
    <t xml:space="preserve"> Folge</t>
  </si>
  <si>
    <t xml:space="preserve"> veröffentlichte reguläre DDF-Podcast-Folgen</t>
  </si>
  <si>
    <t xml:space="preserve"> fehlende reguläre DDF-Podcast-Folgen</t>
  </si>
  <si>
    <t xml:space="preserve">    Dauer</t>
  </si>
  <si>
    <t xml:space="preserve">    VÖ 1</t>
  </si>
  <si>
    <t xml:space="preserve">    VÖ 2</t>
  </si>
  <si>
    <t xml:space="preserve">    VÖ 3</t>
  </si>
  <si>
    <t xml:space="preserve">    VÖ 4</t>
  </si>
  <si>
    <t xml:space="preserve">    VÖ 5</t>
  </si>
  <si>
    <t xml:space="preserve">    VÖ 6</t>
  </si>
  <si>
    <t xml:space="preserve">    VÖ 7</t>
  </si>
  <si>
    <t xml:space="preserve">    VÖ 8</t>
  </si>
  <si>
    <t>Summe regulärer Podcast-Folgen</t>
  </si>
  <si>
    <r>
      <t xml:space="preserve">DDF </t>
    </r>
    <r>
      <rPr>
        <sz val="10"/>
        <color theme="0"/>
        <rFont val="Calibri"/>
        <family val="2"/>
        <scheme val="minor"/>
      </rPr>
      <t>(DDF-Folgen-Nummer)</t>
    </r>
  </si>
  <si>
    <r>
      <t>SSP</t>
    </r>
    <r>
      <rPr>
        <sz val="10"/>
        <color theme="0" tint="-4.9989318521683403E-2"/>
        <rFont val="Calibri"/>
        <family val="2"/>
        <scheme val="minor"/>
      </rPr>
      <t xml:space="preserve"> (SSP-Folgen-Nummer)</t>
    </r>
  </si>
  <si>
    <t>Folge 019: Die drei Fragezeichen – Stadt der Vampire</t>
  </si>
  <si>
    <t>Hörma 005 - Podwichtelgeschenk mit den ???</t>
  </si>
  <si>
    <t>http://www.hoerma-podcast.de/</t>
  </si>
  <si>
    <r>
      <rPr>
        <b/>
        <sz val="11"/>
        <color theme="1"/>
        <rFont val="Calibri"/>
        <family val="2"/>
        <scheme val="minor"/>
      </rPr>
      <t>Hörma!</t>
    </r>
    <r>
      <rPr>
        <sz val="11"/>
        <color theme="1"/>
        <rFont val="Calibri"/>
        <family val="2"/>
        <scheme val="minor"/>
      </rPr>
      <t xml:space="preserve"> - Podcast über Hörspiele &amp; Hörspielserien</t>
    </r>
    <r>
      <rPr>
        <sz val="11"/>
        <color theme="0"/>
        <rFont val="Calibri"/>
        <family val="2"/>
        <scheme val="minor"/>
      </rPr>
      <t xml:space="preserve"> (seit 8. März 2016)</t>
    </r>
  </si>
  <si>
    <t>SSP Interview (XII): Christoph Dittert und die vielseitigen Detektive</t>
  </si>
  <si>
    <t>(191) Verbrechen im Nichts (34%, 85 Votes)</t>
  </si>
  <si>
    <t>(193) Schrecken aus der Tiefe (26%, 64 Votes)</t>
  </si>
  <si>
    <t>Welche Folge sollen wir besprechen?</t>
  </si>
  <si>
    <t>Folge 29: Unsere Originalmusik, Die drei ??? - Die Originalmusik</t>
  </si>
  <si>
    <t>http://www.vierohren.de/category/fragezeichenpod/</t>
  </si>
  <si>
    <r>
      <t xml:space="preserve">Schrottcast Titus Jonas </t>
    </r>
    <r>
      <rPr>
        <b/>
        <sz val="11"/>
        <color theme="0"/>
        <rFont val="Calibri"/>
        <family val="2"/>
        <scheme val="minor"/>
      </rPr>
      <t>(seit 15. November 2016)</t>
    </r>
  </si>
  <si>
    <t>FB01</t>
  </si>
  <si>
    <t>FB02</t>
  </si>
  <si>
    <t>FB03</t>
  </si>
  <si>
    <t>FB04</t>
  </si>
  <si>
    <t>FB05</t>
  </si>
  <si>
    <t>FB06</t>
  </si>
  <si>
    <t>FB07</t>
  </si>
  <si>
    <t>FB08</t>
  </si>
  <si>
    <t>FB09</t>
  </si>
  <si>
    <t>FB10</t>
  </si>
  <si>
    <t>FB11</t>
  </si>
  <si>
    <t>FB12</t>
  </si>
  <si>
    <t>FB13</t>
  </si>
  <si>
    <t>FB14</t>
  </si>
  <si>
    <t>FB15</t>
  </si>
  <si>
    <t>FB16</t>
  </si>
  <si>
    <t>FB17</t>
  </si>
  <si>
    <t>FB18</t>
  </si>
  <si>
    <t>FB19</t>
  </si>
  <si>
    <t>FB20</t>
  </si>
  <si>
    <t>FB21</t>
  </si>
  <si>
    <t>FB22</t>
  </si>
  <si>
    <t>FB23</t>
  </si>
  <si>
    <t>FB24</t>
  </si>
  <si>
    <t>FB25</t>
  </si>
  <si>
    <t>FB26</t>
  </si>
  <si>
    <t>FB27</t>
  </si>
  <si>
    <t>SSP #52.7.5: Spezialgelagertes Sonderfeedback #FragdenSSP2020</t>
  </si>
  <si>
    <t>FB28</t>
  </si>
  <si>
    <t>FB29</t>
  </si>
  <si>
    <t>#033 - … und der schreiende Nebel</t>
  </si>
  <si>
    <t>Der Schrottplatz Podcast und der Phantomsee</t>
  </si>
  <si>
    <t>Der Schrottplatz Podcast und das Gespensterschloss</t>
  </si>
  <si>
    <r>
      <t>DDF-Spielzeit</t>
    </r>
    <r>
      <rPr>
        <sz val="11"/>
        <color theme="0"/>
        <rFont val="Calibri"/>
        <family val="2"/>
        <scheme val="minor"/>
      </rPr>
      <t xml:space="preserve"> (reguläre DDF-Folgen) - besprochen</t>
    </r>
  </si>
  <si>
    <t>Zwischenfolge: Die drei !!!</t>
  </si>
  <si>
    <r>
      <t>Talker-Lounge</t>
    </r>
    <r>
      <rPr>
        <sz val="11"/>
        <color theme="1"/>
        <rFont val="Calibri"/>
        <family val="2"/>
        <scheme val="minor"/>
      </rPr>
      <t xml:space="preserve"> - Der Hörspiel-Podcast </t>
    </r>
    <r>
      <rPr>
        <sz val="9"/>
        <color theme="1"/>
        <rFont val="Calibri"/>
        <family val="2"/>
        <scheme val="minor"/>
      </rPr>
      <t xml:space="preserve">(ehemals "Die Lautsprecher" bis #13) </t>
    </r>
    <r>
      <rPr>
        <sz val="9"/>
        <color theme="0"/>
        <rFont val="Calibri"/>
        <family val="2"/>
        <scheme val="minor"/>
      </rPr>
      <t>(seit 5. Februar 2012)</t>
    </r>
  </si>
  <si>
    <r>
      <t>Haschimitenfürst</t>
    </r>
    <r>
      <rPr>
        <sz val="11"/>
        <color theme="1"/>
        <rFont val="Calibri"/>
        <family val="2"/>
        <scheme val="minor"/>
      </rPr>
      <t xml:space="preserve"> - BrettSpiele HörSpiele Television </t>
    </r>
    <r>
      <rPr>
        <b/>
        <sz val="11"/>
        <color theme="0"/>
        <rFont val="Calibri"/>
        <family val="2"/>
        <scheme val="minor"/>
      </rPr>
      <t>(1. November 2013 - 15. Januar 2017)</t>
    </r>
  </si>
  <si>
    <r>
      <t>Retroabteil</t>
    </r>
    <r>
      <rPr>
        <sz val="11"/>
        <color theme="1"/>
        <rFont val="Calibri"/>
        <family val="2"/>
        <scheme val="minor"/>
      </rPr>
      <t xml:space="preserve"> - mit dem Nostalgieexpress durch die Vergangenheit</t>
    </r>
    <r>
      <rPr>
        <b/>
        <sz val="11"/>
        <color theme="1"/>
        <rFont val="Calibri"/>
        <family val="2"/>
        <scheme val="minor"/>
      </rPr>
      <t xml:space="preserve"> </t>
    </r>
    <r>
      <rPr>
        <b/>
        <sz val="11"/>
        <color theme="0"/>
        <rFont val="Calibri"/>
        <family val="2"/>
        <scheme val="minor"/>
      </rPr>
      <t>(seit 22. Juni 2018)</t>
    </r>
  </si>
  <si>
    <r>
      <t>Gebrauchtwarenpodcast Titus Jonas</t>
    </r>
    <r>
      <rPr>
        <sz val="11"/>
        <color theme="1"/>
        <rFont val="Calibri"/>
        <family val="2"/>
        <scheme val="minor"/>
      </rPr>
      <t xml:space="preserve"> - Der ???-Podcast</t>
    </r>
    <r>
      <rPr>
        <b/>
        <sz val="11"/>
        <color theme="1"/>
        <rFont val="Calibri"/>
        <family val="2"/>
        <scheme val="minor"/>
      </rPr>
      <t xml:space="preserve"> </t>
    </r>
    <r>
      <rPr>
        <b/>
        <sz val="11"/>
        <color theme="0"/>
        <rFont val="Calibri"/>
        <family val="2"/>
        <scheme val="minor"/>
      </rPr>
      <t>(seit 17. April 2019)</t>
    </r>
  </si>
  <si>
    <r>
      <t>Die Zentrale</t>
    </r>
    <r>
      <rPr>
        <sz val="11"/>
        <color theme="1"/>
        <rFont val="Calibri"/>
        <family val="2"/>
        <scheme val="minor"/>
      </rPr>
      <t xml:space="preserve"> - Ein Podcast über die drei ??? </t>
    </r>
    <r>
      <rPr>
        <b/>
        <sz val="11"/>
        <color theme="0"/>
        <rFont val="Calibri"/>
        <family val="2"/>
        <scheme val="minor"/>
      </rPr>
      <t>(seit 7. Januar 2019)</t>
    </r>
  </si>
  <si>
    <r>
      <t>DiE 2WO</t>
    </r>
    <r>
      <rPr>
        <sz val="11"/>
        <color theme="1"/>
        <rFont val="Calibri"/>
        <family val="2"/>
        <scheme val="minor"/>
      </rPr>
      <t xml:space="preserve"> - Der Podcast zu DiE DR3i </t>
    </r>
    <r>
      <rPr>
        <b/>
        <sz val="11"/>
        <color theme="0"/>
        <rFont val="Calibri"/>
        <family val="2"/>
        <scheme val="minor"/>
      </rPr>
      <t>(29. November 2018 - 28. März 2019)</t>
    </r>
  </si>
  <si>
    <t>Folge 30: Mit Bob auf der Couch, Die drei ??? - Stimmen aus dem Nichts</t>
  </si>
  <si>
    <t>SSP #69.5: Neues vom Klischeefeedback #FragdenSSP</t>
  </si>
  <si>
    <r>
      <t xml:space="preserve">Std. </t>
    </r>
    <r>
      <rPr>
        <sz val="11"/>
        <color theme="0" tint="-4.9989318521683403E-2"/>
        <rFont val="Calibri"/>
        <family val="2"/>
        <scheme val="minor"/>
      </rPr>
      <t>Σ DDF regulär</t>
    </r>
  </si>
  <si>
    <r>
      <t xml:space="preserve">Std. </t>
    </r>
    <r>
      <rPr>
        <sz val="11"/>
        <color theme="0" tint="-4.9989318521683403E-2"/>
        <rFont val="Calibri"/>
        <family val="2"/>
        <scheme val="minor"/>
      </rPr>
      <t>Ø DDF regulär</t>
    </r>
  </si>
  <si>
    <r>
      <t xml:space="preserve">alle </t>
    </r>
    <r>
      <rPr>
        <sz val="11"/>
        <color theme="0" tint="-4.9989318521683403E-2"/>
        <rFont val="Calibri"/>
        <family val="2"/>
        <scheme val="minor"/>
      </rPr>
      <t>Ø DDF regulär</t>
    </r>
  </si>
  <si>
    <t>Bonus: Stimmen aus dem Nichts (Deleted Scenes)</t>
  </si>
  <si>
    <t>SSP Interview (XIII): Christian R. Rodenwald – Die drei ??? und die Welt der Hörspiele (feat. Andreas Ruch)</t>
  </si>
  <si>
    <r>
      <t>Ø je Folge</t>
    </r>
    <r>
      <rPr>
        <sz val="10"/>
        <color theme="0"/>
        <rFont val="Calibri"/>
        <family val="2"/>
        <scheme val="minor"/>
      </rPr>
      <t>: Durchschnitt je Podcast-Folge (Ø reguläre DDF-Folgen - besprochen)</t>
    </r>
  </si>
  <si>
    <t>#034 - Die Villa der Toten</t>
  </si>
  <si>
    <r>
      <t xml:space="preserve">Folge 31: </t>
    </r>
    <r>
      <rPr>
        <sz val="11"/>
        <color theme="1"/>
        <rFont val="Calibri"/>
        <family val="2"/>
        <scheme val="minor"/>
      </rPr>
      <t>Felsengeldautomat, Die drei ??? und die Geisterinsel</t>
    </r>
  </si>
  <si>
    <t>http://younginthe80s.de/episoden/</t>
  </si>
  <si>
    <t>Episode 34: Die drei ??? „Wir übernehmen jeden Fall“</t>
  </si>
  <si>
    <t>Episode 2: Hörspiele „Darf ich Ihnen unsere Karte geben?“</t>
  </si>
  <si>
    <r>
      <rPr>
        <b/>
        <sz val="11"/>
        <color theme="1"/>
        <rFont val="Calibri"/>
        <family val="2"/>
        <scheme val="minor"/>
      </rPr>
      <t>Young in the 80s</t>
    </r>
    <r>
      <rPr>
        <sz val="11"/>
        <color theme="1"/>
        <rFont val="Calibri"/>
        <family val="2"/>
        <scheme val="minor"/>
      </rPr>
      <t xml:space="preserve"> - Ein Podcast über die Jugendkultur und das Aufwachsen in den 80er-Jahren </t>
    </r>
    <r>
      <rPr>
        <sz val="11"/>
        <color theme="0"/>
        <rFont val="Calibri"/>
        <family val="2"/>
        <scheme val="minor"/>
      </rPr>
      <t>(seit 7. April 2013)</t>
    </r>
  </si>
  <si>
    <t>Zeichen</t>
  </si>
  <si>
    <t>Folge 1: Der Super-Papagei</t>
  </si>
  <si>
    <t>http://open.spotify.com/show/4AIutPV1pG0tDrjYGI4dMy</t>
  </si>
  <si>
    <t>Lampe</t>
  </si>
  <si>
    <t>SSP #70: Die drei ??? und die brennende Stadt (166)</t>
  </si>
  <si>
    <t>SSP #71: Die drei ??? und das Narbengesicht (31) mit Natalie Grams und Christian Nobmann</t>
  </si>
  <si>
    <t>sonst.</t>
  </si>
  <si>
    <r>
      <t>Schrottplatz Podcast</t>
    </r>
    <r>
      <rPr>
        <sz val="11"/>
        <color theme="1"/>
        <rFont val="Calibri"/>
        <family val="2"/>
        <scheme val="minor"/>
      </rPr>
      <t xml:space="preserve"> - wir diskutieren jeden Fall!</t>
    </r>
    <r>
      <rPr>
        <b/>
        <sz val="11"/>
        <color theme="1"/>
        <rFont val="Calibri"/>
        <family val="2"/>
        <scheme val="minor"/>
      </rPr>
      <t xml:space="preserve"> </t>
    </r>
    <r>
      <rPr>
        <b/>
        <sz val="11"/>
        <color theme="0"/>
        <rFont val="Calibri"/>
        <family val="2"/>
        <scheme val="minor"/>
      </rPr>
      <t>(seit 9. März 2020)</t>
    </r>
  </si>
  <si>
    <r>
      <t>Rescherschen und Arschiv (R&amp;A)</t>
    </r>
    <r>
      <rPr>
        <sz val="11"/>
        <color theme="1"/>
        <rFont val="Calibri"/>
        <family val="2"/>
        <scheme val="minor"/>
      </rPr>
      <t xml:space="preserve"> - Der Drei Fragezeichen-Fanpodcast </t>
    </r>
    <r>
      <rPr>
        <b/>
        <sz val="11"/>
        <color theme="0"/>
        <rFont val="Calibri"/>
        <family val="2"/>
        <scheme val="minor"/>
      </rPr>
      <t>(seit 9. März 2018)</t>
    </r>
  </si>
  <si>
    <t>Veröffentlichungslücken</t>
  </si>
  <si>
    <t>Sonstige Podcasts mit DDF-Besprechungen</t>
  </si>
  <si>
    <r>
      <t>Σ 145 Folgen</t>
    </r>
    <r>
      <rPr>
        <sz val="8"/>
        <color theme="0"/>
        <rFont val="Calibri"/>
        <family val="2"/>
        <scheme val="minor"/>
      </rPr>
      <t xml:space="preserve"> (regulär &amp; sonder)</t>
    </r>
  </si>
  <si>
    <r>
      <t xml:space="preserve">Ø 145 Folgen </t>
    </r>
    <r>
      <rPr>
        <sz val="8"/>
        <color theme="0"/>
        <rFont val="Calibri"/>
        <family val="2"/>
        <scheme val="minor"/>
      </rPr>
      <t>(regulär &amp; sonder)</t>
    </r>
  </si>
  <si>
    <t>SSP #72: Die drei ??? – Die Villa der Toten (114)</t>
  </si>
  <si>
    <t>Der Schrottplatz Podcast - Skateboardfieber</t>
  </si>
  <si>
    <t>Der Schrottplatz Podcast - Die falschen Detektive</t>
  </si>
  <si>
    <t>FragezeichenPod LIVE [2] – 164 – Fußball-Teufel</t>
  </si>
  <si>
    <t>FragezeichenPod LIVE [3] – 165 – Im Schatten des Giganten</t>
  </si>
  <si>
    <t>FragezeichenPod LIVE [4a] – Besprechung mit Publikum – Hörertreff</t>
  </si>
  <si>
    <t>FragezeichenPod LIVE [5] – 004 – und die schwarze Katze LIVE 2018 – mit Hennes Bender</t>
  </si>
  <si>
    <t>OhrCast 101-1 Rückhör, Die drei ??? (205) Das rätselhafte Erbe</t>
  </si>
  <si>
    <t>OhrCast 101-1 Rückhör, Die drei ??? (206) und der Mottenmann</t>
  </si>
  <si>
    <t>Die Karte der drei Fragezeichen</t>
  </si>
  <si>
    <t>Review - 80 Geheimakte Ufo</t>
  </si>
  <si>
    <t>Review - 84 Musik des Teufels</t>
  </si>
  <si>
    <t>Ankündigung/Ein Blick in meine Welt des Zusammenschnitts</t>
  </si>
  <si>
    <t>Review - 10 und die flüsternde Mumie</t>
  </si>
  <si>
    <t>Review - 18 und die Geisterinsel</t>
  </si>
  <si>
    <t>Die Freundinnen der drei Fragezeichen</t>
  </si>
  <si>
    <t>Kanal</t>
  </si>
  <si>
    <t>Die drei ??? - Record Release Feature Folge 207 | Sonder Podcast</t>
  </si>
  <si>
    <t>Die drei ??? - "und das Grab der Maya" Planetariumshörspiel | Spezial-Feature</t>
  </si>
  <si>
    <t>Die drei ??? - Record Release Feature Folge 206 | Sonder Podcast</t>
  </si>
  <si>
    <t>Die drei ??? - Record Release Feature Folge 205 | Sonder Podcast</t>
  </si>
  <si>
    <t>HB05</t>
  </si>
  <si>
    <t>Die drei ??? Podcast - Oliver Kalkofe im Interview [lachender Schatten (13)]</t>
  </si>
  <si>
    <t>Die drei ??? Podcast - Tim Grobe im Interview [roter Rubin (5)]</t>
  </si>
  <si>
    <t>Die drei ??? Podcast - Katrin Fröhlich im Interview [singende Schlange (25)]</t>
  </si>
  <si>
    <t>Die drei ??? Podcast - Jessica Schwarz im Interview [magischer Kreis (27)]</t>
  </si>
  <si>
    <t>Die drei ??? Podcast - Andreas Fröhlich im Interview [Karpatenhund (3)]</t>
  </si>
  <si>
    <t>Die drei ??? Podcast - Bela B im Interview [tanzender Teufel (21)]</t>
  </si>
  <si>
    <t>Die drei ??? Podcast - Jens Wawrczeck im Interview [Gespensterschloss (11)]</t>
  </si>
  <si>
    <t>Die drei ??? Podcast - Oliver Rohrbeck im Interview [Super-Papagei (1)]</t>
  </si>
  <si>
    <t>Die drei ??? Podcast - Jannik Schümann im Interview [Phantomsee (2)]</t>
  </si>
  <si>
    <t>Die drei ??? Podcast - Anna Thalbach im Interview [Geisterinsel (18)]</t>
  </si>
  <si>
    <t>Die drei ??? Podcast - Bastian Pastewka im Interview [grüner Geist (8)]</t>
  </si>
  <si>
    <t>Pl3.1</t>
  </si>
  <si>
    <t>HB01</t>
  </si>
  <si>
    <t>HB02</t>
  </si>
  <si>
    <t>HB03</t>
  </si>
  <si>
    <t>HB04</t>
  </si>
  <si>
    <t>HB06</t>
  </si>
  <si>
    <t>HB07</t>
  </si>
  <si>
    <t>HB08</t>
  </si>
  <si>
    <t>HB10</t>
  </si>
  <si>
    <t>HB11</t>
  </si>
  <si>
    <t>HB12</t>
  </si>
  <si>
    <r>
      <rPr>
        <b/>
        <sz val="11"/>
        <color theme="1"/>
        <rFont val="Calibri"/>
        <family val="2"/>
        <scheme val="minor"/>
      </rPr>
      <t>Die drei ???</t>
    </r>
    <r>
      <rPr>
        <sz val="11"/>
        <color theme="1"/>
        <rFont val="Calibri"/>
        <family val="2"/>
        <scheme val="minor"/>
      </rPr>
      <t xml:space="preserve"> "offizieller drei ??? Kanal" [Label-Kanal] (YouTube)</t>
    </r>
  </si>
  <si>
    <r>
      <rPr>
        <b/>
        <sz val="11"/>
        <color theme="1"/>
        <rFont val="Calibri"/>
        <family val="2"/>
        <scheme val="minor"/>
      </rPr>
      <t>Fragezeichen Kanal</t>
    </r>
    <r>
      <rPr>
        <sz val="11"/>
        <color theme="1"/>
        <rFont val="Calibri"/>
        <family val="2"/>
        <scheme val="minor"/>
      </rPr>
      <t xml:space="preserve"> (YouTube)</t>
    </r>
  </si>
  <si>
    <t>Label</t>
  </si>
  <si>
    <t>OhrCast 102-4 Update September, Die drei ??? (207) Die falschen Detektive</t>
  </si>
  <si>
    <t>Die drei ??? - "und das Grab der Maya" Kopfhörer-Hörspiel | Spezial-Feature</t>
  </si>
  <si>
    <t>Die Talker-Lounge 147: Die drei ??? – 016 – …und der Zauberspiegel (Rezension)</t>
  </si>
  <si>
    <t>#035 - … und das Narbengesicht</t>
  </si>
  <si>
    <t>SSP #74: Die drei ??? – Im Bann des Drachen (192)</t>
  </si>
  <si>
    <t>Adv3</t>
  </si>
  <si>
    <t>OhrCast 103-5 Update Oktober, Die drei ??? (SE) O du finstere</t>
  </si>
  <si>
    <t>KG2.2</t>
  </si>
  <si>
    <t>FragezeichenPod – 021 – und der tanzende Teufel</t>
  </si>
  <si>
    <t>SSP Live #5 / SSP #75: Die drei ??? und die scheißteure Geige (124) [aka Geister-Canyon]</t>
  </si>
  <si>
    <t>SSP Live #4 / SSP Live@Home: Die drei ??? – Das schwarze Nest (29.03.20)</t>
  </si>
  <si>
    <t>SSP Live #6 / SSP präsentiert: Die drei ??? und die Welt der Hörspiele - Eine Lesung von C. R. Rodenwald</t>
  </si>
  <si>
    <r>
      <t>Fragezeichenpod (???od)</t>
    </r>
    <r>
      <rPr>
        <sz val="11"/>
        <color theme="1"/>
        <rFont val="Calibri"/>
        <family val="2"/>
        <scheme val="minor"/>
      </rPr>
      <t xml:space="preserve"> - Der Drei Fragezeichen Podcast </t>
    </r>
    <r>
      <rPr>
        <b/>
        <sz val="11"/>
        <color theme="0"/>
        <rFont val="Calibri"/>
        <family val="2"/>
        <scheme val="minor"/>
      </rPr>
      <t>(seit 1. Oktober 2011 [???od] / seit 28. Juli 2012 [4 Ohren])</t>
    </r>
  </si>
  <si>
    <r>
      <t>Spezialgelagerter Sonderpodcast (SSP)</t>
    </r>
    <r>
      <rPr>
        <sz val="11"/>
        <color theme="1"/>
        <rFont val="Calibri"/>
        <family val="2"/>
        <scheme val="minor"/>
      </rPr>
      <t xml:space="preserve"> - Wir analysieren jede Folge</t>
    </r>
    <r>
      <rPr>
        <b/>
        <sz val="11"/>
        <color theme="1"/>
        <rFont val="Calibri"/>
        <family val="2"/>
        <scheme val="minor"/>
      </rPr>
      <t xml:space="preserve"> </t>
    </r>
    <r>
      <rPr>
        <b/>
        <sz val="11"/>
        <color theme="0"/>
        <rFont val="Calibri"/>
        <family val="2"/>
        <scheme val="minor"/>
      </rPr>
      <t>(seit 29. März 2017) [URL seit 8. November 2016]</t>
    </r>
  </si>
  <si>
    <r>
      <t>OhrCast</t>
    </r>
    <r>
      <rPr>
        <sz val="11"/>
        <rFont val="Calibri"/>
        <family val="2"/>
        <scheme val="minor"/>
      </rPr>
      <t xml:space="preserve"> - Der monatliche Hörspielpodcast </t>
    </r>
    <r>
      <rPr>
        <sz val="11"/>
        <color theme="0"/>
        <rFont val="Calibri"/>
        <family val="2"/>
        <scheme val="minor"/>
      </rPr>
      <t>(seit 3. November 2011) [OhrCast-Seite seit 28. Oktober 2011]</t>
    </r>
  </si>
  <si>
    <t>OhrCast 04-1 Rückblick Januar 2012, Die drei ??? Kids (25) In letzter Sekunde</t>
  </si>
  <si>
    <t>OhrCast 04-1 Rückblick Januar 2012, Die drei ??? (151) Schwarze Sonne</t>
  </si>
  <si>
    <t>OhrCast 02-1 Rückblick November 2011, Die drei ??? (SE) High Strung - Unter Hochspannung</t>
  </si>
  <si>
    <t>OhrCast 02-1 Rückblick November 2011, Die drei ??? (150) Geisterbucht</t>
  </si>
  <si>
    <t>http://www.kassettenbox.de/podcast/</t>
  </si>
  <si>
    <t>Folge 2 - Das Tastaturklackern [DDF 205. Folge "Das rätselhafte Erbe"]</t>
  </si>
  <si>
    <t>Box</t>
  </si>
  <si>
    <t>Adventskalendertürchen 1, Die drei ???: O du finstere - Auf ins Winterwunderland</t>
  </si>
  <si>
    <t>Adv3.1</t>
  </si>
  <si>
    <t>AK19.1</t>
  </si>
  <si>
    <t>AK19.2</t>
  </si>
  <si>
    <t>AK19.3</t>
  </si>
  <si>
    <t>AK19.4</t>
  </si>
  <si>
    <t>AK19.5</t>
  </si>
  <si>
    <t>AK19.6</t>
  </si>
  <si>
    <t>AK19.7</t>
  </si>
  <si>
    <t>AK19.8</t>
  </si>
  <si>
    <t>AK19.9</t>
  </si>
  <si>
    <t>AK19.10</t>
  </si>
  <si>
    <t>AK19.11</t>
  </si>
  <si>
    <t>AK19.12</t>
  </si>
  <si>
    <t>AK19.13</t>
  </si>
  <si>
    <t>AK19.14</t>
  </si>
  <si>
    <t>AK19.15</t>
  </si>
  <si>
    <t>AK19.16</t>
  </si>
  <si>
    <t>AK19.17</t>
  </si>
  <si>
    <t>AK19.18</t>
  </si>
  <si>
    <t>AK19.19</t>
  </si>
  <si>
    <t>AK19.20</t>
  </si>
  <si>
    <t>AK19.21</t>
  </si>
  <si>
    <t>AK19.22</t>
  </si>
  <si>
    <t>AK19.23</t>
  </si>
  <si>
    <t>AK19.24</t>
  </si>
  <si>
    <t>Spezialgelagerter Adventskalender 2020 – Tür 11: TKKG – Die Nacht des Überfalls (35)</t>
  </si>
  <si>
    <t>Spezialgelagerter Adventskalender 2020 – Tür 9: Achtsam morden</t>
  </si>
  <si>
    <t>TKKG190</t>
  </si>
  <si>
    <t>TKKG035</t>
  </si>
  <si>
    <t>TKKG</t>
  </si>
  <si>
    <t>Spezialgelagerter Adventskalender 2020 – Tür 8: Masters of the Universe</t>
  </si>
  <si>
    <t>Spezialgelagerter Adventskalender 2020 – Tür 7: Rocky Beach – Eine Rezension</t>
  </si>
  <si>
    <t>Spezialgelagerter Adventskalender 2020 – Tür 6: Die Rückkehr der Speziritter</t>
  </si>
  <si>
    <t>Spezi2</t>
  </si>
  <si>
    <t>Spezi1</t>
  </si>
  <si>
    <t>Spezialgelagerter Adventskalender 2020 – Tür 5: Das schwarze Loch</t>
  </si>
  <si>
    <t>SSP #75: Die drei ??? und die scheißteure Geige (124) – Tür 1</t>
  </si>
  <si>
    <t>3:06:53</t>
  </si>
  <si>
    <t>Weihnachten [2019] - Drei ??? Adventskalender [2019] - Tür 1</t>
  </si>
  <si>
    <t>Weihnachten [2019] - Drei ??? Adventskalender [2019] - Tür 2</t>
  </si>
  <si>
    <t>Weihnachten [2019] - Drei ??? Adventskalender [2019] - Tür 3</t>
  </si>
  <si>
    <t>Weihnachten [2019] - Drei ??? Adventskalender [2019] - Tür 4</t>
  </si>
  <si>
    <t>Weihnachten [2019] - Drei ??? Adventskalender [2019] - Tür 5</t>
  </si>
  <si>
    <t>Weihnachten [2019] - Drei ??? Adventskalender [2019] - Tür 6</t>
  </si>
  <si>
    <t>Weihnachten [2019] - Drei ??? Adventskalender [2019] - Tür 7</t>
  </si>
  <si>
    <t>Weihnachten [2019] - Drei ??? Adventskalender [2019] - Tür 8</t>
  </si>
  <si>
    <t>Weihnachten [2019] - Drei ??? Adventskalender [2019] - Tür 9</t>
  </si>
  <si>
    <t>Weihnachten [2019] - Drei ??? Adventskalender [2019] - Tür 10</t>
  </si>
  <si>
    <t>Weihnachten [2019] - Drei ??? Adventskalender [2019] - Tür 11</t>
  </si>
  <si>
    <t>Weihnachten [2019] - Drei ??? Adventskalender [2019] - Tür 12</t>
  </si>
  <si>
    <t>Weihnachten [2019] - Drei ??? Adventskalender [2019] - Tür 13</t>
  </si>
  <si>
    <t>Weihnachten [2019] - Drei ??? Adventskalender [2019] - Tür 14</t>
  </si>
  <si>
    <t>Weihnachten [2019] - Drei ??? Adventskalender [2019] - Tür 15</t>
  </si>
  <si>
    <t>Weihnachten [2019] - Drei ??? Adventskalender [2019] - Tür 16</t>
  </si>
  <si>
    <t>Weihnachten [2019] - Drei ??? Adventskalender [2019] - Tür 17</t>
  </si>
  <si>
    <t>Weihnachten [2019] - Drei ??? Adventskalender [2019] - Tür 18</t>
  </si>
  <si>
    <t>Weihnachten [2019] - Drei ??? Adventskalender [2019] - Tür 19</t>
  </si>
  <si>
    <t>Weihnachten [2019] - Drei ??? Adventskalender [2019] - Tür 20</t>
  </si>
  <si>
    <t>Weihnachten [2019] - Drei ??? Adventskalender [2019] - Tür 21</t>
  </si>
  <si>
    <t>Weihnachten [2019] - Drei ??? Adventskalender [2019] - Tür 22</t>
  </si>
  <si>
    <t>Weihnachten [2019] - Drei ??? Adventskalender [2019] - Tür 23</t>
  </si>
  <si>
    <t>Weihnachten [2019] - Drei ??? Adventskalender [2019] - Tür 24</t>
  </si>
  <si>
    <t>Adv3.2</t>
  </si>
  <si>
    <t>Adv3.3</t>
  </si>
  <si>
    <t>Adv3.4</t>
  </si>
  <si>
    <t>Adv3.5</t>
  </si>
  <si>
    <t>Adv3.6</t>
  </si>
  <si>
    <t>Adv3.7</t>
  </si>
  <si>
    <t>Adv3.8</t>
  </si>
  <si>
    <t>Adv3.9</t>
  </si>
  <si>
    <t>Adv3.10</t>
  </si>
  <si>
    <t>Adv3.11</t>
  </si>
  <si>
    <t>Adv3.12</t>
  </si>
  <si>
    <t>Adv3.13</t>
  </si>
  <si>
    <t>Adv3.14</t>
  </si>
  <si>
    <t>Adv3.15</t>
  </si>
  <si>
    <t>Adv3.16</t>
  </si>
  <si>
    <t>Adv3.17</t>
  </si>
  <si>
    <t>Adv3.18</t>
  </si>
  <si>
    <t>Adv3.19</t>
  </si>
  <si>
    <t>Adv3.20</t>
  </si>
  <si>
    <t>Adv3.21</t>
  </si>
  <si>
    <t>Adv3.22</t>
  </si>
  <si>
    <t>Adv3.23</t>
  </si>
  <si>
    <t>Adv3.24</t>
  </si>
  <si>
    <t>Adventskalendertürchen 2, Die drei ???: O du finstere - Tief in den Wäldern</t>
  </si>
  <si>
    <t>Adventskalendertürchen 3, Die drei ???: O du finstere - Licht im Dunkel</t>
  </si>
  <si>
    <t>Adventskalendertürchen 4, Die drei ???: O du finstere - Böse Erinnerungen</t>
  </si>
  <si>
    <t>Adventskalendertürchen 6, Die drei ???: O du finstere - Keine stille Nacht</t>
  </si>
  <si>
    <t>Adventskalendertürchen 7, Die drei ???: O du finstere - Abreisen oder bleiben</t>
  </si>
  <si>
    <t>Adventskalendertürchen 8, Die drei ???: O du finstere - (K)ein Fall für die drei ???</t>
  </si>
  <si>
    <t>Adventskalendertürchen 9, Die drei ???: O du finstere - Adventsdämon und Geisterkind</t>
  </si>
  <si>
    <t>Adventskalendertürchen 10, Die drei ???: O du finstere - Ein unglaublicher Verdacht</t>
  </si>
  <si>
    <t>Adventskalendertürchen 11, Die drei ???: O du finstere - Bär gegen Teufel</t>
  </si>
  <si>
    <t>http://open.spotify.com/show/2uhVIgFrYaGFgsp3QBhVml</t>
  </si>
  <si>
    <t>Fan</t>
  </si>
  <si>
    <t>RS2.1</t>
  </si>
  <si>
    <t>RS1.1</t>
  </si>
  <si>
    <t>RS1.2</t>
  </si>
  <si>
    <t>RS1.3</t>
  </si>
  <si>
    <t>Int11</t>
  </si>
  <si>
    <t>Int10</t>
  </si>
  <si>
    <t>Int01</t>
  </si>
  <si>
    <t>Int02</t>
  </si>
  <si>
    <t>Int03</t>
  </si>
  <si>
    <t>Int04</t>
  </si>
  <si>
    <t>Int05</t>
  </si>
  <si>
    <t>Int06</t>
  </si>
  <si>
    <t>Int07</t>
  </si>
  <si>
    <t>Int08</t>
  </si>
  <si>
    <t>Int09</t>
  </si>
  <si>
    <t>Int12</t>
  </si>
  <si>
    <t>Int13</t>
  </si>
  <si>
    <t>Int14</t>
  </si>
  <si>
    <t>Spezialgelagerter Adventskalender 2020 – Tür 12: Die Europa-Chronik (Interview XIV)</t>
  </si>
  <si>
    <t>Int09a</t>
  </si>
  <si>
    <t>Adventskalendertürchen 12, Die drei ???: O du finstere - Der Sessellift</t>
  </si>
  <si>
    <t>Adventskalendertürchen 5, Die drei ???: O du finstere - Gruß vom Krampus!</t>
  </si>
  <si>
    <t>Adventskalendertürchen 13, Die drei ???: O du finstere - Gefangen im Nichts</t>
  </si>
  <si>
    <t>Adventskalendertürchen 14, Die drei ???: O du finstere - Eisnebel</t>
  </si>
  <si>
    <t>Adventskalendertürchen 15, Die drei ???: O du finstere - Überraschende Erkenntnisse</t>
  </si>
  <si>
    <t>Adventskalendertürchen 16, Die drei ???: O du finstere - Gekränkte Liebe</t>
  </si>
  <si>
    <t>Adventskalendertürchen 17, Die drei ???: O du finstere - Bitterböser Schneemann</t>
  </si>
  <si>
    <t>Adventskalendertürchen 18, Die drei ???: O du finstere - Schatten der Vergangenheit</t>
  </si>
  <si>
    <t>Adventskalendertürchen 19, Die drei ???: O du finstere - Unerwartete Wendung</t>
  </si>
  <si>
    <t>Adventskalendertürchen 20, Die drei ???: O du finstere - Neustart</t>
  </si>
  <si>
    <t>Adventskalendertürchen 21, Die drei ???: O du finstere - Ein Alptraum wird wahr</t>
  </si>
  <si>
    <t>Adventskalendertürchen 22, Die drei ???: O du finstere - Die Masken fallen</t>
  </si>
  <si>
    <t>Adventskalendertürchen 23, Die drei ???: O du finstere - Auge im Auge mit dem Feind</t>
  </si>
  <si>
    <t>Adventskalendertürchen 24, Die drei ???: O du finstere - O Tannenbaum</t>
  </si>
  <si>
    <t>Spezialgelagerter Adventskalender 2020 – Tür 13: James Bond – Diamantenfieber</t>
  </si>
  <si>
    <r>
      <t>Die drei Fanatiker</t>
    </r>
    <r>
      <rPr>
        <sz val="11"/>
        <color theme="1"/>
        <rFont val="Calibri"/>
        <family val="2"/>
        <scheme val="minor"/>
      </rPr>
      <t xml:space="preserve"> und der Fragezeichen Podcast </t>
    </r>
    <r>
      <rPr>
        <sz val="11"/>
        <color theme="0"/>
        <rFont val="Calibri"/>
        <family val="2"/>
        <scheme val="minor"/>
      </rPr>
      <t>(seit 22. November 2020)</t>
    </r>
  </si>
  <si>
    <t>Spezialgelagerter Adventskalender 2020 – Tür 14: Der Herr der Ringe – Hörspiel</t>
  </si>
  <si>
    <t>Spezialgelagerte Sonderfolge - "Last Christmas" (mit Francesca Herr)</t>
  </si>
  <si>
    <t>Spezialgelagerter Adventskalender 2020 – Tür 15: Lesung – Die drei ??? und die Welt der Hörspiele (von C.R. Rodenwald)</t>
  </si>
  <si>
    <t>1:52:14</t>
  </si>
  <si>
    <t>#036 - Skateboardfieber</t>
  </si>
  <si>
    <t>Spezialgelagerter Adventskalender 2020 – Tür 17: Toniebox-Test</t>
  </si>
  <si>
    <t>Spezialgelagerter Adventskalender 2020 – Tür 16: Warhammer 40.000</t>
  </si>
  <si>
    <t>Spezialgelagerter Adventskalender 2020 – Tür 18: Sherlock Holmes Chronicles – 28 Stufen</t>
  </si>
  <si>
    <t>V1</t>
  </si>
  <si>
    <t>OhrCast 104-4 Rückhör November 2020, Die drei ??? (SE) und das Grab der Maya</t>
  </si>
  <si>
    <t>Spezialgelagerter Adventskalender 2020 – Tür 19: Götterdämmerung von Johannes Maria Stangl</t>
  </si>
  <si>
    <t>Spezialgelagerter Adventskalender 2020 – Tür 20: Fünf mit John und Tom</t>
  </si>
  <si>
    <t>Spezialgelagerter Adventskalender 2020 – Tür 21: Sudames Lockruf</t>
  </si>
  <si>
    <t>Out1</t>
  </si>
  <si>
    <t>Out2</t>
  </si>
  <si>
    <t>Out3</t>
  </si>
  <si>
    <t>Out4</t>
  </si>
  <si>
    <t>Spezialgelagerter Adventskalender 2020 – Tür 22: Die drei ??? und die Chaos-Burg (Untold)</t>
  </si>
  <si>
    <t>Review - 101 und das Hexenhandy</t>
  </si>
  <si>
    <t>Ewig das Gleiche - bei den drei Fragezeichen</t>
  </si>
  <si>
    <t>Spezialgelagerter Adventskalender 2020 – Tür 23: Spezialgelagerte Outtakes ’20</t>
  </si>
  <si>
    <t>SSP #77a: Die drei ??? – Geisterbucht – Rashuras Schatz (150A – Tür 24)</t>
  </si>
  <si>
    <t>SSP #77b: Die drei ??? – Geisterbucht – Flammendes Wasser (150B – Tür 25)</t>
  </si>
  <si>
    <t>SSP #77c: Die drei ??? – Geisterbucht – Der brennende Kristall (150C – Tür 26)</t>
  </si>
  <si>
    <t>Folge 2: Der Phantomsee</t>
  </si>
  <si>
    <t>FB30</t>
  </si>
  <si>
    <t>SSP #77.5: Der spezialgelagerte Jahresrückblick (2020)</t>
  </si>
  <si>
    <t>#SSP 78: Welche Folge sollen wir besprechen?</t>
  </si>
  <si>
    <t>Folge 3: Der Karpatenhund</t>
  </si>
  <si>
    <t>Die Höhle des Grauens (111) (38%, 174 Votes)</t>
  </si>
  <si>
    <t>Botschaft aus der Unterwelt (154) (23%, 108 Votes)</t>
  </si>
  <si>
    <r>
      <rPr>
        <b/>
        <sz val="11"/>
        <rFont val="Calibri"/>
        <family val="2"/>
        <scheme val="minor"/>
      </rPr>
      <t>kassettenbox</t>
    </r>
    <r>
      <rPr>
        <sz val="11"/>
        <rFont val="Calibri"/>
        <family val="2"/>
        <scheme val="minor"/>
      </rPr>
      <t xml:space="preserve"> - das Hörspielblog </t>
    </r>
    <r>
      <rPr>
        <sz val="11"/>
        <color theme="0"/>
        <rFont val="Calibri"/>
        <family val="2"/>
        <scheme val="minor"/>
      </rPr>
      <t>(seit 29. November 2015)</t>
    </r>
  </si>
  <si>
    <r>
      <rPr>
        <b/>
        <sz val="11"/>
        <rFont val="Calibri"/>
        <family val="2"/>
        <scheme val="minor"/>
      </rPr>
      <t>JAM</t>
    </r>
    <r>
      <rPr>
        <sz val="11"/>
        <rFont val="Calibri"/>
        <family val="2"/>
        <scheme val="minor"/>
      </rPr>
      <t xml:space="preserve"> - Der TKKG-Podcast </t>
    </r>
    <r>
      <rPr>
        <sz val="11"/>
        <color theme="0"/>
        <rFont val="Calibri"/>
        <family val="2"/>
        <scheme val="minor"/>
      </rPr>
      <t>(seit 15. September 2020)</t>
    </r>
  </si>
  <si>
    <t>WeihJAMPzeit#8 Grafic Novel / Rocky Beach</t>
  </si>
  <si>
    <t>WeihJAMPzeit#6 Die drei ??? das weiße Grab</t>
  </si>
  <si>
    <t>http://open.spotify.com/show/2uEauPMtqC1W1O2iNkJgBz</t>
  </si>
  <si>
    <t>Im Sumpf (des Verbrechens) von Rocky Beach</t>
  </si>
  <si>
    <t>SSP #79: Die drei ??? und die schwarze Katze (4) mit Toby Baier</t>
  </si>
  <si>
    <t>SSP #78: Die drei ??? – Das weiße Grab (202)</t>
  </si>
  <si>
    <t>FB31</t>
  </si>
  <si>
    <t>SSP #79.5: Über Votings, Live-Podcasts und Hörspiele #FragdenSSP</t>
  </si>
  <si>
    <t>Folge 33: Anrufe aus der Irrenanstalt, Die drei ??? - Rufmord</t>
  </si>
  <si>
    <t>#037 - Die Spur des Spielers</t>
  </si>
  <si>
    <t>Der Schrottplatz Podcast - Geister-Canyon</t>
  </si>
  <si>
    <t>#038 - … und der unheimliche Drache</t>
  </si>
  <si>
    <t>Folgenvoting für den März (Ja, neues Feature!)</t>
  </si>
  <si>
    <t>(171) und das Phantom aus dem Meer (35%, 157 Votes)</t>
  </si>
  <si>
    <t>(174) und das Tuch der Toten (27%, 118 Votes)</t>
  </si>
  <si>
    <t>Audio Show Nr. 3</t>
  </si>
  <si>
    <t>Audio Show Nr. 1</t>
  </si>
  <si>
    <t>Audio Show Nr. 2</t>
  </si>
  <si>
    <r>
      <rPr>
        <b/>
        <sz val="11"/>
        <color theme="1"/>
        <rFont val="Calibri"/>
        <family val="2"/>
        <scheme val="minor"/>
      </rPr>
      <t>Die drei ??? und mehr....</t>
    </r>
    <r>
      <rPr>
        <sz val="11"/>
        <color theme="1"/>
        <rFont val="Calibri"/>
        <family val="2"/>
        <scheme val="minor"/>
      </rPr>
      <t xml:space="preserve"> - DietRenn Productions</t>
    </r>
  </si>
  <si>
    <t>http://grekey.funpic.de/Podcast.html</t>
  </si>
  <si>
    <t>Episode 1</t>
  </si>
  <si>
    <t>Episode 2</t>
  </si>
  <si>
    <t>#1 | #125 | #170 Der Bergmonstervergleich</t>
  </si>
  <si>
    <t>http://www.der-sumpf.de/im-sumpf-des-verbrechens-von-rocky-beach/</t>
  </si>
  <si>
    <t>SSP Interview (XV): Andreas Ruch und die Geisterfrau</t>
  </si>
  <si>
    <t>Int15</t>
  </si>
  <si>
    <t>Folge 34: Schrägbalken im Kopf, Die drei ??? - Insektenstachel</t>
  </si>
  <si>
    <t>http://rocketbeans.tv/mediathek/podcast/352/Hoerspielplatz</t>
  </si>
  <si>
    <r>
      <rPr>
        <b/>
        <sz val="11"/>
        <rFont val="Calibri"/>
        <family val="2"/>
        <scheme val="minor"/>
      </rPr>
      <t>Hörspielplatz</t>
    </r>
    <r>
      <rPr>
        <sz val="11"/>
        <rFont val="Calibri"/>
        <family val="2"/>
        <scheme val="minor"/>
      </rPr>
      <t xml:space="preserve"> - Podcast von Rocket Beans TV </t>
    </r>
    <r>
      <rPr>
        <sz val="11"/>
        <color theme="0"/>
        <rFont val="Calibri"/>
        <family val="2"/>
        <scheme val="minor"/>
      </rPr>
      <t>(seit 1. Oktober 2020)</t>
    </r>
  </si>
  <si>
    <t>Folge 1: Jens Wawrczeck, die Stimme hinter Peter Shaw von „Die drei ???“</t>
  </si>
  <si>
    <t>Folge 3: Heikedine Körting, die Hörspiel-Königin</t>
  </si>
  <si>
    <t>Folge 10: „Die drei ???“-Autor André Minninger und Illustrator Wolfram Damerius</t>
  </si>
  <si>
    <t>SSP #81: Die drei Fragezeichen – Die Höhle des Grauens (111)</t>
  </si>
  <si>
    <t>JAM</t>
  </si>
  <si>
    <t>#039 - Im Schatten des Giganten</t>
  </si>
  <si>
    <t>Die Talker-Lounge 150: Die Ferienbande – 004 – …und das bumsfidele Geisterschiff (Rezension)</t>
  </si>
  <si>
    <t>OhrCast 106-3 Rückhör Januar 2021, Die drei ??? (208) Kelch des Schicksals</t>
  </si>
  <si>
    <t>Special: Eure Geburtstagswünsche!!! zum 3-jährigen Podcast-Jubiläum</t>
  </si>
  <si>
    <t>SSP #82: Die drei Fragezeichen und der schrullige Millionär (46)</t>
  </si>
  <si>
    <t>SSP #84: Die drei Fragezeichen – Der Geist des Goldgräbers (177)</t>
  </si>
  <si>
    <t>http://anchor.fm/mathildaskirschkuchen</t>
  </si>
  <si>
    <t>Trailer - Der Trailer zu Mathildas Kirschkuchen</t>
  </si>
  <si>
    <t>Mathilda flext #1 - Warum hört man als Erwachsener die Drei ???</t>
  </si>
  <si>
    <t>Kuchen</t>
  </si>
  <si>
    <t>#01: "Die drei ??? und das Gespensterschloss"</t>
  </si>
  <si>
    <r>
      <t>Mathildas Kirschkuchen</t>
    </r>
    <r>
      <rPr>
        <sz val="11"/>
        <color theme="1"/>
        <rFont val="Calibri"/>
        <family val="2"/>
        <scheme val="minor"/>
      </rPr>
      <t xml:space="preserve"> - Der Podcast zu den drei Fragezeichen </t>
    </r>
    <r>
      <rPr>
        <sz val="11"/>
        <color theme="0"/>
        <rFont val="Calibri"/>
        <family val="2"/>
        <scheme val="minor"/>
      </rPr>
      <t>(seit 4. Dezember 2020)</t>
    </r>
  </si>
  <si>
    <t>MF01</t>
  </si>
  <si>
    <t>MF02</t>
  </si>
  <si>
    <t>MF03</t>
  </si>
  <si>
    <t>SSP #82.5: Auslosung Eiskaltes Blut</t>
  </si>
  <si>
    <t>FB32</t>
  </si>
  <si>
    <t>1/125/170</t>
  </si>
  <si>
    <t>#2 | #172 Die Schottland-Connection</t>
  </si>
  <si>
    <t>MF04</t>
  </si>
  <si>
    <r>
      <t>Unter Anführungszeichen #</t>
    </r>
    <r>
      <rPr>
        <sz val="1"/>
        <color theme="1"/>
        <rFont val="Calibri"/>
        <family val="2"/>
        <scheme val="minor"/>
      </rPr>
      <t>0</t>
    </r>
    <r>
      <rPr>
        <sz val="11"/>
        <color theme="1"/>
        <rFont val="Calibri"/>
        <family val="2"/>
        <scheme val="minor"/>
      </rPr>
      <t>1: Die drei ??? und die Musikpiraten (52)</t>
    </r>
  </si>
  <si>
    <r>
      <t>Unter Anführungszeichen #</t>
    </r>
    <r>
      <rPr>
        <sz val="1"/>
        <color theme="1"/>
        <rFont val="Calibri"/>
        <family val="2"/>
        <scheme val="minor"/>
      </rPr>
      <t>0</t>
    </r>
    <r>
      <rPr>
        <sz val="11"/>
        <color theme="1"/>
        <rFont val="Calibri"/>
        <family val="2"/>
        <scheme val="minor"/>
      </rPr>
      <t>2: Die drei ??? und die blutenden Bilder (161)</t>
    </r>
  </si>
  <si>
    <r>
      <t>Unter Anführungszeichen #</t>
    </r>
    <r>
      <rPr>
        <sz val="1"/>
        <color theme="1"/>
        <rFont val="Calibri"/>
        <family val="2"/>
        <scheme val="minor"/>
      </rPr>
      <t>0</t>
    </r>
    <r>
      <rPr>
        <sz val="11"/>
        <color theme="1"/>
        <rFont val="Calibri"/>
        <family val="2"/>
        <scheme val="minor"/>
      </rPr>
      <t>3: Die drei ??? und das Volk der Winde (41)</t>
    </r>
  </si>
  <si>
    <r>
      <t>Unter Anführungszeichen #</t>
    </r>
    <r>
      <rPr>
        <sz val="1"/>
        <color theme="1"/>
        <rFont val="Calibri"/>
        <family val="2"/>
        <scheme val="minor"/>
      </rPr>
      <t>0</t>
    </r>
    <r>
      <rPr>
        <sz val="11"/>
        <color theme="1"/>
        <rFont val="Calibri"/>
        <family val="2"/>
        <scheme val="minor"/>
      </rPr>
      <t>4: Die drei ??? und [sic] die Geheime Treppe (138)</t>
    </r>
  </si>
  <si>
    <r>
      <t>Unter Anführungszeichen #</t>
    </r>
    <r>
      <rPr>
        <sz val="1"/>
        <color theme="1"/>
        <rFont val="Calibri"/>
        <family val="2"/>
        <scheme val="minor"/>
      </rPr>
      <t>0</t>
    </r>
    <r>
      <rPr>
        <sz val="11"/>
        <color theme="1"/>
        <rFont val="Calibri"/>
        <family val="2"/>
        <scheme val="minor"/>
      </rPr>
      <t>5: Die drei ??? und das Gespensterschloss (11)</t>
    </r>
  </si>
  <si>
    <r>
      <t>Unter Anführungszeichen #</t>
    </r>
    <r>
      <rPr>
        <sz val="1"/>
        <color theme="1"/>
        <rFont val="Calibri"/>
        <family val="2"/>
        <scheme val="minor"/>
      </rPr>
      <t>0</t>
    </r>
    <r>
      <rPr>
        <sz val="11"/>
        <color theme="1"/>
        <rFont val="Calibri"/>
        <family val="2"/>
        <scheme val="minor"/>
      </rPr>
      <t>6: Die drei ??? - das Auge des Drachen (113)</t>
    </r>
  </si>
  <si>
    <r>
      <t>Unter Anführungszeichen #</t>
    </r>
    <r>
      <rPr>
        <sz val="1"/>
        <color theme="1"/>
        <rFont val="Calibri"/>
        <family val="2"/>
        <scheme val="minor"/>
      </rPr>
      <t>0</t>
    </r>
    <r>
      <rPr>
        <sz val="11"/>
        <color theme="1"/>
        <rFont val="Calibri"/>
        <family val="2"/>
        <scheme val="minor"/>
      </rPr>
      <t>7: Die drei ??? - Vampir im Internet (88) mit Fabian Navarro</t>
    </r>
  </si>
  <si>
    <r>
      <t>Unter Anführungszeichen #</t>
    </r>
    <r>
      <rPr>
        <sz val="1"/>
        <color theme="1"/>
        <rFont val="Calibri"/>
        <family val="2"/>
        <scheme val="minor"/>
      </rPr>
      <t>0</t>
    </r>
    <r>
      <rPr>
        <sz val="11"/>
        <color theme="1"/>
        <rFont val="Calibri"/>
        <family val="2"/>
        <scheme val="minor"/>
      </rPr>
      <t>8: Die drei ??? und das Tuch der Toten (174)</t>
    </r>
  </si>
  <si>
    <t>#040 - Das leere Grab</t>
  </si>
  <si>
    <t>MF05</t>
  </si>
  <si>
    <t>HB13</t>
  </si>
  <si>
    <t>Die drei ??? Podcast - Judy Winter im Interview [Ameisenmensch (32)]</t>
  </si>
  <si>
    <t>Aktiv</t>
  </si>
  <si>
    <t>Website</t>
  </si>
  <si>
    <t>Schrottcast Titus Jonas</t>
  </si>
  <si>
    <t>Kurzübersicht</t>
  </si>
  <si>
    <t>Kürzel</t>
  </si>
  <si>
    <t>DiE 2WO - Der Podcast zu DiE DR3i</t>
  </si>
  <si>
    <r>
      <t xml:space="preserve">Fragezeichenpod </t>
    </r>
    <r>
      <rPr>
        <sz val="11"/>
        <color theme="0"/>
        <rFont val="Calibri"/>
        <family val="2"/>
        <scheme val="minor"/>
      </rPr>
      <t>(???od) - Der Drei Fragezeichen Podcast</t>
    </r>
  </si>
  <si>
    <r>
      <t xml:space="preserve">Talker-Lounge </t>
    </r>
    <r>
      <rPr>
        <sz val="11"/>
        <color theme="0"/>
        <rFont val="Calibri"/>
        <family val="2"/>
        <scheme val="minor"/>
      </rPr>
      <t>- Der Hörspiel-Podcast</t>
    </r>
  </si>
  <si>
    <r>
      <t xml:space="preserve">Haschimitenfürst </t>
    </r>
    <r>
      <rPr>
        <sz val="11"/>
        <color theme="0"/>
        <rFont val="Calibri"/>
        <family val="2"/>
        <scheme val="minor"/>
      </rPr>
      <t>- BrettSpiele HörSpiele Television</t>
    </r>
  </si>
  <si>
    <r>
      <t xml:space="preserve">Was hoerst du so? </t>
    </r>
    <r>
      <rPr>
        <sz val="11"/>
        <color theme="0"/>
        <rFont val="Calibri"/>
        <family val="2"/>
        <scheme val="minor"/>
      </rPr>
      <t>Der Podcast</t>
    </r>
  </si>
  <si>
    <r>
      <t xml:space="preserve">Spezialgelagerter Sonderpodcast </t>
    </r>
    <r>
      <rPr>
        <sz val="11"/>
        <color theme="0"/>
        <rFont val="Calibri"/>
        <family val="2"/>
        <scheme val="minor"/>
      </rPr>
      <t>(SSP) - Wir analysieren jede Folge</t>
    </r>
  </si>
  <si>
    <r>
      <t xml:space="preserve">Rescherschen und Arschiv </t>
    </r>
    <r>
      <rPr>
        <sz val="11"/>
        <color theme="0"/>
        <rFont val="Calibri"/>
        <family val="2"/>
        <scheme val="minor"/>
      </rPr>
      <t>(R&amp;A) - Der Drei Fragezeichen-Fanpodcast</t>
    </r>
  </si>
  <si>
    <r>
      <t xml:space="preserve">OhrCast </t>
    </r>
    <r>
      <rPr>
        <sz val="11"/>
        <color theme="0"/>
        <rFont val="Calibri"/>
        <family val="2"/>
        <scheme val="minor"/>
      </rPr>
      <t>- Der monatliche Hörspielpodcast</t>
    </r>
  </si>
  <si>
    <t>Podcastname</t>
  </si>
  <si>
    <r>
      <t xml:space="preserve">Die Zentrale </t>
    </r>
    <r>
      <rPr>
        <sz val="11"/>
        <color theme="0"/>
        <rFont val="Calibri"/>
        <family val="2"/>
        <scheme val="minor"/>
      </rPr>
      <t>- Ein Podcast über die drei ???</t>
    </r>
  </si>
  <si>
    <r>
      <t xml:space="preserve">Gebrauchtwarenpodcast Titus Jonas </t>
    </r>
    <r>
      <rPr>
        <sz val="11"/>
        <color theme="0"/>
        <rFont val="Calibri"/>
        <family val="2"/>
        <scheme val="minor"/>
      </rPr>
      <t>- Der ???-Podcast</t>
    </r>
  </si>
  <si>
    <r>
      <t xml:space="preserve">Retroabteil </t>
    </r>
    <r>
      <rPr>
        <sz val="11"/>
        <color theme="0"/>
        <rFont val="Calibri"/>
        <family val="2"/>
        <scheme val="minor"/>
      </rPr>
      <t>- mit dem Nostalgieexpress durch die Vergangenheit</t>
    </r>
  </si>
  <si>
    <r>
      <t xml:space="preserve">Schrottplatz Podcast </t>
    </r>
    <r>
      <rPr>
        <sz val="11"/>
        <color theme="0"/>
        <rFont val="Calibri"/>
        <family val="2"/>
        <scheme val="minor"/>
      </rPr>
      <t>- wir diskutieren jeden Fall!</t>
    </r>
  </si>
  <si>
    <r>
      <t xml:space="preserve">Unter Anführungszeichen </t>
    </r>
    <r>
      <rPr>
        <sz val="11"/>
        <color theme="0"/>
        <rFont val="Calibri"/>
        <family val="2"/>
        <scheme val="minor"/>
      </rPr>
      <t>- Dein drei-???-Hörspiel-Folgen-Besprechungs-Podcast</t>
    </r>
  </si>
  <si>
    <r>
      <t xml:space="preserve">Die drei Fanatiker </t>
    </r>
    <r>
      <rPr>
        <sz val="11"/>
        <color theme="0"/>
        <rFont val="Calibri"/>
        <family val="2"/>
        <scheme val="minor"/>
      </rPr>
      <t>und der Fragezeichen Podcast</t>
    </r>
  </si>
  <si>
    <r>
      <t xml:space="preserve">Mathildas Kirschkuchen </t>
    </r>
    <r>
      <rPr>
        <sz val="11"/>
        <color theme="0"/>
        <rFont val="Calibri"/>
        <family val="2"/>
        <scheme val="minor"/>
      </rPr>
      <t>- Der Podcast zu den drei Fragezeichen</t>
    </r>
  </si>
  <si>
    <t>Folgen</t>
  </si>
  <si>
    <t>Kaffee</t>
  </si>
  <si>
    <t>36/104</t>
  </si>
  <si>
    <t>97/120</t>
  </si>
  <si>
    <t>39/187</t>
  </si>
  <si>
    <t>22/107</t>
  </si>
  <si>
    <t>23/180</t>
  </si>
  <si>
    <t>https://FragezeichenPod.podcaster.de/</t>
  </si>
  <si>
    <t>https://hoerspieltipps.net/serien/die_drei____.html</t>
  </si>
  <si>
    <t>https://talker-lounge.de/tag/die-drei-fragezeichen/</t>
  </si>
  <si>
    <t>https://haschimitenfuerst.blogspot.de/</t>
  </si>
  <si>
    <t>https://schrottcast.tumblr.com/</t>
  </si>
  <si>
    <t>https://www.spezialgelagert.de</t>
  </si>
  <si>
    <t>https://www.rescherschen-und-arschiv.de/</t>
  </si>
  <si>
    <t>https://www.youtube.com/channel/UCLK4k-NjboJxUfkUR0TWbgw</t>
  </si>
  <si>
    <t>https://die-zentrale.podigee.io/</t>
  </si>
  <si>
    <t>https://www.gebrauchtwarenpodcast.de/</t>
  </si>
  <si>
    <t>https://www.retroabteil.de/die-drei-fragezeichen/</t>
  </si>
  <si>
    <t>https://schrottplatz-podcast.jimdofree.com/</t>
  </si>
  <si>
    <t>https://unteranfuehrungszeichen.wordpress.com/</t>
  </si>
  <si>
    <t>76/99/188</t>
  </si>
  <si>
    <r>
      <t xml:space="preserve">Taschenlampen an! </t>
    </r>
    <r>
      <rPr>
        <sz val="11"/>
        <color theme="0"/>
        <rFont val="Calibri"/>
        <family val="2"/>
        <scheme val="minor"/>
      </rPr>
      <t>- Ein weiterer Die drei ??? Podcast</t>
    </r>
  </si>
  <si>
    <r>
      <t xml:space="preserve">Mach den Verstärker an </t>
    </r>
    <r>
      <rPr>
        <sz val="11"/>
        <color theme="0"/>
        <rFont val="Calibri"/>
        <family val="2"/>
        <scheme val="minor"/>
      </rPr>
      <t>- Verstärker-Podcast von Jens Niemeier</t>
    </r>
  </si>
  <si>
    <t>Verstärker</t>
  </si>
  <si>
    <t>https://www.podcast.de/podcast/1041303/</t>
  </si>
  <si>
    <t>Rose</t>
  </si>
  <si>
    <r>
      <t>Unter Anführungszeichen #</t>
    </r>
    <r>
      <rPr>
        <sz val="1"/>
        <color theme="1"/>
        <rFont val="Calibri"/>
        <family val="2"/>
        <scheme val="minor"/>
      </rPr>
      <t>0</t>
    </r>
    <r>
      <rPr>
        <sz val="11"/>
        <color theme="1"/>
        <rFont val="Calibri"/>
        <family val="2"/>
        <scheme val="minor"/>
      </rPr>
      <t>9: Die drei ??? - Gefahr im Verzug (54)</t>
    </r>
  </si>
  <si>
    <t>Unter Anführungszeichen #10: Die drei ??? - Schattenwelt (175)</t>
  </si>
  <si>
    <r>
      <t xml:space="preserve">Taschenlampen an! </t>
    </r>
    <r>
      <rPr>
        <sz val="11"/>
        <color theme="1"/>
        <rFont val="Calibri"/>
        <family val="2"/>
        <scheme val="minor"/>
      </rPr>
      <t xml:space="preserve">- Ein weiterer Die drei ??? Podcast </t>
    </r>
    <r>
      <rPr>
        <sz val="11"/>
        <color theme="0"/>
        <rFont val="Calibri"/>
        <family val="2"/>
        <scheme val="minor"/>
      </rPr>
      <t>(seit 24. August 2020)</t>
    </r>
  </si>
  <si>
    <t>Der Insektenstachel</t>
  </si>
  <si>
    <t>12/078</t>
  </si>
  <si>
    <r>
      <t xml:space="preserve">Special - Unser Pilot / Folge 0 </t>
    </r>
    <r>
      <rPr>
        <sz val="11"/>
        <color theme="0"/>
        <rFont val="Calibri"/>
        <family val="2"/>
        <scheme val="minor"/>
      </rPr>
      <t>[Der seltsame Wecker und das leere Grab]</t>
    </r>
  </si>
  <si>
    <t>Der seltsame Wecker</t>
  </si>
  <si>
    <t>Das silberne Amulett</t>
  </si>
  <si>
    <t>Die Perlenvögel</t>
  </si>
  <si>
    <t>Der grüne Kobold</t>
  </si>
  <si>
    <t>Der grüne Geist</t>
  </si>
  <si>
    <t>Der Schatz der Mönche</t>
  </si>
  <si>
    <t>Der verschwundene Schatz</t>
  </si>
  <si>
    <t>Das Aztekenschwert</t>
  </si>
  <si>
    <t>Die flüsternden Puppen</t>
  </si>
  <si>
    <r>
      <t xml:space="preserve">Kaffeeklatsch vom Gebrauchtwarencenter </t>
    </r>
    <r>
      <rPr>
        <sz val="11"/>
        <color theme="0"/>
        <rFont val="Calibri"/>
        <family val="2"/>
        <scheme val="minor"/>
      </rPr>
      <t>Die drei ??? Podcast</t>
    </r>
  </si>
  <si>
    <t>https://www.instagram.com/mathildaskirschkuchen/</t>
  </si>
  <si>
    <t>http://anchor.fm/kaffee-klatsch</t>
  </si>
  <si>
    <t>https://www.instagram.com/kaffeeklatsch_vom_gwc/</t>
  </si>
  <si>
    <t>Der Super-Wal</t>
  </si>
  <si>
    <r>
      <t>DDF-Folgen</t>
    </r>
    <r>
      <rPr>
        <sz val="11"/>
        <color theme="0"/>
        <rFont val="Calibri"/>
        <family val="2"/>
        <scheme val="minor"/>
      </rPr>
      <t xml:space="preserve"> - nicht besprochen / besprochen</t>
    </r>
  </si>
  <si>
    <t>04/167</t>
  </si>
  <si>
    <t>08/199</t>
  </si>
  <si>
    <t>Die schwarze Katze</t>
  </si>
  <si>
    <t>Das blaue Biest</t>
  </si>
  <si>
    <t>MF06</t>
  </si>
  <si>
    <t>MF07</t>
  </si>
  <si>
    <t>Folgenvoting für den Mai</t>
  </si>
  <si>
    <t>OhrCast 109-2 Rückhör März 2021, Die drei ??? (209) Kreaturen der Nacht</t>
  </si>
  <si>
    <t>#3 | #136 Alles unter Wasser</t>
  </si>
  <si>
    <t>02/172</t>
  </si>
  <si>
    <t>03/136</t>
  </si>
  <si>
    <t>04/198</t>
  </si>
  <si>
    <t>Der Super-Papagei</t>
  </si>
  <si>
    <t>Feuermond</t>
  </si>
  <si>
    <t>Der Phantomsee</t>
  </si>
  <si>
    <t>Der Eisenmann</t>
  </si>
  <si>
    <t>Der Karpatenhund</t>
  </si>
  <si>
    <t>Das versunkene Dorf</t>
  </si>
  <si>
    <t>Der Fluch des Rubins</t>
  </si>
  <si>
    <t>Verstärker - Einzelne DDF-Folgen</t>
  </si>
  <si>
    <t>Kaffeeklatsch - Einzelne DDF-Folgen</t>
  </si>
  <si>
    <t>3T2</t>
  </si>
  <si>
    <r>
      <rPr>
        <b/>
        <sz val="11"/>
        <rFont val="Calibri"/>
        <family val="2"/>
        <scheme val="minor"/>
      </rPr>
      <t>Tonspur</t>
    </r>
    <r>
      <rPr>
        <sz val="11"/>
        <rFont val="Calibri"/>
        <family val="2"/>
        <scheme val="minor"/>
      </rPr>
      <t xml:space="preserve"> – der Hörbuch-Talk mit Dirk Kauffels </t>
    </r>
    <r>
      <rPr>
        <sz val="11"/>
        <color theme="0"/>
        <rFont val="Calibri"/>
        <family val="2"/>
        <scheme val="minor"/>
      </rPr>
      <t>(seit 27. November 2019)</t>
    </r>
  </si>
  <si>
    <t>Jens Wawrczeck über seine markante Stimme, Alfred Hitchcock und Die drei Fragezeichen</t>
  </si>
  <si>
    <t>http://podcast.argon-verlag.de/podcasts/tonspur/</t>
  </si>
  <si>
    <t>MF08</t>
  </si>
  <si>
    <t>Nerdvana v1.30 – Die drei Fragezeichen</t>
  </si>
  <si>
    <t>http://www.nerdvana-podcast.de/</t>
  </si>
  <si>
    <r>
      <rPr>
        <b/>
        <sz val="11"/>
        <color theme="1"/>
        <rFont val="Calibri"/>
        <family val="2"/>
        <scheme val="minor"/>
      </rPr>
      <t>Nerdvana Podcast</t>
    </r>
    <r>
      <rPr>
        <sz val="11"/>
        <color theme="1"/>
        <rFont val="Calibri"/>
        <family val="2"/>
        <scheme val="minor"/>
      </rPr>
      <t xml:space="preserve"> - Everything nerdy! </t>
    </r>
    <r>
      <rPr>
        <sz val="11"/>
        <color theme="0"/>
        <rFont val="Calibri"/>
        <family val="2"/>
        <scheme val="minor"/>
      </rPr>
      <t>(seit 20. April 2010)</t>
    </r>
  </si>
  <si>
    <t>Bonusfolge: Im Gespräch mit C.R. Rodenwald</t>
  </si>
  <si>
    <t>https://anchor.fm/taschenlampen</t>
  </si>
  <si>
    <t>https://anchor.fm/diedreifanatiker</t>
  </si>
  <si>
    <t>http://www.tolkiengesellschaft.de/der-verein/vereinspublikationen/tolkcast/</t>
  </si>
  <si>
    <t>040 - Das geht zu tief ins Vereins-Fufu</t>
  </si>
  <si>
    <r>
      <rPr>
        <b/>
        <sz val="11"/>
        <rFont val="Calibri"/>
        <family val="2"/>
        <scheme val="minor"/>
      </rPr>
      <t>TolkCast</t>
    </r>
    <r>
      <rPr>
        <sz val="11"/>
        <rFont val="Calibri"/>
        <family val="2"/>
        <scheme val="minor"/>
      </rPr>
      <t xml:space="preserve"> - Der Tolkien Podcast </t>
    </r>
    <r>
      <rPr>
        <sz val="11"/>
        <color theme="0"/>
        <rFont val="Calibri"/>
        <family val="2"/>
        <scheme val="minor"/>
      </rPr>
      <t>(seit 22. September 2018)</t>
    </r>
  </si>
  <si>
    <r>
      <t xml:space="preserve">Folge </t>
    </r>
    <r>
      <rPr>
        <sz val="1"/>
        <color theme="1"/>
        <rFont val="Calibri"/>
        <family val="2"/>
        <scheme val="minor"/>
      </rPr>
      <t>0</t>
    </r>
    <r>
      <rPr>
        <sz val="11"/>
        <color theme="1"/>
        <rFont val="Calibri"/>
        <family val="2"/>
        <scheme val="minor"/>
      </rPr>
      <t>1: Der Super-Wal und Gift per E-Mail</t>
    </r>
  </si>
  <si>
    <r>
      <t xml:space="preserve">Folge </t>
    </r>
    <r>
      <rPr>
        <sz val="1"/>
        <color theme="1"/>
        <rFont val="Calibri"/>
        <family val="2"/>
        <scheme val="minor"/>
      </rPr>
      <t>0</t>
    </r>
    <r>
      <rPr>
        <sz val="11"/>
        <color theme="1"/>
        <rFont val="Calibri"/>
        <family val="2"/>
        <scheme val="minor"/>
      </rPr>
      <t>2: Der Insektenstachel und der schwarze Skorpion</t>
    </r>
  </si>
  <si>
    <r>
      <t xml:space="preserve">Folge </t>
    </r>
    <r>
      <rPr>
        <sz val="1"/>
        <color theme="1"/>
        <rFont val="Calibri"/>
        <family val="2"/>
        <scheme val="minor"/>
      </rPr>
      <t>0</t>
    </r>
    <r>
      <rPr>
        <sz val="11"/>
        <color theme="1"/>
        <rFont val="Calibri"/>
        <family val="2"/>
        <scheme val="minor"/>
      </rPr>
      <t>3: Die Perlenvögel und das silberne Amulett</t>
    </r>
  </si>
  <si>
    <r>
      <t xml:space="preserve">Folge </t>
    </r>
    <r>
      <rPr>
        <sz val="1"/>
        <color theme="1"/>
        <rFont val="Calibri"/>
        <family val="2"/>
        <scheme val="minor"/>
      </rPr>
      <t>0</t>
    </r>
    <r>
      <rPr>
        <sz val="11"/>
        <color theme="1"/>
        <rFont val="Calibri"/>
        <family val="2"/>
        <scheme val="minor"/>
      </rPr>
      <t>4: Clarissa Franklin Special</t>
    </r>
  </si>
  <si>
    <r>
      <t xml:space="preserve">Folge </t>
    </r>
    <r>
      <rPr>
        <sz val="1"/>
        <color theme="1"/>
        <rFont val="Calibri"/>
        <family val="2"/>
        <scheme val="minor"/>
      </rPr>
      <t>0</t>
    </r>
    <r>
      <rPr>
        <sz val="11"/>
        <color theme="1"/>
        <rFont val="Calibri"/>
        <family val="2"/>
        <scheme val="minor"/>
      </rPr>
      <t>5: Der grüne Geist und der grüne Kobold</t>
    </r>
  </si>
  <si>
    <r>
      <t xml:space="preserve">Folge </t>
    </r>
    <r>
      <rPr>
        <sz val="1"/>
        <color theme="1"/>
        <rFont val="Calibri"/>
        <family val="2"/>
        <scheme val="minor"/>
      </rPr>
      <t>0</t>
    </r>
    <r>
      <rPr>
        <sz val="11"/>
        <color theme="1"/>
        <rFont val="Calibri"/>
        <family val="2"/>
        <scheme val="minor"/>
      </rPr>
      <t>6: Der verschwundene Schatz und der Schatz der Mönche</t>
    </r>
  </si>
  <si>
    <r>
      <t xml:space="preserve">Folge </t>
    </r>
    <r>
      <rPr>
        <sz val="1"/>
        <color theme="1"/>
        <rFont val="Calibri"/>
        <family val="2"/>
        <scheme val="minor"/>
      </rPr>
      <t>0</t>
    </r>
    <r>
      <rPr>
        <sz val="11"/>
        <color theme="1"/>
        <rFont val="Calibri"/>
        <family val="2"/>
        <scheme val="minor"/>
      </rPr>
      <t>7: Das Aztekenschwert und die flüsternden Puppen</t>
    </r>
  </si>
  <si>
    <t>Zwei Väter sprechen über Die drei ???</t>
  </si>
  <si>
    <t>http://serialdads.podigee.io/</t>
  </si>
  <si>
    <r>
      <rPr>
        <b/>
        <sz val="11"/>
        <rFont val="Calibri"/>
        <family val="2"/>
        <scheme val="minor"/>
      </rPr>
      <t>Serial Dads</t>
    </r>
    <r>
      <rPr>
        <sz val="11"/>
        <rFont val="Calibri"/>
        <family val="2"/>
        <scheme val="minor"/>
      </rPr>
      <t xml:space="preserve"> – Der Kinderserien Podcast </t>
    </r>
    <r>
      <rPr>
        <sz val="11"/>
        <color theme="0"/>
        <rFont val="Calibri"/>
        <family val="2"/>
        <scheme val="minor"/>
      </rPr>
      <t>(seit 16. Juni 2020)</t>
    </r>
  </si>
  <si>
    <t>Andreas Fröhlich über Die drei Fragezeichen, Lieblingsautoren und sein ganz besonderes Autokino</t>
  </si>
  <si>
    <t>(137) Pfad der Angst (39%, 196 Votes)</t>
  </si>
  <si>
    <t>(135) Fluch des Piraten (22%, 113 Votes)</t>
  </si>
  <si>
    <t>#041 - … und der Höhlenmensch</t>
  </si>
  <si>
    <t>1. Platz</t>
  </si>
  <si>
    <t>2. Platz</t>
  </si>
  <si>
    <t>3. Platz</t>
  </si>
  <si>
    <t>4. Platz</t>
  </si>
  <si>
    <t>5. Platz</t>
  </si>
  <si>
    <t>Die Drei ??? Das Hörspiel über die drei Detektive</t>
  </si>
  <si>
    <t>http://www.vatersohnpodcast.de/</t>
  </si>
  <si>
    <r>
      <rPr>
        <b/>
        <sz val="11"/>
        <rFont val="Calibri"/>
        <family val="2"/>
        <scheme val="minor"/>
      </rPr>
      <t>Vater Sohn Podcast</t>
    </r>
    <r>
      <rPr>
        <sz val="11"/>
        <rFont val="Calibri"/>
        <family val="2"/>
        <scheme val="minor"/>
      </rPr>
      <t xml:space="preserve"> - Vater und Sohn. Reden. </t>
    </r>
    <r>
      <rPr>
        <sz val="11"/>
        <color theme="0"/>
        <rFont val="Calibri"/>
        <family val="2"/>
        <scheme val="minor"/>
      </rPr>
      <t>(seit 24. November 2019)</t>
    </r>
  </si>
  <si>
    <t>02/171</t>
  </si>
  <si>
    <t>Das Phantom aus dem Meer</t>
  </si>
  <si>
    <t>Die drei ??? - Weihnachts-Feature "O du finstere" | Sonder Podcast</t>
  </si>
  <si>
    <t>Die drei ??? - Record Release Feature Folge 208 | Sonder Podcast</t>
  </si>
  <si>
    <t>Die drei ??? - Record Release Feature Folge 209 | Sonder Podcast</t>
  </si>
  <si>
    <t>Die Fahrzeuge - der drei Fragezeichen</t>
  </si>
  <si>
    <t>Die schlimmsten Schimpfwörter - bei den drei Fragezeichen</t>
  </si>
  <si>
    <t>Die TOP 10 Gruselmomente - bei den drei Fragezeichen</t>
  </si>
  <si>
    <t>Das Alter der drei Fragezeichen</t>
  </si>
  <si>
    <t>Wer ist eigentlich Jeffrey ???</t>
  </si>
  <si>
    <t>Die drei Fragezeichen und der schreiende Drache (Parodie 3)</t>
  </si>
  <si>
    <t>Die drei Fragezeichen und der tanzende Inspektor (Parodie 4)</t>
  </si>
  <si>
    <t>Die drei Fragezeichen - Seuchenalarm (Parodie *)</t>
  </si>
  <si>
    <t>Die drei Fragezeichen und die Blechdose (Parodie 1)</t>
  </si>
  <si>
    <t>Die drei Fragezeichen und die falschen Detektive (Parodie 2)</t>
  </si>
  <si>
    <r>
      <t>Unter Anführungszeichen</t>
    </r>
    <r>
      <rPr>
        <sz val="11"/>
        <color theme="1"/>
        <rFont val="Calibri"/>
        <family val="2"/>
        <scheme val="minor"/>
      </rPr>
      <t xml:space="preserve"> - Dein drei-???-Hörspiel-Folgen-Besprechungs-Podcast </t>
    </r>
    <r>
      <rPr>
        <sz val="11"/>
        <color theme="0"/>
        <rFont val="Calibri"/>
        <family val="2"/>
        <scheme val="minor"/>
      </rPr>
      <t>(seit 31. Mai 2020)</t>
    </r>
  </si>
  <si>
    <t>Unter Anführungszeichen #11: Die drei ??? - Feuerturm (85)</t>
  </si>
  <si>
    <r>
      <t xml:space="preserve">Folge </t>
    </r>
    <r>
      <rPr>
        <sz val="1"/>
        <color theme="1"/>
        <rFont val="Calibri"/>
        <family val="2"/>
        <scheme val="minor"/>
      </rPr>
      <t>0</t>
    </r>
    <r>
      <rPr>
        <sz val="11"/>
        <color theme="1"/>
        <rFont val="Calibri"/>
        <family val="2"/>
        <scheme val="minor"/>
      </rPr>
      <t>8: Die schwarze Katze und das blaue Biest</t>
    </r>
  </si>
  <si>
    <r>
      <t xml:space="preserve">Folge </t>
    </r>
    <r>
      <rPr>
        <sz val="1"/>
        <color theme="1"/>
        <rFont val="Calibri"/>
        <family val="2"/>
        <scheme val="minor"/>
      </rPr>
      <t>0</t>
    </r>
    <r>
      <rPr>
        <sz val="11"/>
        <color theme="1"/>
        <rFont val="Calibri"/>
        <family val="2"/>
        <scheme val="minor"/>
      </rPr>
      <t>9: Der Phantomsee und das Phantom aus dem Meer</t>
    </r>
  </si>
  <si>
    <t>Folge 10: Allie Jamison Special (Teil 1)</t>
  </si>
  <si>
    <t>Folge 10: Allie Jamison Special (Teil 2)</t>
  </si>
  <si>
    <t>25/026</t>
  </si>
  <si>
    <t>Die singende Schlange</t>
  </si>
  <si>
    <t>Die Silbermine</t>
  </si>
  <si>
    <t>Die feurige Flut</t>
  </si>
  <si>
    <t>#4 | #198 Zirkus im Plural</t>
  </si>
  <si>
    <t>05/200</t>
  </si>
  <si>
    <t>Feuriges Auge</t>
  </si>
  <si>
    <t>Der Schrottplatz Podcast - Das Erbe des Meisterdiebes</t>
  </si>
  <si>
    <t>SSP Interview (XVI): Astrid Vollenbruch und der Horrorgrusel des entsetzlichen Grauens</t>
  </si>
  <si>
    <t>Int16</t>
  </si>
  <si>
    <t>Folge 17: Christian Rodenwald, vom drei ???-Fan zum gefeierten Autor</t>
  </si>
  <si>
    <t>MF09</t>
  </si>
  <si>
    <t>MF10</t>
  </si>
  <si>
    <t>Der Schrottplatz Podcast - Die Höhle des Grauens</t>
  </si>
  <si>
    <t>Folge 37: Kenn dein Limit!, Die drei ??? und die Poker-Hölle</t>
  </si>
  <si>
    <t>MF # 10 - Onkel Titus und seine Flex</t>
  </si>
  <si>
    <t>SSP #85: Die drei ??? und der Geisterzug (122)</t>
  </si>
  <si>
    <t>Unter Anführungszeichen #12: Die drei ??? und die Poker-Hölle (143)</t>
  </si>
  <si>
    <t>Folge 38: Barfuß oder Lackschuh, Die drei ??? und die flammende Spur</t>
  </si>
  <si>
    <t>#5 | #200 Jubiläumsüberlänge</t>
  </si>
  <si>
    <t>HB14</t>
  </si>
  <si>
    <t>Die drei ??? Podcast - Jürgen Thormann im Interview [Zauberspiegel (16)]</t>
  </si>
  <si>
    <t>#042 - Poltergeist</t>
  </si>
  <si>
    <t>Folge 39: Das letzte mal mit ner 3 vorne dran, Die drei ??? und der Doppelgänger</t>
  </si>
  <si>
    <t>Prozent</t>
  </si>
  <si>
    <t>SSP #87: Die drei ??? – Diamantenschmuggel (65) – Europareise I</t>
  </si>
  <si>
    <t>#043 - Dämon der Rache</t>
  </si>
  <si>
    <t>S01</t>
  </si>
  <si>
    <t>Sonderfolge - Die Funk-Füchse, Wir gehen fremd</t>
  </si>
  <si>
    <t>S02</t>
  </si>
  <si>
    <t>Sonderfolge - Interview mit Kari Erlhoff, Fragen Fragen. Nichts als Fragen.</t>
  </si>
  <si>
    <t>S03</t>
  </si>
  <si>
    <t>Sonderfolge - Die Gruselserie (2019), Unser Halloweenspecial</t>
  </si>
  <si>
    <t>Bonus - Neulich in der Zentrale, Spezialgelagerte Telefonlawine</t>
  </si>
  <si>
    <t>S04</t>
  </si>
  <si>
    <t>Sonderfolge - Die letzten Fragezeichen, Das etwas andere Crossover</t>
  </si>
  <si>
    <t>Wichtige Ankündigung: Podcastpreis 2020, Üb schon mal die Dankesrede!</t>
  </si>
  <si>
    <t>Resümee 2019 - Ein Jahr geht zu Ende!, Auf Wiedersehen</t>
  </si>
  <si>
    <t>Sonderfolge: Ausflug in die Hasenheide, Schöne Grüße aus der Quarantäne</t>
  </si>
  <si>
    <t>S05</t>
  </si>
  <si>
    <t>Special: Die "Meisterwerkreihe" der Disneyfilme, Aus der Not eine Tugend machen [aus dem Jahr 2015]</t>
  </si>
  <si>
    <t>S06</t>
  </si>
  <si>
    <t>Geile Stimmen, geile Typen, Eure Meinung ist gefragt!</t>
  </si>
  <si>
    <t>S07</t>
  </si>
  <si>
    <t>S08</t>
  </si>
  <si>
    <t>Special: Benjamins Bewertung zu "Die Zeitreisende"</t>
  </si>
  <si>
    <t>Folge 21: Vollgefurzte Schreibtischsessel, Die drei ??? und der Fluch des Rubins</t>
  </si>
  <si>
    <t>Folge 19: Nur ein Mann unterm Laken, Die drei ??? und der Nebelberg</t>
  </si>
  <si>
    <t>Folge 18: Bruchpiloten, Die drei ??? - Todesflug</t>
  </si>
  <si>
    <t>Folge 02: Das berühmte zweite Album, Die drei ??? und der Phantomsee</t>
  </si>
  <si>
    <t>Folge 01: Wie alles begann, Die drei ??? und das Gespensterschloss</t>
  </si>
  <si>
    <t>Folge 20: Auf einem erigierten P**** nach Hause, Die drei ??? und der dreiTag: Fremder Freund</t>
  </si>
  <si>
    <t>Folge 32: Machen wir es kurz!, Die drei ???: Das Rätsel der Sieben - Bis um sieben zurück</t>
  </si>
  <si>
    <t>Folge 35: Nach dem Schwimmen sollte man duschen!, Die drei ??? - Signale aus dem Jenseits</t>
  </si>
  <si>
    <t>Folge 36: Die zwei Erlkönige sind zurück!, Die drei ??? und der dreiTag: Im Zeichen der Ritter</t>
  </si>
  <si>
    <t>S09</t>
  </si>
  <si>
    <t>Sonderfolge: Die drei ??? - Das Geheimnis der Geisterinsel, Unser Audiokommentar zum ersten drei ??? Kinofilm</t>
  </si>
  <si>
    <t>Sonderfolge - Halloween Spezial Larry Brent, Unser Halloweenspecial</t>
  </si>
  <si>
    <t>S10</t>
  </si>
  <si>
    <t>Sonderfolge: Jahresrückblick 2020, Fremdcontent ist am besten!</t>
  </si>
  <si>
    <t>S11</t>
  </si>
  <si>
    <t>Sonderfolge: Abschied von Thomas Fritsch, Wir verneigen uns vor dem großartigen Thomas Fritsch</t>
  </si>
  <si>
    <t>S12</t>
  </si>
  <si>
    <t>S13</t>
  </si>
  <si>
    <t>Sonderfolge: Interview mit Sascha Draeger &amp; Rhea Harder-Vennewald von TKKG, Im Gespräch mit Tim-Tarzan und Gaby Glockner</t>
  </si>
  <si>
    <t>Die drei ??? - Record Release Feature Folge 211 | Sonder Podcast</t>
  </si>
  <si>
    <t>Die drei ??? - Record Release Feature Folge 210 | Sonder Podcast</t>
  </si>
  <si>
    <t>Sonderfolge: Interview mit Manou Lubowski &amp; Tobias Diakow von TKKG, Im Gespräch mit Willi "Klößchen" Sauerlich und Karl Vierstein</t>
  </si>
  <si>
    <t>SSP #88: Die drei ??? und die Schattenmänner (66) – Europareise II</t>
  </si>
  <si>
    <t>SSP #89: Die drei ??? und das Geheimnis der Särge (67) – Europareise III</t>
  </si>
  <si>
    <t>Unter Anführungszeichen #13: Die drei ??? - Fußball-Gangster (63)</t>
  </si>
  <si>
    <t>#6 | #DDT und die verschlafenen Fakten</t>
  </si>
  <si>
    <t>Der sprechende Totenkopf</t>
  </si>
  <si>
    <t>Der dreiäugige Totenkopf</t>
  </si>
  <si>
    <t>06/GN1</t>
  </si>
  <si>
    <t>07/130</t>
  </si>
  <si>
    <t>Der unheimliche Drache</t>
  </si>
  <si>
    <r>
      <t>Die Zw3i</t>
    </r>
    <r>
      <rPr>
        <sz val="11"/>
        <color theme="1"/>
        <rFont val="Calibri"/>
        <family val="2"/>
        <scheme val="minor"/>
      </rPr>
      <t xml:space="preserve"> - Wir hören jeden Fall </t>
    </r>
    <r>
      <rPr>
        <sz val="11"/>
        <color theme="0"/>
        <rFont val="Calibri"/>
        <family val="2"/>
        <scheme val="minor"/>
      </rPr>
      <t>(seit 25. Juni 2021)</t>
    </r>
  </si>
  <si>
    <t>Die Zw3i</t>
  </si>
  <si>
    <t>https://podtail.com/de/podcast/die-zw3i/</t>
  </si>
  <si>
    <t>http://anchor.fm/diezw3i</t>
  </si>
  <si>
    <t>Folge 00 - Und die Stimmen unserer Zeit (Vorstellungsrunde)</t>
  </si>
  <si>
    <t>Folge 01 - Die drei ??? - Nacht in Angst</t>
  </si>
  <si>
    <t>Folge 02a - Die drei ??? - Dorf der Teufel (spoilerfrei)</t>
  </si>
  <si>
    <t>Folge 02b - Die drei ??? - Dorf der Teufel (Spoiler)</t>
  </si>
  <si>
    <t>Folge 03 - Die drei ??? - Jadekönig</t>
  </si>
  <si>
    <t>Folge 04 - Die drei ??? - Vampir im Internet</t>
  </si>
  <si>
    <t>Folge 05 - Die drei ??? - Die schwarze Madonna</t>
  </si>
  <si>
    <t>Folge 08 - Die drei ??? - Das Aztekenschwert</t>
  </si>
  <si>
    <t>Folge 09 - Die drei ??? - Die Silberne Spinne (Formatwechsel)</t>
  </si>
  <si>
    <t>Folge 10 - Die drei ??? - Das Fußballphantom</t>
  </si>
  <si>
    <t>Folge 11 - Die drei ??? - Meister des Todes</t>
  </si>
  <si>
    <t>Zw3i</t>
  </si>
  <si>
    <t>GN2</t>
  </si>
  <si>
    <t>Folge 07 - Die Dr3i - Verschollen in der Zeit</t>
  </si>
  <si>
    <t>Folgenvoting Midifälle</t>
  </si>
  <si>
    <t>Tornadojäger (38%, 99 Votes)</t>
  </si>
  <si>
    <t>Kalte Auge (22%, 59 Votes)</t>
  </si>
  <si>
    <t>16-17 Wochen</t>
  </si>
  <si>
    <t>17-18 Wochen</t>
  </si>
  <si>
    <t>SSP #89.5: Sonderfeedback UNCUT #spezialgelabert</t>
  </si>
  <si>
    <t>FB33</t>
  </si>
  <si>
    <t>SSP #90: Die drei ??? und die flammende Spur (20) mit Hennes Bender</t>
  </si>
  <si>
    <t>#044 - Nacht in Angst</t>
  </si>
  <si>
    <t>Folge 11: Der Poltergeist und die Zeitreisende</t>
  </si>
  <si>
    <t>73/194</t>
  </si>
  <si>
    <t>Der Poltergeist</t>
  </si>
  <si>
    <t>Die Zeitreisende</t>
  </si>
  <si>
    <t>S14</t>
  </si>
  <si>
    <t>Die drei ??? und der Zeitgeist - Rückwärtsgang, Noch eine Sonderfolge?</t>
  </si>
  <si>
    <t>KG3.5</t>
  </si>
  <si>
    <t>Sonderfolge: Twitch Feedback-Folge, Eure Fragen, unsere Antworten</t>
  </si>
  <si>
    <t>S15</t>
  </si>
  <si>
    <t>Ankündigung für unsere Feedbackfolge live auf Twitch, Am 12.09.2021 um 16 Uhr</t>
  </si>
  <si>
    <t>Die zwei Fragwürdigen und der hochprozentige Pärchenabend</t>
  </si>
  <si>
    <t>#7 | #130 Das Horrorfolgen-Experiment</t>
  </si>
  <si>
    <t>Die drei ??? - Record Release Feature Folge 212 | Sonder Podcast</t>
  </si>
  <si>
    <t>HB15</t>
  </si>
  <si>
    <t>Folge 13: Der flexende Vogel (Die Drei ??? / Spezialgelagerter Sonderpodcast)</t>
  </si>
  <si>
    <t>SSP #90.5: Sonderfeedback: Termine,Termine UNCUT #spezialgelabert</t>
  </si>
  <si>
    <t>FB34</t>
  </si>
  <si>
    <t>Folge 18: Kai Schwind, Regisseur der „???“ LIVE-Touren und Humor-Forscher</t>
  </si>
  <si>
    <t>OhrCast 112-2 Rückhör Juni 2021, Die drei ??? (210) und die schweigende Grotte</t>
  </si>
  <si>
    <t>OhrCast 112-3 Rückhör und Update Juli 2021, Die drei ??? (211) und der Jadekönig</t>
  </si>
  <si>
    <t>Die drei ??? Podcast - Axel Prahl im Interview [schwarze Katze (4)]</t>
  </si>
  <si>
    <t>Folge 06 - Plan B (First Impression)</t>
  </si>
  <si>
    <t>08/131</t>
  </si>
  <si>
    <t>Die rätselhaften Bilder</t>
  </si>
  <si>
    <t>Die flüsternde Mumie</t>
  </si>
  <si>
    <t>#045 - … und der Teufelsberg</t>
  </si>
  <si>
    <t>FragezeichenPod – 089 – Tödliche Spur</t>
  </si>
  <si>
    <t>Die drei Fragezeichen und der beißende Gestank (Parodie 5)</t>
  </si>
  <si>
    <t>http://www.drei-fragezeichen-zentrale.de/audioshow.html</t>
  </si>
  <si>
    <t>SSP #91: Die drei ??? und das Volk der Winde (41) mit Moritz Mehlem</t>
  </si>
  <si>
    <t>SSP #92: Die drei ??? – Der Fluch des Drachen (130)</t>
  </si>
  <si>
    <t>Zeit (min)</t>
  </si>
  <si>
    <t>Spezialgelagerte Sonderfolge #2 - "Fünf Freunde und die Schwarze Maske (29)" (mit Lisa-Dana Hansen)</t>
  </si>
  <si>
    <t>Folge 1: C. R. Rodenwald über „Die drei ???“</t>
  </si>
  <si>
    <t>http://literaturkritik.de/public/mitarbeiterinfo.php?rez_id=5628</t>
  </si>
  <si>
    <t>http://open.spotify.com/show/62WeVRywJwJiWFAGsOamt5</t>
  </si>
  <si>
    <t>#01 - Fluch des Goldes</t>
  </si>
  <si>
    <t>#04 - Schatz der Piraten</t>
  </si>
  <si>
    <t>#05 - Mission Maulwurf</t>
  </si>
  <si>
    <t>#06 - Der singende Geist</t>
  </si>
  <si>
    <t>[INFO] Namensänderung &amp; gelöschte E-Mails</t>
  </si>
  <si>
    <t>#07 - Brennendes Eis</t>
  </si>
  <si>
    <t>#08 - Die Schokofalle</t>
  </si>
  <si>
    <t>#09 - Die Delfin-Piraten</t>
  </si>
  <si>
    <t>#11 - Rettet Atlantis!</t>
  </si>
  <si>
    <t>#16 - Einarmige Banditen</t>
  </si>
  <si>
    <t>#17 - Spuk in Rocky Beach</t>
  </si>
  <si>
    <t>#19 - Tatort Trampolin</t>
  </si>
  <si>
    <t>#22 - Blinde Passagiere</t>
  </si>
  <si>
    <t>K11</t>
  </si>
  <si>
    <t>K16</t>
  </si>
  <si>
    <t>K12</t>
  </si>
  <si>
    <t>K18</t>
  </si>
  <si>
    <t>K82</t>
  </si>
  <si>
    <t>K17</t>
  </si>
  <si>
    <t>K03</t>
  </si>
  <si>
    <t>K23</t>
  </si>
  <si>
    <t>K02</t>
  </si>
  <si>
    <t>K22</t>
  </si>
  <si>
    <t>K10</t>
  </si>
  <si>
    <t>K52</t>
  </si>
  <si>
    <t>K71</t>
  </si>
  <si>
    <t>K56</t>
  </si>
  <si>
    <t>K76</t>
  </si>
  <si>
    <t>K04</t>
  </si>
  <si>
    <t>K05</t>
  </si>
  <si>
    <t>K06</t>
  </si>
  <si>
    <t>K07</t>
  </si>
  <si>
    <t>K08</t>
  </si>
  <si>
    <t>K09</t>
  </si>
  <si>
    <t>K13</t>
  </si>
  <si>
    <t>K14</t>
  </si>
  <si>
    <t>K15</t>
  </si>
  <si>
    <t>K19</t>
  </si>
  <si>
    <t>K20</t>
  </si>
  <si>
    <t>K21</t>
  </si>
  <si>
    <t>K24</t>
  </si>
  <si>
    <t>K28</t>
  </si>
  <si>
    <t>K48</t>
  </si>
  <si>
    <t>K51</t>
  </si>
  <si>
    <t>K53</t>
  </si>
  <si>
    <t>K54</t>
  </si>
  <si>
    <t>K55</t>
  </si>
  <si>
    <t>K58</t>
  </si>
  <si>
    <t>K59</t>
  </si>
  <si>
    <t>K60</t>
  </si>
  <si>
    <t>K61</t>
  </si>
  <si>
    <t>K62</t>
  </si>
  <si>
    <t>K63</t>
  </si>
  <si>
    <t>K64</t>
  </si>
  <si>
    <t>K65</t>
  </si>
  <si>
    <t>K66</t>
  </si>
  <si>
    <t>K67</t>
  </si>
  <si>
    <t>K68</t>
  </si>
  <si>
    <t>K69</t>
  </si>
  <si>
    <t>K70</t>
  </si>
  <si>
    <t>K72</t>
  </si>
  <si>
    <t>K73</t>
  </si>
  <si>
    <t>K74</t>
  </si>
  <si>
    <t>K75</t>
  </si>
  <si>
    <t>K77</t>
  </si>
  <si>
    <t>K78</t>
  </si>
  <si>
    <t>K79</t>
  </si>
  <si>
    <t>K80</t>
  </si>
  <si>
    <t>K81</t>
  </si>
  <si>
    <t>Kids</t>
  </si>
  <si>
    <t>http://anchor.fm/diezweifragezeichen/</t>
  </si>
  <si>
    <r>
      <t>Welche Crimsebuster-Folge</t>
    </r>
    <r>
      <rPr>
        <sz val="11"/>
        <color theme="1"/>
        <rFont val="Calibri"/>
        <family val="2"/>
        <scheme val="minor"/>
      </rPr>
      <t xml:space="preserve"> [sic] </t>
    </r>
    <r>
      <rPr>
        <b/>
        <sz val="11"/>
        <color theme="1"/>
        <rFont val="Calibri"/>
        <family val="2"/>
        <scheme val="minor"/>
      </rPr>
      <t>sollen wir besprechen?</t>
    </r>
  </si>
  <si>
    <t>(123) Fussballfieber [sic] (21%, 37 Votes)</t>
  </si>
  <si>
    <r>
      <t xml:space="preserve">Die Zw3i </t>
    </r>
    <r>
      <rPr>
        <sz val="11"/>
        <color theme="0"/>
        <rFont val="Calibri"/>
        <family val="2"/>
        <scheme val="minor"/>
      </rPr>
      <t>- Wir hören jeden Fall</t>
    </r>
  </si>
  <si>
    <t>FragezeichenPod LIVE [1] – 163 – und der verschollende [sic] Pilot</t>
  </si>
  <si>
    <t>OhrCast 103-4 Reste News und Gedöhns [sic], Die drei ??? und die Welt der Hörspiele (C. R. Rodenwald)</t>
  </si>
  <si>
    <r>
      <rPr>
        <b/>
        <sz val="11"/>
        <rFont val="Calibri"/>
        <family val="2"/>
        <scheme val="minor"/>
      </rPr>
      <t>Der Sumpf</t>
    </r>
    <r>
      <rPr>
        <sz val="11"/>
        <rFont val="Calibri"/>
        <family val="2"/>
        <scheme val="minor"/>
      </rPr>
      <t xml:space="preserve"> - Versumpfen mit Popkultur – ein Podcast aus der Sockenpuppen-Repuplik [sic] </t>
    </r>
    <r>
      <rPr>
        <sz val="11"/>
        <color theme="0"/>
        <rFont val="Calibri"/>
        <family val="2"/>
        <scheme val="minor"/>
      </rPr>
      <t>(seit 19. März 2018)</t>
    </r>
  </si>
  <si>
    <t>Folge 12 - Die drei ??? - Gefährliche Erbschaft</t>
  </si>
  <si>
    <t>Folge 12: Die Geisterinsel und die Insel des Vergessens</t>
  </si>
  <si>
    <t>18/186</t>
  </si>
  <si>
    <t>Geisterinsel</t>
  </si>
  <si>
    <t>Folge 35: Die drei ??? – Interview mit einem Fan</t>
  </si>
  <si>
    <t>Folge 46: Im Gespräch mit Kari Erlhoff, eine Drei ??? Autorin</t>
  </si>
  <si>
    <t>http://buchplausch.podigee.io/</t>
  </si>
  <si>
    <t>Folge 39: Wie entstehen Die Drei ??? eigentlich? Im Interview mit Anne Pagel von Kosmos</t>
  </si>
  <si>
    <r>
      <rPr>
        <b/>
        <sz val="11"/>
        <rFont val="Calibri"/>
        <family val="2"/>
        <scheme val="minor"/>
      </rPr>
      <t>Buchplausch</t>
    </r>
    <r>
      <rPr>
        <sz val="11"/>
        <rFont val="Calibri"/>
        <family val="2"/>
        <scheme val="minor"/>
      </rPr>
      <t xml:space="preserve"> ... dem Podcast über Bücher, Hörbücher und Verlagsleben!</t>
    </r>
  </si>
  <si>
    <t>Folge 13 - Die drei ??? - Der weiße Leopard</t>
  </si>
  <si>
    <t>Die drei ??? und die Geisterlampe: SOS, Inklusive News zum 17-Stunden-Podcast #2</t>
  </si>
  <si>
    <t>Unter Anführungszeichen #14: Die drei ??? - Das Erbe des Meisterdiebes (103)</t>
  </si>
  <si>
    <t>Unter Anführungszeichen #15: Die drei ??? und der Phantomsee (2)</t>
  </si>
  <si>
    <t>Spielzeitanteile</t>
  </si>
  <si>
    <t>Folge 14 - Die drei ??? - Haus des Schreckens</t>
  </si>
  <si>
    <t>Folge 15 - Die drei ??? - Der magische Kreis</t>
  </si>
  <si>
    <r>
      <t>Veröffentlichungsentwicklung</t>
    </r>
    <r>
      <rPr>
        <sz val="10"/>
        <color theme="0"/>
        <rFont val="Calibri"/>
        <family val="2"/>
        <scheme val="minor"/>
      </rPr>
      <t xml:space="preserve"> - reguläre DDF-Folgen</t>
    </r>
  </si>
  <si>
    <t>Ruehrcast Folge 10 – Die drei Fragezeichen und die Spur des queeren Elements (März 2018)</t>
  </si>
  <si>
    <t>http://ruehrcast.de/feed/podcast/ruehrcast</t>
  </si>
  <si>
    <r>
      <rPr>
        <b/>
        <sz val="11"/>
        <rFont val="Calibri"/>
        <family val="2"/>
        <scheme val="minor"/>
      </rPr>
      <t>Ruehrcast</t>
    </r>
    <r>
      <rPr>
        <sz val="11"/>
        <rFont val="Calibri"/>
        <family val="2"/>
        <scheme val="minor"/>
      </rPr>
      <t xml:space="preserve"> - das queer-feministische, trans* und vieles mehr Podcast.</t>
    </r>
  </si>
  <si>
    <t>FB35</t>
  </si>
  <si>
    <t>Die drei ??? und die Geisterlampe - Dunkle Vergangenheit, Eine weitere Sonderfolge von unserer Patreonseite</t>
  </si>
  <si>
    <r>
      <t>Mach den Verstärker an</t>
    </r>
    <r>
      <rPr>
        <sz val="11"/>
        <color theme="1"/>
        <rFont val="Calibri"/>
        <family val="2"/>
        <scheme val="minor"/>
      </rPr>
      <t xml:space="preserve"> - 1 Stunde 2 Folgen 3 Fragezeichen </t>
    </r>
    <r>
      <rPr>
        <sz val="11"/>
        <color theme="0"/>
        <rFont val="Calibri"/>
        <family val="2"/>
        <scheme val="minor"/>
      </rPr>
      <t>(seit 3. März 2021)</t>
    </r>
  </si>
  <si>
    <t>http://kkt-podcast.de/ (ab 02.10.2021)</t>
  </si>
  <si>
    <t>#8 | #131 Hhhuuuuuuuuuhhhhhh</t>
  </si>
  <si>
    <t>http://podcasts.apple.com/de/podcast/mach-den-verstärker-an/id1556335156</t>
  </si>
  <si>
    <t>09/151</t>
  </si>
  <si>
    <t>#23 - Gruft der Piraten</t>
  </si>
  <si>
    <t>SSP #91.5: Sonderfeedback: SSP auf der Dreamland and Friends UNCUT #spezialgelabert</t>
  </si>
  <si>
    <t>FB36</t>
  </si>
  <si>
    <t>Int1</t>
  </si>
  <si>
    <t>Int2</t>
  </si>
  <si>
    <t>Int3</t>
  </si>
  <si>
    <t>Int4</t>
  </si>
  <si>
    <t>Int5</t>
  </si>
  <si>
    <t>length="01304713" 128k</t>
  </si>
  <si>
    <t>length="24275535" 64k</t>
  </si>
  <si>
    <t>length="17609332" 64k</t>
  </si>
  <si>
    <t>length="22747136" 64k</t>
  </si>
  <si>
    <t>length="16497280" 64k</t>
  </si>
  <si>
    <t>length="20987318" 64k</t>
  </si>
  <si>
    <t>length="12929536" 64k</t>
  </si>
  <si>
    <t>length="04532056" 64k</t>
  </si>
  <si>
    <t>length="19167567" 64k</t>
  </si>
  <si>
    <t>length="03939822" 128k</t>
  </si>
  <si>
    <t>length="10967990" 64k</t>
  </si>
  <si>
    <t>length="35026068" 64k</t>
  </si>
  <si>
    <t>length="23205138" 64k</t>
  </si>
  <si>
    <t>length="10451052" 64k</t>
  </si>
  <si>
    <t>length="35088103" 64k</t>
  </si>
  <si>
    <t>length="19758124" 48k</t>
  </si>
  <si>
    <t>length="18245478" 48k</t>
  </si>
  <si>
    <t>length="02418048" 48k/64k?</t>
  </si>
  <si>
    <t>length="12117935" 64k</t>
  </si>
  <si>
    <t>length="21666056" 48k</t>
  </si>
  <si>
    <t>length="07265952" 48k</t>
  </si>
  <si>
    <t>length="30280769" 48k/64k?</t>
  </si>
  <si>
    <t>length="04026240" 96k</t>
  </si>
  <si>
    <t>length="15332250" 96k</t>
  </si>
  <si>
    <t>length="12617292" 96k</t>
  </si>
  <si>
    <t>length="08922115" 96k</t>
  </si>
  <si>
    <t>length="19143724" 96k</t>
  </si>
  <si>
    <t>length="16265762" 96k</t>
  </si>
  <si>
    <t>length="10386017" 96k</t>
  </si>
  <si>
    <t>length="11583470" 96k</t>
  </si>
  <si>
    <t>length="07985782" 96k</t>
  </si>
  <si>
    <t>length="11465919" 96k</t>
  </si>
  <si>
    <t>length="13145488" 96k</t>
  </si>
  <si>
    <t>length="11945527" 96k</t>
  </si>
  <si>
    <t>length="27666644" 96k</t>
  </si>
  <si>
    <t>length="23464128" 64k</t>
  </si>
  <si>
    <t>length="14452527" 64k/96k?</t>
  </si>
  <si>
    <t>length="43985248" 96k</t>
  </si>
  <si>
    <t>null</t>
  </si>
  <si>
    <t>length="30620024" 64k</t>
  </si>
  <si>
    <t>type="audio/mp3" length="28009600" 64k</t>
  </si>
  <si>
    <t>type="audio/mp3" length="50794287" 96k</t>
  </si>
  <si>
    <t>type="audio/mp3" length="22291456" 64k</t>
  </si>
  <si>
    <t>type="audio/mp4" length="67066097"</t>
  </si>
  <si>
    <t>type="audio/mp4" length="15257956"</t>
  </si>
  <si>
    <t>Sonderfolge: Radio Point Whitmark - Die Bucht der 22 Schreie, Unser Crossover mit dem "Die drei Fanatiker" - Podcast</t>
  </si>
  <si>
    <t>K83</t>
  </si>
  <si>
    <t>K84</t>
  </si>
  <si>
    <t>K85</t>
  </si>
  <si>
    <t>K86</t>
  </si>
  <si>
    <t>K87</t>
  </si>
  <si>
    <t>K88</t>
  </si>
  <si>
    <t>K89</t>
  </si>
  <si>
    <t>K90</t>
  </si>
  <si>
    <t>K91</t>
  </si>
  <si>
    <t>K92</t>
  </si>
  <si>
    <t>K93</t>
  </si>
  <si>
    <t>K94</t>
  </si>
  <si>
    <t>K95</t>
  </si>
  <si>
    <t>K96</t>
  </si>
  <si>
    <t>K97</t>
  </si>
  <si>
    <t>K98</t>
  </si>
  <si>
    <t>K99</t>
  </si>
  <si>
    <t>[INFO] Was ist denn mit Jonas &amp; Jonathan los? Das... sieht gar nicht gut aus!</t>
  </si>
  <si>
    <r>
      <t xml:space="preserve">MF # </t>
    </r>
    <r>
      <rPr>
        <sz val="1"/>
        <color theme="1"/>
        <rFont val="Calibri"/>
        <family val="2"/>
        <scheme val="minor"/>
      </rPr>
      <t>0</t>
    </r>
    <r>
      <rPr>
        <sz val="11"/>
        <color theme="1"/>
        <rFont val="Calibri"/>
        <family val="2"/>
        <scheme val="minor"/>
      </rPr>
      <t>2 - Mathilda Jonas</t>
    </r>
  </si>
  <si>
    <r>
      <t xml:space="preserve">MF # </t>
    </r>
    <r>
      <rPr>
        <sz val="1"/>
        <color theme="1"/>
        <rFont val="Calibri"/>
        <family val="2"/>
        <scheme val="minor"/>
      </rPr>
      <t>0</t>
    </r>
    <r>
      <rPr>
        <sz val="11"/>
        <color theme="1"/>
        <rFont val="Calibri"/>
        <family val="2"/>
        <scheme val="minor"/>
      </rPr>
      <t>3 - Justus Jonas</t>
    </r>
  </si>
  <si>
    <r>
      <t xml:space="preserve">MF # </t>
    </r>
    <r>
      <rPr>
        <sz val="1"/>
        <color theme="1"/>
        <rFont val="Calibri"/>
        <family val="2"/>
        <scheme val="minor"/>
      </rPr>
      <t>0</t>
    </r>
    <r>
      <rPr>
        <sz val="11"/>
        <color theme="1"/>
        <rFont val="Calibri"/>
        <family val="2"/>
        <scheme val="minor"/>
      </rPr>
      <t>4 - Peter Shaw</t>
    </r>
  </si>
  <si>
    <r>
      <t xml:space="preserve">MF # </t>
    </r>
    <r>
      <rPr>
        <sz val="1"/>
        <color theme="1"/>
        <rFont val="Calibri"/>
        <family val="2"/>
        <scheme val="minor"/>
      </rPr>
      <t>0</t>
    </r>
    <r>
      <rPr>
        <sz val="11"/>
        <color theme="1"/>
        <rFont val="Calibri"/>
        <family val="2"/>
        <scheme val="minor"/>
      </rPr>
      <t>5 - Bob Andrews</t>
    </r>
  </si>
  <si>
    <r>
      <t xml:space="preserve">MF # </t>
    </r>
    <r>
      <rPr>
        <sz val="1"/>
        <color theme="1"/>
        <rFont val="Calibri"/>
        <family val="2"/>
        <scheme val="minor"/>
      </rPr>
      <t>0</t>
    </r>
    <r>
      <rPr>
        <sz val="11"/>
        <color theme="1"/>
        <rFont val="Calibri"/>
        <family val="2"/>
        <scheme val="minor"/>
      </rPr>
      <t>6 - Kenneth und Patrick</t>
    </r>
  </si>
  <si>
    <r>
      <t xml:space="preserve">MF # </t>
    </r>
    <r>
      <rPr>
        <sz val="1"/>
        <color theme="1"/>
        <rFont val="Calibri"/>
        <family val="2"/>
        <scheme val="minor"/>
      </rPr>
      <t>0</t>
    </r>
    <r>
      <rPr>
        <sz val="11"/>
        <color theme="1"/>
        <rFont val="Calibri"/>
        <family val="2"/>
        <scheme val="minor"/>
      </rPr>
      <t>7 - Der Schrottplatz</t>
    </r>
  </si>
  <si>
    <r>
      <t xml:space="preserve">MF # </t>
    </r>
    <r>
      <rPr>
        <sz val="1"/>
        <color theme="1"/>
        <rFont val="Calibri"/>
        <family val="2"/>
        <scheme val="minor"/>
      </rPr>
      <t>0</t>
    </r>
    <r>
      <rPr>
        <sz val="11"/>
        <color theme="1"/>
        <rFont val="Calibri"/>
        <family val="2"/>
        <scheme val="minor"/>
      </rPr>
      <t>8 - Fahrzeuge</t>
    </r>
  </si>
  <si>
    <r>
      <t xml:space="preserve">MF # </t>
    </r>
    <r>
      <rPr>
        <sz val="1"/>
        <color theme="1"/>
        <rFont val="Calibri"/>
        <family val="2"/>
        <scheme val="minor"/>
      </rPr>
      <t>0</t>
    </r>
    <r>
      <rPr>
        <sz val="11"/>
        <color theme="1"/>
        <rFont val="Calibri"/>
        <family val="2"/>
        <scheme val="minor"/>
      </rPr>
      <t>9 - Rocky Beach</t>
    </r>
  </si>
  <si>
    <r>
      <t xml:space="preserve"># </t>
    </r>
    <r>
      <rPr>
        <sz val="1"/>
        <color theme="1"/>
        <rFont val="Calibri"/>
        <family val="2"/>
        <scheme val="minor"/>
      </rPr>
      <t>0</t>
    </r>
    <r>
      <rPr>
        <sz val="11"/>
        <color theme="1"/>
        <rFont val="Calibri"/>
        <family val="2"/>
        <scheme val="minor"/>
      </rPr>
      <t xml:space="preserve">1 - … und der sonderbare Völkermord </t>
    </r>
    <r>
      <rPr>
        <sz val="8"/>
        <color theme="1"/>
        <rFont val="Calibri"/>
        <family val="2"/>
        <scheme val="minor"/>
      </rPr>
      <t>[Gold der Wikinger]</t>
    </r>
  </si>
  <si>
    <r>
      <t xml:space="preserve"># </t>
    </r>
    <r>
      <rPr>
        <sz val="1"/>
        <color theme="1"/>
        <rFont val="Calibri"/>
        <family val="2"/>
        <scheme val="minor"/>
      </rPr>
      <t>0</t>
    </r>
    <r>
      <rPr>
        <sz val="11"/>
        <color theme="1"/>
        <rFont val="Calibri"/>
        <family val="2"/>
        <scheme val="minor"/>
      </rPr>
      <t xml:space="preserve">2 - … und das fahrende Marmorschwimmbad </t>
    </r>
    <r>
      <rPr>
        <sz val="8"/>
        <color theme="1"/>
        <rFont val="Calibri"/>
        <family val="2"/>
        <scheme val="minor"/>
      </rPr>
      <t>[unsichtbarer Passagier]</t>
    </r>
  </si>
  <si>
    <r>
      <t xml:space="preserve"># </t>
    </r>
    <r>
      <rPr>
        <sz val="1"/>
        <color theme="1"/>
        <rFont val="Calibri"/>
        <family val="2"/>
        <scheme val="minor"/>
      </rPr>
      <t>0</t>
    </r>
    <r>
      <rPr>
        <sz val="11"/>
        <color theme="1"/>
        <rFont val="Calibri"/>
        <family val="2"/>
        <scheme val="minor"/>
      </rPr>
      <t xml:space="preserve">3 - … und der Jedi Mind Trick </t>
    </r>
    <r>
      <rPr>
        <sz val="8"/>
        <color theme="1"/>
        <rFont val="Calibri"/>
        <family val="2"/>
        <scheme val="minor"/>
      </rPr>
      <t>[Hexenhandy]</t>
    </r>
  </si>
  <si>
    <r>
      <t xml:space="preserve"># </t>
    </r>
    <r>
      <rPr>
        <sz val="1"/>
        <color theme="1"/>
        <rFont val="Calibri"/>
        <family val="2"/>
        <scheme val="minor"/>
      </rPr>
      <t>0</t>
    </r>
    <r>
      <rPr>
        <sz val="11"/>
        <color theme="1"/>
        <rFont val="Calibri"/>
        <family val="2"/>
        <scheme val="minor"/>
      </rPr>
      <t xml:space="preserve">4 - … und die fragwürdig penetrante Marktforschung </t>
    </r>
    <r>
      <rPr>
        <sz val="8"/>
        <color theme="1"/>
        <rFont val="Calibri"/>
        <family val="2"/>
        <scheme val="minor"/>
      </rPr>
      <t>[giftiger Gockel]</t>
    </r>
  </si>
  <si>
    <r>
      <t xml:space="preserve"># </t>
    </r>
    <r>
      <rPr>
        <sz val="1"/>
        <color theme="1"/>
        <rFont val="Calibri"/>
        <family val="2"/>
        <scheme val="minor"/>
      </rPr>
      <t>0</t>
    </r>
    <r>
      <rPr>
        <sz val="11"/>
        <color theme="1"/>
        <rFont val="Calibri"/>
        <family val="2"/>
        <scheme val="minor"/>
      </rPr>
      <t xml:space="preserve">5 - … 12 Promis und WTF wer bist du? </t>
    </r>
    <r>
      <rPr>
        <sz val="8"/>
        <color theme="1"/>
        <rFont val="Calibri"/>
        <family val="2"/>
        <scheme val="minor"/>
      </rPr>
      <t>[Fluch des Rubins]</t>
    </r>
  </si>
  <si>
    <r>
      <t xml:space="preserve"># </t>
    </r>
    <r>
      <rPr>
        <sz val="1"/>
        <color theme="1"/>
        <rFont val="Calibri"/>
        <family val="2"/>
        <scheme val="minor"/>
      </rPr>
      <t>0</t>
    </r>
    <r>
      <rPr>
        <sz val="11"/>
        <color theme="1"/>
        <rFont val="Calibri"/>
        <family val="2"/>
        <scheme val="minor"/>
      </rPr>
      <t xml:space="preserve">6 - … und das fänomenale [sic] Flexen </t>
    </r>
    <r>
      <rPr>
        <sz val="8"/>
        <color theme="1"/>
        <rFont val="Calibri"/>
        <family val="2"/>
        <scheme val="minor"/>
      </rPr>
      <t>[Erbe des Meisterdiebs]</t>
    </r>
  </si>
  <si>
    <r>
      <t xml:space="preserve"># </t>
    </r>
    <r>
      <rPr>
        <sz val="1"/>
        <color theme="1"/>
        <rFont val="Calibri"/>
        <family val="2"/>
        <scheme val="minor"/>
      </rPr>
      <t>0</t>
    </r>
    <r>
      <rPr>
        <sz val="11"/>
        <color theme="1"/>
        <rFont val="Calibri"/>
        <family val="2"/>
        <scheme val="minor"/>
      </rPr>
      <t xml:space="preserve">7 - … und das impressionistische Maisfeld </t>
    </r>
    <r>
      <rPr>
        <sz val="8"/>
        <color theme="1"/>
        <rFont val="Calibri"/>
        <family val="2"/>
        <scheme val="minor"/>
      </rPr>
      <t>[Ameisenmensch]</t>
    </r>
  </si>
  <si>
    <r>
      <t xml:space="preserve"># </t>
    </r>
    <r>
      <rPr>
        <sz val="1"/>
        <color theme="1"/>
        <rFont val="Calibri"/>
        <family val="2"/>
        <scheme val="minor"/>
      </rPr>
      <t>0</t>
    </r>
    <r>
      <rPr>
        <sz val="11"/>
        <color theme="1"/>
        <rFont val="Calibri"/>
        <family val="2"/>
        <scheme val="minor"/>
      </rPr>
      <t xml:space="preserve">8 - … und die zickigen Tennisstars </t>
    </r>
    <r>
      <rPr>
        <sz val="8"/>
        <color theme="1"/>
        <rFont val="Calibri"/>
        <family val="2"/>
        <scheme val="minor"/>
      </rPr>
      <t>[Angriff der Computer-Viren]</t>
    </r>
  </si>
  <si>
    <r>
      <t xml:space="preserve"># </t>
    </r>
    <r>
      <rPr>
        <sz val="1"/>
        <color theme="1"/>
        <rFont val="Calibri"/>
        <family val="2"/>
        <scheme val="minor"/>
      </rPr>
      <t>0</t>
    </r>
    <r>
      <rPr>
        <sz val="11"/>
        <color theme="1"/>
        <rFont val="Calibri"/>
        <family val="2"/>
        <scheme val="minor"/>
      </rPr>
      <t xml:space="preserve">9 - … und der Skoda Royce </t>
    </r>
    <r>
      <rPr>
        <sz val="8"/>
        <color theme="1"/>
        <rFont val="Calibri"/>
        <family val="2"/>
        <scheme val="minor"/>
      </rPr>
      <t>[Villa der Toten]</t>
    </r>
  </si>
  <si>
    <r>
      <t xml:space="preserve">Sonderfolge # 1 - Mathildas Kirschkuchen Zauber Sperma Zahnpasta </t>
    </r>
    <r>
      <rPr>
        <sz val="8"/>
        <color theme="1"/>
        <rFont val="Calibri"/>
        <family val="2"/>
        <scheme val="minor"/>
      </rPr>
      <t>[Benjamin Blümchen auf dem Mond (11)]</t>
    </r>
  </si>
  <si>
    <r>
      <t xml:space="preserve"># 10 - … und der beste Besen </t>
    </r>
    <r>
      <rPr>
        <sz val="8"/>
        <color theme="1"/>
        <rFont val="Calibri"/>
        <family val="2"/>
        <scheme val="minor"/>
      </rPr>
      <t>[Super-Papagei]</t>
    </r>
  </si>
  <si>
    <r>
      <t xml:space="preserve"># 11 - …und die deplazierten [sic] Bomben </t>
    </r>
    <r>
      <rPr>
        <sz val="8"/>
        <color theme="1"/>
        <rFont val="Calibri"/>
        <family val="2"/>
        <scheme val="minor"/>
      </rPr>
      <t>[Fußball-Gangster]</t>
    </r>
  </si>
  <si>
    <r>
      <t xml:space="preserve"># 12 - …und der absolute Hass </t>
    </r>
    <r>
      <rPr>
        <sz val="8"/>
        <color theme="1"/>
        <rFont val="Calibri"/>
        <family val="2"/>
        <scheme val="minor"/>
      </rPr>
      <t>[giftiges Wasser]</t>
    </r>
  </si>
  <si>
    <r>
      <t xml:space="preserve"># 13 - …und der tollwütige Wackeldackel </t>
    </r>
    <r>
      <rPr>
        <sz val="8"/>
        <color theme="1"/>
        <rFont val="Calibri"/>
        <family val="2"/>
        <scheme val="minor"/>
      </rPr>
      <t>[Biss der Bestie]</t>
    </r>
  </si>
  <si>
    <r>
      <t xml:space="preserve"># 14 - …und der irrelevante Saft </t>
    </r>
    <r>
      <rPr>
        <sz val="8"/>
        <color theme="1"/>
        <rFont val="Calibri"/>
        <family val="2"/>
        <scheme val="minor"/>
      </rPr>
      <t>[Vampir im Internet]</t>
    </r>
  </si>
  <si>
    <r>
      <t xml:space="preserve"># 15 - …und der unheimliche Urologe </t>
    </r>
    <r>
      <rPr>
        <sz val="8"/>
        <color theme="1"/>
        <rFont val="Calibri"/>
        <family val="2"/>
        <scheme val="minor"/>
      </rPr>
      <t>[Stimmen aus dem Nichts]</t>
    </r>
  </si>
  <si>
    <r>
      <t xml:space="preserve">Festival of Friendship #1 - High Strung </t>
    </r>
    <r>
      <rPr>
        <sz val="8"/>
        <color theme="1"/>
        <rFont val="Calibri"/>
        <family val="2"/>
        <scheme val="minor"/>
      </rPr>
      <t>[High Strung (CB13/TSE1.3)]</t>
    </r>
  </si>
  <si>
    <r>
      <t xml:space="preserve">Festival of Friendship #2 - Bibi und Tina und der Imperius [sic] Fluch </t>
    </r>
    <r>
      <rPr>
        <sz val="8"/>
        <color theme="1"/>
        <rFont val="Calibri"/>
        <family val="2"/>
        <scheme val="minor"/>
      </rPr>
      <t>[Bibi &amp; Tina - Das Liebeskraut (46)]</t>
    </r>
  </si>
  <si>
    <r>
      <t xml:space="preserve">Festival of Friendship #3 - Q&amp;A + Gewinnspiel </t>
    </r>
    <r>
      <rPr>
        <sz val="8"/>
        <color theme="1"/>
        <rFont val="Calibri"/>
        <family val="2"/>
        <scheme val="minor"/>
      </rPr>
      <t>[Fragen und Antworten]</t>
    </r>
  </si>
  <si>
    <r>
      <t xml:space="preserve"># 16 - …und die homosexuelle Coolaaa </t>
    </r>
    <r>
      <rPr>
        <sz val="8"/>
        <color theme="1"/>
        <rFont val="Calibri"/>
        <family val="2"/>
        <scheme val="minor"/>
      </rPr>
      <t>[Mann ohne Kopf]</t>
    </r>
  </si>
  <si>
    <r>
      <t xml:space="preserve"># 17 - …und der nicht flexende, flexende Titus flext </t>
    </r>
    <r>
      <rPr>
        <sz val="8"/>
        <color theme="1"/>
        <rFont val="Calibri"/>
        <family val="2"/>
        <scheme val="minor"/>
      </rPr>
      <t>[späte Rache]</t>
    </r>
  </si>
  <si>
    <r>
      <t xml:space="preserve">Sonderfolge # 3 - Mathildas Kirschkuchen und die völlig falsche Linearfunktion </t>
    </r>
    <r>
      <rPr>
        <sz val="8"/>
        <color theme="1"/>
        <rFont val="Calibri"/>
        <family val="2"/>
        <scheme val="minor"/>
      </rPr>
      <t>[Bibi Blocksberg - Das verhexte Osterei (66)]</t>
    </r>
  </si>
  <si>
    <r>
      <t xml:space="preserve"># 18 - …und das eingeschlafene Bein </t>
    </r>
    <r>
      <rPr>
        <sz val="8"/>
        <color theme="1"/>
        <rFont val="Calibri"/>
        <family val="2"/>
        <scheme val="minor"/>
      </rPr>
      <t>[Hexengarten]</t>
    </r>
  </si>
  <si>
    <r>
      <t xml:space="preserve"># 19 - …und die blutrünstige Zimmerpflanze </t>
    </r>
    <r>
      <rPr>
        <sz val="8"/>
        <color theme="1"/>
        <rFont val="Calibri"/>
        <family val="2"/>
        <scheme val="minor"/>
      </rPr>
      <t>[namenloser Gegner]</t>
    </r>
  </si>
  <si>
    <r>
      <t xml:space="preserve"># 20 - …und der gold-sabbernde Köter </t>
    </r>
    <r>
      <rPr>
        <sz val="8"/>
        <color theme="1"/>
        <rFont val="Calibri"/>
        <family val="2"/>
        <scheme val="minor"/>
      </rPr>
      <t>[Karpatenhund]</t>
    </r>
  </si>
  <si>
    <r>
      <t xml:space="preserve"># 21 - …und der penetrante Bär </t>
    </r>
    <r>
      <rPr>
        <sz val="8"/>
        <color theme="1"/>
        <rFont val="Calibri"/>
        <family val="2"/>
        <scheme val="minor"/>
      </rPr>
      <t>[Bergmonster]</t>
    </r>
  </si>
  <si>
    <r>
      <t xml:space="preserve"># 22 - …und wer zum Teufel ist Henry Jones? </t>
    </r>
    <r>
      <rPr>
        <sz val="8"/>
        <color theme="1"/>
        <rFont val="Calibri"/>
        <family val="2"/>
        <scheme val="minor"/>
      </rPr>
      <t>[Spuk im Hotel]</t>
    </r>
  </si>
  <si>
    <r>
      <t xml:space="preserve"># 23 - 50 Shades of Buchna </t>
    </r>
    <r>
      <rPr>
        <sz val="8"/>
        <color theme="1"/>
        <rFont val="Calibri"/>
        <family val="2"/>
        <scheme val="minor"/>
      </rPr>
      <t>[Im Reich der Ungeheuer]</t>
    </r>
  </si>
  <si>
    <r>
      <t xml:space="preserve"># 24 - Laetitias Rückkehr </t>
    </r>
    <r>
      <rPr>
        <sz val="8"/>
        <color theme="1"/>
        <rFont val="Calibri"/>
        <family val="2"/>
        <scheme val="minor"/>
      </rPr>
      <t>[Insektenstachel]</t>
    </r>
  </si>
  <si>
    <r>
      <t xml:space="preserve"># 25 - …und der Haikatzenjägermann </t>
    </r>
    <r>
      <rPr>
        <sz val="8"/>
        <color theme="1"/>
        <rFont val="Calibri"/>
        <family val="2"/>
        <scheme val="minor"/>
      </rPr>
      <t>[verschollener Pilot]</t>
    </r>
  </si>
  <si>
    <r>
      <t xml:space="preserve"># 26 - …und Baby "Wasserball" Fatso </t>
    </r>
    <r>
      <rPr>
        <sz val="8"/>
        <color theme="1"/>
        <rFont val="Calibri"/>
        <family val="2"/>
        <scheme val="minor"/>
      </rPr>
      <t>[Gefahr im Verzug]</t>
    </r>
  </si>
  <si>
    <r>
      <t xml:space="preserve"># 27 - …und Justus heimlicher Pelzfetisch </t>
    </r>
    <r>
      <rPr>
        <sz val="8"/>
        <color theme="1"/>
        <rFont val="Calibri"/>
        <family val="2"/>
        <scheme val="minor"/>
      </rPr>
      <t>[Wolfsgesicht]</t>
    </r>
  </si>
  <si>
    <r>
      <t xml:space="preserve"># 28 - …und die unglaublich filigrane Handarbeit </t>
    </r>
    <r>
      <rPr>
        <sz val="8"/>
        <color theme="1"/>
        <rFont val="Calibri"/>
        <family val="2"/>
        <scheme val="minor"/>
      </rPr>
      <t>[Im Bann des Voodoo]</t>
    </r>
  </si>
  <si>
    <r>
      <t xml:space="preserve"># 29 - …und die unvorhersehbare Donkey Show </t>
    </r>
    <r>
      <rPr>
        <sz val="8"/>
        <color theme="1"/>
        <rFont val="Calibri"/>
        <family val="2"/>
        <scheme val="minor"/>
      </rPr>
      <t>[flüsternde Puppen]</t>
    </r>
  </si>
  <si>
    <r>
      <t xml:space="preserve"># 30 - …und die Classic Kontroverse </t>
    </r>
    <r>
      <rPr>
        <sz val="8"/>
        <color theme="1"/>
        <rFont val="Calibri"/>
        <family val="2"/>
        <scheme val="minor"/>
      </rPr>
      <t>[sprechender Totenkopf]</t>
    </r>
  </si>
  <si>
    <r>
      <t xml:space="preserve"># 31 - …und der überambitionierte Bofrostmann </t>
    </r>
    <r>
      <rPr>
        <sz val="8"/>
        <color theme="1"/>
        <rFont val="Calibri"/>
        <family val="2"/>
        <scheme val="minor"/>
      </rPr>
      <t>[Verbrechen im Nichts]</t>
    </r>
  </si>
  <si>
    <r>
      <t xml:space="preserve"># 32 - …und zwei Väter für Spongebob </t>
    </r>
    <r>
      <rPr>
        <sz val="8"/>
        <color theme="1"/>
        <rFont val="Calibri"/>
        <family val="2"/>
        <scheme val="minor"/>
      </rPr>
      <t>[Grusel auf Campbell Castle]</t>
    </r>
  </si>
  <si>
    <r>
      <t xml:space="preserve"># 34 - …und das pädophile Verlagsgebäude </t>
    </r>
    <r>
      <rPr>
        <sz val="8"/>
        <color theme="1"/>
        <rFont val="Calibri"/>
        <family val="2"/>
        <scheme val="minor"/>
      </rPr>
      <t>[Comic-Diebe]</t>
    </r>
  </si>
  <si>
    <r>
      <t xml:space="preserve"># 35 - …und die Gartenbetriebsversammlung </t>
    </r>
    <r>
      <rPr>
        <sz val="8"/>
        <color theme="1"/>
        <rFont val="Calibri"/>
        <family val="2"/>
        <scheme val="minor"/>
      </rPr>
      <t>[Mottenmann]</t>
    </r>
  </si>
  <si>
    <t>Spezi3</t>
  </si>
  <si>
    <t>Out5</t>
  </si>
  <si>
    <t>Stimmenanzahl</t>
  </si>
  <si>
    <t>Monat(e)</t>
  </si>
  <si>
    <t>0-1 Monat</t>
  </si>
  <si>
    <t>1-2 Monate</t>
  </si>
  <si>
    <t>2-3 Monate</t>
  </si>
  <si>
    <t>3-4 Monate</t>
  </si>
  <si>
    <t>4-5 Monate</t>
  </si>
  <si>
    <t>5-6 Monate</t>
  </si>
  <si>
    <t>18-19 Wochen</t>
  </si>
  <si>
    <t>19-20 Wochen</t>
  </si>
  <si>
    <t>20-21 Wochen</t>
  </si>
  <si>
    <t>21-22 Wochen</t>
  </si>
  <si>
    <t>22-23 Wochen</t>
  </si>
  <si>
    <t>23-24 Wochen</t>
  </si>
  <si>
    <t>24-25 Wochen</t>
  </si>
  <si>
    <t>25-26 Wochen</t>
  </si>
  <si>
    <t>Rang-VÖ</t>
  </si>
  <si>
    <t>Rang-Stimmen</t>
  </si>
  <si>
    <t>Tabellenbereich (Zeilen)</t>
  </si>
  <si>
    <t>6,8 MB</t>
  </si>
  <si>
    <t>https://grekey.podspot.de/rss+usm</t>
  </si>
  <si>
    <t>Episode 3</t>
  </si>
  <si>
    <t>Folge 40: Garfield und seine Freunde, Die drei ??? und die Musikpiraten</t>
  </si>
  <si>
    <t>(91) Labyrinth der Götter (51%, 34 Votes)</t>
  </si>
  <si>
    <t>(88) Vampir im Internet (36%, 31 Votes)</t>
  </si>
  <si>
    <t>(38) Der unsichtbare Gegner (46%, 43 Votes)</t>
  </si>
  <si>
    <t>(8) und der grüne Geist (42%, 38 Votes)</t>
  </si>
  <si>
    <t>(68) Die drei ??? und der Schatz im Bergsee (58%, 76 Votes)</t>
  </si>
  <si>
    <t>(???) Die Folge, wo Bob ins All geschossen wird (72%, 77 Votes)</t>
  </si>
  <si>
    <t>(108) Die drei ??? - Die sieben Tore (43%, 82 Votes)</t>
  </si>
  <si>
    <t>Die drei ??? - Der Mann ohne Kopf (106) (42%, 83 Votes)</t>
  </si>
  <si>
    <t>(109) Gefährliches Quiz (46%, 90 Votes)</t>
  </si>
  <si>
    <t>(47) und der giftige Gockel (52%, 96 Votes)</t>
  </si>
  <si>
    <t>(49) und die Comic-Diebe (41%, 97 Votes)</t>
  </si>
  <si>
    <t>(131) Haus des Schreckens (41%, 97 Votes)</t>
  </si>
  <si>
    <t>(167) und das blaue Biest (38%, 89 Votes)</t>
  </si>
  <si>
    <t>(76) Stimmen aus dem Nichts (53%, 94 Votes)</t>
  </si>
  <si>
    <t>(152) Skateboardfieber (40%, 95 Votes)</t>
  </si>
  <si>
    <t>(120) Der schwarze Skorpion (37%, 90 Votes)</t>
  </si>
  <si>
    <t>(107) und der Schatz der Mönche (44%, 113 Votes)</t>
  </si>
  <si>
    <t>(86) Nacht in Angst (58%, 209 Votes)</t>
  </si>
  <si>
    <t>Die drei ???: SMS aus dem Grab (129) (36%, 171 Votes)</t>
  </si>
  <si>
    <t>Die drei ??? und der Ameisenmensch (32) (40%, 137 Votes)</t>
  </si>
  <si>
    <t>Die drei ??? Spuk im Netz (132) (36%, 112 Votes)</t>
  </si>
  <si>
    <t>(201) Höhenangst (58%, 238 Votes)</t>
  </si>
  <si>
    <t>und der verschwundene Filmstar (50) (44%, 195 Votes)</t>
  </si>
  <si>
    <t>(170) Straße des Grauens (54%, 191 Votes)</t>
  </si>
  <si>
    <t>(69) Späte Rache (52%, 175 Votes)</t>
  </si>
  <si>
    <t>(192) Im Bann des Drachen (40%, 99 Votes)</t>
  </si>
  <si>
    <t>(177) Der Geist des Goldgräbers (38%, 171 Votes)</t>
  </si>
  <si>
    <t>(130) Der Fluch des Drachen (39%, 200 Votes)</t>
  </si>
  <si>
    <t>Grab der Inka-Mumie (40%, 105 Votes)</t>
  </si>
  <si>
    <r>
      <t xml:space="preserve">Rang </t>
    </r>
    <r>
      <rPr>
        <sz val="10"/>
        <color theme="0" tint="-4.9989318521683403E-2"/>
        <rFont val="Calibri"/>
        <family val="2"/>
        <scheme val="minor"/>
      </rPr>
      <t>(Ende bis VÖ)</t>
    </r>
  </si>
  <si>
    <r>
      <t xml:space="preserve">Rang </t>
    </r>
    <r>
      <rPr>
        <sz val="10"/>
        <color theme="0" tint="-4.9989318521683403E-2"/>
        <rFont val="Calibri"/>
        <family val="2"/>
        <scheme val="minor"/>
      </rPr>
      <t>(Rang-Berechnung innerhalb einer Gruppe)</t>
    </r>
  </si>
  <si>
    <r>
      <rPr>
        <b/>
        <sz val="11"/>
        <color rgb="FF00B050"/>
        <rFont val="Calibri"/>
        <family val="2"/>
        <scheme val="minor"/>
      </rPr>
      <t>Das weisse</t>
    </r>
    <r>
      <rPr>
        <sz val="11"/>
        <rFont val="Calibri"/>
        <family val="2"/>
        <scheme val="minor"/>
      </rPr>
      <t xml:space="preserve"> [sic] </t>
    </r>
    <r>
      <rPr>
        <b/>
        <sz val="11"/>
        <color rgb="FF00B050"/>
        <rFont val="Calibri"/>
        <family val="2"/>
        <scheme val="minor"/>
      </rPr>
      <t>Grab (202) (39%, 178 Votes)</t>
    </r>
  </si>
  <si>
    <r>
      <rPr>
        <b/>
        <sz val="11"/>
        <color rgb="FF00B050"/>
        <rFont val="Calibri"/>
        <family val="2"/>
        <scheme val="minor"/>
      </rPr>
      <t>(63) Fussball-Gangster</t>
    </r>
    <r>
      <rPr>
        <sz val="11"/>
        <rFont val="Calibri"/>
        <family val="2"/>
        <scheme val="minor"/>
      </rPr>
      <t xml:space="preserve"> [sic] </t>
    </r>
    <r>
      <rPr>
        <b/>
        <sz val="11"/>
        <color rgb="FF00B050"/>
        <rFont val="Calibri"/>
        <family val="2"/>
        <scheme val="minor"/>
      </rPr>
      <t>(40%, 72 Votes)</t>
    </r>
  </si>
  <si>
    <t>Folge 13: die verschwundene Seglerin und Tauchgang ins Ungewisse</t>
  </si>
  <si>
    <t>Tauchgang ins Ungewisse</t>
  </si>
  <si>
    <t>71/203</t>
  </si>
  <si>
    <t>#046 - Die Karten des Bösen</t>
  </si>
  <si>
    <t>Die drei Fanatiker und der 3 Stichworte Fall</t>
  </si>
  <si>
    <t>https://www.instagram.com/tv/CLuRDl7KoM1/</t>
  </si>
  <si>
    <t>Die drei Fanatiker und das große warten</t>
  </si>
  <si>
    <t>https://www.instagram.com/tv/CQrClXVKulu/</t>
  </si>
  <si>
    <t>Die drei Fanatiker und die verschlüsselte Botschaft (S)</t>
  </si>
  <si>
    <t>Die drei Fanatiker und die verschlüsselte Botschaft 2 (S)</t>
  </si>
  <si>
    <t>Die drei Fanatiker April Special „Eigentlich wollten wir über Todesflug reden“ (S)</t>
  </si>
  <si>
    <t>Die drei Fanatiker und der Möchtegern Reporter (H)</t>
  </si>
  <si>
    <t>Radio Point Whitmark „Die Bucht der 22 Schreie“ (Special-Fanatikerfolge 1)</t>
  </si>
  <si>
    <t>Die drei Fanatiker und das Gespensterschloss (4)</t>
  </si>
  <si>
    <t>Die drei Fanatiker und die gefährlichen Fässer (5)</t>
  </si>
  <si>
    <t>Die drei Fanatiker und die Musik des Teufels (6)</t>
  </si>
  <si>
    <t>Die drei Fanatiker und die Nacht in Angst (7)</t>
  </si>
  <si>
    <t>Die drei Fanatiker und die Stimmen aus dem Nichts (8)</t>
  </si>
  <si>
    <t>Die drei Fanatiker und das weiße Grab (9)</t>
  </si>
  <si>
    <t>Die drei Fanatiker und das Erbe des Meisterdiebs (10)</t>
  </si>
  <si>
    <t>Die drei Fanatiker und die Nacht der Tiger (11)</t>
  </si>
  <si>
    <t>Die drei Fanatiker und die Rache des Untoten (Neues Konzept) (12)</t>
  </si>
  <si>
    <t>SSP17</t>
  </si>
  <si>
    <t>AR</t>
  </si>
  <si>
    <t>x%</t>
  </si>
  <si>
    <t>y%</t>
  </si>
  <si>
    <t>1</t>
  </si>
  <si>
    <t>2</t>
  </si>
  <si>
    <t>3</t>
  </si>
  <si>
    <t>4</t>
  </si>
  <si>
    <t>5</t>
  </si>
  <si>
    <t>6</t>
  </si>
  <si>
    <t>7</t>
  </si>
  <si>
    <t>8</t>
  </si>
  <si>
    <t>9</t>
  </si>
  <si>
    <t>SSP-OF-Positionen</t>
  </si>
  <si>
    <t>Interview10</t>
  </si>
  <si>
    <t>Interview11</t>
  </si>
  <si>
    <t>Interview12</t>
  </si>
  <si>
    <t>Interview13</t>
  </si>
  <si>
    <t>Interview14</t>
  </si>
  <si>
    <t>Interview15</t>
  </si>
  <si>
    <t>Interview16</t>
  </si>
  <si>
    <t>Teaser Staffel 4 - Tadaaaaa, das neue Intro für Staffel 4, nur für kurze Zeit</t>
  </si>
  <si>
    <t>Int17</t>
  </si>
  <si>
    <t>SSP Interview (XVII): Frederik Malsy und die stummen Stars</t>
  </si>
  <si>
    <t>Interview17</t>
  </si>
  <si>
    <t>CT</t>
  </si>
  <si>
    <t>Adv18.10</t>
  </si>
  <si>
    <t>Adv18.11</t>
  </si>
  <si>
    <t>Adv18.12</t>
  </si>
  <si>
    <t>Adv18.13</t>
  </si>
  <si>
    <t>Adv18.14</t>
  </si>
  <si>
    <t>Adv18.15</t>
  </si>
  <si>
    <t>Adv18.16</t>
  </si>
  <si>
    <t>Adv18.17</t>
  </si>
  <si>
    <t>Adv18.18</t>
  </si>
  <si>
    <t>Adv18.19</t>
  </si>
  <si>
    <t>Adv18.20</t>
  </si>
  <si>
    <t>Adv18.21</t>
  </si>
  <si>
    <t>Adv18.22</t>
  </si>
  <si>
    <t>Adv18.23</t>
  </si>
  <si>
    <t>Adv18.24</t>
  </si>
  <si>
    <r>
      <t>Interview</t>
    </r>
    <r>
      <rPr>
        <sz val="1"/>
        <color theme="1"/>
        <rFont val="Calibri"/>
        <family val="2"/>
        <scheme val="minor"/>
      </rPr>
      <t>0</t>
    </r>
    <r>
      <rPr>
        <sz val="11"/>
        <color theme="1"/>
        <rFont val="Calibri"/>
        <family val="2"/>
        <scheme val="minor"/>
      </rPr>
      <t>1</t>
    </r>
  </si>
  <si>
    <r>
      <t>Interview</t>
    </r>
    <r>
      <rPr>
        <sz val="1"/>
        <color theme="1"/>
        <rFont val="Calibri"/>
        <family val="2"/>
        <scheme val="minor"/>
      </rPr>
      <t>0</t>
    </r>
    <r>
      <rPr>
        <sz val="11"/>
        <color theme="1"/>
        <rFont val="Calibri"/>
        <family val="2"/>
        <scheme val="minor"/>
      </rPr>
      <t>2</t>
    </r>
  </si>
  <si>
    <r>
      <t>Interview</t>
    </r>
    <r>
      <rPr>
        <sz val="1"/>
        <color theme="1"/>
        <rFont val="Calibri"/>
        <family val="2"/>
        <scheme val="minor"/>
      </rPr>
      <t>0</t>
    </r>
    <r>
      <rPr>
        <sz val="11"/>
        <color theme="1"/>
        <rFont val="Calibri"/>
        <family val="2"/>
        <scheme val="minor"/>
      </rPr>
      <t>3</t>
    </r>
  </si>
  <si>
    <r>
      <t>Interview</t>
    </r>
    <r>
      <rPr>
        <sz val="1"/>
        <color theme="1"/>
        <rFont val="Calibri"/>
        <family val="2"/>
        <scheme val="minor"/>
      </rPr>
      <t>0</t>
    </r>
    <r>
      <rPr>
        <sz val="11"/>
        <color theme="1"/>
        <rFont val="Calibri"/>
        <family val="2"/>
        <scheme val="minor"/>
      </rPr>
      <t>4</t>
    </r>
  </si>
  <si>
    <r>
      <t>Interview</t>
    </r>
    <r>
      <rPr>
        <sz val="1"/>
        <color theme="1"/>
        <rFont val="Calibri"/>
        <family val="2"/>
        <scheme val="minor"/>
      </rPr>
      <t>0</t>
    </r>
    <r>
      <rPr>
        <sz val="11"/>
        <color theme="1"/>
        <rFont val="Calibri"/>
        <family val="2"/>
        <scheme val="minor"/>
      </rPr>
      <t>5</t>
    </r>
  </si>
  <si>
    <r>
      <t>Interview</t>
    </r>
    <r>
      <rPr>
        <sz val="1"/>
        <color theme="1"/>
        <rFont val="Calibri"/>
        <family val="2"/>
        <scheme val="minor"/>
      </rPr>
      <t>0</t>
    </r>
    <r>
      <rPr>
        <sz val="11"/>
        <color theme="1"/>
        <rFont val="Calibri"/>
        <family val="2"/>
        <scheme val="minor"/>
      </rPr>
      <t>6</t>
    </r>
  </si>
  <si>
    <r>
      <t>Interview</t>
    </r>
    <r>
      <rPr>
        <sz val="1"/>
        <color theme="1"/>
        <rFont val="Calibri"/>
        <family val="2"/>
        <scheme val="minor"/>
      </rPr>
      <t>0</t>
    </r>
    <r>
      <rPr>
        <sz val="11"/>
        <color theme="1"/>
        <rFont val="Calibri"/>
        <family val="2"/>
        <scheme val="minor"/>
      </rPr>
      <t>7</t>
    </r>
  </si>
  <si>
    <r>
      <t>Interview</t>
    </r>
    <r>
      <rPr>
        <sz val="1"/>
        <color theme="1"/>
        <rFont val="Calibri"/>
        <family val="2"/>
        <scheme val="minor"/>
      </rPr>
      <t>0</t>
    </r>
    <r>
      <rPr>
        <sz val="11"/>
        <color theme="1"/>
        <rFont val="Calibri"/>
        <family val="2"/>
        <scheme val="minor"/>
      </rPr>
      <t>8</t>
    </r>
  </si>
  <si>
    <r>
      <t>Interview</t>
    </r>
    <r>
      <rPr>
        <sz val="1"/>
        <color theme="1"/>
        <rFont val="Calibri"/>
        <family val="2"/>
        <scheme val="minor"/>
      </rPr>
      <t>0</t>
    </r>
    <r>
      <rPr>
        <sz val="11"/>
        <color theme="1"/>
        <rFont val="Calibri"/>
        <family val="2"/>
        <scheme val="minor"/>
      </rPr>
      <t>9</t>
    </r>
  </si>
  <si>
    <t>Adv17.10</t>
  </si>
  <si>
    <t>Adv17.11</t>
  </si>
  <si>
    <t>Adv19.10</t>
  </si>
  <si>
    <t>Adv19.11</t>
  </si>
  <si>
    <t>Adv19.12</t>
  </si>
  <si>
    <t>Adv19.13</t>
  </si>
  <si>
    <t>Adv19.14</t>
  </si>
  <si>
    <t>Adv19.15</t>
  </si>
  <si>
    <t>Adv19.16</t>
  </si>
  <si>
    <t>Adv19.18</t>
  </si>
  <si>
    <t>Adv19.19</t>
  </si>
  <si>
    <t>Adv19.20</t>
  </si>
  <si>
    <t>Adv19.21</t>
  </si>
  <si>
    <t>Adv19.22</t>
  </si>
  <si>
    <t>Adv19.23</t>
  </si>
  <si>
    <t>Adv19.24</t>
  </si>
  <si>
    <t>Adv19.25</t>
  </si>
  <si>
    <t>Adv20.10</t>
  </si>
  <si>
    <t>Adv20.11</t>
  </si>
  <si>
    <t>Adv20.12</t>
  </si>
  <si>
    <t>Adv20.13</t>
  </si>
  <si>
    <t>Adv20.14</t>
  </si>
  <si>
    <t>Adv20.15</t>
  </si>
  <si>
    <t>Adv20.16</t>
  </si>
  <si>
    <t>Adv20.17</t>
  </si>
  <si>
    <t>Adv20.18</t>
  </si>
  <si>
    <t>Adv20.19</t>
  </si>
  <si>
    <t>Adv20.20</t>
  </si>
  <si>
    <t>Adv20.21</t>
  </si>
  <si>
    <t>Adv20.22</t>
  </si>
  <si>
    <t>Adv20.23</t>
  </si>
  <si>
    <t>Adv20.24</t>
  </si>
  <si>
    <t>Adv20.25</t>
  </si>
  <si>
    <t>Adv20.26</t>
  </si>
  <si>
    <t>#24 - Mission Mars</t>
  </si>
  <si>
    <t>Folge 41: Don´t give up the ship!, Die drei ??? und das Geisterschiff</t>
  </si>
  <si>
    <t>Live1</t>
  </si>
  <si>
    <t>Live2</t>
  </si>
  <si>
    <t>Live3</t>
  </si>
  <si>
    <t>Live4</t>
  </si>
  <si>
    <t>Live5</t>
  </si>
  <si>
    <t>Live6</t>
  </si>
  <si>
    <t>Adv19.17</t>
  </si>
  <si>
    <t>DSSP1/2</t>
  </si>
  <si>
    <t>Adv17.12-23</t>
  </si>
  <si>
    <t>Adv17.24</t>
  </si>
  <si>
    <r>
      <t>Adv17.</t>
    </r>
    <r>
      <rPr>
        <sz val="1"/>
        <color theme="1"/>
        <rFont val="Calibri"/>
        <family val="2"/>
        <scheme val="minor"/>
      </rPr>
      <t>0</t>
    </r>
    <r>
      <rPr>
        <sz val="11"/>
        <color theme="1"/>
        <rFont val="Calibri"/>
        <family val="2"/>
        <scheme val="minor"/>
      </rPr>
      <t>1-5</t>
    </r>
  </si>
  <si>
    <r>
      <t>Adv17.</t>
    </r>
    <r>
      <rPr>
        <sz val="1"/>
        <color theme="1"/>
        <rFont val="Calibri"/>
        <family val="2"/>
        <scheme val="minor"/>
      </rPr>
      <t>0</t>
    </r>
    <r>
      <rPr>
        <sz val="11"/>
        <color theme="1"/>
        <rFont val="Calibri"/>
        <family val="2"/>
        <scheme val="minor"/>
      </rPr>
      <t>6</t>
    </r>
  </si>
  <si>
    <r>
      <t>Adv17.</t>
    </r>
    <r>
      <rPr>
        <sz val="1"/>
        <color theme="1"/>
        <rFont val="Calibri"/>
        <family val="2"/>
        <scheme val="minor"/>
      </rPr>
      <t>0</t>
    </r>
    <r>
      <rPr>
        <sz val="11"/>
        <color theme="1"/>
        <rFont val="Calibri"/>
        <family val="2"/>
        <scheme val="minor"/>
      </rPr>
      <t>7-9</t>
    </r>
  </si>
  <si>
    <r>
      <t>Adv18.</t>
    </r>
    <r>
      <rPr>
        <sz val="1"/>
        <color theme="1"/>
        <rFont val="Calibri"/>
        <family val="2"/>
        <scheme val="minor"/>
      </rPr>
      <t>0</t>
    </r>
    <r>
      <rPr>
        <sz val="11"/>
        <color theme="1"/>
        <rFont val="Calibri"/>
        <family val="2"/>
        <scheme val="minor"/>
      </rPr>
      <t>1</t>
    </r>
  </si>
  <si>
    <r>
      <t>Adv18.</t>
    </r>
    <r>
      <rPr>
        <sz val="1"/>
        <color theme="1"/>
        <rFont val="Calibri"/>
        <family val="2"/>
        <scheme val="minor"/>
      </rPr>
      <t>0</t>
    </r>
    <r>
      <rPr>
        <sz val="11"/>
        <color theme="1"/>
        <rFont val="Calibri"/>
        <family val="2"/>
        <scheme val="minor"/>
      </rPr>
      <t>2</t>
    </r>
  </si>
  <si>
    <r>
      <t>Adv18.</t>
    </r>
    <r>
      <rPr>
        <sz val="1"/>
        <rFont val="Calibri"/>
        <family val="2"/>
        <scheme val="minor"/>
      </rPr>
      <t>0</t>
    </r>
    <r>
      <rPr>
        <sz val="11"/>
        <rFont val="Calibri"/>
        <family val="2"/>
        <scheme val="minor"/>
      </rPr>
      <t>3</t>
    </r>
  </si>
  <si>
    <r>
      <t>Adv18.</t>
    </r>
    <r>
      <rPr>
        <sz val="1"/>
        <rFont val="Calibri"/>
        <family val="2"/>
        <scheme val="minor"/>
      </rPr>
      <t>0</t>
    </r>
    <r>
      <rPr>
        <sz val="11"/>
        <rFont val="Calibri"/>
        <family val="2"/>
        <scheme val="minor"/>
      </rPr>
      <t>4</t>
    </r>
  </si>
  <si>
    <r>
      <t>Adv18.</t>
    </r>
    <r>
      <rPr>
        <sz val="1"/>
        <rFont val="Calibri"/>
        <family val="2"/>
        <scheme val="minor"/>
      </rPr>
      <t>0</t>
    </r>
    <r>
      <rPr>
        <sz val="11"/>
        <rFont val="Calibri"/>
        <family val="2"/>
        <scheme val="minor"/>
      </rPr>
      <t>5</t>
    </r>
  </si>
  <si>
    <r>
      <t>Adv18.</t>
    </r>
    <r>
      <rPr>
        <sz val="1"/>
        <rFont val="Calibri"/>
        <family val="2"/>
        <scheme val="minor"/>
      </rPr>
      <t>0</t>
    </r>
    <r>
      <rPr>
        <sz val="11"/>
        <rFont val="Calibri"/>
        <family val="2"/>
        <scheme val="minor"/>
      </rPr>
      <t>6</t>
    </r>
  </si>
  <si>
    <r>
      <t>Adv18.</t>
    </r>
    <r>
      <rPr>
        <sz val="1"/>
        <rFont val="Calibri"/>
        <family val="2"/>
        <scheme val="minor"/>
      </rPr>
      <t>0</t>
    </r>
    <r>
      <rPr>
        <sz val="11"/>
        <rFont val="Calibri"/>
        <family val="2"/>
        <scheme val="minor"/>
      </rPr>
      <t>7</t>
    </r>
  </si>
  <si>
    <r>
      <t>Adv18.</t>
    </r>
    <r>
      <rPr>
        <sz val="1"/>
        <rFont val="Calibri"/>
        <family val="2"/>
        <scheme val="minor"/>
      </rPr>
      <t>0</t>
    </r>
    <r>
      <rPr>
        <sz val="11"/>
        <rFont val="Calibri"/>
        <family val="2"/>
        <scheme val="minor"/>
      </rPr>
      <t>8</t>
    </r>
  </si>
  <si>
    <r>
      <t>Adv18.</t>
    </r>
    <r>
      <rPr>
        <sz val="1"/>
        <rFont val="Calibri"/>
        <family val="2"/>
        <scheme val="minor"/>
      </rPr>
      <t>0</t>
    </r>
    <r>
      <rPr>
        <sz val="11"/>
        <rFont val="Calibri"/>
        <family val="2"/>
        <scheme val="minor"/>
      </rPr>
      <t>9</t>
    </r>
  </si>
  <si>
    <r>
      <t>Adv19.</t>
    </r>
    <r>
      <rPr>
        <sz val="1"/>
        <color theme="1"/>
        <rFont val="Calibri"/>
        <family val="2"/>
        <scheme val="minor"/>
      </rPr>
      <t>0</t>
    </r>
    <r>
      <rPr>
        <sz val="11"/>
        <color theme="1"/>
        <rFont val="Calibri"/>
        <family val="2"/>
        <scheme val="minor"/>
      </rPr>
      <t>1-2</t>
    </r>
  </si>
  <si>
    <r>
      <t>Adv19.</t>
    </r>
    <r>
      <rPr>
        <sz val="1"/>
        <color theme="1"/>
        <rFont val="Calibri"/>
        <family val="2"/>
        <scheme val="minor"/>
      </rPr>
      <t>0</t>
    </r>
    <r>
      <rPr>
        <sz val="11"/>
        <color theme="1"/>
        <rFont val="Calibri"/>
        <family val="2"/>
        <scheme val="minor"/>
      </rPr>
      <t>3</t>
    </r>
  </si>
  <si>
    <r>
      <t>Adv19.</t>
    </r>
    <r>
      <rPr>
        <sz val="1"/>
        <color theme="1"/>
        <rFont val="Calibri"/>
        <family val="2"/>
        <scheme val="minor"/>
      </rPr>
      <t>0</t>
    </r>
    <r>
      <rPr>
        <sz val="11"/>
        <color theme="1"/>
        <rFont val="Calibri"/>
        <family val="2"/>
        <scheme val="minor"/>
      </rPr>
      <t>4</t>
    </r>
  </si>
  <si>
    <r>
      <t>Adv19.</t>
    </r>
    <r>
      <rPr>
        <sz val="1"/>
        <color theme="1"/>
        <rFont val="Calibri"/>
        <family val="2"/>
        <scheme val="minor"/>
      </rPr>
      <t>0</t>
    </r>
    <r>
      <rPr>
        <sz val="11"/>
        <color theme="1"/>
        <rFont val="Calibri"/>
        <family val="2"/>
        <scheme val="minor"/>
      </rPr>
      <t>5</t>
    </r>
  </si>
  <si>
    <r>
      <t>Adv19.</t>
    </r>
    <r>
      <rPr>
        <sz val="1"/>
        <color theme="1"/>
        <rFont val="Calibri"/>
        <family val="2"/>
        <scheme val="minor"/>
      </rPr>
      <t>0</t>
    </r>
    <r>
      <rPr>
        <sz val="11"/>
        <color theme="1"/>
        <rFont val="Calibri"/>
        <family val="2"/>
        <scheme val="minor"/>
      </rPr>
      <t>6</t>
    </r>
  </si>
  <si>
    <r>
      <t>Adv19.</t>
    </r>
    <r>
      <rPr>
        <sz val="1"/>
        <color theme="1"/>
        <rFont val="Calibri"/>
        <family val="2"/>
        <scheme val="minor"/>
      </rPr>
      <t>0</t>
    </r>
    <r>
      <rPr>
        <sz val="11"/>
        <color theme="1"/>
        <rFont val="Calibri"/>
        <family val="2"/>
        <scheme val="minor"/>
      </rPr>
      <t>7</t>
    </r>
  </si>
  <si>
    <r>
      <t>Adv19.</t>
    </r>
    <r>
      <rPr>
        <sz val="1"/>
        <color theme="1"/>
        <rFont val="Calibri"/>
        <family val="2"/>
        <scheme val="minor"/>
      </rPr>
      <t>0</t>
    </r>
    <r>
      <rPr>
        <sz val="11"/>
        <color theme="1"/>
        <rFont val="Calibri"/>
        <family val="2"/>
        <scheme val="minor"/>
      </rPr>
      <t>8</t>
    </r>
  </si>
  <si>
    <r>
      <t>Adv19.</t>
    </r>
    <r>
      <rPr>
        <sz val="1"/>
        <color theme="1"/>
        <rFont val="Calibri"/>
        <family val="2"/>
        <scheme val="minor"/>
      </rPr>
      <t>0</t>
    </r>
    <r>
      <rPr>
        <sz val="11"/>
        <color theme="1"/>
        <rFont val="Calibri"/>
        <family val="2"/>
        <scheme val="minor"/>
      </rPr>
      <t>9</t>
    </r>
  </si>
  <si>
    <r>
      <t>Adv20.</t>
    </r>
    <r>
      <rPr>
        <sz val="1"/>
        <color theme="1"/>
        <rFont val="Calibri"/>
        <family val="2"/>
        <scheme val="minor"/>
      </rPr>
      <t>0</t>
    </r>
    <r>
      <rPr>
        <sz val="11"/>
        <color theme="1"/>
        <rFont val="Calibri"/>
        <family val="2"/>
        <scheme val="minor"/>
      </rPr>
      <t>1</t>
    </r>
  </si>
  <si>
    <r>
      <t>Adv20.</t>
    </r>
    <r>
      <rPr>
        <sz val="1"/>
        <color theme="1"/>
        <rFont val="Calibri"/>
        <family val="2"/>
        <scheme val="minor"/>
      </rPr>
      <t>0</t>
    </r>
    <r>
      <rPr>
        <sz val="11"/>
        <color theme="1"/>
        <rFont val="Calibri"/>
        <family val="2"/>
        <scheme val="minor"/>
      </rPr>
      <t>2</t>
    </r>
  </si>
  <si>
    <r>
      <t>Adv20.</t>
    </r>
    <r>
      <rPr>
        <sz val="1"/>
        <color theme="1"/>
        <rFont val="Calibri"/>
        <family val="2"/>
        <scheme val="minor"/>
      </rPr>
      <t>0</t>
    </r>
    <r>
      <rPr>
        <sz val="11"/>
        <color theme="1"/>
        <rFont val="Calibri"/>
        <family val="2"/>
        <scheme val="minor"/>
      </rPr>
      <t>3</t>
    </r>
  </si>
  <si>
    <r>
      <t>Adv20.</t>
    </r>
    <r>
      <rPr>
        <sz val="1"/>
        <color theme="1"/>
        <rFont val="Calibri"/>
        <family val="2"/>
        <scheme val="minor"/>
      </rPr>
      <t>0</t>
    </r>
    <r>
      <rPr>
        <sz val="11"/>
        <color theme="1"/>
        <rFont val="Calibri"/>
        <family val="2"/>
        <scheme val="minor"/>
      </rPr>
      <t>4</t>
    </r>
  </si>
  <si>
    <r>
      <t>Adv20.</t>
    </r>
    <r>
      <rPr>
        <sz val="1"/>
        <color theme="1"/>
        <rFont val="Calibri"/>
        <family val="2"/>
        <scheme val="minor"/>
      </rPr>
      <t>0</t>
    </r>
    <r>
      <rPr>
        <sz val="11"/>
        <color theme="1"/>
        <rFont val="Calibri"/>
        <family val="2"/>
        <scheme val="minor"/>
      </rPr>
      <t>5</t>
    </r>
  </si>
  <si>
    <r>
      <t>Adv20.</t>
    </r>
    <r>
      <rPr>
        <sz val="1"/>
        <color theme="1"/>
        <rFont val="Calibri"/>
        <family val="2"/>
        <scheme val="minor"/>
      </rPr>
      <t>0</t>
    </r>
    <r>
      <rPr>
        <sz val="11"/>
        <color theme="1"/>
        <rFont val="Calibri"/>
        <family val="2"/>
        <scheme val="minor"/>
      </rPr>
      <t>6</t>
    </r>
  </si>
  <si>
    <r>
      <t>Adv20.</t>
    </r>
    <r>
      <rPr>
        <sz val="1"/>
        <color theme="1"/>
        <rFont val="Calibri"/>
        <family val="2"/>
        <scheme val="minor"/>
      </rPr>
      <t>0</t>
    </r>
    <r>
      <rPr>
        <sz val="11"/>
        <color theme="1"/>
        <rFont val="Calibri"/>
        <family val="2"/>
        <scheme val="minor"/>
      </rPr>
      <t>7</t>
    </r>
  </si>
  <si>
    <r>
      <t>Adv20.</t>
    </r>
    <r>
      <rPr>
        <sz val="1"/>
        <color theme="1"/>
        <rFont val="Calibri"/>
        <family val="2"/>
        <scheme val="minor"/>
      </rPr>
      <t>0</t>
    </r>
    <r>
      <rPr>
        <sz val="11"/>
        <color theme="1"/>
        <rFont val="Calibri"/>
        <family val="2"/>
        <scheme val="minor"/>
      </rPr>
      <t>8</t>
    </r>
  </si>
  <si>
    <r>
      <t>Adv20.</t>
    </r>
    <r>
      <rPr>
        <sz val="1"/>
        <color theme="1"/>
        <rFont val="Calibri"/>
        <family val="2"/>
        <scheme val="minor"/>
      </rPr>
      <t>0</t>
    </r>
    <r>
      <rPr>
        <sz val="11"/>
        <color theme="1"/>
        <rFont val="Calibri"/>
        <family val="2"/>
        <scheme val="minor"/>
      </rPr>
      <t>9</t>
    </r>
  </si>
  <si>
    <r>
      <t xml:space="preserve"># 36 - …und die nicht ganz so rigorose Rapedrug </t>
    </r>
    <r>
      <rPr>
        <sz val="8"/>
        <color theme="1"/>
        <rFont val="Calibri"/>
        <family val="2"/>
        <scheme val="minor"/>
      </rPr>
      <t>[Spur ins Nichts]</t>
    </r>
  </si>
  <si>
    <t>Unter Anführungszeichen #16: Die drei ??? - Panik im Park (110)</t>
  </si>
  <si>
    <t>http://washoerstduso.wordpress.com/?s=fragezeichen</t>
  </si>
  <si>
    <r>
      <t>DDF-Video-"Podcasts"</t>
    </r>
    <r>
      <rPr>
        <sz val="11"/>
        <color theme="1"/>
        <rFont val="Calibri"/>
        <family val="2"/>
        <scheme val="minor"/>
      </rPr>
      <t xml:space="preserve"> ohne RSS-Feeds</t>
    </r>
  </si>
  <si>
    <t>Summe DDF total</t>
  </si>
  <si>
    <t>http://washoerstduso.wordpress.com</t>
  </si>
  <si>
    <t>http://schrottcast.tumblr.com</t>
  </si>
  <si>
    <t>http://www.rescherschen-und-arschiv.de</t>
  </si>
  <si>
    <t>http://haschimitenfuerst.blogspot.de</t>
  </si>
  <si>
    <t>http://talker-lounge.de/podcasts/</t>
  </si>
  <si>
    <t>http://FragezeichenPod.podcaster.de</t>
  </si>
  <si>
    <t>http://talker-lounge.de/podcasts/index.html</t>
  </si>
  <si>
    <t>http://hoerspieltipps.net/ohrcast/</t>
  </si>
  <si>
    <t>http://die-zentrale.podigee.io</t>
  </si>
  <si>
    <t>http://www.gebrauchtwarenpodcast.de</t>
  </si>
  <si>
    <t>http://schrottplatz-podcast.jimdofree.com</t>
  </si>
  <si>
    <t>http://unteranfuehrungszeichen.wordpress.com</t>
  </si>
  <si>
    <t>http://www.podcast.de/podcast/1041303</t>
  </si>
  <si>
    <t>http://kkt-podcast.de/episoden/</t>
  </si>
  <si>
    <t>HB16</t>
  </si>
  <si>
    <t>Die drei ??? Podcast - Sascha Draeger im Interview [gestohlener Preis (44)]</t>
  </si>
  <si>
    <t>Die drei ??? - Record Release Feature Folge 213 | Sonder Podcast</t>
  </si>
  <si>
    <r>
      <t>SSP #</t>
    </r>
    <r>
      <rPr>
        <sz val="1"/>
        <color theme="1"/>
        <rFont val="Calibri"/>
        <family val="2"/>
        <scheme val="minor"/>
      </rPr>
      <t>0</t>
    </r>
    <r>
      <rPr>
        <sz val="11"/>
        <color theme="1"/>
        <rFont val="Calibri"/>
        <family val="2"/>
        <scheme val="minor"/>
      </rPr>
      <t xml:space="preserve">0: Der Spezialgelagerte Sonderpodcast </t>
    </r>
    <r>
      <rPr>
        <sz val="8"/>
        <color theme="1"/>
        <rFont val="Calibri"/>
        <family val="2"/>
        <scheme val="minor"/>
      </rPr>
      <t>[aufgenommen: 17.11.16]</t>
    </r>
  </si>
  <si>
    <r>
      <t>SSP #</t>
    </r>
    <r>
      <rPr>
        <sz val="1"/>
        <color theme="1"/>
        <rFont val="Calibri"/>
        <family val="2"/>
        <scheme val="minor"/>
      </rPr>
      <t>0</t>
    </r>
    <r>
      <rPr>
        <sz val="11"/>
        <color theme="1"/>
        <rFont val="Calibri"/>
        <family val="2"/>
        <scheme val="minor"/>
      </rPr>
      <t xml:space="preserve">1: Die drei ??? und der Superpapagei (1) </t>
    </r>
    <r>
      <rPr>
        <sz val="8"/>
        <color theme="1"/>
        <rFont val="Calibri"/>
        <family val="2"/>
        <scheme val="minor"/>
      </rPr>
      <t>[aufgenommen: Januar 2017]</t>
    </r>
  </si>
  <si>
    <r>
      <t>SSP #</t>
    </r>
    <r>
      <rPr>
        <sz val="1"/>
        <color theme="1"/>
        <rFont val="Calibri"/>
        <family val="2"/>
        <scheme val="minor"/>
      </rPr>
      <t>0</t>
    </r>
    <r>
      <rPr>
        <sz val="11"/>
        <color theme="1"/>
        <rFont val="Calibri"/>
        <family val="2"/>
        <scheme val="minor"/>
      </rPr>
      <t xml:space="preserve">2: Die drei ??? und die silberne Spinne (24) </t>
    </r>
    <r>
      <rPr>
        <sz val="8"/>
        <color theme="1"/>
        <rFont val="Calibri"/>
        <family val="2"/>
        <scheme val="minor"/>
      </rPr>
      <t>[aufgenommen: Januar 2017]</t>
    </r>
  </si>
  <si>
    <r>
      <t>SSP #</t>
    </r>
    <r>
      <rPr>
        <sz val="1"/>
        <color theme="1"/>
        <rFont val="Calibri"/>
        <family val="2"/>
        <scheme val="minor"/>
      </rPr>
      <t>0</t>
    </r>
    <r>
      <rPr>
        <sz val="11"/>
        <color theme="1"/>
        <rFont val="Calibri"/>
        <family val="2"/>
        <scheme val="minor"/>
      </rPr>
      <t xml:space="preserve">3: Die drei ??? und die flüsternde Mumie (10) </t>
    </r>
    <r>
      <rPr>
        <sz val="8"/>
        <color theme="1"/>
        <rFont val="Calibri"/>
        <family val="2"/>
        <scheme val="minor"/>
      </rPr>
      <t>[aufgenommen: Februar 2017]</t>
    </r>
  </si>
  <si>
    <r>
      <t>SSP #</t>
    </r>
    <r>
      <rPr>
        <sz val="1"/>
        <color theme="1"/>
        <rFont val="Calibri"/>
        <family val="2"/>
        <scheme val="minor"/>
      </rPr>
      <t>0</t>
    </r>
    <r>
      <rPr>
        <sz val="11"/>
        <color theme="1"/>
        <rFont val="Calibri"/>
        <family val="2"/>
        <scheme val="minor"/>
      </rPr>
      <t xml:space="preserve">4: Die drei ??? – Die Spur des Spielers (169) </t>
    </r>
    <r>
      <rPr>
        <sz val="8"/>
        <color theme="1"/>
        <rFont val="Calibri"/>
        <family val="2"/>
        <scheme val="minor"/>
      </rPr>
      <t>[aufgenommen: März 2017]</t>
    </r>
  </si>
  <si>
    <r>
      <t xml:space="preserve">FragezeichenPod – 012 – der seltsame Wecker </t>
    </r>
    <r>
      <rPr>
        <sz val="8"/>
        <color theme="1"/>
        <rFont val="Calibri"/>
        <family val="2"/>
        <scheme val="minor"/>
      </rPr>
      <t>[aufgenommen: 21.11.11]</t>
    </r>
  </si>
  <si>
    <r>
      <t xml:space="preserve">FragezeichenPod – 047 – der giftige Gockel </t>
    </r>
    <r>
      <rPr>
        <sz val="8"/>
        <color theme="1"/>
        <rFont val="Calibri"/>
        <family val="2"/>
        <scheme val="minor"/>
      </rPr>
      <t>[aufgenommen: 22.03.12</t>
    </r>
    <r>
      <rPr>
        <sz val="11"/>
        <color theme="1"/>
        <rFont val="Calibri"/>
        <family val="2"/>
        <scheme val="minor"/>
      </rPr>
      <t>]</t>
    </r>
  </si>
  <si>
    <r>
      <t xml:space="preserve">FragezeichenPod – 008 – der grüne Geist </t>
    </r>
    <r>
      <rPr>
        <sz val="8"/>
        <color theme="1"/>
        <rFont val="Calibri"/>
        <family val="2"/>
        <scheme val="minor"/>
      </rPr>
      <t>[aufgenommen: 12.06.12]</t>
    </r>
  </si>
  <si>
    <r>
      <t xml:space="preserve">FragezeichenPod – 033 – Die bedrohte Ranch </t>
    </r>
    <r>
      <rPr>
        <sz val="8"/>
        <color theme="1"/>
        <rFont val="Calibri"/>
        <family val="2"/>
        <scheme val="minor"/>
      </rPr>
      <t>[aufgenommen: 19.06.12]</t>
    </r>
  </si>
  <si>
    <r>
      <t xml:space="preserve">FragezeichenPod – 155 – und der Meister des Todes </t>
    </r>
    <r>
      <rPr>
        <sz val="8"/>
        <color theme="1"/>
        <rFont val="Calibri"/>
        <family val="2"/>
        <scheme val="minor"/>
      </rPr>
      <t>[aufgenommen: 17.07.12]</t>
    </r>
  </si>
  <si>
    <r>
      <t xml:space="preserve">FragezeichenPod – 003 – und der Karpatenhund </t>
    </r>
    <r>
      <rPr>
        <sz val="8"/>
        <color theme="1"/>
        <rFont val="Calibri"/>
        <family val="2"/>
        <scheme val="minor"/>
      </rPr>
      <t>[aufgenommen: 09.01.12]</t>
    </r>
  </si>
  <si>
    <r>
      <t xml:space="preserve">FragezeichenPod LIVE [4b] – 011 – und das Geisterschloss [sic] LIVE 2014 </t>
    </r>
    <r>
      <rPr>
        <sz val="8"/>
        <color theme="1"/>
        <rFont val="Calibri"/>
        <family val="2"/>
        <scheme val="minor"/>
      </rPr>
      <t>[aufgenommen: 13.09.14]</t>
    </r>
  </si>
  <si>
    <r>
      <t xml:space="preserve">FragezeichenPod – 004 – und die schwarze Katze </t>
    </r>
    <r>
      <rPr>
        <sz val="8"/>
        <color theme="1"/>
        <rFont val="Calibri"/>
        <family val="2"/>
        <scheme val="minor"/>
      </rPr>
      <t>[aufgenommen: 11.06.15]</t>
    </r>
  </si>
  <si>
    <r>
      <t xml:space="preserve">FragezeichenPod – 176 – und der gestohlene Sieg </t>
    </r>
    <r>
      <rPr>
        <sz val="8"/>
        <color theme="1"/>
        <rFont val="Calibri"/>
        <family val="2"/>
        <scheme val="minor"/>
      </rPr>
      <t>[aufgenommen: 09.09.15]</t>
    </r>
  </si>
  <si>
    <r>
      <t xml:space="preserve">FragezeichenPod – Post – 09.2017 </t>
    </r>
    <r>
      <rPr>
        <sz val="8"/>
        <color theme="1"/>
        <rFont val="Calibri"/>
        <family val="2"/>
        <scheme val="minor"/>
      </rPr>
      <t>[aufgenommen: 13.09.17]</t>
    </r>
  </si>
  <si>
    <r>
      <t xml:space="preserve">FragezeichenPod – 086 – Nacht in Angst </t>
    </r>
    <r>
      <rPr>
        <sz val="8"/>
        <color theme="1"/>
        <rFont val="Calibri"/>
        <family val="2"/>
        <scheme val="minor"/>
      </rPr>
      <t>[aufgenommen: 27.09.17]</t>
    </r>
  </si>
  <si>
    <r>
      <t xml:space="preserve">FragezeichenPod – 085 – Feuerturm </t>
    </r>
    <r>
      <rPr>
        <sz val="8"/>
        <color theme="1"/>
        <rFont val="Calibri"/>
        <family val="2"/>
        <scheme val="minor"/>
      </rPr>
      <t>[aufgenommen: 18.08.17]</t>
    </r>
  </si>
  <si>
    <r>
      <t xml:space="preserve">FragezeichenPod – 005 – und der Fluch des Rubins </t>
    </r>
    <r>
      <rPr>
        <sz val="8"/>
        <color theme="1"/>
        <rFont val="Calibri"/>
        <family val="2"/>
        <scheme val="minor"/>
      </rPr>
      <t>[aufgenommen: 23.07.18]</t>
    </r>
  </si>
  <si>
    <r>
      <t xml:space="preserve">FragezeichenPod – 103 – Das Erbe des Meisterdiebs </t>
    </r>
    <r>
      <rPr>
        <sz val="8"/>
        <color theme="1"/>
        <rFont val="Calibri"/>
        <family val="2"/>
        <scheme val="minor"/>
      </rPr>
      <t>[aufgenommen: 07.09.18]</t>
    </r>
  </si>
  <si>
    <r>
      <t xml:space="preserve">SSP #66: Die drei ??? und das Fußballphantom (153) </t>
    </r>
    <r>
      <rPr>
        <sz val="8"/>
        <color theme="1"/>
        <rFont val="Calibri"/>
        <family val="2"/>
        <scheme val="minor"/>
      </rPr>
      <t>[aufgenommen: 01.07.20]</t>
    </r>
  </si>
  <si>
    <t>SSP #93: Die drei ??? und die schweigende Grotte (210)</t>
  </si>
  <si>
    <t>https://washoerstduso.wordpress.com/?s=fragezeichen</t>
  </si>
  <si>
    <t>Jetzt mitmachen - Werde Teil unserer Jubiläumsfolge!</t>
  </si>
  <si>
    <t>Folge 42: Die verschwundene Hörspielbesprechung, Die drei ??? und der verschwundene Filmstar</t>
  </si>
  <si>
    <t>#9 | #151 zick zack falsch</t>
  </si>
  <si>
    <t>10/129</t>
  </si>
  <si>
    <t>SSP #94: Die drei ??? – Nacht der Tiger (159)</t>
  </si>
  <si>
    <t>SSP #100.5: Der spezialgelagerte Jahresrückblick (2021)</t>
  </si>
  <si>
    <t>SSP #15: Die drei ??? und der 5. Advent – Tür 24</t>
  </si>
  <si>
    <t>Folge 14: Feuermond</t>
  </si>
  <si>
    <r>
      <rPr>
        <sz val="1"/>
        <color theme="1"/>
        <rFont val="Calibri"/>
        <family val="2"/>
        <scheme val="minor"/>
      </rPr>
      <t>00/</t>
    </r>
    <r>
      <rPr>
        <sz val="11"/>
        <color theme="1"/>
        <rFont val="Calibri"/>
        <family val="2"/>
        <scheme val="minor"/>
      </rPr>
      <t>000</t>
    </r>
  </si>
  <si>
    <r>
      <rPr>
        <sz val="1"/>
        <color theme="1"/>
        <rFont val="Calibri"/>
        <family val="2"/>
        <scheme val="minor"/>
      </rPr>
      <t>00/</t>
    </r>
    <r>
      <rPr>
        <sz val="11"/>
        <color theme="1"/>
        <rFont val="Calibri"/>
        <family val="2"/>
        <scheme val="minor"/>
      </rPr>
      <t>125</t>
    </r>
  </si>
  <si>
    <r>
      <rPr>
        <sz val="1"/>
        <color theme="1"/>
        <rFont val="Calibri"/>
        <family val="2"/>
        <scheme val="minor"/>
      </rPr>
      <t>00/</t>
    </r>
    <r>
      <rPr>
        <sz val="11"/>
        <color theme="1"/>
        <rFont val="Calibri"/>
        <family val="2"/>
        <scheme val="minor"/>
      </rPr>
      <t>148</t>
    </r>
  </si>
  <si>
    <r>
      <t xml:space="preserve"># 37 - …Ist das Kunst oder kann das weg? </t>
    </r>
    <r>
      <rPr>
        <sz val="8"/>
        <color theme="1"/>
        <rFont val="Calibri"/>
        <family val="2"/>
        <scheme val="minor"/>
      </rPr>
      <t>[die Zeitreisende]</t>
    </r>
  </si>
  <si>
    <t>HB17</t>
  </si>
  <si>
    <t>Die drei ??? Podcast - Karin Lieneweg im Interview [sprechender Totenkopf (6)]</t>
  </si>
  <si>
    <t>Die Talker-Lounge 155: Die drei ??? – 017 – …und die gefährliche Erbschaft (Rezension)</t>
  </si>
  <si>
    <t>Folge 01 - Der Super-Papagei (001)</t>
  </si>
  <si>
    <t>Folge 02 - Das Bergmonster (014)</t>
  </si>
  <si>
    <t>Folge 03 - Der Phantomsee (002)</t>
  </si>
  <si>
    <t>Folge 04 - Der Ameisenmensch (032)</t>
  </si>
  <si>
    <t>Folge 05 - Der Karpatenhund (003)</t>
  </si>
  <si>
    <t>Folge 06 - Die gefährlichen Fässer (048)</t>
  </si>
  <si>
    <t>Folge 07 - Die schwarze Katze (004)</t>
  </si>
  <si>
    <t>Folge 08 - Falsches Spiel - Geisterstadt (064)</t>
  </si>
  <si>
    <t>Folge 09 - Der Fluch des Rubins (005)</t>
  </si>
  <si>
    <t>Folge 10 - Geheimakte Ufo (080)</t>
  </si>
  <si>
    <t>Folge 11 - Der sprechende Totenkopf (006)</t>
  </si>
  <si>
    <t>Folge 12 - Der rote Rächer (096)</t>
  </si>
  <si>
    <t>Folge 13 - Der unheimliche Drache (007)</t>
  </si>
  <si>
    <t>Folge 15 - Der grüne Geist (008)</t>
  </si>
  <si>
    <t>Folge 17 - Die rätselhaften Bilder (009)</t>
  </si>
  <si>
    <t>Folge 19 - Die flüsternde Mumie (010)</t>
  </si>
  <si>
    <t>Folge 21 - Das Gespensterschloß (011)</t>
  </si>
  <si>
    <t>Folge 23 - Der seltsame Wecker (012)</t>
  </si>
  <si>
    <t>Folge 25 - Der lachende Schatten (013)</t>
  </si>
  <si>
    <t>Die drei ??? und die Musikpiraten (Teaser)</t>
  </si>
  <si>
    <r>
      <t xml:space="preserve">Die nächste exklusive Patreon-Folge (Outtake-Trailer) </t>
    </r>
    <r>
      <rPr>
        <sz val="9"/>
        <color theme="1"/>
        <rFont val="Calibri"/>
        <family val="2"/>
        <scheme val="minor"/>
      </rPr>
      <t>[Zeitgeist - Rückwärtsgang]</t>
    </r>
  </si>
  <si>
    <t>Signale aus dem Jenseits (Teaser)</t>
  </si>
  <si>
    <t>Die drei ??? - Insektenstachel (Deleted Scenes)</t>
  </si>
  <si>
    <t>Larry Brent Halloweenspecial (Outtakes)</t>
  </si>
  <si>
    <t>Die drei ??? und der Hexengarten (Deleted Scenes)</t>
  </si>
  <si>
    <t>Teaser Folge 29 - Die Originalmusik</t>
  </si>
  <si>
    <t>Die drei ??? - "Das Dorf der Teufel" Planetariums-Hörspiel | Spezial-Feature</t>
  </si>
  <si>
    <t>Pl3.2</t>
  </si>
  <si>
    <t>Insektenstachel (Trailer)</t>
  </si>
  <si>
    <t>Bis um sieben zurück (Ein kleiner Teaser)</t>
  </si>
  <si>
    <t>DTH #12: TKKG - Das lebende Gemälde (171) featuring Rescherschen &amp; Arschiv</t>
  </si>
  <si>
    <t>Die Zentrale Spezial - Die fünf besten drei ??? Cover - Top 5</t>
  </si>
  <si>
    <t>S16</t>
  </si>
  <si>
    <t>OhrCast 114-2 Rückhör August bis Oktober 2021, Die drei ??? (212) und der weiße Leopard</t>
  </si>
  <si>
    <t>Bonus 1: Die drei ??? vs. TKKG (Der Schatz in der Drachenhöhle)</t>
  </si>
  <si>
    <t>TKKG019</t>
  </si>
  <si>
    <t>TKKG171</t>
  </si>
  <si>
    <t>Folge 16 - Die drei ??? - Poltergeist</t>
  </si>
  <si>
    <t>Folge 17 - Die drei ??? - Tödliche Spur</t>
  </si>
  <si>
    <r>
      <t xml:space="preserve">SSP #12: Die drei ??? und der unsichtbare Passagier (189) </t>
    </r>
    <r>
      <rPr>
        <sz val="8"/>
        <color theme="1"/>
        <rFont val="Calibri"/>
        <family val="2"/>
        <scheme val="minor"/>
      </rPr>
      <t>[Gemeinschaftsproduktion mit FragezeichenPod]</t>
    </r>
  </si>
  <si>
    <r>
      <t xml:space="preserve">SSP #10.5: Todesflug in die Apodcalypse </t>
    </r>
    <r>
      <rPr>
        <sz val="8"/>
        <color theme="1"/>
        <rFont val="Calibri"/>
        <family val="2"/>
        <scheme val="minor"/>
      </rPr>
      <t>[sic]</t>
    </r>
  </si>
  <si>
    <r>
      <t xml:space="preserve">SSP #14: Die drei ??? und die gefährliche Erbschaft (17) – Tür 10 </t>
    </r>
    <r>
      <rPr>
        <sz val="8"/>
        <color theme="1"/>
        <rFont val="Calibri"/>
        <family val="2"/>
        <scheme val="minor"/>
      </rPr>
      <t>[Toms Geburtstagsfolge 1]</t>
    </r>
  </si>
  <si>
    <r>
      <t xml:space="preserve">SSP #22: Die drei ??? und das Erbe des Meisterdiebes (103) </t>
    </r>
    <r>
      <rPr>
        <sz val="8"/>
        <color theme="1"/>
        <rFont val="Calibri"/>
        <family val="2"/>
        <scheme val="minor"/>
      </rPr>
      <t>[Olafs Geburtstagsfolge 1]</t>
    </r>
  </si>
  <si>
    <r>
      <t xml:space="preserve">SSP #31: Die drei ??? – Gefahr im Verzug (54) </t>
    </r>
    <r>
      <rPr>
        <sz val="8"/>
        <color theme="1"/>
        <rFont val="Calibri"/>
        <family val="2"/>
        <scheme val="minor"/>
      </rPr>
      <t>[Sebastians Geburtstagsfolge 1]</t>
    </r>
  </si>
  <si>
    <r>
      <t xml:space="preserve">Spezialgelagerter Adventskalender 2018 – Tür Die Dr3i: Das Seeungeheuer </t>
    </r>
    <r>
      <rPr>
        <sz val="8"/>
        <color theme="1"/>
        <rFont val="Calibri"/>
        <family val="2"/>
        <scheme val="minor"/>
      </rPr>
      <t>[Hannes Geburtstagsfolge 1]</t>
    </r>
  </si>
  <si>
    <r>
      <t xml:space="preserve">SSP #32: Die drei ??? und der heimliche Hehler (37) – Tür 10 </t>
    </r>
    <r>
      <rPr>
        <sz val="8"/>
        <color theme="1"/>
        <rFont val="Calibri"/>
        <family val="2"/>
        <scheme val="minor"/>
      </rPr>
      <t>[Toms Geburtstagsfolge 2]</t>
    </r>
  </si>
  <si>
    <r>
      <t xml:space="preserve">SSP #39: Die drei ??? und das versunkene Dorf (136) mit C. R. Rodenwald </t>
    </r>
    <r>
      <rPr>
        <sz val="8"/>
        <color theme="1"/>
        <rFont val="Calibri"/>
        <family val="2"/>
        <scheme val="minor"/>
      </rPr>
      <t>[Olafs Geburtstagsfolge 2]</t>
    </r>
  </si>
  <si>
    <r>
      <t xml:space="preserve">SSP #49: Die drei ??? und der Höhlenmensch (35) </t>
    </r>
    <r>
      <rPr>
        <sz val="8"/>
        <color theme="1"/>
        <rFont val="Calibri"/>
        <family val="2"/>
        <scheme val="minor"/>
      </rPr>
      <t>[Sebastians Geburtstagsfolge 2]</t>
    </r>
  </si>
  <si>
    <r>
      <t xml:space="preserve">Spezialgelagerter Adventskalender 2019 – Tür Die Dr3i: Pforte zum Jenseits </t>
    </r>
    <r>
      <rPr>
        <sz val="8"/>
        <color theme="1"/>
        <rFont val="Calibri"/>
        <family val="2"/>
        <scheme val="minor"/>
      </rPr>
      <t>[Hannes Geburtstagsfolge 2]</t>
    </r>
  </si>
  <si>
    <r>
      <t xml:space="preserve">SSP #51: Die drei ??? – Tödliche Spur (89) – Tür 10 </t>
    </r>
    <r>
      <rPr>
        <sz val="8"/>
        <color theme="1"/>
        <rFont val="Calibri"/>
        <family val="2"/>
        <scheme val="minor"/>
      </rPr>
      <t>[Toms Geburtstagsfolge 3]</t>
    </r>
  </si>
  <si>
    <r>
      <t xml:space="preserve">SSP #59: Die drei ??? – Spur ins Nichts (121) </t>
    </r>
    <r>
      <rPr>
        <sz val="8"/>
        <color theme="1"/>
        <rFont val="Calibri"/>
        <family val="2"/>
        <scheme val="minor"/>
      </rPr>
      <t>[Olafs Geburtstagsfolge 3]</t>
    </r>
  </si>
  <si>
    <r>
      <t xml:space="preserve">SSP #73: Die drei ??? – Poltergeist (73) </t>
    </r>
    <r>
      <rPr>
        <sz val="8"/>
        <color theme="1"/>
        <rFont val="Calibri"/>
        <family val="2"/>
        <scheme val="minor"/>
      </rPr>
      <t>[Sebastians Geburtstagsfolge 3]</t>
    </r>
  </si>
  <si>
    <r>
      <t xml:space="preserve">SSP #76: Die drei ??? – Feuerturm (85) – Tür 10 </t>
    </r>
    <r>
      <rPr>
        <sz val="8"/>
        <color theme="1"/>
        <rFont val="Calibri"/>
        <family val="2"/>
        <scheme val="minor"/>
      </rPr>
      <t>[Toms Geburtstagsfolge 4]</t>
    </r>
  </si>
  <si>
    <r>
      <t xml:space="preserve">SSP #83: Die drei ??? – Die Spur des Raben (75) </t>
    </r>
    <r>
      <rPr>
        <sz val="8"/>
        <color theme="1"/>
        <rFont val="Calibri"/>
        <family val="2"/>
        <scheme val="minor"/>
      </rPr>
      <t>[Olafs Geburtstagsfolge 4]</t>
    </r>
  </si>
  <si>
    <r>
      <t xml:space="preserve">SSP #95: Die drei ??? – Wolfsgesicht (87) </t>
    </r>
    <r>
      <rPr>
        <sz val="8"/>
        <color theme="1"/>
        <rFont val="Calibri"/>
        <family val="2"/>
        <scheme val="minor"/>
      </rPr>
      <t>[Sebastians Geburtstagsfolge 4]</t>
    </r>
  </si>
  <si>
    <r>
      <t xml:space="preserve"># 38 - …und "Die Zentrale" zu Gast </t>
    </r>
    <r>
      <rPr>
        <sz val="8"/>
        <color theme="1"/>
        <rFont val="Calibri"/>
        <family val="2"/>
        <scheme val="minor"/>
      </rPr>
      <t>[Riff der Haie]</t>
    </r>
  </si>
  <si>
    <r>
      <t xml:space="preserve">#26 - Der verrückte Erfinder </t>
    </r>
    <r>
      <rPr>
        <sz val="8"/>
        <color theme="1"/>
        <rFont val="Calibri"/>
        <family val="2"/>
        <scheme val="minor"/>
      </rPr>
      <t>[aufgenommen: 05.11.21]</t>
    </r>
  </si>
  <si>
    <r>
      <t xml:space="preserve">#25 - Chaos im Dunkeln </t>
    </r>
    <r>
      <rPr>
        <sz val="8"/>
        <color theme="1"/>
        <rFont val="Calibri"/>
        <family val="2"/>
        <scheme val="minor"/>
      </rPr>
      <t>[aufgenommen: 26.10.21]</t>
    </r>
  </si>
  <si>
    <r>
      <t xml:space="preserve">#21 - Achtung, Abenteuer! </t>
    </r>
    <r>
      <rPr>
        <sz val="8"/>
        <color theme="1"/>
        <rFont val="Calibri"/>
        <family val="2"/>
        <scheme val="minor"/>
      </rPr>
      <t>[Live-Podcast-Aufnahme 5: 01.10.21]</t>
    </r>
  </si>
  <si>
    <r>
      <t xml:space="preserve">#20 - Das Rätsel der Könige </t>
    </r>
    <r>
      <rPr>
        <sz val="8"/>
        <color theme="1"/>
        <rFont val="Calibri"/>
        <family val="2"/>
        <scheme val="minor"/>
      </rPr>
      <t>[Live-Podcast-Aufnahme 4: 16.09.21]</t>
    </r>
  </si>
  <si>
    <r>
      <t xml:space="preserve">[INFO] Folge kommt bald! </t>
    </r>
    <r>
      <rPr>
        <sz val="8"/>
        <color theme="1"/>
        <rFont val="Calibri"/>
        <family val="2"/>
        <scheme val="minor"/>
      </rPr>
      <t>["Schneideverzögerung"]</t>
    </r>
  </si>
  <si>
    <r>
      <t xml:space="preserve">#18 - Mächtige Magier </t>
    </r>
    <r>
      <rPr>
        <sz val="8"/>
        <color theme="1"/>
        <rFont val="Calibri"/>
        <family val="2"/>
        <scheme val="minor"/>
      </rPr>
      <t>[Live-Podcast-Aufnahme 3: 02.09.21]</t>
    </r>
  </si>
  <si>
    <r>
      <t xml:space="preserve">#15 - Radio Rocky Beach </t>
    </r>
    <r>
      <rPr>
        <sz val="8"/>
        <color theme="1"/>
        <rFont val="Calibri"/>
        <family val="2"/>
        <scheme val="minor"/>
      </rPr>
      <t>["Gewinnspielfolge"]</t>
    </r>
  </si>
  <si>
    <r>
      <t xml:space="preserve">#14 - Feuer in Rocky Beach </t>
    </r>
    <r>
      <rPr>
        <sz val="8"/>
        <color theme="1"/>
        <rFont val="Calibri"/>
        <family val="2"/>
        <scheme val="minor"/>
      </rPr>
      <t>["Sommerpausenfolge"]</t>
    </r>
  </si>
  <si>
    <r>
      <t xml:space="preserve">#13 - Invasion der Fliegen </t>
    </r>
    <r>
      <rPr>
        <sz val="8"/>
        <color theme="1"/>
        <rFont val="Calibri"/>
        <family val="2"/>
        <scheme val="minor"/>
      </rPr>
      <t>[Live-Podcast-Aufnahme 2: 09.07.21]</t>
    </r>
  </si>
  <si>
    <r>
      <t xml:space="preserve">#12 - Nacht im Kerker </t>
    </r>
    <r>
      <rPr>
        <sz val="8"/>
        <color theme="1"/>
        <rFont val="Calibri"/>
        <family val="2"/>
        <scheme val="minor"/>
      </rPr>
      <t>[Live-Podcast-Aufnahme 1: 06.07.21]</t>
    </r>
  </si>
  <si>
    <r>
      <t xml:space="preserve">#10 - Panik im Paradies </t>
    </r>
    <r>
      <rPr>
        <sz val="8"/>
        <color theme="1"/>
        <rFont val="Calibri"/>
        <family val="2"/>
        <scheme val="minor"/>
      </rPr>
      <t>[aufgenommen: 26.06.21]</t>
    </r>
  </si>
  <si>
    <r>
      <t xml:space="preserve">[INFO] Panik im Paradies </t>
    </r>
    <r>
      <rPr>
        <sz val="8"/>
        <color theme="1"/>
        <rFont val="Calibri"/>
        <family val="2"/>
        <scheme val="minor"/>
      </rPr>
      <t>["Zahnspangenverzögerung"]</t>
    </r>
  </si>
  <si>
    <r>
      <t xml:space="preserve">[SPECIAL] 10.000 Wiedergaben </t>
    </r>
    <r>
      <rPr>
        <sz val="8"/>
        <color theme="1"/>
        <rFont val="Calibri"/>
        <family val="2"/>
        <scheme val="minor"/>
      </rPr>
      <t>[aufgenommen: 14.05.21]</t>
    </r>
  </si>
  <si>
    <r>
      <t xml:space="preserve">#03 - Internetpiraten </t>
    </r>
    <r>
      <rPr>
        <sz val="8"/>
        <color theme="1"/>
        <rFont val="Calibri"/>
        <family val="2"/>
        <scheme val="minor"/>
      </rPr>
      <t>[aufgenommen: 17.04.21]</t>
    </r>
  </si>
  <si>
    <r>
      <t xml:space="preserve">#27 - In der Geisterstadt </t>
    </r>
    <r>
      <rPr>
        <sz val="8"/>
        <color theme="1"/>
        <rFont val="Calibri"/>
        <family val="2"/>
        <scheme val="minor"/>
      </rPr>
      <t>[aufgenommen: 06.11.21]</t>
    </r>
  </si>
  <si>
    <t>Adv1.10</t>
  </si>
  <si>
    <t>Der weinende Sarg</t>
  </si>
  <si>
    <t>89/42/10</t>
  </si>
  <si>
    <r>
      <t xml:space="preserve">Folge 15: Unser Jubiläum - 1 Jahr Kaffeeklatsch vom Gebrauchtwarencenter </t>
    </r>
    <r>
      <rPr>
        <sz val="9"/>
        <color theme="0" tint="-0.499984740745262"/>
        <rFont val="Calibri"/>
        <family val="2"/>
        <scheme val="minor"/>
      </rPr>
      <t>[Tödliche Spur / Der weinende Sarg / Die flüsternde Mumie]</t>
    </r>
  </si>
  <si>
    <r>
      <t xml:space="preserve">#28 - Im Reich der Rätsel </t>
    </r>
    <r>
      <rPr>
        <sz val="8"/>
        <color theme="1"/>
        <rFont val="Calibri"/>
        <family val="2"/>
        <scheme val="minor"/>
      </rPr>
      <t>[aufgenommen: 22.11.21]</t>
    </r>
  </si>
  <si>
    <t>Unter Anführungszeichen #17: Die drei ??? und das Bergmonster (14)</t>
  </si>
  <si>
    <t>Adv1.11</t>
  </si>
  <si>
    <t>FB37</t>
  </si>
  <si>
    <t>SSP #96.5: Update: Die drei ???-Tag, Adventskalender und SSP Live UNCUT</t>
  </si>
  <si>
    <t>Der KaffeekannenTalk Adventskalender (Trailer)</t>
  </si>
  <si>
    <t>Adv1.12</t>
  </si>
  <si>
    <t>Adv1.13</t>
  </si>
  <si>
    <t>Adv1.14</t>
  </si>
  <si>
    <t>Adv1.15</t>
  </si>
  <si>
    <t>Adv1.16</t>
  </si>
  <si>
    <t>Adv1.17</t>
  </si>
  <si>
    <t>Adv1.18</t>
  </si>
  <si>
    <t>Adv1.19</t>
  </si>
  <si>
    <t>Adv1.20</t>
  </si>
  <si>
    <t>Adv1.21</t>
  </si>
  <si>
    <t>Adv1.22</t>
  </si>
  <si>
    <t>Adv1.23</t>
  </si>
  <si>
    <t>Adv1.24</t>
  </si>
  <si>
    <t>Die drei ??? und der 5. Advent (1. Dezember), Den Zimtstern abschmatzen!</t>
  </si>
  <si>
    <t>Spezialgelagerter Adventskalender 2021 – Tür 1: Kids on Bikes I</t>
  </si>
  <si>
    <t>#047 - Brainwash – Gefährliche Gedanken</t>
  </si>
  <si>
    <t>Spezialgelagerter Adventskalender 2021 – Tür 2: Kids on Bikes II</t>
  </si>
  <si>
    <t>Die drei ??? und der 5. Advent (2. Dezember), Ist das ein Versprechen?</t>
  </si>
  <si>
    <r>
      <t xml:space="preserve">1. Tag Chaos im Zoo (Adventskalender), Ein Hund ist keine Sache. </t>
    </r>
    <r>
      <rPr>
        <sz val="8"/>
        <color theme="1"/>
        <rFont val="Calibri"/>
        <family val="2"/>
        <scheme val="minor"/>
      </rPr>
      <t>[aufgenommen: 24.10.21]</t>
    </r>
  </si>
  <si>
    <t>2. Tag Chaos im Zoo (Adventskalender), Eis ist nice!</t>
  </si>
  <si>
    <t>Adv21.10</t>
  </si>
  <si>
    <t>Adv21.11</t>
  </si>
  <si>
    <t>Adv21.12</t>
  </si>
  <si>
    <t>Adv21.13</t>
  </si>
  <si>
    <t>Adv21.14</t>
  </si>
  <si>
    <t>Adv21.15</t>
  </si>
  <si>
    <t>Adv21.16</t>
  </si>
  <si>
    <t>Adv21.17</t>
  </si>
  <si>
    <t>Adv21.18</t>
  </si>
  <si>
    <t>Adv21.19</t>
  </si>
  <si>
    <t>Adv21.20</t>
  </si>
  <si>
    <t>Adv21.21</t>
  </si>
  <si>
    <t>Adv21.22</t>
  </si>
  <si>
    <t>Adv21.23</t>
  </si>
  <si>
    <t>Adv21.24</t>
  </si>
  <si>
    <r>
      <t>Adv21.</t>
    </r>
    <r>
      <rPr>
        <sz val="1"/>
        <color theme="1"/>
        <rFont val="Calibri"/>
        <family val="2"/>
        <scheme val="minor"/>
      </rPr>
      <t>0</t>
    </r>
    <r>
      <rPr>
        <sz val="11"/>
        <color theme="1"/>
        <rFont val="Calibri"/>
        <family val="2"/>
        <scheme val="minor"/>
      </rPr>
      <t>1</t>
    </r>
  </si>
  <si>
    <r>
      <t>Adv21.</t>
    </r>
    <r>
      <rPr>
        <sz val="1"/>
        <color theme="1"/>
        <rFont val="Calibri"/>
        <family val="2"/>
        <scheme val="minor"/>
      </rPr>
      <t>0</t>
    </r>
    <r>
      <rPr>
        <sz val="11"/>
        <color theme="1"/>
        <rFont val="Calibri"/>
        <family val="2"/>
        <scheme val="minor"/>
      </rPr>
      <t>2</t>
    </r>
  </si>
  <si>
    <r>
      <t>Adv21.</t>
    </r>
    <r>
      <rPr>
        <sz val="1"/>
        <color theme="1"/>
        <rFont val="Calibri"/>
        <family val="2"/>
        <scheme val="minor"/>
      </rPr>
      <t>0</t>
    </r>
    <r>
      <rPr>
        <sz val="11"/>
        <color theme="1"/>
        <rFont val="Calibri"/>
        <family val="2"/>
        <scheme val="minor"/>
      </rPr>
      <t>3</t>
    </r>
  </si>
  <si>
    <r>
      <t>Adv21.</t>
    </r>
    <r>
      <rPr>
        <sz val="1"/>
        <color theme="1"/>
        <rFont val="Calibri"/>
        <family val="2"/>
        <scheme val="minor"/>
      </rPr>
      <t>0</t>
    </r>
    <r>
      <rPr>
        <sz val="11"/>
        <color theme="1"/>
        <rFont val="Calibri"/>
        <family val="2"/>
        <scheme val="minor"/>
      </rPr>
      <t>4</t>
    </r>
  </si>
  <si>
    <r>
      <t>Adv21.</t>
    </r>
    <r>
      <rPr>
        <sz val="1"/>
        <color theme="1"/>
        <rFont val="Calibri"/>
        <family val="2"/>
        <scheme val="minor"/>
      </rPr>
      <t>0</t>
    </r>
    <r>
      <rPr>
        <sz val="11"/>
        <color theme="1"/>
        <rFont val="Calibri"/>
        <family val="2"/>
        <scheme val="minor"/>
      </rPr>
      <t>5</t>
    </r>
  </si>
  <si>
    <r>
      <t>Adv21.</t>
    </r>
    <r>
      <rPr>
        <sz val="1"/>
        <color theme="1"/>
        <rFont val="Calibri"/>
        <family val="2"/>
        <scheme val="minor"/>
      </rPr>
      <t>0</t>
    </r>
    <r>
      <rPr>
        <sz val="11"/>
        <color theme="1"/>
        <rFont val="Calibri"/>
        <family val="2"/>
        <scheme val="minor"/>
      </rPr>
      <t>6</t>
    </r>
  </si>
  <si>
    <r>
      <t>Adv21.</t>
    </r>
    <r>
      <rPr>
        <sz val="1"/>
        <color theme="1"/>
        <rFont val="Calibri"/>
        <family val="2"/>
        <scheme val="minor"/>
      </rPr>
      <t>0</t>
    </r>
    <r>
      <rPr>
        <sz val="11"/>
        <color theme="1"/>
        <rFont val="Calibri"/>
        <family val="2"/>
        <scheme val="minor"/>
      </rPr>
      <t>7</t>
    </r>
  </si>
  <si>
    <r>
      <t>Adv21.</t>
    </r>
    <r>
      <rPr>
        <sz val="1"/>
        <color theme="1"/>
        <rFont val="Calibri"/>
        <family val="2"/>
        <scheme val="minor"/>
      </rPr>
      <t>0</t>
    </r>
    <r>
      <rPr>
        <sz val="11"/>
        <color theme="1"/>
        <rFont val="Calibri"/>
        <family val="2"/>
        <scheme val="minor"/>
      </rPr>
      <t>8</t>
    </r>
  </si>
  <si>
    <r>
      <t>Adv21.</t>
    </r>
    <r>
      <rPr>
        <sz val="1"/>
        <color theme="1"/>
        <rFont val="Calibri"/>
        <family val="2"/>
        <scheme val="minor"/>
      </rPr>
      <t>0</t>
    </r>
    <r>
      <rPr>
        <sz val="11"/>
        <color theme="1"/>
        <rFont val="Calibri"/>
        <family val="2"/>
        <scheme val="minor"/>
      </rPr>
      <t>9</t>
    </r>
  </si>
  <si>
    <r>
      <t xml:space="preserve">Spezialgelagerter Adventskalender 2021 – Tür 3: Die Dr3i – Zug um Zug (4) </t>
    </r>
    <r>
      <rPr>
        <sz val="8"/>
        <color theme="1"/>
        <rFont val="Calibri"/>
        <family val="2"/>
        <scheme val="minor"/>
      </rPr>
      <t>[Hannes Geburtstagsfolge 4]</t>
    </r>
  </si>
  <si>
    <t>3. Tag Chaos im Zoo (Adventskalender), Triggert niemals einen Bullen!</t>
  </si>
  <si>
    <t>Die drei ??? und der 5. Advent (3. Dezember), *Insert lustigen Untertitel*</t>
  </si>
  <si>
    <t>#10 | #129 Voll skurrile Kuriositäten</t>
  </si>
  <si>
    <r>
      <t xml:space="preserve">Spezialgelagerter Adventskalender 2020 – Tür 3: Die Dr3i – Verschollen in der Zeit </t>
    </r>
    <r>
      <rPr>
        <sz val="8"/>
        <color theme="1"/>
        <rFont val="Calibri"/>
        <family val="2"/>
        <scheme val="minor"/>
      </rPr>
      <t>[Hannes Geburtstagsfolge 3]</t>
    </r>
  </si>
  <si>
    <t>Spezialgelagerter Adventskalender 2021 – Tür 4: Die Rückkehr des Spezi-Tests</t>
  </si>
  <si>
    <t>Die drei ??? und der 5. Advent (4. Dezember), Im Bus ganz hinten!</t>
  </si>
  <si>
    <t>4. Tag Chaos im Zoo (Adventskalender), Zoos sollten abgeschafft werden.</t>
  </si>
  <si>
    <t>RS3.1</t>
  </si>
  <si>
    <t>RS3.2</t>
  </si>
  <si>
    <t>Spezialgelagerter Adventskalender 2021 – Tür 5: Point Whitmark</t>
  </si>
  <si>
    <t>5. Tag Chaos im Zoo (Adventskalender), Mr. Porter baut kurz einen Strand auf.</t>
  </si>
  <si>
    <r>
      <t xml:space="preserve"># 39 - …und Porno Titus </t>
    </r>
    <r>
      <rPr>
        <sz val="8"/>
        <color theme="1"/>
        <rFont val="Calibri"/>
        <family val="2"/>
        <scheme val="minor"/>
      </rPr>
      <t>[der letzte Song]</t>
    </r>
  </si>
  <si>
    <r>
      <t xml:space="preserve"># 33 - …und Peters perfider Plan </t>
    </r>
    <r>
      <rPr>
        <sz val="8"/>
        <color theme="1"/>
        <rFont val="Calibri"/>
        <family val="2"/>
        <scheme val="minor"/>
      </rPr>
      <t>[das versunkene Dorf]</t>
    </r>
  </si>
  <si>
    <t>Die drei ??? und der 5. Advent (5. Dezember), "Sind Sie WIRKLICH sicher, dass sie wieder fit sind?"</t>
  </si>
  <si>
    <t>SSP #97: Die drei ??? – Die geheime Treppe (138 – Tür 6)</t>
  </si>
  <si>
    <t>SF4</t>
  </si>
  <si>
    <t>SF1</t>
  </si>
  <si>
    <t>SF3</t>
  </si>
  <si>
    <t>SF2</t>
  </si>
  <si>
    <t>Die drei ??? und der 5. Advent (6. Dezember), Ein Feuer bricht aus</t>
  </si>
  <si>
    <t>6. Tag Chaos im Zoo (Adventskalender), Wer hat die Anmod?</t>
  </si>
  <si>
    <t>Spezialgelagerter Adventskalender 2021 – Tür 7: Hajo und die letzte Fahrt der Nautilus</t>
  </si>
  <si>
    <t>Die drei ??? und der 5. Advent (7.Dezember), Synchronsprecher in Spe</t>
  </si>
  <si>
    <t>7. Tag Chaos im Zoo (Adventskalender), Abtreibuuung!</t>
  </si>
  <si>
    <t>Spezialgelagerter Adventskalender 2021 – Tür 8: Matthias Bogucki im Interview über das Werk von Aiga Rasch</t>
  </si>
  <si>
    <t>Die drei ??? und der 5. Advent (8. Dezember), Bob gibt Rudolph die Sporen</t>
  </si>
  <si>
    <t>8. Tag Chaos im Zoo (Adventskalender), Justus, Peter und Bob besaufen sich fett.</t>
  </si>
  <si>
    <r>
      <t xml:space="preserve">9. Tag Chaos im Zoo (Adventskalender), In 1m³ entspricht 10 Litern. </t>
    </r>
    <r>
      <rPr>
        <sz val="8"/>
        <color theme="1"/>
        <rFont val="Calibri"/>
        <family val="2"/>
        <scheme val="minor"/>
      </rPr>
      <t>[aufgenommen: 07.11.21]</t>
    </r>
  </si>
  <si>
    <t>Spezialgelagerter Adventskalender 2021 – Tür 9: Barbie und das Traummobil</t>
  </si>
  <si>
    <t>Die drei ??? und der 5. Advent (9. Dezember), Blacky will Cracker!</t>
  </si>
  <si>
    <r>
      <t xml:space="preserve">SSP #98: Die drei ??? – Meuterei auf hoher See (83 – Tür 10) </t>
    </r>
    <r>
      <rPr>
        <sz val="8"/>
        <color theme="1"/>
        <rFont val="Calibri"/>
        <family val="2"/>
        <scheme val="minor"/>
      </rPr>
      <t>[Toms Geburtstagsfolge 5]</t>
    </r>
  </si>
  <si>
    <t>Die drei ??? und der 5. Advent (10. Dezember), Adventskalendertürchen 10</t>
  </si>
  <si>
    <t>10. Tag Chaos im Zoo (Adventskalender), Arrivederci, Amigo!</t>
  </si>
  <si>
    <t>Spezialgelagerter Adventskalender 2021 – Tür 11: TKKG Todesgruß vom gelben Drachen</t>
  </si>
  <si>
    <t>TKKG056</t>
  </si>
  <si>
    <t>Spezialgelagerter Adventskalender 2021 – Tür 12: The Office (mit Kai Schwind)</t>
  </si>
  <si>
    <t>11. Tag Chaos im Zoo (Adventskalender), Genau 10 Minuten, OMG!</t>
  </si>
  <si>
    <t>12. Tag Chaos im Zoo (Adventskalender), Half way done.</t>
  </si>
  <si>
    <t>Die drei ??? und der 5. Advent (11. Dezember), Wenn Blacky der Lehrer von Charly Brown wäre…</t>
  </si>
  <si>
    <t>Die drei ??? und der 5. Advent (12. Dezember), U-Bahnhof Cottaplatz</t>
  </si>
  <si>
    <t>Die drei ??? und der 5. Advent (13. Dezember), Benjamin, der Regisseur</t>
  </si>
  <si>
    <t>Spezialgelagerter Adventskalender 2021 – Tür 13: Nocturne</t>
  </si>
  <si>
    <t>Spezialgelagerter Adventskalender 2021 – Tür 14: Richard Diamond</t>
  </si>
  <si>
    <r>
      <t xml:space="preserve">13. Tag Chaos im Zoo (Adventskalender), Leiche im Kofferraum… </t>
    </r>
    <r>
      <rPr>
        <sz val="8"/>
        <color theme="1"/>
        <rFont val="Calibri"/>
        <family val="2"/>
        <scheme val="minor"/>
      </rPr>
      <t>[aufgenommen: 11.12.21]</t>
    </r>
  </si>
  <si>
    <t>14. Tag Chaos im Zoo (Adventskalender), FRANK ROSIN</t>
  </si>
  <si>
    <t>Die drei ??? und der 5. Advent (14. Dezember), Das beste Türchen aller Zeiten!</t>
  </si>
  <si>
    <t>Unt1</t>
  </si>
  <si>
    <t>Unt2</t>
  </si>
  <si>
    <t>Spezialgelagerter Adventskalender 2021 – Tür 15: Die drei ??? und der Fluch der Indianer (Untold 2)</t>
  </si>
  <si>
    <t>Die drei ??? und der 5. Advent (15. Dezember), The Return of Ted Striker!</t>
  </si>
  <si>
    <t>15. Tag Chaos im Zoo (Adventskalender), $227,000</t>
  </si>
  <si>
    <t>Zentrale-Folge</t>
  </si>
  <si>
    <t>DDF-Folge</t>
  </si>
  <si>
    <t>Thomas</t>
  </si>
  <si>
    <t>Benjamin</t>
  </si>
  <si>
    <t>Oliver</t>
  </si>
  <si>
    <t>Podcast-Teilnehmer</t>
  </si>
  <si>
    <t>SSP #99: Die drei ??? – Das Grab der Inka-Mumie (Special 01)</t>
  </si>
  <si>
    <t>Spezialgelagerter Adventskalender 2021 – Tür 16: Larry Brent – Irrfahrt der Skelette</t>
  </si>
  <si>
    <t>#048 - Tödliche Spur</t>
  </si>
  <si>
    <t>Die drei ??? und der 5. Advent (16. Dezember), Wer ist Jeffrey wirklich?</t>
  </si>
  <si>
    <t>Die drei ??? und der 5. Advent (17. Dezember), R.I.P. Mirco Nontschew</t>
  </si>
  <si>
    <t>Folge 18 - Die drei ??? - O du finstere</t>
  </si>
  <si>
    <t>Das Gespensterschloß</t>
  </si>
  <si>
    <t>16. Tag Chaos im Zoo (Adventskalender), Mr. Porter oder Jennet?</t>
  </si>
  <si>
    <r>
      <t xml:space="preserve">17. Tag Chaos im Zoo (Adventskalender), SQUID GAME </t>
    </r>
    <r>
      <rPr>
        <sz val="8"/>
        <color theme="1"/>
        <rFont val="Calibri"/>
        <family val="2"/>
        <scheme val="minor"/>
      </rPr>
      <t>[aufgenommen: 17.12.21]</t>
    </r>
  </si>
  <si>
    <r>
      <t xml:space="preserve">Spezialgelagerter Adventskalender 2021 – Tür 18: Benjamin Blümchen ist wieder da! </t>
    </r>
    <r>
      <rPr>
        <sz val="8"/>
        <color theme="1"/>
        <rFont val="Calibri"/>
        <family val="2"/>
        <scheme val="minor"/>
      </rPr>
      <t>[Die Wünschelrute (58)]</t>
    </r>
  </si>
  <si>
    <r>
      <t xml:space="preserve">Spezialgelagerter Adventskalender 2020 – Tür 2: Benjamin Blümchen und das Schloss </t>
    </r>
    <r>
      <rPr>
        <sz val="8"/>
        <color theme="1"/>
        <rFont val="Calibri"/>
        <family val="2"/>
        <scheme val="minor"/>
      </rPr>
      <t>[Das Schloss (10)]</t>
    </r>
  </si>
  <si>
    <t>Folge 16: Die Schattenmänner und im Schatten des Giganten</t>
  </si>
  <si>
    <t>66/165</t>
  </si>
  <si>
    <t>Die Schattenmänner</t>
  </si>
  <si>
    <t>18. Tag Chaos im Zoo (Adventskalender), Du wirst zerquetscht und verbrannt.</t>
  </si>
  <si>
    <t>Die drei ??? und der 5. Advent (18. Dezember), Under the Bridge</t>
  </si>
  <si>
    <t>Die drei ??? und der 5. Advent (19. Dezember), Ab aufs Riesenrad</t>
  </si>
  <si>
    <t>Spezialgelagerter Adventskalender 2021 – Tür 19: Der Lehrmeister von Johannes Maria Stangl</t>
  </si>
  <si>
    <r>
      <t xml:space="preserve"># 40 - …and the Cursed Child </t>
    </r>
    <r>
      <rPr>
        <sz val="8"/>
        <color theme="1"/>
        <rFont val="Calibri"/>
        <family val="2"/>
        <scheme val="minor"/>
      </rPr>
      <t>[der tanzende Teufel]</t>
    </r>
  </si>
  <si>
    <t>19. Tag Chaos im Zoo (Adventskalender), Gran Canaria</t>
  </si>
  <si>
    <t>GN4</t>
  </si>
  <si>
    <t>SSP Live #7 / SSP präsentiert: Die drei ??? - Der goldene Salamander</t>
  </si>
  <si>
    <t>SSP100a</t>
  </si>
  <si>
    <t>SSP100b</t>
  </si>
  <si>
    <t>SSP100c</t>
  </si>
  <si>
    <t>SSP100.5</t>
  </si>
  <si>
    <t>Adv21.25</t>
  </si>
  <si>
    <t>Adv21.26</t>
  </si>
  <si>
    <t>Spezialgelagerter Adventskalender 2021 – Tür 20: Der goldene Salamander mit Calle Claus und Christopher Tauber</t>
  </si>
  <si>
    <t>0:41:34</t>
  </si>
  <si>
    <t>Die drei ??? und der 5. Advent (20. Dezember), Thomas, der Hauptkopf!</t>
  </si>
  <si>
    <t>20. Tag Chaos im Zoo (Adventskalender), FSK ab 18 freigegeben.</t>
  </si>
  <si>
    <t>Die drei ??? und der 5. Advent (21. Dezember), Unvollständige Notizen</t>
  </si>
  <si>
    <t>Spezialgelagerter Adventskalender 2021 – Tür 21: Oscar Wilde &amp; Mycroft Holmes</t>
  </si>
  <si>
    <t>21. Tag Chaos im Zoo (Adventskalender), Handgranaten sind arabische Taschenmesser.</t>
  </si>
  <si>
    <t>OhrCast 115-4 Rückhör September bis Dezember 2021, Die drei ??? (213) Der Fluch der Medusa</t>
  </si>
  <si>
    <t>Spezialgelagerter Adventskalender 2021 – Tür 22: LEGO Orient Expedition Hörspiel</t>
  </si>
  <si>
    <r>
      <t xml:space="preserve">Spezialgelagerter Adventskalender 2020 – Tür 4: Joe Freeman </t>
    </r>
    <r>
      <rPr>
        <sz val="8"/>
        <color theme="1"/>
        <rFont val="Calibri"/>
        <family val="2"/>
        <scheme val="minor"/>
      </rPr>
      <t>[Lego-Hörspiel: Die Jagd nach dem Pharaonenschatz]</t>
    </r>
  </si>
  <si>
    <t>22. Tag Chaos im Zoo (Adventskalender), Sponsored by Coca Cola</t>
  </si>
  <si>
    <t>Die drei ??? und der 5. Advent (22. Dezember), Wer knackt die Nuss?</t>
  </si>
  <si>
    <t>Spezialgelagerter Adventskalender 2021 – Tür 23: Spezialgelagerte Outtakes ’21</t>
  </si>
  <si>
    <t>Die drei ??? und der 5. Advent (23. Dezember), Gestatten, mein Name ist Schlegel</t>
  </si>
  <si>
    <t>23. Tag Chaos im Zoo (Adventskalender), IMMER SIND DIE FRAUEN SCHULD</t>
  </si>
  <si>
    <t>Auswahl durch rotes Feld</t>
  </si>
  <si>
    <t>SSP #100a: Die drei ??? – Feuriges Auge (200A – Tür 24)</t>
  </si>
  <si>
    <t>SSP #100b: Die drei ??? – Feuriges Auge (200B – Tür 25)</t>
  </si>
  <si>
    <t>SSP #100c: Die drei ??? – Feuriges Auge (200C – Tür 26)</t>
  </si>
  <si>
    <t>SSP #100d: Die drei ??? – Feuriges Auge (200D – Tür 27)</t>
  </si>
  <si>
    <t>Die drei ??? und der 5. Advent (24. Dezember), Lustig, lustig, Tralla La La La!!</t>
  </si>
  <si>
    <t>24. Tag Chaos im Zoo (Adventskalender), Das epische Finale…</t>
  </si>
  <si>
    <t>Unter Anführungszeichen #18: Die drei ??? und der Schatz der Mönche (107)</t>
  </si>
  <si>
    <t>SSP100d</t>
  </si>
  <si>
    <t>Überraschung! Die Outtakes 2021</t>
  </si>
  <si>
    <t>Adv21.27</t>
  </si>
  <si>
    <t>Beteiligung</t>
  </si>
  <si>
    <t>aktualisieren mit Shift+F9</t>
  </si>
  <si>
    <r>
      <t>Interview</t>
    </r>
    <r>
      <rPr>
        <sz val="1"/>
        <color theme="1"/>
        <rFont val="Calibri"/>
        <family val="2"/>
        <scheme val="minor"/>
      </rPr>
      <t>0</t>
    </r>
    <r>
      <rPr>
        <sz val="11"/>
        <color theme="1"/>
        <rFont val="Calibri"/>
        <family val="2"/>
        <scheme val="minor"/>
      </rPr>
      <t>9a</t>
    </r>
  </si>
  <si>
    <t>Live7</t>
  </si>
  <si>
    <t>Der geheime Gegner - Eine "Die Zentrale"-Kurzgeschichte, geschrieben und gelesen von Leonie Adam</t>
  </si>
  <si>
    <t>Interview mit Andreas Fröhlich alias Bob Andrews, Den aggressiven Bob zu Gast</t>
  </si>
  <si>
    <t>OF-Anzeigen mit zwei SSP-Covern nebeneinander (xlsm-Datei)</t>
  </si>
  <si>
    <r>
      <t xml:space="preserve">SF #5 - …und die verschollene Folge </t>
    </r>
    <r>
      <rPr>
        <sz val="8"/>
        <color theme="1"/>
        <rFont val="Calibri"/>
        <family val="2"/>
        <scheme val="minor"/>
      </rPr>
      <t>[O du finstere Teil 1]</t>
    </r>
  </si>
  <si>
    <t>X-Mas-Special: Kims Unvollendete</t>
  </si>
  <si>
    <t>Der 5. Advent</t>
  </si>
  <si>
    <t>SSP #101: Die drei ??? – Schrecken aus dem Moor (126)</t>
  </si>
  <si>
    <t>[SPECIAL] Storytime und FAQ</t>
  </si>
  <si>
    <t>#33 - Gefahr aus dem All</t>
  </si>
  <si>
    <t>Folgenvoting 2022 #1: Welche Folge sollen wir besprechen?</t>
  </si>
  <si>
    <t>(126) Schrecken aus dem Moor (40%, 146 Votes)</t>
  </si>
  <si>
    <t>(128) Schatten über Hollywood (39%, 143 Votes)</t>
  </si>
  <si>
    <t>(127) Schwarze Madonna (21%, 78 Votes)</t>
  </si>
  <si>
    <t>VP037 Vinylopresso &amp; Der Vinylist Fan-Special zu den drei ???</t>
  </si>
  <si>
    <t>http://vinylopresso.ch/das-vinylopresso-podcast-archiv/</t>
  </si>
  <si>
    <t>Folge 43: Auf ein Pilsator mit Olli und Thomas, Die drei ??? und der rasende Löwe</t>
  </si>
  <si>
    <t>#19 - Die drei ??? - Spuk im Hotel</t>
  </si>
  <si>
    <t>#20 - Die drei ??? - Nebelberg</t>
  </si>
  <si>
    <t>#21 - Die drei ??? - Botschaft aus der Unterwelt</t>
  </si>
  <si>
    <t># 41 - ...und der Lohnsteuerjahresausgleich // Das schwarze Monster (94)</t>
  </si>
  <si>
    <t># 42 - ...Bobs brennende Begierde // Höhenangst (201)</t>
  </si>
  <si>
    <t>Die Zwei Fragwürdigen - Harry Potter</t>
  </si>
  <si>
    <t># 43 - ...und der kleine Satanismus // Die Singende Schlange (25)</t>
  </si>
  <si>
    <t>Unter Anführungszeichen #19: Die drei ??? - Pistenteufel (77)</t>
  </si>
  <si>
    <t>Folge 17: Diamantenschmuggel, das Geheimnis der Särge und der Schatz im Bergsee</t>
  </si>
  <si>
    <t>65/67/68</t>
  </si>
  <si>
    <t>Diamantenschmuggel, das Geheimnis der Särge und der Schatz im Bergsee</t>
  </si>
  <si>
    <t>Das Geheimnis der Särge und der Schatz im Bergsee</t>
  </si>
  <si>
    <t>Der Schatz im Bergsee</t>
  </si>
  <si>
    <t>#11 | #12 Die Klassiker</t>
  </si>
  <si>
    <r>
      <t>11/</t>
    </r>
    <r>
      <rPr>
        <sz val="1"/>
        <color theme="1"/>
        <rFont val="Calibri"/>
        <family val="2"/>
        <scheme val="minor"/>
      </rPr>
      <t>0</t>
    </r>
    <r>
      <rPr>
        <sz val="11"/>
        <color theme="1"/>
        <rFont val="Calibri"/>
        <family val="2"/>
        <scheme val="minor"/>
      </rPr>
      <t>12</t>
    </r>
  </si>
  <si>
    <t>#13 | #126 Drei geschockte Tölpel</t>
  </si>
  <si>
    <t>13/126</t>
  </si>
  <si>
    <t>Der lachende Schatten</t>
  </si>
  <si>
    <r>
      <t xml:space="preserve">#29 - SOS über den Wolken </t>
    </r>
    <r>
      <rPr>
        <sz val="8"/>
        <color theme="1"/>
        <rFont val="Calibri"/>
        <family val="2"/>
        <scheme val="minor"/>
      </rPr>
      <t>[Live-Podcast-Aufnahme 6: 06.01.22]</t>
    </r>
  </si>
  <si>
    <r>
      <t xml:space="preserve">#30 - Der Weihnachtsdieb </t>
    </r>
    <r>
      <rPr>
        <sz val="8"/>
        <color theme="1"/>
        <rFont val="Calibri"/>
        <family val="2"/>
        <scheme val="minor"/>
      </rPr>
      <t>[aufgenommen: 13.01.22]</t>
    </r>
  </si>
  <si>
    <r>
      <t xml:space="preserve">#31 - Flucht in die Zukunft </t>
    </r>
    <r>
      <rPr>
        <sz val="8"/>
        <color theme="1"/>
        <rFont val="Calibri"/>
        <family val="2"/>
        <scheme val="minor"/>
      </rPr>
      <t>[Live-Podcast-Aufnahme 7: 20.01.22]</t>
    </r>
  </si>
  <si>
    <t>ZF1</t>
  </si>
  <si>
    <t>ZF2</t>
  </si>
  <si>
    <t>#22 - Die drei ??? - Der heimliche Hehler</t>
  </si>
  <si>
    <t>Folge #3 Der Abreiß-Kalender und William M. Grey feat. Nele</t>
  </si>
  <si>
    <t>Folge #2 Die Hörspielwelt als Blinde erleben feat. Carina</t>
  </si>
  <si>
    <t>Folge #1 Die Sache mit dem Zauberspiegel feat. Thore</t>
  </si>
  <si>
    <t>http://anchor.fm/dreiarchiv</t>
  </si>
  <si>
    <t>#23 - Die Dr3i - Der kopflose Reiter</t>
  </si>
  <si>
    <t>#34 - Spur in die Wildnis</t>
  </si>
  <si>
    <t># 44 - ...und Toni der tollkühne Triebtäter // Pistenteufel (77)</t>
  </si>
  <si>
    <t>#049 - Stimmen aus dem Nichts</t>
  </si>
  <si>
    <t>Höhenangst</t>
  </si>
  <si>
    <t>Das weiße Grab</t>
  </si>
  <si>
    <t>Der dunkle Wächter</t>
  </si>
  <si>
    <t>Das rätselhafte Erbe</t>
  </si>
  <si>
    <t>… und der Mottenmann</t>
  </si>
  <si>
    <t>Die falschen Detektive</t>
  </si>
  <si>
    <t>Kelch des Schicksals</t>
  </si>
  <si>
    <t>Kreaturen der Nacht</t>
  </si>
  <si>
    <t>Die schweigende Grotte</t>
  </si>
  <si>
    <t>… und der Jadekönig</t>
  </si>
  <si>
    <t>… und der weiße Leopard</t>
  </si>
  <si>
    <t>Der Fluch der Medusa</t>
  </si>
  <si>
    <t>… und der Geisterbunker</t>
  </si>
  <si>
    <t xml:space="preserve">    VÖ 9</t>
  </si>
  <si>
    <t xml:space="preserve">    VÖ 10</t>
  </si>
  <si>
    <t xml:space="preserve">    VÖ 11</t>
  </si>
  <si>
    <t xml:space="preserve">    VÖ 12</t>
  </si>
  <si>
    <t>… und die verlorene Zeit</t>
  </si>
  <si>
    <t>Die Schwingen des Unheils</t>
  </si>
  <si>
    <t>Im Netz der Lügen</t>
  </si>
  <si>
    <t>Die Yacht des Verrats</t>
  </si>
  <si>
    <t>… und der Kristallschädel</t>
  </si>
  <si>
    <t>… und der Knochenmann</t>
  </si>
  <si>
    <t>… und die Gesetzlosen</t>
  </si>
  <si>
    <t>[BEST OF] Episode 1</t>
  </si>
  <si>
    <t>Die Drei Fragezeichen Kids</t>
  </si>
  <si>
    <r>
      <rPr>
        <b/>
        <sz val="11"/>
        <color theme="1"/>
        <rFont val="Calibri"/>
        <family val="2"/>
        <scheme val="minor"/>
      </rPr>
      <t>Haschimitenfürst Der Bobcast</t>
    </r>
    <r>
      <rPr>
        <sz val="11"/>
        <color theme="1"/>
        <rFont val="Calibri"/>
        <family val="2"/>
        <scheme val="minor"/>
      </rPr>
      <t xml:space="preserve"> - Der offizielle und einzigartige Die drei ??? - Bobcast</t>
    </r>
    <r>
      <rPr>
        <sz val="11"/>
        <color theme="1"/>
        <rFont val="Calibri"/>
        <family val="2"/>
        <scheme val="minor"/>
      </rPr>
      <t xml:space="preserve"> </t>
    </r>
    <r>
      <rPr>
        <sz val="11"/>
        <color theme="0"/>
        <rFont val="Calibri"/>
        <family val="2"/>
        <scheme val="minor"/>
      </rPr>
      <t>(seit 18. Februar 2022)</t>
    </r>
  </si>
  <si>
    <t>Summe Bobcast</t>
  </si>
  <si>
    <t>Summe DDF-Kids</t>
  </si>
  <si>
    <t>Summe DDF-Podcasts</t>
  </si>
  <si>
    <t>Summe Sonstige Podcasts</t>
  </si>
  <si>
    <t>Offizieller Europa-DDF-Podcast</t>
  </si>
  <si>
    <t>Summe Video-Podcasts</t>
  </si>
  <si>
    <t>Unter Anführungszeichen #20: Die drei ??? und der Eisenmann (172)</t>
  </si>
  <si>
    <t>http://www.podcast.de/podcast/872078/schulzis-plauderecke</t>
  </si>
  <si>
    <t>[12] Heikedine Körting stellt sich eurem Fragenmarathon (Teil 1)</t>
  </si>
  <si>
    <t>[13] Heikedine Körting stellt sich eurem Fragenmarathon (Teil 2)</t>
  </si>
  <si>
    <r>
      <rPr>
        <b/>
        <sz val="11"/>
        <rFont val="Calibri"/>
        <family val="2"/>
        <scheme val="minor"/>
      </rPr>
      <t>schulzis-plauderecke</t>
    </r>
    <r>
      <rPr>
        <sz val="11"/>
        <rFont val="Calibri"/>
        <family val="2"/>
        <scheme val="minor"/>
      </rPr>
      <t xml:space="preserve"> - Interviews mit Machern und Sprechern aus der Hörspielszene</t>
    </r>
    <r>
      <rPr>
        <sz val="11"/>
        <color theme="0"/>
        <rFont val="Calibri"/>
        <family val="2"/>
        <scheme val="minor"/>
      </rPr>
      <t xml:space="preserve"> (seit 11. Oktober 2020) (erstes Interview vom 15. August 2020)</t>
    </r>
  </si>
  <si>
    <r>
      <t>Vinylopresso</t>
    </r>
    <r>
      <rPr>
        <sz val="11"/>
        <color theme="1"/>
        <rFont val="Calibri"/>
        <family val="2"/>
        <scheme val="minor"/>
      </rPr>
      <t xml:space="preserve"> - der schweizer platten podcast </t>
    </r>
    <r>
      <rPr>
        <sz val="11"/>
        <color theme="0"/>
        <rFont val="Calibri"/>
        <family val="2"/>
        <scheme val="minor"/>
      </rPr>
      <t>(seit 14. März 2021)</t>
    </r>
  </si>
  <si>
    <r>
      <rPr>
        <b/>
        <sz val="11"/>
        <rFont val="Calibri"/>
        <family val="2"/>
        <scheme val="minor"/>
      </rPr>
      <t>drei ??? Archiv</t>
    </r>
    <r>
      <rPr>
        <sz val="11"/>
        <rFont val="Calibri"/>
        <family val="2"/>
        <scheme val="minor"/>
      </rPr>
      <t xml:space="preserve"> - Made by Fans </t>
    </r>
    <r>
      <rPr>
        <sz val="11"/>
        <color theme="0"/>
        <rFont val="Calibri"/>
        <family val="2"/>
        <scheme val="minor"/>
      </rPr>
      <t>(seit 22. Dezember 2021)</t>
    </r>
  </si>
  <si>
    <r>
      <rPr>
        <b/>
        <sz val="11"/>
        <rFont val="Calibri"/>
        <family val="2"/>
        <scheme val="minor"/>
      </rPr>
      <t>Literaturkritik</t>
    </r>
    <r>
      <rPr>
        <sz val="11"/>
        <rFont val="Calibri"/>
        <family val="2"/>
        <scheme val="minor"/>
      </rPr>
      <t xml:space="preserve"> - Der Podcast </t>
    </r>
    <r>
      <rPr>
        <sz val="11"/>
        <color theme="0"/>
        <rFont val="Calibri"/>
        <family val="2"/>
        <scheme val="minor"/>
      </rPr>
      <t>(seit 18. Juni 2021)</t>
    </r>
  </si>
  <si>
    <r>
      <rPr>
        <b/>
        <sz val="11"/>
        <rFont val="Calibri"/>
        <family val="2"/>
        <scheme val="minor"/>
      </rPr>
      <t>Tropenhaus</t>
    </r>
    <r>
      <rPr>
        <sz val="11"/>
        <rFont val="Calibri"/>
        <family val="2"/>
        <scheme val="minor"/>
      </rPr>
      <t xml:space="preserve"> - Podcast über Bücher, Filme, Spiele </t>
    </r>
    <r>
      <rPr>
        <sz val="11"/>
        <color theme="0"/>
        <rFont val="Calibri"/>
        <family val="2"/>
        <scheme val="minor"/>
      </rPr>
      <t>(seit 9. März 2021)</t>
    </r>
  </si>
  <si>
    <t>#10: "Die drei ??? und der tanzende Teufel"</t>
  </si>
  <si>
    <t>#18: "Die Drei Fragezeichen und die singende Schlange"</t>
  </si>
  <si>
    <t>OhrCast 118-2 Rückhör Februar 2022, Die drei ??? (214) und der Geisterbunker</t>
  </si>
  <si>
    <t>Sonstige Podcasts mit DDF-Folgenbesprechungen</t>
  </si>
  <si>
    <t>Summe total:</t>
  </si>
  <si>
    <r>
      <t>Ausnahme der Rose</t>
    </r>
    <r>
      <rPr>
        <sz val="11"/>
        <color theme="1"/>
        <rFont val="Calibri"/>
        <family val="2"/>
        <scheme val="minor"/>
      </rPr>
      <t xml:space="preserve"> - Der Podcast über Hörspiele </t>
    </r>
    <r>
      <rPr>
        <sz val="11"/>
        <color theme="0"/>
        <rFont val="Calibri"/>
        <family val="2"/>
        <scheme val="minor"/>
      </rPr>
      <t>(seit 3. April 2021)</t>
    </r>
  </si>
  <si>
    <t>https://hoerspiel-podcast.podigee.io/</t>
  </si>
  <si>
    <t>http://hoerspiel-podcast.podigee.io/</t>
  </si>
  <si>
    <t>Ausnahme der Rose</t>
  </si>
  <si>
    <t>Bobcast</t>
  </si>
  <si>
    <t>Die drei ??? - Record Release Feature Folge 214 | Sonder Podcast</t>
  </si>
  <si>
    <t>[INFO] Unser MINECRAFT PROJEKT mit der Community</t>
  </si>
  <si>
    <t>J!Cast 19 Die drei Fragezeichen</t>
  </si>
  <si>
    <t>http://jcast.podspot.de/</t>
  </si>
  <si>
    <r>
      <rPr>
        <b/>
        <sz val="11"/>
        <color theme="1"/>
        <rFont val="Calibri"/>
        <family val="2"/>
        <scheme val="minor"/>
      </rPr>
      <t>J!Cast</t>
    </r>
    <r>
      <rPr>
        <sz val="11"/>
        <color theme="1"/>
        <rFont val="Calibri"/>
        <family val="2"/>
        <scheme val="minor"/>
      </rPr>
      <t xml:space="preserve"> - Der Jura-Podcast zum Informations-, Medien- und Telekommunikationsrecht </t>
    </r>
    <r>
      <rPr>
        <sz val="11"/>
        <color theme="0"/>
        <rFont val="Calibri"/>
        <family val="2"/>
        <scheme val="minor"/>
      </rPr>
      <t>(seit 12. Februar 2006)</t>
    </r>
  </si>
  <si>
    <t>https://www.itm.nrw/jcast-19-Die-drei-Fragezeichen/</t>
  </si>
  <si>
    <t>Folge 7: Wie packe ich 1 Mumie in 1 Auto? (Sommer-Special)</t>
  </si>
  <si>
    <t>Folge 9: Merchandise des Todes</t>
  </si>
  <si>
    <t>Keller</t>
  </si>
  <si>
    <r>
      <t xml:space="preserve">Folge 1: Warum Bob ein Papa-Söhnchen ist </t>
    </r>
    <r>
      <rPr>
        <u/>
        <sz val="8"/>
        <rFont val="Calibri"/>
        <family val="2"/>
        <scheme val="minor"/>
      </rPr>
      <t>[Schattenwelt]</t>
    </r>
  </si>
  <si>
    <r>
      <t xml:space="preserve">Folge 2: Again, Andrews? </t>
    </r>
    <r>
      <rPr>
        <u/>
        <sz val="8"/>
        <rFont val="Calibri"/>
        <family val="2"/>
        <scheme val="minor"/>
      </rPr>
      <t>[Todesflug]</t>
    </r>
  </si>
  <si>
    <r>
      <t xml:space="preserve">Folge 3: Was ist die Mehrzahl von Titus? </t>
    </r>
    <r>
      <rPr>
        <u/>
        <sz val="8"/>
        <rFont val="Calibri"/>
        <family val="2"/>
        <scheme val="minor"/>
      </rPr>
      <t>[und der letzte Song]</t>
    </r>
  </si>
  <si>
    <r>
      <t xml:space="preserve">Folge 4: Warum Peter ein bisschen dumm ist </t>
    </r>
    <r>
      <rPr>
        <u/>
        <sz val="8"/>
        <rFont val="Calibri"/>
        <family val="2"/>
        <scheme val="minor"/>
      </rPr>
      <t>[Insel des Vergessens]</t>
    </r>
  </si>
  <si>
    <r>
      <t xml:space="preserve">Folge 5: Europa &amp; die recycelten Sounds </t>
    </r>
    <r>
      <rPr>
        <u/>
        <sz val="8"/>
        <rFont val="Calibri"/>
        <family val="2"/>
        <scheme val="minor"/>
      </rPr>
      <t>[und der Mann ohne Augen]</t>
    </r>
  </si>
  <si>
    <r>
      <t xml:space="preserve">Folge 6: Justus hat 1 Aua </t>
    </r>
    <r>
      <rPr>
        <u/>
        <sz val="8"/>
        <rFont val="Calibri"/>
        <family val="2"/>
        <scheme val="minor"/>
      </rPr>
      <t>[und das silberne Amulett]</t>
    </r>
  </si>
  <si>
    <r>
      <t xml:space="preserve">Folge 8: Der Dumme ist verliebt </t>
    </r>
    <r>
      <rPr>
        <u/>
        <sz val="8"/>
        <rFont val="Calibri"/>
        <family val="2"/>
        <scheme val="minor"/>
      </rPr>
      <t>[Signale aus dem Jenseits]</t>
    </r>
  </si>
  <si>
    <t>http://hoerspielkeller.de/podcast/</t>
  </si>
  <si>
    <r>
      <t>HörspielKellerKanal (HKK)</t>
    </r>
    <r>
      <rPr>
        <sz val="11"/>
        <rFont val="Calibri"/>
        <family val="2"/>
        <scheme val="minor"/>
      </rPr>
      <t xml:space="preserve"> - Hörspiele und so. </t>
    </r>
    <r>
      <rPr>
        <sz val="11"/>
        <color theme="0"/>
        <rFont val="Calibri"/>
        <family val="2"/>
        <scheme val="minor"/>
      </rPr>
      <t>(seit 28. Dezember 2016)</t>
    </r>
  </si>
  <si>
    <t>HörspielKellerKanal</t>
  </si>
  <si>
    <t>https://hoerspielkeller.de/podcast/</t>
  </si>
  <si>
    <r>
      <t xml:space="preserve">#35 - Riesen in Rocky Beach </t>
    </r>
    <r>
      <rPr>
        <sz val="8"/>
        <rFont val="Calibri"/>
        <family val="2"/>
        <scheme val="minor"/>
      </rPr>
      <t>[Live-Podcast-Aufnahme 8: 22.02.22]</t>
    </r>
  </si>
  <si>
    <t>http://www.whocast.de/</t>
  </si>
  <si>
    <t>Whocast #175 – Kleiner Nachschlag</t>
  </si>
  <si>
    <r>
      <rPr>
        <b/>
        <sz val="11"/>
        <color theme="1"/>
        <rFont val="Calibri"/>
        <family val="2"/>
        <scheme val="minor"/>
      </rPr>
      <t>Whocast</t>
    </r>
    <r>
      <rPr>
        <sz val="11"/>
        <color theme="1"/>
        <rFont val="Calibri"/>
        <family val="2"/>
        <scheme val="minor"/>
      </rPr>
      <t xml:space="preserve"> - Der deutsche Doctor Who Podcast </t>
    </r>
    <r>
      <rPr>
        <sz val="11"/>
        <color theme="0"/>
        <rFont val="Calibri"/>
        <family val="2"/>
        <scheme val="minor"/>
      </rPr>
      <t>(seit 30. Juni 2006)</t>
    </r>
  </si>
  <si>
    <t>Whocast #391 – …und der Fluch des Urins</t>
  </si>
  <si>
    <t>Folge 18: Todesflug und Im Netz des Drachen</t>
  </si>
  <si>
    <t>92/156</t>
  </si>
  <si>
    <t>Das Bergmonster</t>
  </si>
  <si>
    <t>aktuelle DDF-Folge:</t>
  </si>
  <si>
    <t>http://dietosendehollywoodschaukel.podigee.io/</t>
  </si>
  <si>
    <t>… und die Teufelsklippe</t>
  </si>
  <si>
    <t>Manuskript des Satans</t>
  </si>
  <si>
    <t>Im Wald der Gefahren</t>
  </si>
  <si>
    <t>http://shows.acast.com/haschimitenfurst-der-bobcast</t>
  </si>
  <si>
    <t>Haschimitenfürst - Der Bobcast (Season 1, Ep. 0)</t>
  </si>
  <si>
    <t>Der Bobcast und der grüne Geist (Season 1, Ep. 8)</t>
  </si>
  <si>
    <t>Der Bobcast und die flüsternde Mumie (Season 1, Ep. 10)</t>
  </si>
  <si>
    <t>Folge 44: Präsentiert von Frankenolli und Benjula, Die drei ??? - Kreaturen der Nacht</t>
  </si>
  <si>
    <t>DietRenn</t>
  </si>
  <si>
    <t>J!Cast</t>
  </si>
  <si>
    <t>Audio Show</t>
  </si>
  <si>
    <t>Whocast</t>
  </si>
  <si>
    <t>Nerdvana</t>
  </si>
  <si>
    <t>Young</t>
  </si>
  <si>
    <t>Nerdpol</t>
  </si>
  <si>
    <t>Hörma</t>
  </si>
  <si>
    <t>Nerdizismus</t>
  </si>
  <si>
    <t>Ruehrcast</t>
  </si>
  <si>
    <t>Flip the Truck</t>
  </si>
  <si>
    <t>Vater Sohn</t>
  </si>
  <si>
    <t>Tonspur</t>
  </si>
  <si>
    <t>Buchplausch</t>
  </si>
  <si>
    <t>Rocket Beans</t>
  </si>
  <si>
    <t>TolkCast</t>
  </si>
  <si>
    <t>Serial Dads</t>
  </si>
  <si>
    <t>Sumpf</t>
  </si>
  <si>
    <t>Literaturkritik</t>
  </si>
  <si>
    <t>Tropenhaus</t>
  </si>
  <si>
    <t>Schaukel</t>
  </si>
  <si>
    <t>schulzi</t>
  </si>
  <si>
    <t>Archiv</t>
  </si>
  <si>
    <t>Vinylo</t>
  </si>
  <si>
    <t>SSP #103: Die drei ??? – Schatten über Hollywood (128)</t>
  </si>
  <si>
    <t>Veröffentlichungsmatrix</t>
  </si>
  <si>
    <t>…</t>
  </si>
  <si>
    <t>FragezeichenPod – 001 – und der Super-Papagei</t>
  </si>
  <si>
    <t>#14 | #174 Wookiee für Smathers</t>
  </si>
  <si>
    <t>14/174</t>
  </si>
  <si>
    <t>Das Tuch der Toten</t>
  </si>
  <si>
    <t>15/167</t>
  </si>
  <si>
    <t>Der rasende Löwe</t>
  </si>
  <si>
    <t>kein Podcast</t>
  </si>
  <si>
    <r>
      <t xml:space="preserve">#36 - Geheimnis der Tiere </t>
    </r>
    <r>
      <rPr>
        <sz val="8"/>
        <color theme="1"/>
        <rFont val="Calibri"/>
        <family val="2"/>
        <scheme val="minor"/>
      </rPr>
      <t>[aufgenommen: 04./05.03.22]</t>
    </r>
  </si>
  <si>
    <t>14 - Die drei Fanatiker und die gefährliche Erbschaft</t>
  </si>
  <si>
    <t>12.10.1979: Das erste Hörspiel von "Die drei ???" erscheint</t>
  </si>
  <si>
    <r>
      <rPr>
        <b/>
        <sz val="11"/>
        <color theme="1"/>
        <rFont val="Calibri"/>
        <family val="2"/>
        <scheme val="minor"/>
      </rPr>
      <t>Das Kalenderblatt</t>
    </r>
    <r>
      <rPr>
        <sz val="11"/>
        <color theme="1"/>
        <rFont val="Calibri"/>
        <family val="2"/>
        <scheme val="minor"/>
      </rPr>
      <t xml:space="preserve"> - BR Podcast (BAYERN 2) </t>
    </r>
    <r>
      <rPr>
        <sz val="11"/>
        <color theme="0"/>
        <rFont val="Calibri"/>
        <family val="2"/>
        <scheme val="minor"/>
      </rPr>
      <t>(seit 12. Dezember 2005)</t>
    </r>
  </si>
  <si>
    <t>http://www.br.de/mediathek/podcast/das-kalenderblatt/alle/674</t>
  </si>
  <si>
    <t>Blatt</t>
  </si>
  <si>
    <t># 45 - ...Ode an die Ragnarsons // Im Zeichen der Schlangen (157)</t>
  </si>
  <si>
    <t>S17</t>
  </si>
  <si>
    <t>Die Zentrale und der 5. Advent (Deleted Scenes)</t>
  </si>
  <si>
    <t>S18</t>
  </si>
  <si>
    <t>Bonusfolge: Warum Benjamin und Olli "Kreaturen der Nacht" besprechen mussten</t>
  </si>
  <si>
    <t>http://www.hoerbarium-podcast.de/</t>
  </si>
  <si>
    <t>Hörbarium #13 mit Andreas Fröhlich, Oliver Rohrbeck und Jens Wawrczeck</t>
  </si>
  <si>
    <t>Hörbarium #15 mit Heikedine Körting, Tracey, Mandy und Caspar Hauser</t>
  </si>
  <si>
    <r>
      <rPr>
        <b/>
        <sz val="11"/>
        <color theme="1"/>
        <rFont val="Calibri"/>
        <family val="2"/>
        <scheme val="minor"/>
      </rPr>
      <t>Die drei ??? Audio Show</t>
    </r>
    <r>
      <rPr>
        <sz val="11"/>
        <color theme="1"/>
        <rFont val="Calibri"/>
        <family val="2"/>
        <scheme val="minor"/>
      </rPr>
      <t xml:space="preserve"> - Der erste drei Fragezeichen Podcast </t>
    </r>
    <r>
      <rPr>
        <sz val="11"/>
        <color theme="0"/>
        <rFont val="Calibri"/>
        <family val="2"/>
        <scheme val="minor"/>
      </rPr>
      <t>(seit 27. November 2006)</t>
    </r>
  </si>
  <si>
    <r>
      <rPr>
        <b/>
        <sz val="11"/>
        <color theme="1"/>
        <rFont val="Calibri"/>
        <family val="2"/>
        <scheme val="minor"/>
      </rPr>
      <t>Hörbarium</t>
    </r>
    <r>
      <rPr>
        <sz val="11"/>
        <color theme="1"/>
        <rFont val="Calibri"/>
        <family val="2"/>
        <scheme val="minor"/>
      </rPr>
      <t xml:space="preserve"> - Das Hörbuch-Magazin - Podcast rund ums Thema Hörbücher und Hörspiele </t>
    </r>
    <r>
      <rPr>
        <sz val="11"/>
        <color theme="0"/>
        <rFont val="Calibri"/>
        <family val="2"/>
        <scheme val="minor"/>
      </rPr>
      <t>(seit 17. Juni 2007)</t>
    </r>
  </si>
  <si>
    <t>Hörbarium #18 mit der Ferienbande, Gedächtnislücken und ‘ner halben Million</t>
  </si>
  <si>
    <t>Hörbarium</t>
  </si>
  <si>
    <t>Hörbarium #11 Spezial gelagerte Sonderfolge: Die drei ??? - Das Geheimnis der Geisterinsel ist im Kino</t>
  </si>
  <si>
    <r>
      <rPr>
        <b/>
        <sz val="11"/>
        <color theme="1"/>
        <rFont val="Calibri"/>
        <family val="2"/>
        <scheme val="minor"/>
      </rPr>
      <t>Stichtag</t>
    </r>
    <r>
      <rPr>
        <sz val="11"/>
        <color theme="1"/>
        <rFont val="Calibri"/>
        <family val="2"/>
        <scheme val="minor"/>
      </rPr>
      <t xml:space="preserve"> - WDR Podcast (WDR 2) </t>
    </r>
    <r>
      <rPr>
        <sz val="11"/>
        <color theme="0"/>
        <rFont val="Calibri"/>
        <family val="2"/>
        <scheme val="minor"/>
      </rPr>
      <t>(seit 12. Dezember 2005)</t>
    </r>
  </si>
  <si>
    <t>Stichtag</t>
  </si>
  <si>
    <t>12. Oktober 2009 - Vor 30 Jahren: Erste Hörspielfolge der "Drei ???" erscheint</t>
  </si>
  <si>
    <t>www.rocky-beach-time.podspot.de</t>
  </si>
  <si>
    <t>http://www1.wdr.de/stichtag/</t>
  </si>
  <si>
    <t>Interview mit André Minninger (Autor und Hörspielskriptschreiber), Passiert das grade wirklich?</t>
  </si>
  <si>
    <t>S19</t>
  </si>
  <si>
    <t>#37 - Duell der Ritter</t>
  </si>
  <si>
    <t>Die drei ??? - Record Release Feature Folge 215 | Sonder Podcast</t>
  </si>
  <si>
    <t>SF5</t>
  </si>
  <si>
    <t>SF6</t>
  </si>
  <si>
    <t>FoF #4 - ...Peter, Harry Locher und der Rest der Bande // TKKG - Hexenjagd in Lerchenbach(18)</t>
  </si>
  <si>
    <t>TKKG018</t>
  </si>
  <si>
    <t>FoF #5 - Anekdotenfolge</t>
  </si>
  <si>
    <t>#050 - Phantomsee</t>
  </si>
  <si>
    <t>FB38</t>
  </si>
  <si>
    <t>11/147</t>
  </si>
  <si>
    <t>Folge #4 Bobs Reisetagebuch feat. Christian</t>
  </si>
  <si>
    <t>VP041 Vinylopresso &amp; DER VINYLIST Fan-Special zu den «Die drei Fragezeichen ???»</t>
  </si>
  <si>
    <t>SSP #104: Die drei ??? – Doppelte Täuschung (102)</t>
  </si>
  <si>
    <t>Veröffentlichungsplatzierungen</t>
  </si>
  <si>
    <t>Unter Anführungszeichen #21: Die drei ??? - Poltergeist (73)</t>
  </si>
  <si>
    <t>#24 - Die drei ??? - Höhle des Grauens</t>
  </si>
  <si>
    <t>#26 - Die drei ??? - Der giftige Gockel</t>
  </si>
  <si>
    <t>#25 - Die drei ??? - Musik des Teufels</t>
  </si>
  <si>
    <t>Die drei ??? - Record Release Feature Folge 216 | Sonder Podcast</t>
  </si>
  <si>
    <r>
      <t xml:space="preserve">Special: Interview mit André Marx (Fremdaufnahme von Sergio) </t>
    </r>
    <r>
      <rPr>
        <sz val="11"/>
        <color theme="1"/>
        <rFont val="Calibri"/>
        <family val="2"/>
        <scheme val="minor"/>
      </rPr>
      <t>[geführt von Sergio aus der Schweiz, ursprünglich als Auftakt für ein eigenes DDF-Podcast-Projekt gedacht und R&amp;A zur Veröffentlichung weitergereicht]</t>
    </r>
  </si>
  <si>
    <t>SSP #105: Die drei ??? und die Automafia (53)</t>
  </si>
  <si>
    <t># 46 - ...und der Gärtner war's schon wieder nicht // Der weinende Sarg (42)</t>
  </si>
  <si>
    <t>...und das Ende von Mathildas Kirschkuchen // Gold der Wikinger (45)</t>
  </si>
  <si>
    <r>
      <t xml:space="preserve">#38 - Im Bann des Zauberers </t>
    </r>
    <r>
      <rPr>
        <sz val="8"/>
        <color theme="1"/>
        <rFont val="Calibri"/>
        <family val="2"/>
        <scheme val="minor"/>
      </rPr>
      <t>[aufgenommen: 01.04.22]</t>
    </r>
  </si>
  <si>
    <r>
      <t xml:space="preserve">#32 - Die Schmugglerinsel </t>
    </r>
    <r>
      <rPr>
        <sz val="8"/>
        <color theme="1"/>
        <rFont val="Calibri"/>
        <family val="2"/>
        <scheme val="minor"/>
      </rPr>
      <t>[aufgenommen: 27.01.22]</t>
    </r>
  </si>
  <si>
    <r>
      <t xml:space="preserve">#00 - Trailer </t>
    </r>
    <r>
      <rPr>
        <sz val="8"/>
        <color theme="1"/>
        <rFont val="Calibri"/>
        <family val="2"/>
        <scheme val="minor"/>
      </rPr>
      <t>[aufgenommen: 26.02.21]</t>
    </r>
  </si>
  <si>
    <r>
      <t xml:space="preserve">#02 - Der magische Brunnen </t>
    </r>
    <r>
      <rPr>
        <sz val="8"/>
        <color theme="1"/>
        <rFont val="Calibri"/>
        <family val="2"/>
        <scheme val="minor"/>
      </rPr>
      <t>[aufgenommen: 10.04.21]</t>
    </r>
  </si>
  <si>
    <t>Folge #5 Escaperooms und die Zw3i</t>
  </si>
  <si>
    <t>Folge 45: In the middle of the night, Die drei ??? und der heimliche Hehler</t>
  </si>
  <si>
    <r>
      <t xml:space="preserve">Folge 25 A: Der Anfang vom Ende, Die drei ??? - Feuriges Auge Teil 1 </t>
    </r>
    <r>
      <rPr>
        <sz val="8"/>
        <color theme="1"/>
        <rFont val="Calibri"/>
        <family val="2"/>
        <scheme val="minor"/>
      </rPr>
      <t>[17-Stunden-Podcast 1]</t>
    </r>
  </si>
  <si>
    <r>
      <t xml:space="preserve">Folge 25 B: Es ist eine Falle!, Die drei ??? - Feuriges Auge Teil 2 </t>
    </r>
    <r>
      <rPr>
        <sz val="8"/>
        <color theme="1"/>
        <rFont val="Calibri"/>
        <family val="2"/>
        <scheme val="minor"/>
      </rPr>
      <t>[17-Stunden-Podcast 1]</t>
    </r>
  </si>
  <si>
    <r>
      <t xml:space="preserve">Folge 25 C: Sind wir schon in Indien?, Die drei ??? - Feuriges Auge Teil 3 </t>
    </r>
    <r>
      <rPr>
        <sz val="8"/>
        <color theme="1"/>
        <rFont val="Calibri"/>
        <family val="2"/>
        <scheme val="minor"/>
      </rPr>
      <t>[17-Stunden-Podcast 1]</t>
    </r>
  </si>
  <si>
    <r>
      <t xml:space="preserve">Folge 25 D: Ein Block voll Scheiße, Die drei ??? - Feuriges Auge Teil 4 </t>
    </r>
    <r>
      <rPr>
        <sz val="8"/>
        <color theme="1"/>
        <rFont val="Calibri"/>
        <family val="2"/>
        <scheme val="minor"/>
      </rPr>
      <t>[17-Stunden-Podcast 1]</t>
    </r>
  </si>
  <si>
    <t># 47 - ...Trolle, Trachen und Tragödien // Das Auge des Drachen (113)</t>
  </si>
  <si>
    <t>#15 | #167 Siebzehn Stunden schwere Katze</t>
  </si>
  <si>
    <r>
      <t xml:space="preserve">[SPECIAL] Wir haben Geburtstag! </t>
    </r>
    <r>
      <rPr>
        <sz val="8"/>
        <color theme="1"/>
        <rFont val="Calibri"/>
        <family val="2"/>
        <scheme val="minor"/>
      </rPr>
      <t>[aufgenommen: 11.04.22]</t>
    </r>
  </si>
  <si>
    <t>#051 - … und das versunkene Dorf</t>
  </si>
  <si>
    <t>Der Zauberspiegel</t>
  </si>
  <si>
    <t>16/181</t>
  </si>
  <si>
    <t>Folge 20: Der Zauberspiegel und das Kabinett des Zauberers</t>
  </si>
  <si>
    <t>Folge 19: Das Gespensterschloss und Grusel auf Campbell Castle</t>
  </si>
  <si>
    <t># 48 - ...und das Lied von Blut und Sperma // Labyrinth der Götter (91)</t>
  </si>
  <si>
    <r>
      <t xml:space="preserve">SSP #106: Die drei ??? – GPS-Gangster (168) </t>
    </r>
    <r>
      <rPr>
        <sz val="8"/>
        <color theme="1"/>
        <rFont val="Calibri"/>
        <family val="2"/>
        <scheme val="minor"/>
      </rPr>
      <t>[Olafs Geburtstagsfolge 5]</t>
    </r>
  </si>
  <si>
    <t>VP044 Vinylopresso &amp; DER VINYLIST Fan Special zu den drei Fragezeichen ??? mit Christoph Dittert</t>
  </si>
  <si>
    <t>https://dervinylist.com/2022/04/01/podcast-fan-special-zu-die-drei-fragezeichen/</t>
  </si>
  <si>
    <t>Folgenvoting 2022 #2: Welche Folge sollen wir besprechen?</t>
  </si>
  <si>
    <t>#27 - Die drei ??? - Die falschen Detektive</t>
  </si>
  <si>
    <t>Unter Anführungszeichen #22: Die drei ??? und das Phantom aus dem Meer (171)</t>
  </si>
  <si>
    <t>Die gefährliche Erbschaft</t>
  </si>
  <si>
    <t>Die Geisterinsel</t>
  </si>
  <si>
    <t>Der Teufelsberg</t>
  </si>
  <si>
    <t>Die flammende Spur</t>
  </si>
  <si>
    <t>Der tanzende Teufel</t>
  </si>
  <si>
    <t>...und die Rache der Samurai (145) (31%, 97 Votes)</t>
  </si>
  <si>
    <t>Die Rache des Untoten (179) (30%, 93 Votes)</t>
  </si>
  <si>
    <t>...und die Rache des Tigers (61) (39%, 120 Votes)</t>
  </si>
  <si>
    <r>
      <t xml:space="preserve">#39 - Schrottplatz in Gefahr </t>
    </r>
    <r>
      <rPr>
        <sz val="8"/>
        <color theme="1"/>
        <rFont val="Calibri"/>
        <family val="2"/>
        <scheme val="minor"/>
      </rPr>
      <t>[Live-Podcast-Aufnahme 9: 29.04.22]</t>
    </r>
  </si>
  <si>
    <r>
      <t xml:space="preserve">Folge 46 A: Live auf Twitch, Die drei ??? - Das Erbe des Meisterdieb(e)s </t>
    </r>
    <r>
      <rPr>
        <sz val="8"/>
        <color theme="1"/>
        <rFont val="Calibri"/>
        <family val="2"/>
        <scheme val="minor"/>
      </rPr>
      <t>[17-Stunden-Podcast 2]</t>
    </r>
  </si>
  <si>
    <t>46a</t>
  </si>
  <si>
    <t># 49 - ...und das Magnum Opus // Todesflug (92)</t>
  </si>
  <si>
    <t>MK Shorts - Gastbeitrag für Kaffeeklatsch vom GWC</t>
  </si>
  <si>
    <t>SSP #107: Die drei ??? und das Bergmonster Berlin (14) LivePodcast</t>
  </si>
  <si>
    <t>#16 | #181 Das verzauberte Quartett</t>
  </si>
  <si>
    <t>17/177</t>
  </si>
  <si>
    <t>#40 - Insel der Haie</t>
  </si>
  <si>
    <t>Folge 21: Andreas Fröhlich (Die Drei ???)</t>
  </si>
  <si>
    <t>Folge 22: Andreas Fröhlich (Die Drei ???) Teil 2</t>
  </si>
  <si>
    <r>
      <rPr>
        <b/>
        <sz val="11"/>
        <rFont val="Calibri"/>
        <family val="2"/>
        <scheme val="minor"/>
      </rPr>
      <t>Disko 80</t>
    </r>
    <r>
      <rPr>
        <sz val="11"/>
        <rFont val="Calibri"/>
        <family val="2"/>
        <scheme val="minor"/>
      </rPr>
      <t xml:space="preserve"> - Der 80er Podcast </t>
    </r>
    <r>
      <rPr>
        <sz val="11"/>
        <color theme="0"/>
        <rFont val="Calibri"/>
        <family val="2"/>
        <scheme val="minor"/>
      </rPr>
      <t>(seit 3. Mai 2021)</t>
    </r>
  </si>
  <si>
    <t>http://disko80.buzzsprout.com/</t>
  </si>
  <si>
    <t>Disko</t>
  </si>
  <si>
    <t>Spezialgelagerter Adventskalender 2022 – Tür 23: Spezialgelagerte Outtakes ’22</t>
  </si>
  <si>
    <t>Out6</t>
  </si>
  <si>
    <t>FB39</t>
  </si>
  <si>
    <t>SSP #109: Die drei ??? und die Rache des Tigers (61)</t>
  </si>
  <si>
    <r>
      <t xml:space="preserve">Folge 46 B: Der große 24-Stunden-Twitch-Livepodcast, Die drei ??? - Feuermond (Teil A: Das Rätsel der Meister) </t>
    </r>
    <r>
      <rPr>
        <sz val="8"/>
        <color theme="1"/>
        <rFont val="Calibri"/>
        <family val="2"/>
        <scheme val="minor"/>
      </rPr>
      <t>[17-Stunden-Podcast 2]</t>
    </r>
  </si>
  <si>
    <r>
      <t xml:space="preserve">Folge 46 C: Die Stimmung kippt, Die drei ??? - Feuermond (Teil B: Der Pfad der Täuschung) </t>
    </r>
    <r>
      <rPr>
        <sz val="8"/>
        <color theme="1"/>
        <rFont val="Calibri"/>
        <family val="2"/>
        <scheme val="minor"/>
      </rPr>
      <t>[17-Stunden-Podcast 2]</t>
    </r>
  </si>
  <si>
    <t># 50 - ...und das lächerlich stabile Brennholz // Gespensterschloss (11)</t>
  </si>
  <si>
    <t>Special 50 Folgen Mathildas Kirschkuchen</t>
  </si>
  <si>
    <t>SF7</t>
  </si>
  <si>
    <t>#25: "Die Drei Fragezeichen und das verschwundene Schinkenbrot"</t>
  </si>
  <si>
    <t>#28 - Die drei ??? - Der weinende Sarg</t>
  </si>
  <si>
    <t>#41 - Gefahr im Gruselgarten</t>
  </si>
  <si>
    <t>#42 - Der Fluch der Indianer</t>
  </si>
  <si>
    <t>#052 - … und der riskante Ritt</t>
  </si>
  <si>
    <t>#29 - Die drei ??? - Der Zauberspiegel</t>
  </si>
  <si>
    <r>
      <t xml:space="preserve">Folge 46 D: Kurz vorm Exitus, Die drei ??? - Feuermond (Teil C: Die Nacht der Schatten) </t>
    </r>
    <r>
      <rPr>
        <sz val="8"/>
        <color theme="1"/>
        <rFont val="Calibri"/>
        <family val="2"/>
        <scheme val="minor"/>
      </rPr>
      <t>[17-Stunden-Podcast 2]</t>
    </r>
  </si>
  <si>
    <t>46b-d</t>
  </si>
  <si>
    <t>OhrCast 119-2 Rückhör März 2022, Die drei ??? (215) und die verlorene Zeit</t>
  </si>
  <si>
    <t>03/142</t>
  </si>
  <si>
    <t>Folge 21: Der Karpatenhund und Tödliches Eis</t>
  </si>
  <si>
    <t>MK Shorts - Gastbeitrag für Die Zentrale</t>
  </si>
  <si>
    <t># 51 - ...und ganz viel Flex // Geisterbunker (214)</t>
  </si>
  <si>
    <t>Unter Anführungszeichen #23: Die drei ??? - Verdeckte Fouls (81)</t>
  </si>
  <si>
    <t>Folge #6 Blacky und gute Fanhörspiele feat. Blackythepirat</t>
  </si>
  <si>
    <t>VP047 Vinylopresso &amp; DER VINYLIST Fan Special zu den drei Fragezeichen ??? mit Kerstin Draeger</t>
  </si>
  <si>
    <t>SSP #107.5: Über Bergmonster und anderes Sonderfeedback</t>
  </si>
  <si>
    <t xml:space="preserve">SSP </t>
  </si>
  <si>
    <t>#17 | #177 '1717717' oder 2x2=3</t>
  </si>
  <si>
    <t>Der Mann ohne Augen</t>
  </si>
  <si>
    <t>18/185</t>
  </si>
  <si>
    <r>
      <t xml:space="preserve">Der Bobcast und der Superpapagei (Season 1, Ep. 1) </t>
    </r>
    <r>
      <rPr>
        <sz val="8"/>
        <color theme="1"/>
        <rFont val="Calibri"/>
        <family val="2"/>
        <scheme val="minor"/>
      </rPr>
      <t>[mit Bastian Pastewka 1, Heikedine Körting 1]</t>
    </r>
  </si>
  <si>
    <r>
      <t xml:space="preserve">Der Bobcast und der Phantomsee (Season 1, Ep. 2) </t>
    </r>
    <r>
      <rPr>
        <sz val="8"/>
        <color theme="1"/>
        <rFont val="Calibri"/>
        <family val="2"/>
        <scheme val="minor"/>
      </rPr>
      <t>[mit Bastian Pastewka 2, Heikedine Körting 2]</t>
    </r>
  </si>
  <si>
    <r>
      <t xml:space="preserve">Der Bobcast und der Karpatenhund (Season 1, Ep. 3) </t>
    </r>
    <r>
      <rPr>
        <sz val="8"/>
        <color theme="1"/>
        <rFont val="Calibri"/>
        <family val="2"/>
        <scheme val="minor"/>
      </rPr>
      <t>[mit Heikedine Körting 3]</t>
    </r>
  </si>
  <si>
    <r>
      <t xml:space="preserve">Der Bobcast und die schwarze Katze (Season 1, Ep. 4) </t>
    </r>
    <r>
      <rPr>
        <sz val="8"/>
        <color theme="1"/>
        <rFont val="Calibri"/>
        <family val="2"/>
        <scheme val="minor"/>
      </rPr>
      <t>[mit Bastian Pastewka 3]</t>
    </r>
  </si>
  <si>
    <r>
      <t xml:space="preserve">Der Bobcast und der Fluch des Rubins (Season 1, Ep. 5) </t>
    </r>
    <r>
      <rPr>
        <sz val="8"/>
        <color theme="1"/>
        <rFont val="Calibri"/>
        <family val="2"/>
        <scheme val="minor"/>
      </rPr>
      <t>[mit André Marx 1, Heikedine Körting 4]</t>
    </r>
  </si>
  <si>
    <r>
      <t xml:space="preserve">Der Bobcast und der sprechende Totenkopf (Season 1, Ep. 6) </t>
    </r>
    <r>
      <rPr>
        <sz val="8"/>
        <color theme="1"/>
        <rFont val="Calibri"/>
        <family val="2"/>
        <scheme val="minor"/>
      </rPr>
      <t>[mit Heikedine Körting 5]</t>
    </r>
  </si>
  <si>
    <r>
      <t xml:space="preserve">Der Bobcast und der unheimliche Drache (Season 1, Ep. 7) </t>
    </r>
    <r>
      <rPr>
        <sz val="8"/>
        <color theme="1"/>
        <rFont val="Calibri"/>
        <family val="2"/>
        <scheme val="minor"/>
      </rPr>
      <t>[mit Jens Wawrczeck 1]</t>
    </r>
  </si>
  <si>
    <r>
      <t xml:space="preserve">Der Bobcast und die rätselhaften Bilder (Season 1, Ep. 9) </t>
    </r>
    <r>
      <rPr>
        <sz val="8"/>
        <color theme="1"/>
        <rFont val="Calibri"/>
        <family val="2"/>
        <scheme val="minor"/>
      </rPr>
      <t>[mit André Marx 2]</t>
    </r>
  </si>
  <si>
    <t>SSP #108: Die drei ??? und der Geisterbunker (214)</t>
  </si>
  <si>
    <t>#43 - Monsterpilze</t>
  </si>
  <si>
    <t>Unser Wettbewerb: Wer hat gewonnen?</t>
  </si>
  <si>
    <t>#44 - Tanz der Skelette</t>
  </si>
  <si>
    <t>#45 - Chaos vor der Kamera</t>
  </si>
  <si>
    <t># 52 - ...und Brigittes geisterhafte Zauberhöhlen // Geheimnis der Särge (67)</t>
  </si>
  <si>
    <t>VP050 Vinylopresso &amp; DER VINYLIST Fan Special zu den drei Fragezeichen ??? mit Kai Schwind</t>
  </si>
  <si>
    <t>http://www.deutschlandfunkkultur.de/das-podcastmagazin-100.html</t>
  </si>
  <si>
    <r>
      <rPr>
        <b/>
        <sz val="11"/>
        <color theme="1"/>
        <rFont val="Calibri"/>
        <family val="2"/>
        <scheme val="minor"/>
      </rPr>
      <t>Deutschlandfunk Kultur</t>
    </r>
    <r>
      <rPr>
        <sz val="11"/>
        <color theme="1"/>
        <rFont val="Calibri"/>
        <family val="2"/>
        <scheme val="minor"/>
      </rPr>
      <t xml:space="preserve"> - Das Podcastmagazin</t>
    </r>
  </si>
  <si>
    <t>Bibi Blocksberg, die Drei ??? und Co. - Hörspiel-Nostalgie im Podcast</t>
  </si>
  <si>
    <t>DLF Kultur</t>
  </si>
  <si>
    <t>FragezeichenPod – 074 – und das brennende Schwert (geplant für April 2022)</t>
  </si>
  <si>
    <t>FragezeichenPod – 119 – Der geheime Schlüssel (geplant für Mai 2022)</t>
  </si>
  <si>
    <t>FragezeichenPod – 066 – und die Schattenmänner (geplant für Juni 2022)</t>
  </si>
  <si>
    <t>#053 - Gift per E-Mail</t>
  </si>
  <si>
    <t>Die drei ??? - Record Release Feature Folge 217 | Sonder Podcast</t>
  </si>
  <si>
    <t>Unter Anführungszeichen #24: Die drei ??? - Botschaft aus der Unterwelt (154)</t>
  </si>
  <si>
    <t>Ihr habt gefragt - wir antworten - unsere Q &amp; A Folge</t>
  </si>
  <si>
    <t>Folge 47: Bei der Macht von Grayskull!, Die drei ??? und der Zauberspiegel featuring Olli von "He-Man´s Machtschädel"</t>
  </si>
  <si>
    <t># 53 - ...und die völlig sinnlosen Hieroglyphen // Der Doppelgänger (28)</t>
  </si>
  <si>
    <t>#30 - Die drei ??? - Das Grab der Maya</t>
  </si>
  <si>
    <t>#31 - Die drei ??? - Das leere Grab</t>
  </si>
  <si>
    <t>#46 - Im Geisterschiff</t>
  </si>
  <si>
    <t>#47 - Nacht unter Wölfen</t>
  </si>
  <si>
    <t>#48 - Im Wilden Westen</t>
  </si>
  <si>
    <t>#49 - Fußballgötter</t>
  </si>
  <si>
    <t>#50 - Fußballhelden</t>
  </si>
  <si>
    <t>#51 - Der Fußball-Roboter</t>
  </si>
  <si>
    <t>#52 - Falsche Fußballfreunde</t>
  </si>
  <si>
    <t>SSP #111: Die drei ??? – Brainwash – Gefangene Gedanken (TSE)</t>
  </si>
  <si>
    <t>SSP Interview (XIX): Das Interview zum Buch Aiga Rasch – Im Schatten des Ruhms</t>
  </si>
  <si>
    <t>Int18</t>
  </si>
  <si>
    <t>Int19</t>
  </si>
  <si>
    <t>#054 - Schwingen des Unheils</t>
  </si>
  <si>
    <t>#055 - Labyrinth der Götter</t>
  </si>
  <si>
    <r>
      <t xml:space="preserve">SSP #64: Die drei Fragezeichen – Der geheime Schlüssel (119) </t>
    </r>
    <r>
      <rPr>
        <sz val="8"/>
        <color theme="1"/>
        <rFont val="Calibri"/>
        <family val="2"/>
        <scheme val="minor"/>
      </rPr>
      <t>[Ines Geburtstagsfolge 1]</t>
    </r>
  </si>
  <si>
    <r>
      <t xml:space="preserve">SSP #86: Die drei ??? und das brennende Schwert (74) </t>
    </r>
    <r>
      <rPr>
        <sz val="8"/>
        <color theme="1"/>
        <rFont val="Calibri"/>
        <family val="2"/>
        <scheme val="minor"/>
      </rPr>
      <t>[Ines Geburtstagsfolge 2]</t>
    </r>
  </si>
  <si>
    <r>
      <t xml:space="preserve">SSP #110: Die drei ??? – Grusel auf Campbell Castle (147) </t>
    </r>
    <r>
      <rPr>
        <sz val="8"/>
        <color theme="1"/>
        <rFont val="Calibri"/>
        <family val="2"/>
        <scheme val="minor"/>
      </rPr>
      <t>[Ines Geburtstagsfolge 3]</t>
    </r>
  </si>
  <si>
    <t>SSP #112: Die drei ??? – Tatort Zirkus (57)</t>
  </si>
  <si>
    <t>Folge 48: Die Poker-Hölle Reloaded, Die drei ??? - Der Feuerteufel (Twitch Livestream Edition)</t>
  </si>
  <si>
    <t>Folge 49: UUUUUUAAAAAAARRRRGHHH!!!, Die drei ??? und der seltsame Wecker</t>
  </si>
  <si>
    <t>DD9</t>
  </si>
  <si>
    <t>Der Bobcast und die Sommerpause (Season 1)</t>
  </si>
  <si>
    <r>
      <t xml:space="preserve">Der Bobcast und das Gespensterschloss (Season 1, Ep. 11) </t>
    </r>
    <r>
      <rPr>
        <sz val="8"/>
        <color theme="1"/>
        <rFont val="Calibri"/>
        <family val="2"/>
        <scheme val="minor"/>
      </rPr>
      <t>[mit Heikedine Körting 6]</t>
    </r>
  </si>
  <si>
    <r>
      <t xml:space="preserve">Der Bobcast und der seltsame Wecker (Season 1, Ep. 12) </t>
    </r>
    <r>
      <rPr>
        <sz val="8"/>
        <color theme="1"/>
        <rFont val="Calibri"/>
        <family val="2"/>
        <scheme val="minor"/>
      </rPr>
      <t>[mit Jens Wawrczeck 2]</t>
    </r>
  </si>
  <si>
    <r>
      <t xml:space="preserve">#53 - Fußball-Diebe </t>
    </r>
    <r>
      <rPr>
        <sz val="8"/>
        <color theme="1"/>
        <rFont val="Calibri"/>
        <family val="2"/>
        <scheme val="minor"/>
      </rPr>
      <t>[aufgenommen: 06.09.22]</t>
    </r>
  </si>
  <si>
    <t>Trailer-Special zu Folge 25</t>
  </si>
  <si>
    <t>#32 - Die drei ??? - Die singende Schlange</t>
  </si>
  <si>
    <t>#33 - Die Dr3i - Der Jahrhundertstein</t>
  </si>
  <si>
    <t># 54 - ...die große PS5 Verlosung // Die Rache des Tigers (61)</t>
  </si>
  <si>
    <t># 55 - ...und die Folge voller Arschlöcher // Der Jadekönig (211)</t>
  </si>
  <si>
    <t># 56 - ...und Mortons mangelhafte Arbeitsmoral // Schatz der Mönche (107)</t>
  </si>
  <si>
    <t># 57 - ...und die Shanghai Krise // Im Bann des Drachen (192)</t>
  </si>
  <si>
    <t># 58 - ...und die geschriene Review // Das blaue Biest (167)</t>
  </si>
  <si>
    <t>Spezialgelagerte Sonderfolge #3 - Lego Adventure: "Die Jagd nach dem Pharaonenschatz" (mit Fabian Navarro)</t>
  </si>
  <si>
    <t>Unter Anführungszeichen #25: Die drei ??? und der Zauberspiegel (16)</t>
  </si>
  <si>
    <t>Folge 22: Der Superpapagei und die Schwingen des Unheils</t>
  </si>
  <si>
    <t>01/216</t>
  </si>
  <si>
    <r>
      <rPr>
        <sz val="1"/>
        <color theme="1"/>
        <rFont val="Calibri"/>
        <family val="2"/>
        <scheme val="minor"/>
      </rPr>
      <t>00/</t>
    </r>
    <r>
      <rPr>
        <sz val="11"/>
        <color theme="1"/>
        <rFont val="Calibri"/>
        <family val="2"/>
        <scheme val="minor"/>
      </rPr>
      <t>000</t>
    </r>
  </si>
  <si>
    <t>Folge 23: Die Spur des Raben und Schatten über Hollywood</t>
  </si>
  <si>
    <t>75/128</t>
  </si>
  <si>
    <t>#18 | #185 Der Abschlussnieser</t>
  </si>
  <si>
    <t>#19 | #165 Ovale Verwirrung</t>
  </si>
  <si>
    <t>19/165</t>
  </si>
  <si>
    <t>#20 | #169 Aug' in Aug'</t>
  </si>
  <si>
    <t>20/169</t>
  </si>
  <si>
    <t>21/161</t>
  </si>
  <si>
    <t>Die drei ??? - Record Release Feature Folge 218 | Sonder Podcast</t>
  </si>
  <si>
    <t>Die drei ??? - Record Release Feature Folge 219 | Sonder Podcast</t>
  </si>
  <si>
    <t>Die drei ??? - Record Release Feature Folge 220 | Sonder Podcast</t>
  </si>
  <si>
    <t>OhrCast 122-4 Rückhör Mai 2022, Die drei ??? (216) Die Schwingen des Unheils</t>
  </si>
  <si>
    <t>Jannik Schümann: Ein Fall für Justus!</t>
  </si>
  <si>
    <t>http://rekorder.podigee.io</t>
  </si>
  <si>
    <r>
      <rPr>
        <b/>
        <sz val="11"/>
        <rFont val="Calibri"/>
        <family val="2"/>
        <scheme val="minor"/>
      </rPr>
      <t>Rekorder</t>
    </r>
    <r>
      <rPr>
        <sz val="11"/>
        <rFont val="Calibri"/>
        <family val="2"/>
        <scheme val="minor"/>
      </rPr>
      <t xml:space="preserve"> - Das Hörspielmagazin</t>
    </r>
  </si>
  <si>
    <t>Birthe Wolter: Die Drei Fragezeichen sind besser als Sex!</t>
  </si>
  <si>
    <t>Oliver Rohrbeck: Das berühmteste Satzzeichen der Welt</t>
  </si>
  <si>
    <t>Rekorder</t>
  </si>
  <si>
    <t>OhrCast 123-2 Rückhör Juli 2022, Die drei ??? (217) und der Kristallschädel</t>
  </si>
  <si>
    <t>Folge 3 [Staffel 2]: Oliver Rohrbeck, die Stimme von Justus Jonas von „Die drei ???“</t>
  </si>
  <si>
    <t>Folge 5 [Staffel 2]: Twitch-Star Shurjoka über ihre späte Liebe zur „Die drei ???“-Hörspielreihe</t>
  </si>
  <si>
    <t>OhrCast 125-2 Rückhör September 2022, Die drei ??? (218) Im Netz der Lügen</t>
  </si>
  <si>
    <t># 59 - ...und Peters persönliches Pech // Panik im Park (110)</t>
  </si>
  <si>
    <t>Podcast: Die drei ??? Fan-Special (6) – Christopher Tauber</t>
  </si>
  <si>
    <t>Podcast: Die drei ??? Fan-Special (7) – Andreas Ruch</t>
  </si>
  <si>
    <t>Podcast: Die drei ??? Fan-Special (8) – Heikedine Körting</t>
  </si>
  <si>
    <t>Folge #8 Wie war nochmal der Name? feat. Mach den Verstärker an</t>
  </si>
  <si>
    <t>Folge #7 Minifolge Ratespiel</t>
  </si>
  <si>
    <t>Folge 24: Der Pistenteufel und das weiße Grab</t>
  </si>
  <si>
    <t>77/202</t>
  </si>
  <si>
    <t>Der Pistenteufel</t>
  </si>
  <si>
    <r>
      <t xml:space="preserve">#54 - Fußball-Alarm </t>
    </r>
    <r>
      <rPr>
        <sz val="8"/>
        <color theme="1"/>
        <rFont val="Calibri"/>
        <family val="2"/>
        <scheme val="minor"/>
      </rPr>
      <t>[aufgenommen: 20.09.22]</t>
    </r>
  </si>
  <si>
    <r>
      <t xml:space="preserve">Der Bobcast und der lachende Schatten (Season 2, Ep. 13) </t>
    </r>
    <r>
      <rPr>
        <sz val="8"/>
        <color theme="1"/>
        <rFont val="Calibri"/>
        <family val="2"/>
        <scheme val="minor"/>
      </rPr>
      <t>[mit Heikedine Körting 7]</t>
    </r>
  </si>
  <si>
    <t>Der Bobcast und das Bergmonster (Season 2, Ep. 14)</t>
  </si>
  <si>
    <t>Der Bobcast und der rasende Löwe (Season 2, Ep. 15)</t>
  </si>
  <si>
    <t>Der Bobcast und die gefährliche Erbschaft (Season 2, Ep. 17)</t>
  </si>
  <si>
    <t>Der Bobcast und die Geisterinsel (Season 2, Ep. 18)</t>
  </si>
  <si>
    <t>Der Bobcast und der tanzende Teufel (Season 2, Ep. 21)</t>
  </si>
  <si>
    <t>#056 - … und das Riff der Haie</t>
  </si>
  <si>
    <t>Folgenanalyse zu 'Die drei ??? - Toteninsel (100)'</t>
  </si>
  <si>
    <t>Folgenanalyse zu 'Die drei ??? – Die Spur des Spielers (169)'</t>
  </si>
  <si>
    <t>Folgenanalyse zu 'Die drei ??? – Todesflug (92)'</t>
  </si>
  <si>
    <t>Besprechung zu 'Die drei ??? und der dunkle Taipan'</t>
  </si>
  <si>
    <t>Folgenanalyse zu 'Die drei ??? – Kreaturen der Nacht (209)'</t>
  </si>
  <si>
    <t># 60 - ...und das juristisch einwandfreie Cosplay // Der seltsame Wecker (12)</t>
  </si>
  <si>
    <t>#21 | #161 Ist das Kunst oder kann das weg?</t>
  </si>
  <si>
    <t>22/139</t>
  </si>
  <si>
    <t>#28: "Die Drei Fragezeichen und der Ameisenmensch"</t>
  </si>
  <si>
    <t>#34 - Die drei ??? - Das schwarze Monster</t>
  </si>
  <si>
    <t>Podcast: Die drei ??? Fan-Special (9) – Karin Lieneweg</t>
  </si>
  <si>
    <t>SSP #113: Die drei ??? – Im Netz des Drachen (156) mit Hardy Heßdörfer</t>
  </si>
  <si>
    <t>#55 - Die Gruselfalle</t>
  </si>
  <si>
    <t>Folge 50: Eingebildeter, arroganter Fatzke!, Die drei ??? und der lachende Schatten featuring C. R. Rodenwald</t>
  </si>
  <si>
    <t>Die Spur der Toten</t>
  </si>
  <si>
    <t>Melodie der Rache</t>
  </si>
  <si>
    <t>… und der Puppenmacher</t>
  </si>
  <si>
    <t>#057 - Im Bann des Voodoo</t>
  </si>
  <si>
    <t># 61 - ...und der saugefährliche Klumpen // Schwarze Madonna (127)</t>
  </si>
  <si>
    <t>#35 - Die drei ??? - Schüsse aus dem Dunkel</t>
  </si>
  <si>
    <t>#56 - In letzter Sekunde</t>
  </si>
  <si>
    <t>Folge 25: Der Höhlenmensch und der Schrecken aus dem Moor</t>
  </si>
  <si>
    <t>35/126</t>
  </si>
  <si>
    <t>Der Höhlenmensch</t>
  </si>
  <si>
    <t>Der Schrecken aus dem Moor</t>
  </si>
  <si>
    <r>
      <t xml:space="preserve">#57 - In der Schatzhöhle </t>
    </r>
    <r>
      <rPr>
        <sz val="8"/>
        <color theme="1"/>
        <rFont val="Calibri"/>
        <family val="2"/>
        <scheme val="minor"/>
      </rPr>
      <t>[aufgenommen: 20.10.22]</t>
    </r>
  </si>
  <si>
    <r>
      <t xml:space="preserve">#58 - Die Geisterjäger </t>
    </r>
    <r>
      <rPr>
        <sz val="8"/>
        <color theme="1"/>
        <rFont val="Calibri"/>
        <family val="2"/>
        <scheme val="minor"/>
      </rPr>
      <t>[aufgenommen: 27.10.22]</t>
    </r>
  </si>
  <si>
    <t>Die zwei Fragwürdigen - Pizza, Sextoys und Krankheiten</t>
  </si>
  <si>
    <t>ZF3</t>
  </si>
  <si>
    <t># 62 - ...und der Regenbogen Arsch-Penis // Kreaturen der Nacht (209)</t>
  </si>
  <si>
    <t>Chronologisch</t>
  </si>
  <si>
    <t>Die letzten 20 unbesprochenen Folgen</t>
  </si>
  <si>
    <t>???</t>
  </si>
  <si>
    <t>Folge #9 Das Geheimnis der 3? Bücher feat. Marco Sonnleitner</t>
  </si>
  <si>
    <t>SSP #114: Die drei ??? und der dreiäugige Totenkopf (Special 06)</t>
  </si>
  <si>
    <t xml:space="preserve"> DDF-Podcasts</t>
  </si>
  <si>
    <t>#22 | #139 Was für ein Theater</t>
  </si>
  <si>
    <t>23/127</t>
  </si>
  <si>
    <t>HB19</t>
  </si>
  <si>
    <t>Die drei ??? Podcast - Nicholas Müller im Interview [silberne Spinne (24)]</t>
  </si>
  <si>
    <t>S20</t>
  </si>
  <si>
    <t>Sonderfolge: A Nightmare on Elm Street, Unser Halloweenspecial 2022</t>
  </si>
  <si>
    <t>MK1</t>
  </si>
  <si>
    <t>MK2</t>
  </si>
  <si>
    <t>MK Shorts - Der dunkle Taipan und wir müssen reden Kosmos</t>
  </si>
  <si>
    <t>MK3</t>
  </si>
  <si>
    <t>SSP #103.5: Die drei Podcaster und der Newsflash zum Bergmonster</t>
  </si>
  <si>
    <r>
      <t xml:space="preserve">Der Bobcast und der Zauberspiegel (Season 2, Ep. 16) </t>
    </r>
    <r>
      <rPr>
        <sz val="8"/>
        <color theme="1"/>
        <rFont val="Calibri"/>
        <family val="2"/>
        <scheme val="minor"/>
      </rPr>
      <t>[mit Jürgen Thormann 1]</t>
    </r>
  </si>
  <si>
    <r>
      <t xml:space="preserve">SSP #115: Die drei ??? – Dreckiger Deal (72) </t>
    </r>
    <r>
      <rPr>
        <sz val="8"/>
        <color theme="1"/>
        <rFont val="Calibri"/>
        <family val="2"/>
        <scheme val="minor"/>
      </rPr>
      <t>[Sebastians Geburtstagsfolge 5]</t>
    </r>
  </si>
  <si>
    <r>
      <t xml:space="preserve">SSP #96: Die drei ??? – Spuk im Hotel (62) </t>
    </r>
    <r>
      <rPr>
        <sz val="8"/>
        <color theme="1"/>
        <rFont val="Calibri"/>
        <family val="2"/>
        <scheme val="minor"/>
      </rPr>
      <t>[Michelles Geburtstagsfolge 1]</t>
    </r>
  </si>
  <si>
    <r>
      <t xml:space="preserve">#59 - Monster in Rocky Beach </t>
    </r>
    <r>
      <rPr>
        <sz val="8"/>
        <color theme="1"/>
        <rFont val="Calibri"/>
        <family val="2"/>
        <scheme val="minor"/>
      </rPr>
      <t>[aufgenommen: 02.11.22]</t>
    </r>
  </si>
  <si>
    <t>Folge 51: Pack die Badehose ein!, Die drei ??? und das Riff der Haie</t>
  </si>
  <si>
    <t># 63 - ...und der fidelnde Holländer // Musik des Teufels (84)</t>
  </si>
  <si>
    <t>Unter Anführungszeichen #26: Die drei ??? - Grusel auf Campbell Castle (147)</t>
  </si>
  <si>
    <t>Unter Anführungszeichen #27: Die drei ??? und der grüne Geist (8)</t>
  </si>
  <si>
    <t>Adv4.22</t>
  </si>
  <si>
    <t>Adv4.10</t>
  </si>
  <si>
    <t>Adv4.11</t>
  </si>
  <si>
    <t>Adv4.12</t>
  </si>
  <si>
    <t>Adv4.13</t>
  </si>
  <si>
    <t>Adv4.14</t>
  </si>
  <si>
    <t>Adv4.15</t>
  </si>
  <si>
    <t>Adv4.16</t>
  </si>
  <si>
    <t>Adv4.17</t>
  </si>
  <si>
    <t>Adv4.18</t>
  </si>
  <si>
    <t>Adv4.19</t>
  </si>
  <si>
    <t>Adv4.20</t>
  </si>
  <si>
    <t>Adv4.21</t>
  </si>
  <si>
    <t>Adv4.23</t>
  </si>
  <si>
    <t>Adv4.24</t>
  </si>
  <si>
    <r>
      <rPr>
        <sz val="1"/>
        <color theme="1"/>
        <rFont val="Calibri"/>
        <family val="2"/>
        <scheme val="minor"/>
      </rPr>
      <t>00/</t>
    </r>
    <r>
      <rPr>
        <sz val="11"/>
        <color theme="1"/>
        <rFont val="Calibri"/>
        <family val="2"/>
        <scheme val="minor"/>
      </rPr>
      <t>086</t>
    </r>
  </si>
  <si>
    <r>
      <t xml:space="preserve">Folge 26 Teil 1: Morton-Geburtstags-Special </t>
    </r>
    <r>
      <rPr>
        <sz val="9"/>
        <color theme="0" tint="-0.499984740745262"/>
        <rFont val="Calibri"/>
        <family val="2"/>
        <scheme val="minor"/>
      </rPr>
      <t>[Nacht in Angst]</t>
    </r>
  </si>
  <si>
    <r>
      <t>Kaffeeklatsch vom Gebrauchtwarencenter (GWC)</t>
    </r>
    <r>
      <rPr>
        <sz val="11"/>
        <color theme="1"/>
        <rFont val="Calibri"/>
        <family val="2"/>
        <scheme val="minor"/>
      </rPr>
      <t xml:space="preserve"> - Die drei ??? Podcast </t>
    </r>
    <r>
      <rPr>
        <sz val="11"/>
        <color theme="0"/>
        <rFont val="Calibri"/>
        <family val="2"/>
        <scheme val="minor"/>
      </rPr>
      <t>(seit 23. November 2020) [kaffeeklatsch_vom_gwc]</t>
    </r>
  </si>
  <si>
    <r>
      <t xml:space="preserve">SSP #116: Die drei ??? – Hexenhandy (101) </t>
    </r>
    <r>
      <rPr>
        <sz val="8"/>
        <color theme="1"/>
        <rFont val="Calibri"/>
        <family val="2"/>
        <scheme val="minor"/>
      </rPr>
      <t>[Michelles Geburtstagsfolge 2]</t>
    </r>
  </si>
  <si>
    <t>#32: "Die Drei Fragezeichen - Verdeckte Fouls" (Oder: Fußball bei den Drei Fragezeichen)</t>
  </si>
  <si>
    <t>OhrCast 126-2 Rückhör Oktober 2022, Die drei ??? (SE) Eine schreckliche Bescherung</t>
  </si>
  <si>
    <t>Adv4</t>
  </si>
  <si>
    <t>#60 - Ein Fall für Superhelden</t>
  </si>
  <si>
    <t>[SPECIAL] Best of 2022 (Zusammenschnitt)</t>
  </si>
  <si>
    <t># 64 - ...und die unnötigen Detektive // Bedrohte Ranch (33)</t>
  </si>
  <si>
    <r>
      <t xml:space="preserve">Folge 26 Teil 2: Morton-Geburtstags-Special </t>
    </r>
    <r>
      <rPr>
        <sz val="9"/>
        <color theme="0" tint="-0.499984740745262"/>
        <rFont val="Calibri"/>
        <family val="2"/>
        <scheme val="minor"/>
      </rPr>
      <t>[Tödliche Spur]</t>
    </r>
  </si>
  <si>
    <r>
      <rPr>
        <sz val="1"/>
        <color theme="1"/>
        <rFont val="Calibri"/>
        <family val="2"/>
        <scheme val="minor"/>
      </rPr>
      <t>00/</t>
    </r>
    <r>
      <rPr>
        <sz val="11"/>
        <color theme="1"/>
        <rFont val="Calibri"/>
        <family val="2"/>
        <scheme val="minor"/>
      </rPr>
      <t>089</t>
    </r>
  </si>
  <si>
    <t>#38 - Die drei Fragezeichen - Stimmen aus dem Nichts</t>
  </si>
  <si>
    <t>#36 - Die drei Fragezeichen - Feuerteufel</t>
  </si>
  <si>
    <t>#37 - Die drei Fragezeichen - Tauchgang ins Ungewisse</t>
  </si>
  <si>
    <t>Adv22.10</t>
  </si>
  <si>
    <t>Adv22.11</t>
  </si>
  <si>
    <t>Adv22.12</t>
  </si>
  <si>
    <t>Adv22.13</t>
  </si>
  <si>
    <t>Adv22.14</t>
  </si>
  <si>
    <t>Adv22.15</t>
  </si>
  <si>
    <t>Adv22.16</t>
  </si>
  <si>
    <t>Adv22.17</t>
  </si>
  <si>
    <t>Adv22.18</t>
  </si>
  <si>
    <t>Adv22.19</t>
  </si>
  <si>
    <t>Adv22.20</t>
  </si>
  <si>
    <t>Adv22.21</t>
  </si>
  <si>
    <t>Adv22.22</t>
  </si>
  <si>
    <t>Adv22.23</t>
  </si>
  <si>
    <t>Adv22.24</t>
  </si>
  <si>
    <r>
      <rPr>
        <b/>
        <sz val="11"/>
        <color theme="1"/>
        <rFont val="Calibri"/>
        <family val="2"/>
        <scheme val="minor"/>
      </rPr>
      <t>KaffeekannenTalk (KKT)</t>
    </r>
    <r>
      <rPr>
        <sz val="11"/>
        <color theme="1"/>
        <rFont val="Calibri"/>
        <family val="2"/>
        <scheme val="minor"/>
      </rPr>
      <t xml:space="preserve"> - Der Die Drei ??? Kids Fan-Podcast </t>
    </r>
    <r>
      <rPr>
        <sz val="9"/>
        <color theme="1"/>
        <rFont val="Calibri"/>
        <family val="2"/>
        <scheme val="minor"/>
      </rPr>
      <t>(ehemals "Die zwei Fragezeichen" bis #6)</t>
    </r>
    <r>
      <rPr>
        <sz val="11"/>
        <color theme="1"/>
        <rFont val="Calibri"/>
        <family val="2"/>
        <scheme val="minor"/>
      </rPr>
      <t xml:space="preserve"> </t>
    </r>
    <r>
      <rPr>
        <sz val="11"/>
        <color theme="0"/>
        <rFont val="Calibri"/>
        <family val="2"/>
        <scheme val="minor"/>
      </rPr>
      <t>(seit 12. April 2021)</t>
    </r>
  </si>
  <si>
    <t>DiE 2WO - Folge 9 - Der allerletzte Podcast (geplant für Mai 2019)</t>
  </si>
  <si>
    <t>#109 (Staffel 1, Folge 9) DDF – Die Silbermine (geplant für August 2020)</t>
  </si>
  <si>
    <t>#110 (Staffel 1, Folge 10) DDF – Feurige Flut (geplant für September 2020)</t>
  </si>
  <si>
    <t>Spezialgelagerter Adventskalender 2022 – Tür 1: DSSP – 1W6 Freunde und das Modul der Meister (Seite A)</t>
  </si>
  <si>
    <t>Die drei ??? - Eine schreckliche Bescherung: Winterwunderland</t>
  </si>
  <si>
    <r>
      <t>Adv4.</t>
    </r>
    <r>
      <rPr>
        <sz val="1"/>
        <color theme="1"/>
        <rFont val="Calibri"/>
        <family val="2"/>
        <scheme val="minor"/>
      </rPr>
      <t>0</t>
    </r>
    <r>
      <rPr>
        <sz val="11"/>
        <color theme="1"/>
        <rFont val="Calibri"/>
        <family val="2"/>
        <scheme val="minor"/>
      </rPr>
      <t>1</t>
    </r>
  </si>
  <si>
    <r>
      <t>Adv4.</t>
    </r>
    <r>
      <rPr>
        <sz val="1"/>
        <color theme="1"/>
        <rFont val="Calibri"/>
        <family val="2"/>
        <scheme val="minor"/>
      </rPr>
      <t>0</t>
    </r>
    <r>
      <rPr>
        <sz val="11"/>
        <color theme="1"/>
        <rFont val="Calibri"/>
        <family val="2"/>
        <scheme val="minor"/>
      </rPr>
      <t>2</t>
    </r>
  </si>
  <si>
    <r>
      <t>Adv4.</t>
    </r>
    <r>
      <rPr>
        <sz val="1"/>
        <color theme="1"/>
        <rFont val="Calibri"/>
        <family val="2"/>
        <scheme val="minor"/>
      </rPr>
      <t>0</t>
    </r>
    <r>
      <rPr>
        <sz val="11"/>
        <color theme="1"/>
        <rFont val="Calibri"/>
        <family val="2"/>
        <scheme val="minor"/>
      </rPr>
      <t>3</t>
    </r>
  </si>
  <si>
    <r>
      <t>Adv4.</t>
    </r>
    <r>
      <rPr>
        <sz val="1"/>
        <color theme="1"/>
        <rFont val="Calibri"/>
        <family val="2"/>
        <scheme val="minor"/>
      </rPr>
      <t>0</t>
    </r>
    <r>
      <rPr>
        <sz val="11"/>
        <color theme="1"/>
        <rFont val="Calibri"/>
        <family val="2"/>
        <scheme val="minor"/>
      </rPr>
      <t>4</t>
    </r>
  </si>
  <si>
    <r>
      <t>Adv1.</t>
    </r>
    <r>
      <rPr>
        <sz val="1"/>
        <color theme="1"/>
        <rFont val="Calibri"/>
        <family val="2"/>
        <scheme val="minor"/>
      </rPr>
      <t>0</t>
    </r>
    <r>
      <rPr>
        <sz val="11"/>
        <color theme="1"/>
        <rFont val="Calibri"/>
        <family val="2"/>
        <scheme val="minor"/>
      </rPr>
      <t>1</t>
    </r>
  </si>
  <si>
    <r>
      <t>Adv1.</t>
    </r>
    <r>
      <rPr>
        <sz val="1"/>
        <color theme="1"/>
        <rFont val="Calibri"/>
        <family val="2"/>
        <scheme val="minor"/>
      </rPr>
      <t>0</t>
    </r>
    <r>
      <rPr>
        <sz val="11"/>
        <color theme="1"/>
        <rFont val="Calibri"/>
        <family val="2"/>
        <scheme val="minor"/>
      </rPr>
      <t>2</t>
    </r>
  </si>
  <si>
    <r>
      <t>Adv1.</t>
    </r>
    <r>
      <rPr>
        <sz val="1"/>
        <color theme="1"/>
        <rFont val="Calibri"/>
        <family val="2"/>
        <scheme val="minor"/>
      </rPr>
      <t>0</t>
    </r>
    <r>
      <rPr>
        <sz val="11"/>
        <color theme="1"/>
        <rFont val="Calibri"/>
        <family val="2"/>
        <scheme val="minor"/>
      </rPr>
      <t>3</t>
    </r>
  </si>
  <si>
    <r>
      <t>Adv1.</t>
    </r>
    <r>
      <rPr>
        <sz val="1"/>
        <color theme="1"/>
        <rFont val="Calibri"/>
        <family val="2"/>
        <scheme val="minor"/>
      </rPr>
      <t>0</t>
    </r>
    <r>
      <rPr>
        <sz val="11"/>
        <color theme="1"/>
        <rFont val="Calibri"/>
        <family val="2"/>
        <scheme val="minor"/>
      </rPr>
      <t>4</t>
    </r>
  </si>
  <si>
    <r>
      <t>Adv1.</t>
    </r>
    <r>
      <rPr>
        <sz val="1"/>
        <color theme="1"/>
        <rFont val="Calibri"/>
        <family val="2"/>
        <scheme val="minor"/>
      </rPr>
      <t>0</t>
    </r>
    <r>
      <rPr>
        <sz val="11"/>
        <color theme="1"/>
        <rFont val="Calibri"/>
        <family val="2"/>
        <scheme val="minor"/>
      </rPr>
      <t>5</t>
    </r>
  </si>
  <si>
    <r>
      <t>Adv1.</t>
    </r>
    <r>
      <rPr>
        <sz val="1"/>
        <color theme="1"/>
        <rFont val="Calibri"/>
        <family val="2"/>
        <scheme val="minor"/>
      </rPr>
      <t>0</t>
    </r>
    <r>
      <rPr>
        <sz val="11"/>
        <color theme="1"/>
        <rFont val="Calibri"/>
        <family val="2"/>
        <scheme val="minor"/>
      </rPr>
      <t>6</t>
    </r>
  </si>
  <si>
    <r>
      <t>Adv1.</t>
    </r>
    <r>
      <rPr>
        <sz val="1"/>
        <color theme="1"/>
        <rFont val="Calibri"/>
        <family val="2"/>
        <scheme val="minor"/>
      </rPr>
      <t>0</t>
    </r>
    <r>
      <rPr>
        <sz val="11"/>
        <color theme="1"/>
        <rFont val="Calibri"/>
        <family val="2"/>
        <scheme val="minor"/>
      </rPr>
      <t>7</t>
    </r>
  </si>
  <si>
    <r>
      <t>Adv1.</t>
    </r>
    <r>
      <rPr>
        <sz val="1"/>
        <color theme="1"/>
        <rFont val="Calibri"/>
        <family val="2"/>
        <scheme val="minor"/>
      </rPr>
      <t>0</t>
    </r>
    <r>
      <rPr>
        <sz val="11"/>
        <color theme="1"/>
        <rFont val="Calibri"/>
        <family val="2"/>
        <scheme val="minor"/>
      </rPr>
      <t>8</t>
    </r>
  </si>
  <si>
    <r>
      <t>Adv1.</t>
    </r>
    <r>
      <rPr>
        <sz val="1"/>
        <color theme="1"/>
        <rFont val="Calibri"/>
        <family val="2"/>
        <scheme val="minor"/>
      </rPr>
      <t>0</t>
    </r>
    <r>
      <rPr>
        <sz val="11"/>
        <color theme="1"/>
        <rFont val="Calibri"/>
        <family val="2"/>
        <scheme val="minor"/>
      </rPr>
      <t>9</t>
    </r>
  </si>
  <si>
    <r>
      <t>Adv3.</t>
    </r>
    <r>
      <rPr>
        <sz val="1"/>
        <color theme="1"/>
        <rFont val="Calibri"/>
        <family val="2"/>
        <scheme val="minor"/>
      </rPr>
      <t>0</t>
    </r>
    <r>
      <rPr>
        <sz val="11"/>
        <color theme="1"/>
        <rFont val="Calibri"/>
        <family val="2"/>
        <scheme val="minor"/>
      </rPr>
      <t>1</t>
    </r>
  </si>
  <si>
    <r>
      <t>Adv3.</t>
    </r>
    <r>
      <rPr>
        <sz val="1"/>
        <color theme="1"/>
        <rFont val="Calibri"/>
        <family val="2"/>
        <scheme val="minor"/>
      </rPr>
      <t>0</t>
    </r>
    <r>
      <rPr>
        <sz val="11"/>
        <color theme="1"/>
        <rFont val="Calibri"/>
        <family val="2"/>
        <scheme val="minor"/>
      </rPr>
      <t>2</t>
    </r>
  </si>
  <si>
    <r>
      <t>Adv3.</t>
    </r>
    <r>
      <rPr>
        <sz val="1"/>
        <color theme="1"/>
        <rFont val="Calibri"/>
        <family val="2"/>
        <scheme val="minor"/>
      </rPr>
      <t>0</t>
    </r>
    <r>
      <rPr>
        <sz val="11"/>
        <color theme="1"/>
        <rFont val="Calibri"/>
        <family val="2"/>
        <scheme val="minor"/>
      </rPr>
      <t>3</t>
    </r>
  </si>
  <si>
    <r>
      <t>Adv3.</t>
    </r>
    <r>
      <rPr>
        <sz val="1"/>
        <color theme="1"/>
        <rFont val="Calibri"/>
        <family val="2"/>
        <scheme val="minor"/>
      </rPr>
      <t>0</t>
    </r>
    <r>
      <rPr>
        <sz val="11"/>
        <color theme="1"/>
        <rFont val="Calibri"/>
        <family val="2"/>
        <scheme val="minor"/>
      </rPr>
      <t>4</t>
    </r>
  </si>
  <si>
    <r>
      <t>Adv3.</t>
    </r>
    <r>
      <rPr>
        <sz val="1"/>
        <color theme="1"/>
        <rFont val="Calibri"/>
        <family val="2"/>
        <scheme val="minor"/>
      </rPr>
      <t>0</t>
    </r>
    <r>
      <rPr>
        <sz val="11"/>
        <color theme="1"/>
        <rFont val="Calibri"/>
        <family val="2"/>
        <scheme val="minor"/>
      </rPr>
      <t>5</t>
    </r>
  </si>
  <si>
    <r>
      <t>Adv3.</t>
    </r>
    <r>
      <rPr>
        <sz val="1"/>
        <color theme="1"/>
        <rFont val="Calibri"/>
        <family val="2"/>
        <scheme val="minor"/>
      </rPr>
      <t>0</t>
    </r>
    <r>
      <rPr>
        <sz val="11"/>
        <color theme="1"/>
        <rFont val="Calibri"/>
        <family val="2"/>
        <scheme val="minor"/>
      </rPr>
      <t>6</t>
    </r>
  </si>
  <si>
    <r>
      <t>Adv3.</t>
    </r>
    <r>
      <rPr>
        <sz val="1"/>
        <color theme="1"/>
        <rFont val="Calibri"/>
        <family val="2"/>
        <scheme val="minor"/>
      </rPr>
      <t>0</t>
    </r>
    <r>
      <rPr>
        <sz val="11"/>
        <color theme="1"/>
        <rFont val="Calibri"/>
        <family val="2"/>
        <scheme val="minor"/>
      </rPr>
      <t>7</t>
    </r>
  </si>
  <si>
    <r>
      <t>Adv3.</t>
    </r>
    <r>
      <rPr>
        <sz val="1"/>
        <color theme="1"/>
        <rFont val="Calibri"/>
        <family val="2"/>
        <scheme val="minor"/>
      </rPr>
      <t>0</t>
    </r>
    <r>
      <rPr>
        <sz val="11"/>
        <color theme="1"/>
        <rFont val="Calibri"/>
        <family val="2"/>
        <scheme val="minor"/>
      </rPr>
      <t>8</t>
    </r>
  </si>
  <si>
    <r>
      <t>Adv3.</t>
    </r>
    <r>
      <rPr>
        <sz val="1"/>
        <color theme="1"/>
        <rFont val="Calibri"/>
        <family val="2"/>
        <scheme val="minor"/>
      </rPr>
      <t>0</t>
    </r>
    <r>
      <rPr>
        <sz val="11"/>
        <color theme="1"/>
        <rFont val="Calibri"/>
        <family val="2"/>
        <scheme val="minor"/>
      </rPr>
      <t>9</t>
    </r>
  </si>
  <si>
    <r>
      <t>AK19.</t>
    </r>
    <r>
      <rPr>
        <sz val="1"/>
        <color theme="1"/>
        <rFont val="Calibri"/>
        <family val="2"/>
        <scheme val="minor"/>
      </rPr>
      <t>0</t>
    </r>
    <r>
      <rPr>
        <sz val="11"/>
        <color theme="1"/>
        <rFont val="Calibri"/>
        <family val="2"/>
        <scheme val="minor"/>
      </rPr>
      <t>1</t>
    </r>
  </si>
  <si>
    <r>
      <t>AK19.</t>
    </r>
    <r>
      <rPr>
        <sz val="1"/>
        <color theme="1"/>
        <rFont val="Calibri"/>
        <family val="2"/>
        <scheme val="minor"/>
      </rPr>
      <t>0</t>
    </r>
    <r>
      <rPr>
        <sz val="11"/>
        <color theme="1"/>
        <rFont val="Calibri"/>
        <family val="2"/>
        <scheme val="minor"/>
      </rPr>
      <t>2</t>
    </r>
  </si>
  <si>
    <r>
      <t>AK19.</t>
    </r>
    <r>
      <rPr>
        <sz val="1"/>
        <color theme="1"/>
        <rFont val="Calibri"/>
        <family val="2"/>
        <scheme val="minor"/>
      </rPr>
      <t>0</t>
    </r>
    <r>
      <rPr>
        <sz val="11"/>
        <color theme="1"/>
        <rFont val="Calibri"/>
        <family val="2"/>
        <scheme val="minor"/>
      </rPr>
      <t>3</t>
    </r>
  </si>
  <si>
    <r>
      <t>AK19.</t>
    </r>
    <r>
      <rPr>
        <sz val="1"/>
        <color theme="1"/>
        <rFont val="Calibri"/>
        <family val="2"/>
        <scheme val="minor"/>
      </rPr>
      <t>0</t>
    </r>
    <r>
      <rPr>
        <sz val="11"/>
        <color theme="1"/>
        <rFont val="Calibri"/>
        <family val="2"/>
        <scheme val="minor"/>
      </rPr>
      <t>4</t>
    </r>
  </si>
  <si>
    <r>
      <t>AK19.</t>
    </r>
    <r>
      <rPr>
        <sz val="1"/>
        <color theme="1"/>
        <rFont val="Calibri"/>
        <family val="2"/>
        <scheme val="minor"/>
      </rPr>
      <t>0</t>
    </r>
    <r>
      <rPr>
        <sz val="11"/>
        <color theme="1"/>
        <rFont val="Calibri"/>
        <family val="2"/>
        <scheme val="minor"/>
      </rPr>
      <t>5</t>
    </r>
  </si>
  <si>
    <r>
      <t>AK19.</t>
    </r>
    <r>
      <rPr>
        <sz val="1"/>
        <color theme="1"/>
        <rFont val="Calibri"/>
        <family val="2"/>
        <scheme val="minor"/>
      </rPr>
      <t>0</t>
    </r>
    <r>
      <rPr>
        <sz val="11"/>
        <color theme="1"/>
        <rFont val="Calibri"/>
        <family val="2"/>
        <scheme val="minor"/>
      </rPr>
      <t>6</t>
    </r>
  </si>
  <si>
    <r>
      <t>AK19.</t>
    </r>
    <r>
      <rPr>
        <sz val="1"/>
        <color theme="1"/>
        <rFont val="Calibri"/>
        <family val="2"/>
        <scheme val="minor"/>
      </rPr>
      <t>0</t>
    </r>
    <r>
      <rPr>
        <sz val="11"/>
        <color theme="1"/>
        <rFont val="Calibri"/>
        <family val="2"/>
        <scheme val="minor"/>
      </rPr>
      <t>7</t>
    </r>
  </si>
  <si>
    <r>
      <t>AK19.</t>
    </r>
    <r>
      <rPr>
        <sz val="1"/>
        <color theme="1"/>
        <rFont val="Calibri"/>
        <family val="2"/>
        <scheme val="minor"/>
      </rPr>
      <t>0</t>
    </r>
    <r>
      <rPr>
        <sz val="11"/>
        <color theme="1"/>
        <rFont val="Calibri"/>
        <family val="2"/>
        <scheme val="minor"/>
      </rPr>
      <t>8</t>
    </r>
  </si>
  <si>
    <r>
      <t>AK19.</t>
    </r>
    <r>
      <rPr>
        <sz val="1"/>
        <color theme="1"/>
        <rFont val="Calibri"/>
        <family val="2"/>
        <scheme val="minor"/>
      </rPr>
      <t>0</t>
    </r>
    <r>
      <rPr>
        <sz val="11"/>
        <color theme="1"/>
        <rFont val="Calibri"/>
        <family val="2"/>
        <scheme val="minor"/>
      </rPr>
      <t>9</t>
    </r>
  </si>
  <si>
    <t>RS4.1</t>
  </si>
  <si>
    <r>
      <t>Adv22.</t>
    </r>
    <r>
      <rPr>
        <sz val="1"/>
        <color theme="1"/>
        <rFont val="Calibri"/>
        <family val="2"/>
        <scheme val="minor"/>
      </rPr>
      <t>0</t>
    </r>
    <r>
      <rPr>
        <sz val="9"/>
        <color theme="1"/>
        <rFont val="Calibri"/>
        <family val="2"/>
        <scheme val="minor"/>
      </rPr>
      <t>1</t>
    </r>
  </si>
  <si>
    <t>KAdv2.10</t>
  </si>
  <si>
    <t>KAdv2.11</t>
  </si>
  <si>
    <t>KAdv2.12</t>
  </si>
  <si>
    <t>KAdv2.13</t>
  </si>
  <si>
    <t>KAdv2.14</t>
  </si>
  <si>
    <t>KAdv2.15</t>
  </si>
  <si>
    <t>KAdv2.16</t>
  </si>
  <si>
    <t>KAdv2.17</t>
  </si>
  <si>
    <t>KAdv2.18</t>
  </si>
  <si>
    <t>KAdv2.19</t>
  </si>
  <si>
    <t>KAdv2.20</t>
  </si>
  <si>
    <t>KAdv2.21</t>
  </si>
  <si>
    <t>KAdv2.22</t>
  </si>
  <si>
    <t>KAdv2.23</t>
  </si>
  <si>
    <t>KAdv2.24</t>
  </si>
  <si>
    <r>
      <t>KAdv6.</t>
    </r>
    <r>
      <rPr>
        <sz val="11"/>
        <color theme="1"/>
        <rFont val="Calibri"/>
        <family val="2"/>
        <scheme val="minor"/>
      </rPr>
      <t>10</t>
    </r>
    <r>
      <rPr>
        <sz val="11"/>
        <color theme="1"/>
        <rFont val="Calibri"/>
        <family val="2"/>
        <scheme val="minor"/>
      </rPr>
      <t/>
    </r>
  </si>
  <si>
    <r>
      <t>KAdv6.</t>
    </r>
    <r>
      <rPr>
        <sz val="11"/>
        <color theme="1"/>
        <rFont val="Calibri"/>
        <family val="2"/>
        <scheme val="minor"/>
      </rPr>
      <t>11</t>
    </r>
    <r>
      <rPr>
        <sz val="11"/>
        <color theme="1"/>
        <rFont val="Calibri"/>
        <family val="2"/>
        <scheme val="minor"/>
      </rPr>
      <t/>
    </r>
  </si>
  <si>
    <r>
      <t>KAdv6.</t>
    </r>
    <r>
      <rPr>
        <sz val="11"/>
        <color theme="1"/>
        <rFont val="Calibri"/>
        <family val="2"/>
        <scheme val="minor"/>
      </rPr>
      <t>12</t>
    </r>
    <r>
      <rPr>
        <sz val="11"/>
        <color theme="1"/>
        <rFont val="Calibri"/>
        <family val="2"/>
        <scheme val="minor"/>
      </rPr>
      <t/>
    </r>
  </si>
  <si>
    <r>
      <t>KAdv6.</t>
    </r>
    <r>
      <rPr>
        <sz val="11"/>
        <color theme="1"/>
        <rFont val="Calibri"/>
        <family val="2"/>
        <scheme val="minor"/>
      </rPr>
      <t>13</t>
    </r>
    <r>
      <rPr>
        <sz val="11"/>
        <color theme="1"/>
        <rFont val="Calibri"/>
        <family val="2"/>
        <scheme val="minor"/>
      </rPr>
      <t/>
    </r>
  </si>
  <si>
    <r>
      <t>KAdv6.</t>
    </r>
    <r>
      <rPr>
        <sz val="11"/>
        <color theme="1"/>
        <rFont val="Calibri"/>
        <family val="2"/>
        <scheme val="minor"/>
      </rPr>
      <t>14</t>
    </r>
    <r>
      <rPr>
        <sz val="11"/>
        <color theme="1"/>
        <rFont val="Calibri"/>
        <family val="2"/>
        <scheme val="minor"/>
      </rPr>
      <t/>
    </r>
  </si>
  <si>
    <r>
      <t>KAdv6.</t>
    </r>
    <r>
      <rPr>
        <sz val="11"/>
        <color theme="1"/>
        <rFont val="Calibri"/>
        <family val="2"/>
        <scheme val="minor"/>
      </rPr>
      <t>15</t>
    </r>
    <r>
      <rPr>
        <sz val="11"/>
        <color theme="1"/>
        <rFont val="Calibri"/>
        <family val="2"/>
        <scheme val="minor"/>
      </rPr>
      <t/>
    </r>
  </si>
  <si>
    <r>
      <t>KAdv6.</t>
    </r>
    <r>
      <rPr>
        <sz val="11"/>
        <color theme="1"/>
        <rFont val="Calibri"/>
        <family val="2"/>
        <scheme val="minor"/>
      </rPr>
      <t>16</t>
    </r>
    <r>
      <rPr>
        <sz val="11"/>
        <color theme="1"/>
        <rFont val="Calibri"/>
        <family val="2"/>
        <scheme val="minor"/>
      </rPr>
      <t/>
    </r>
  </si>
  <si>
    <r>
      <t>KAdv6.</t>
    </r>
    <r>
      <rPr>
        <sz val="11"/>
        <color theme="1"/>
        <rFont val="Calibri"/>
        <family val="2"/>
        <scheme val="minor"/>
      </rPr>
      <t>17</t>
    </r>
    <r>
      <rPr>
        <sz val="11"/>
        <color theme="1"/>
        <rFont val="Calibri"/>
        <family val="2"/>
        <scheme val="minor"/>
      </rPr>
      <t/>
    </r>
  </si>
  <si>
    <r>
      <t>KAdv6.</t>
    </r>
    <r>
      <rPr>
        <sz val="11"/>
        <color theme="1"/>
        <rFont val="Calibri"/>
        <family val="2"/>
        <scheme val="minor"/>
      </rPr>
      <t>18</t>
    </r>
    <r>
      <rPr>
        <sz val="11"/>
        <color theme="1"/>
        <rFont val="Calibri"/>
        <family val="2"/>
        <scheme val="minor"/>
      </rPr>
      <t/>
    </r>
  </si>
  <si>
    <r>
      <t>KAdv6.</t>
    </r>
    <r>
      <rPr>
        <sz val="11"/>
        <color theme="1"/>
        <rFont val="Calibri"/>
        <family val="2"/>
        <scheme val="minor"/>
      </rPr>
      <t>19</t>
    </r>
    <r>
      <rPr>
        <sz val="11"/>
        <color theme="1"/>
        <rFont val="Calibri"/>
        <family val="2"/>
        <scheme val="minor"/>
      </rPr>
      <t/>
    </r>
  </si>
  <si>
    <r>
      <t>KAdv6.</t>
    </r>
    <r>
      <rPr>
        <sz val="11"/>
        <color theme="1"/>
        <rFont val="Calibri"/>
        <family val="2"/>
        <scheme val="minor"/>
      </rPr>
      <t>20</t>
    </r>
    <r>
      <rPr>
        <sz val="11"/>
        <color theme="1"/>
        <rFont val="Calibri"/>
        <family val="2"/>
        <scheme val="minor"/>
      </rPr>
      <t/>
    </r>
  </si>
  <si>
    <r>
      <t>KAdv6.</t>
    </r>
    <r>
      <rPr>
        <sz val="11"/>
        <color theme="1"/>
        <rFont val="Calibri"/>
        <family val="2"/>
        <scheme val="minor"/>
      </rPr>
      <t>21</t>
    </r>
    <r>
      <rPr>
        <sz val="11"/>
        <color theme="1"/>
        <rFont val="Calibri"/>
        <family val="2"/>
        <scheme val="minor"/>
      </rPr>
      <t/>
    </r>
  </si>
  <si>
    <r>
      <t>KAdv6.</t>
    </r>
    <r>
      <rPr>
        <sz val="11"/>
        <color theme="1"/>
        <rFont val="Calibri"/>
        <family val="2"/>
        <scheme val="minor"/>
      </rPr>
      <t>22</t>
    </r>
    <r>
      <rPr>
        <sz val="11"/>
        <color theme="1"/>
        <rFont val="Calibri"/>
        <family val="2"/>
        <scheme val="minor"/>
      </rPr>
      <t/>
    </r>
  </si>
  <si>
    <r>
      <t>KAdv6.</t>
    </r>
    <r>
      <rPr>
        <sz val="11"/>
        <color theme="1"/>
        <rFont val="Calibri"/>
        <family val="2"/>
        <scheme val="minor"/>
      </rPr>
      <t>23</t>
    </r>
    <r>
      <rPr>
        <sz val="11"/>
        <color theme="1"/>
        <rFont val="Calibri"/>
        <family val="2"/>
        <scheme val="minor"/>
      </rPr>
      <t/>
    </r>
  </si>
  <si>
    <r>
      <t>KAdv6.</t>
    </r>
    <r>
      <rPr>
        <sz val="11"/>
        <color theme="1"/>
        <rFont val="Calibri"/>
        <family val="2"/>
        <scheme val="minor"/>
      </rPr>
      <t>24</t>
    </r>
    <r>
      <rPr>
        <sz val="11"/>
        <color theme="1"/>
        <rFont val="Calibri"/>
        <family val="2"/>
        <scheme val="minor"/>
      </rPr>
      <t/>
    </r>
  </si>
  <si>
    <r>
      <t>KAdv2.</t>
    </r>
    <r>
      <rPr>
        <sz val="1"/>
        <color theme="1"/>
        <rFont val="Calibri"/>
        <family val="2"/>
        <scheme val="minor"/>
      </rPr>
      <t>0</t>
    </r>
    <r>
      <rPr>
        <sz val="11"/>
        <color theme="1"/>
        <rFont val="Calibri"/>
        <family val="2"/>
        <scheme val="minor"/>
      </rPr>
      <t>1</t>
    </r>
  </si>
  <si>
    <r>
      <t>KAdv6.</t>
    </r>
    <r>
      <rPr>
        <sz val="1"/>
        <color theme="1"/>
        <rFont val="Calibri"/>
        <family val="2"/>
        <scheme val="minor"/>
      </rPr>
      <t>0</t>
    </r>
    <r>
      <rPr>
        <sz val="11"/>
        <color theme="1"/>
        <rFont val="Calibri"/>
        <family val="2"/>
        <scheme val="minor"/>
      </rPr>
      <t>1</t>
    </r>
  </si>
  <si>
    <r>
      <t>KAdv6.</t>
    </r>
    <r>
      <rPr>
        <sz val="1"/>
        <color theme="1"/>
        <rFont val="Calibri"/>
        <family val="2"/>
        <scheme val="minor"/>
      </rPr>
      <t>0</t>
    </r>
    <r>
      <rPr>
        <sz val="11"/>
        <color theme="1"/>
        <rFont val="Calibri"/>
        <family val="2"/>
        <scheme val="minor"/>
      </rPr>
      <t>2</t>
    </r>
  </si>
  <si>
    <r>
      <t>KAdv6.</t>
    </r>
    <r>
      <rPr>
        <sz val="1"/>
        <color theme="1"/>
        <rFont val="Calibri"/>
        <family val="2"/>
        <scheme val="minor"/>
      </rPr>
      <t>0</t>
    </r>
    <r>
      <rPr>
        <sz val="11"/>
        <color theme="1"/>
        <rFont val="Calibri"/>
        <family val="2"/>
        <scheme val="minor"/>
      </rPr>
      <t>3</t>
    </r>
  </si>
  <si>
    <r>
      <t>KAdv6.</t>
    </r>
    <r>
      <rPr>
        <sz val="1"/>
        <color theme="1"/>
        <rFont val="Calibri"/>
        <family val="2"/>
        <scheme val="minor"/>
      </rPr>
      <t>0</t>
    </r>
    <r>
      <rPr>
        <sz val="11"/>
        <color theme="1"/>
        <rFont val="Calibri"/>
        <family val="2"/>
        <scheme val="minor"/>
      </rPr>
      <t>4</t>
    </r>
  </si>
  <si>
    <r>
      <t>KAdv6.</t>
    </r>
    <r>
      <rPr>
        <sz val="1"/>
        <color theme="1"/>
        <rFont val="Calibri"/>
        <family val="2"/>
        <scheme val="minor"/>
      </rPr>
      <t>0</t>
    </r>
    <r>
      <rPr>
        <sz val="11"/>
        <color theme="1"/>
        <rFont val="Calibri"/>
        <family val="2"/>
        <scheme val="minor"/>
      </rPr>
      <t>5</t>
    </r>
  </si>
  <si>
    <r>
      <t>KAdv6.</t>
    </r>
    <r>
      <rPr>
        <sz val="1"/>
        <color theme="1"/>
        <rFont val="Calibri"/>
        <family val="2"/>
        <scheme val="minor"/>
      </rPr>
      <t>0</t>
    </r>
    <r>
      <rPr>
        <sz val="11"/>
        <color theme="1"/>
        <rFont val="Calibri"/>
        <family val="2"/>
        <scheme val="minor"/>
      </rPr>
      <t>6</t>
    </r>
  </si>
  <si>
    <r>
      <t>KAdv6.</t>
    </r>
    <r>
      <rPr>
        <sz val="1"/>
        <color theme="1"/>
        <rFont val="Calibri"/>
        <family val="2"/>
        <scheme val="minor"/>
      </rPr>
      <t>0</t>
    </r>
    <r>
      <rPr>
        <sz val="11"/>
        <color theme="1"/>
        <rFont val="Calibri"/>
        <family val="2"/>
        <scheme val="minor"/>
      </rPr>
      <t>7</t>
    </r>
  </si>
  <si>
    <r>
      <t>KAdv6.</t>
    </r>
    <r>
      <rPr>
        <sz val="1"/>
        <color theme="1"/>
        <rFont val="Calibri"/>
        <family val="2"/>
        <scheme val="minor"/>
      </rPr>
      <t>0</t>
    </r>
    <r>
      <rPr>
        <sz val="11"/>
        <color theme="1"/>
        <rFont val="Calibri"/>
        <family val="2"/>
        <scheme val="minor"/>
      </rPr>
      <t>8</t>
    </r>
  </si>
  <si>
    <r>
      <t>KAdv6.</t>
    </r>
    <r>
      <rPr>
        <sz val="1"/>
        <color theme="1"/>
        <rFont val="Calibri"/>
        <family val="2"/>
        <scheme val="minor"/>
      </rPr>
      <t>0</t>
    </r>
    <r>
      <rPr>
        <sz val="11"/>
        <color theme="1"/>
        <rFont val="Calibri"/>
        <family val="2"/>
        <scheme val="minor"/>
      </rPr>
      <t>9</t>
    </r>
  </si>
  <si>
    <t>Int20</t>
  </si>
  <si>
    <t>Spezialgelagerter Adventskalender 2022 – Tür 2: Boris Pfeiffer über die drei ??? Kids (Interview XX)</t>
  </si>
  <si>
    <t>Die drei ??? - Eine schreckliche Bescherung: Angriff auf Santa Claus</t>
  </si>
  <si>
    <t>Die drei ??? - Eine schreckliche Bescherung: 36 x Elf</t>
  </si>
  <si>
    <t>Die drei ??? - Eine schreckliche Bescherung: Märchenstunde</t>
  </si>
  <si>
    <t>Die drei ??? - Eine schreckliche Bescherung: Auf frischer Tat</t>
  </si>
  <si>
    <t>Die drei ??? - Eine schreckliche Bescherung: Kurzfinger</t>
  </si>
  <si>
    <t>Die drei ??? - Eine schreckliche Bescherung: Der Alligator</t>
  </si>
  <si>
    <t>Die drei ??? - Eine schreckliche Bescherung: Die magische Laterne</t>
  </si>
  <si>
    <t>Die drei ??? - Eine schreckliche Bescherung: 96930 Arctic Circle</t>
  </si>
  <si>
    <t>Die drei ??? - Eine schreckliche Bescherung: Die Übergabe</t>
  </si>
  <si>
    <t>Die drei ??? - Eine schreckliche Bescherung: Schritte im Dunkeln</t>
  </si>
  <si>
    <t>Die drei ??? - Eine schreckliche Bescherung: Eine schreckliche Überraschung</t>
  </si>
  <si>
    <t>Die drei ??? - Eine schreckliche Bescherung: Die Frau vom Polarkreis</t>
  </si>
  <si>
    <t>Die drei ??? - Eine schreckliche Bescherung: Elf auf der Flucht</t>
  </si>
  <si>
    <t>Die drei ??? - Eine schreckliche Bescherung: Verfolgte Verbrecher</t>
  </si>
  <si>
    <t>Die drei ??? - Eine schreckliche Bescherung: Im Würgegriff der Rentiere</t>
  </si>
  <si>
    <t>Die drei ??? - Eine schreckliche Bescherung: Nächstes Weihnachten</t>
  </si>
  <si>
    <t>Die drei ??? - Eine schreckliche Bescherung: Mitarbeiter des Monats</t>
  </si>
  <si>
    <r>
      <t>Adv22.</t>
    </r>
    <r>
      <rPr>
        <sz val="1"/>
        <color theme="1"/>
        <rFont val="Calibri"/>
        <family val="2"/>
        <scheme val="minor"/>
      </rPr>
      <t>0</t>
    </r>
    <r>
      <rPr>
        <sz val="9"/>
        <color theme="1"/>
        <rFont val="Calibri"/>
        <family val="2"/>
        <scheme val="minor"/>
      </rPr>
      <t>2</t>
    </r>
  </si>
  <si>
    <t>1. Tag im Weihnachtsland (Adventskalender), Welcome back!</t>
  </si>
  <si>
    <t>2. Tag im Weihnachtsland (Adventskalender), Ein Rentier namens "W*****n"</t>
  </si>
  <si>
    <r>
      <t>KAdv2.</t>
    </r>
    <r>
      <rPr>
        <sz val="1"/>
        <color theme="1"/>
        <rFont val="Calibri"/>
        <family val="2"/>
        <scheme val="minor"/>
      </rPr>
      <t>0</t>
    </r>
    <r>
      <rPr>
        <sz val="11"/>
        <color theme="1"/>
        <rFont val="Calibri"/>
        <family val="2"/>
        <scheme val="minor"/>
      </rPr>
      <t>2</t>
    </r>
  </si>
  <si>
    <r>
      <t xml:space="preserve">Spezialgelagerter Adventskalender 2022 – Tür 3: Die Dr3i – Haus der 1000 Rätsel (5) </t>
    </r>
    <r>
      <rPr>
        <sz val="8"/>
        <color theme="1"/>
        <rFont val="Calibri"/>
        <family val="2"/>
        <scheme val="minor"/>
      </rPr>
      <t>[Hannes Geburtstagsfolge 5]</t>
    </r>
  </si>
  <si>
    <r>
      <t>Adv22.</t>
    </r>
    <r>
      <rPr>
        <sz val="1"/>
        <color theme="1"/>
        <rFont val="Calibri"/>
        <family val="2"/>
        <scheme val="minor"/>
      </rPr>
      <t>0</t>
    </r>
    <r>
      <rPr>
        <sz val="9"/>
        <color theme="1"/>
        <rFont val="Calibri"/>
        <family val="2"/>
        <scheme val="minor"/>
      </rPr>
      <t>3</t>
    </r>
  </si>
  <si>
    <t>3. Tag im Weihnachtsland (Adventskalender), Ein Schlitten mit Hybrid-Antrieb</t>
  </si>
  <si>
    <r>
      <t>KAdv2.</t>
    </r>
    <r>
      <rPr>
        <sz val="1"/>
        <color theme="1"/>
        <rFont val="Calibri"/>
        <family val="2"/>
        <scheme val="minor"/>
      </rPr>
      <t>0</t>
    </r>
    <r>
      <rPr>
        <sz val="11"/>
        <color theme="1"/>
        <rFont val="Calibri"/>
        <family val="2"/>
        <scheme val="minor"/>
      </rPr>
      <t>3</t>
    </r>
  </si>
  <si>
    <t>Die drei ??? - Eine schreckliche Bescherung: Sabotage?</t>
  </si>
  <si>
    <t>#23 | #127 Kloppe, Einbruch und Zensur</t>
  </si>
  <si>
    <t>24/152</t>
  </si>
  <si>
    <r>
      <t>Adv22.</t>
    </r>
    <r>
      <rPr>
        <sz val="1"/>
        <color theme="1"/>
        <rFont val="Calibri"/>
        <family val="2"/>
        <scheme val="minor"/>
      </rPr>
      <t>0</t>
    </r>
    <r>
      <rPr>
        <sz val="9"/>
        <color theme="1"/>
        <rFont val="Calibri"/>
        <family val="2"/>
        <scheme val="minor"/>
      </rPr>
      <t>4</t>
    </r>
  </si>
  <si>
    <t>4. Tag im Weihnachtsland (Adventskalender), Phantombilder aus Paint 3D</t>
  </si>
  <si>
    <r>
      <t>KAdv2.</t>
    </r>
    <r>
      <rPr>
        <sz val="1"/>
        <color theme="1"/>
        <rFont val="Calibri"/>
        <family val="2"/>
        <scheme val="minor"/>
      </rPr>
      <t>0</t>
    </r>
    <r>
      <rPr>
        <sz val="11"/>
        <color theme="1"/>
        <rFont val="Calibri"/>
        <family val="2"/>
        <scheme val="minor"/>
      </rPr>
      <t>4</t>
    </r>
  </si>
  <si>
    <t>Spezialgelagerter Adventskalender 2022 – Tür 4: Stahlnetz feat. Fabian von Podcast Edgar Wallace seine Nachbarn!</t>
  </si>
  <si>
    <t>Die drei ??? - Eine schreckliche Bescherung: Ein Sack voll dunkler Geheimnisse</t>
  </si>
  <si>
    <t>BB10</t>
  </si>
  <si>
    <t>BB58</t>
  </si>
  <si>
    <t>BB08</t>
  </si>
  <si>
    <t>Spezialgelagerter Adventskalender 2022 – Tür 5: Benjamin Blümchen auf dem Baum feat. John Allen [Auf dem Baum (8)]</t>
  </si>
  <si>
    <r>
      <t>Adv22.</t>
    </r>
    <r>
      <rPr>
        <sz val="1"/>
        <color theme="1"/>
        <rFont val="Calibri"/>
        <family val="2"/>
        <scheme val="minor"/>
      </rPr>
      <t>0</t>
    </r>
    <r>
      <rPr>
        <sz val="9"/>
        <color theme="1"/>
        <rFont val="Calibri"/>
        <family val="2"/>
        <scheme val="minor"/>
      </rPr>
      <t>5</t>
    </r>
  </si>
  <si>
    <t>5. Tag im Weihnachtsland (Adventskalender), PETER wird AUSGESTOPFT!</t>
  </si>
  <si>
    <r>
      <t>KAdv2.</t>
    </r>
    <r>
      <rPr>
        <sz val="1"/>
        <color theme="1"/>
        <rFont val="Calibri"/>
        <family val="2"/>
        <scheme val="minor"/>
      </rPr>
      <t>0</t>
    </r>
    <r>
      <rPr>
        <sz val="11"/>
        <color theme="1"/>
        <rFont val="Calibri"/>
        <family val="2"/>
        <scheme val="minor"/>
      </rPr>
      <t>5</t>
    </r>
  </si>
  <si>
    <r>
      <t>Adv4.</t>
    </r>
    <r>
      <rPr>
        <sz val="1"/>
        <color theme="1"/>
        <rFont val="Calibri"/>
        <family val="2"/>
        <scheme val="minor"/>
      </rPr>
      <t>0</t>
    </r>
    <r>
      <rPr>
        <sz val="11"/>
        <color theme="1"/>
        <rFont val="Calibri"/>
        <family val="2"/>
        <scheme val="minor"/>
      </rPr>
      <t>5</t>
    </r>
  </si>
  <si>
    <t>Spezialgelagerter Adventskalender 2022 – Tür 6: DSSP – 1W6 Freunde und das Modul der Meister (Seite B)</t>
  </si>
  <si>
    <t>RS4.2</t>
  </si>
  <si>
    <r>
      <t>Adv22.</t>
    </r>
    <r>
      <rPr>
        <sz val="1"/>
        <color theme="1"/>
        <rFont val="Calibri"/>
        <family val="2"/>
        <scheme val="minor"/>
      </rPr>
      <t>0</t>
    </r>
    <r>
      <rPr>
        <sz val="9"/>
        <color theme="1"/>
        <rFont val="Calibri"/>
        <family val="2"/>
        <scheme val="minor"/>
      </rPr>
      <t>6</t>
    </r>
  </si>
  <si>
    <t>Die drei ??? - Eine schreckliche Bescherung: Bruder Justus featuring C. R. Rodenwald</t>
  </si>
  <si>
    <r>
      <t>Adv4.</t>
    </r>
    <r>
      <rPr>
        <sz val="1"/>
        <color theme="1"/>
        <rFont val="Calibri"/>
        <family val="2"/>
        <scheme val="minor"/>
      </rPr>
      <t>0</t>
    </r>
    <r>
      <rPr>
        <sz val="11"/>
        <color theme="1"/>
        <rFont val="Calibri"/>
        <family val="2"/>
        <scheme val="minor"/>
      </rPr>
      <t>6</t>
    </r>
  </si>
  <si>
    <t>6. Tag im Weihnachtsland (Adventskalender), HAPPY NIKOLAUS</t>
  </si>
  <si>
    <r>
      <t>KAdv2.</t>
    </r>
    <r>
      <rPr>
        <sz val="1"/>
        <color theme="1"/>
        <rFont val="Calibri"/>
        <family val="2"/>
        <scheme val="minor"/>
      </rPr>
      <t>0</t>
    </r>
    <r>
      <rPr>
        <sz val="11"/>
        <color theme="1"/>
        <rFont val="Calibri"/>
        <family val="2"/>
        <scheme val="minor"/>
      </rPr>
      <t>6</t>
    </r>
  </si>
  <si>
    <t>Spezialgelagerter Adventskalender 2022 – Tür 7: Graf Duckula</t>
  </si>
  <si>
    <t>Die drei ??? - Eine schreckliche Bescherung: Elf gegen drei featuring C. R. Rodenwald</t>
  </si>
  <si>
    <r>
      <t>Adv4.</t>
    </r>
    <r>
      <rPr>
        <sz val="1"/>
        <color theme="1"/>
        <rFont val="Calibri"/>
        <family val="2"/>
        <scheme val="minor"/>
      </rPr>
      <t>0</t>
    </r>
    <r>
      <rPr>
        <sz val="11"/>
        <color theme="1"/>
        <rFont val="Calibri"/>
        <family val="2"/>
        <scheme val="minor"/>
      </rPr>
      <t>7</t>
    </r>
  </si>
  <si>
    <r>
      <t>Adv22.</t>
    </r>
    <r>
      <rPr>
        <sz val="1"/>
        <color theme="1"/>
        <rFont val="Calibri"/>
        <family val="2"/>
        <scheme val="minor"/>
      </rPr>
      <t>0</t>
    </r>
    <r>
      <rPr>
        <sz val="9"/>
        <color theme="1"/>
        <rFont val="Calibri"/>
        <family val="2"/>
        <scheme val="minor"/>
      </rPr>
      <t>7</t>
    </r>
  </si>
  <si>
    <t>… und der letzte Abschied</t>
  </si>
  <si>
    <t>Spezialgelagerter Adventskalender 2022 – Tür 8: Barbie strikes back!</t>
  </si>
  <si>
    <r>
      <t>Adv22.</t>
    </r>
    <r>
      <rPr>
        <sz val="1"/>
        <color theme="1"/>
        <rFont val="Calibri"/>
        <family val="2"/>
        <scheme val="minor"/>
      </rPr>
      <t>0</t>
    </r>
    <r>
      <rPr>
        <sz val="9"/>
        <color theme="1"/>
        <rFont val="Calibri"/>
        <family val="2"/>
        <scheme val="minor"/>
      </rPr>
      <t>8</t>
    </r>
  </si>
  <si>
    <r>
      <t xml:space="preserve">#Adventskalender - 7. Türchen </t>
    </r>
    <r>
      <rPr>
        <sz val="9"/>
        <color theme="0" tint="-0.499984740745262"/>
        <rFont val="Calibri"/>
        <family val="2"/>
        <scheme val="minor"/>
      </rPr>
      <t xml:space="preserve">[Buchstabe: </t>
    </r>
    <r>
      <rPr>
        <b/>
        <sz val="10"/>
        <color theme="0" tint="-0.499984740745262"/>
        <rFont val="Calibri"/>
        <family val="2"/>
        <scheme val="minor"/>
      </rPr>
      <t>E</t>
    </r>
    <r>
      <rPr>
        <sz val="9"/>
        <color theme="0" tint="-0.499984740745262"/>
        <rFont val="Calibri"/>
        <family val="2"/>
        <scheme val="minor"/>
      </rPr>
      <t>udora Kretchmer]</t>
    </r>
  </si>
  <si>
    <r>
      <t xml:space="preserve">#Adventskalender - 8. Türchen </t>
    </r>
    <r>
      <rPr>
        <sz val="9"/>
        <color theme="0" tint="-0.499984740745262"/>
        <rFont val="Calibri"/>
        <family val="2"/>
        <scheme val="minor"/>
      </rPr>
      <t xml:space="preserve">[Buchstabe: Das </t>
    </r>
    <r>
      <rPr>
        <b/>
        <sz val="10"/>
        <color theme="0" tint="-0.499984740745262"/>
        <rFont val="Calibri"/>
        <family val="2"/>
        <scheme val="minor"/>
      </rPr>
      <t>A</t>
    </r>
    <r>
      <rPr>
        <sz val="9"/>
        <color theme="0" tint="-0.499984740745262"/>
        <rFont val="Calibri"/>
        <family val="2"/>
        <scheme val="minor"/>
      </rPr>
      <t>uge des Drachen]</t>
    </r>
  </si>
  <si>
    <r>
      <t xml:space="preserve">#Adventskalender - 6. Türchen </t>
    </r>
    <r>
      <rPr>
        <sz val="9"/>
        <color theme="0" tint="-0.499984740745262"/>
        <rFont val="Calibri"/>
        <family val="2"/>
        <scheme val="minor"/>
      </rPr>
      <t xml:space="preserve">[Buchstabe: </t>
    </r>
    <r>
      <rPr>
        <b/>
        <sz val="10"/>
        <color theme="0" tint="-0.499984740745262"/>
        <rFont val="Calibri"/>
        <family val="2"/>
        <scheme val="minor"/>
      </rPr>
      <t>B</t>
    </r>
    <r>
      <rPr>
        <sz val="9"/>
        <color theme="0" tint="-0.499984740745262"/>
        <rFont val="Calibri"/>
        <family val="2"/>
        <scheme val="minor"/>
      </rPr>
      <t>rittany]</t>
    </r>
  </si>
  <si>
    <r>
      <t xml:space="preserve">#Adventskalender - 5. Türchen </t>
    </r>
    <r>
      <rPr>
        <sz val="9"/>
        <color theme="0" tint="-0.499984740745262"/>
        <rFont val="Calibri"/>
        <family val="2"/>
        <scheme val="minor"/>
      </rPr>
      <t xml:space="preserve">[Buchstabe: </t>
    </r>
    <r>
      <rPr>
        <b/>
        <sz val="10"/>
        <color theme="0" tint="-0.499984740745262"/>
        <rFont val="Calibri"/>
        <family val="2"/>
        <scheme val="minor"/>
      </rPr>
      <t>Y</t>
    </r>
    <r>
      <rPr>
        <sz val="9"/>
        <color theme="0" tint="-0.499984740745262"/>
        <rFont val="Calibri"/>
        <family val="2"/>
        <scheme val="minor"/>
      </rPr>
      <t>osemite National Park]</t>
    </r>
  </si>
  <si>
    <r>
      <t xml:space="preserve">#Adventskalender - 4. Türchen </t>
    </r>
    <r>
      <rPr>
        <sz val="9"/>
        <color theme="0" tint="-0.499984740745262"/>
        <rFont val="Calibri"/>
        <family val="2"/>
        <scheme val="minor"/>
      </rPr>
      <t xml:space="preserve">[Buchstabe: </t>
    </r>
    <r>
      <rPr>
        <b/>
        <sz val="10"/>
        <color theme="0" tint="-0.499984740745262"/>
        <rFont val="Calibri"/>
        <family val="2"/>
        <scheme val="minor"/>
      </rPr>
      <t>K</t>
    </r>
    <r>
      <rPr>
        <sz val="9"/>
        <color theme="0" tint="-0.499984740745262"/>
        <rFont val="Calibri"/>
        <family val="2"/>
        <scheme val="minor"/>
      </rPr>
      <t>ari Erlhoff]</t>
    </r>
  </si>
  <si>
    <r>
      <t xml:space="preserve">#Adventskalender - 3. Türchen </t>
    </r>
    <r>
      <rPr>
        <sz val="9"/>
        <color theme="0" tint="-0.499984740745262"/>
        <rFont val="Calibri"/>
        <family val="2"/>
        <scheme val="minor"/>
      </rPr>
      <t xml:space="preserve">[Buchstabe: Jelena </t>
    </r>
    <r>
      <rPr>
        <b/>
        <sz val="10"/>
        <color theme="0" tint="-0.499984740745262"/>
        <rFont val="Calibri"/>
        <family val="2"/>
        <scheme val="minor"/>
      </rPr>
      <t>C</t>
    </r>
    <r>
      <rPr>
        <sz val="9"/>
        <color theme="0" tint="-0.499984740745262"/>
        <rFont val="Calibri"/>
        <family val="2"/>
        <scheme val="minor"/>
      </rPr>
      <t>harkova]</t>
    </r>
  </si>
  <si>
    <r>
      <t xml:space="preserve">#Adventskalender - 2. Türchen </t>
    </r>
    <r>
      <rPr>
        <sz val="9"/>
        <color theme="0" tint="-0.499984740745262"/>
        <rFont val="Calibri"/>
        <family val="2"/>
        <scheme val="minor"/>
      </rPr>
      <t xml:space="preserve">[Buchstabe: </t>
    </r>
    <r>
      <rPr>
        <b/>
        <sz val="10"/>
        <color theme="0" tint="-0.499984740745262"/>
        <rFont val="Calibri"/>
        <family val="2"/>
        <scheme val="minor"/>
      </rPr>
      <t>O</t>
    </r>
    <r>
      <rPr>
        <sz val="9"/>
        <color theme="0" tint="-0.499984740745262"/>
        <rFont val="Calibri"/>
        <family val="2"/>
        <scheme val="minor"/>
      </rPr>
      <t>nkel Titus]</t>
    </r>
  </si>
  <si>
    <r>
      <t xml:space="preserve">#Adventskalender - 1. Türchen </t>
    </r>
    <r>
      <rPr>
        <sz val="9"/>
        <color theme="0" tint="-0.499984740745262"/>
        <rFont val="Calibri"/>
        <family val="2"/>
        <scheme val="minor"/>
      </rPr>
      <t xml:space="preserve">[Buchstabe: </t>
    </r>
    <r>
      <rPr>
        <b/>
        <sz val="10"/>
        <color theme="0" tint="-0.499984740745262"/>
        <rFont val="Calibri"/>
        <family val="2"/>
        <scheme val="minor"/>
      </rPr>
      <t>R</t>
    </r>
    <r>
      <rPr>
        <sz val="9"/>
        <color theme="0" tint="-0.499984740745262"/>
        <rFont val="Calibri"/>
        <family val="2"/>
        <scheme val="minor"/>
      </rPr>
      <t>anger]</t>
    </r>
  </si>
  <si>
    <r>
      <t>Adv4.</t>
    </r>
    <r>
      <rPr>
        <sz val="1"/>
        <color theme="1"/>
        <rFont val="Calibri"/>
        <family val="2"/>
        <scheme val="minor"/>
      </rPr>
      <t>0</t>
    </r>
    <r>
      <rPr>
        <sz val="11"/>
        <color theme="1"/>
        <rFont val="Calibri"/>
        <family val="2"/>
        <scheme val="minor"/>
      </rPr>
      <t>8</t>
    </r>
  </si>
  <si>
    <t>7. Tag im Weihnachtsland (Adventskalender), Er zerbricht sich den Kopf…</t>
  </si>
  <si>
    <r>
      <t>KAdv2.</t>
    </r>
    <r>
      <rPr>
        <sz val="1"/>
        <color theme="1"/>
        <rFont val="Calibri"/>
        <family val="2"/>
        <scheme val="minor"/>
      </rPr>
      <t>0</t>
    </r>
    <r>
      <rPr>
        <sz val="11"/>
        <color theme="1"/>
        <rFont val="Calibri"/>
        <family val="2"/>
        <scheme val="minor"/>
      </rPr>
      <t>7</t>
    </r>
  </si>
  <si>
    <t>Folgenanalyse zu 'Die drei ??? – und der letzte Song (183)'</t>
  </si>
  <si>
    <t>8. Tag im Weihnachtsland (Adventskalender), 0.99€ Aldi Tetrapack Wein</t>
  </si>
  <si>
    <r>
      <t>KAdv2.</t>
    </r>
    <r>
      <rPr>
        <sz val="1"/>
        <color theme="1"/>
        <rFont val="Calibri"/>
        <family val="2"/>
        <scheme val="minor"/>
      </rPr>
      <t>0</t>
    </r>
    <r>
      <rPr>
        <sz val="11"/>
        <color theme="1"/>
        <rFont val="Calibri"/>
        <family val="2"/>
        <scheme val="minor"/>
      </rPr>
      <t>8</t>
    </r>
  </si>
  <si>
    <t>#39 - Die drei ??? - Die schweigende Grotte</t>
  </si>
  <si>
    <r>
      <t>Adv22.</t>
    </r>
    <r>
      <rPr>
        <sz val="1"/>
        <color theme="1"/>
        <rFont val="Calibri"/>
        <family val="2"/>
        <scheme val="minor"/>
      </rPr>
      <t>0</t>
    </r>
    <r>
      <rPr>
        <sz val="9"/>
        <color theme="1"/>
        <rFont val="Calibri"/>
        <family val="2"/>
        <scheme val="minor"/>
      </rPr>
      <t>9</t>
    </r>
  </si>
  <si>
    <t>Die drei ??? - Eine schreckliche Bescherung: Ein Köder mit Schleifchen</t>
  </si>
  <si>
    <r>
      <t>Adv4.</t>
    </r>
    <r>
      <rPr>
        <sz val="1"/>
        <color theme="1"/>
        <rFont val="Calibri"/>
        <family val="2"/>
        <scheme val="minor"/>
      </rPr>
      <t>0</t>
    </r>
    <r>
      <rPr>
        <sz val="11"/>
        <color theme="1"/>
        <rFont val="Calibri"/>
        <family val="2"/>
        <scheme val="minor"/>
      </rPr>
      <t>9</t>
    </r>
  </si>
  <si>
    <t>Spezialgelagerter Adventskalender 2022 – Tür 9: Die Point-and-Click-Adventures der drei Fragezeichen</t>
  </si>
  <si>
    <r>
      <t xml:space="preserve">SSP #117: Die drei ??? – Im Auge des Sturms (197 – Tür 10) </t>
    </r>
    <r>
      <rPr>
        <sz val="8"/>
        <color theme="1"/>
        <rFont val="Calibri"/>
        <family val="2"/>
        <scheme val="minor"/>
      </rPr>
      <t>[Toms Geburtstagsfolge 6]</t>
    </r>
  </si>
  <si>
    <r>
      <t xml:space="preserve">#Adventskalender - 10. Türchen </t>
    </r>
    <r>
      <rPr>
        <sz val="9"/>
        <color theme="0" tint="-0.499984740745262"/>
        <rFont val="Calibri"/>
        <family val="2"/>
        <scheme val="minor"/>
      </rPr>
      <t xml:space="preserve">[Buchstabe: </t>
    </r>
    <r>
      <rPr>
        <b/>
        <sz val="10"/>
        <color theme="0" tint="-0.499984740745262"/>
        <rFont val="Calibri"/>
        <family val="2"/>
        <scheme val="minor"/>
      </rPr>
      <t>H</t>
    </r>
    <r>
      <rPr>
        <sz val="9"/>
        <color theme="0" tint="-0.499984740745262"/>
        <rFont val="Calibri"/>
        <family val="2"/>
        <scheme val="minor"/>
      </rPr>
      <t>annibal]</t>
    </r>
  </si>
  <si>
    <r>
      <t>KAdv2.</t>
    </r>
    <r>
      <rPr>
        <sz val="1"/>
        <color theme="1"/>
        <rFont val="Calibri"/>
        <family val="2"/>
        <scheme val="minor"/>
      </rPr>
      <t>0</t>
    </r>
    <r>
      <rPr>
        <sz val="11"/>
        <color theme="1"/>
        <rFont val="Calibri"/>
        <family val="2"/>
        <scheme val="minor"/>
      </rPr>
      <t>9</t>
    </r>
  </si>
  <si>
    <t>9. Tag im Weihnachtsland (Adventskalender), 9,4 Mio Euro auf dem Konto</t>
  </si>
  <si>
    <t>Spezialgelagerter Adventskalender 2022 – Tür 11: Der kleine Vampir</t>
  </si>
  <si>
    <t>10. Tag im Weihnachtsland (Adventskalender), Jonathan mag Fruchtzwerge</t>
  </si>
  <si>
    <r>
      <t xml:space="preserve">#Adventskalender - 11. Türchen </t>
    </r>
    <r>
      <rPr>
        <sz val="9"/>
        <color theme="0" tint="-0.499984740745262"/>
        <rFont val="Calibri"/>
        <family val="2"/>
        <scheme val="minor"/>
      </rPr>
      <t xml:space="preserve">[Buchstabe: William M. </t>
    </r>
    <r>
      <rPr>
        <b/>
        <sz val="10"/>
        <color theme="0" tint="-0.499984740745262"/>
        <rFont val="Calibri"/>
        <family val="2"/>
        <scheme val="minor"/>
      </rPr>
      <t>G</t>
    </r>
    <r>
      <rPr>
        <sz val="9"/>
        <color theme="0" tint="-0.499984740745262"/>
        <rFont val="Calibri"/>
        <family val="2"/>
        <scheme val="minor"/>
      </rPr>
      <t>rey]</t>
    </r>
  </si>
  <si>
    <t>SF #5 - Kaffeefahrt und Anekdoten</t>
  </si>
  <si>
    <t># 65 - ...und der ganz schön lahme Plottwist // Fels der Dämonen (133)</t>
  </si>
  <si>
    <t>SF8</t>
  </si>
  <si>
    <t>SF9</t>
  </si>
  <si>
    <t>11. Tag im Weihnachtsland (Adventskalender), Garantiert ohne Werbeunterbrechungen!</t>
  </si>
  <si>
    <r>
      <t xml:space="preserve">13 - Die drei Fanatiker und der Mord in der Disco </t>
    </r>
    <r>
      <rPr>
        <sz val="8"/>
        <color theme="0" tint="-0.499984740745262"/>
        <rFont val="Calibri"/>
        <family val="2"/>
        <scheme val="minor"/>
      </rPr>
      <t>[Der Mann ohne Kopf (106)]</t>
    </r>
  </si>
  <si>
    <r>
      <t xml:space="preserve">Die drei Fanatiker: Die Vorstellung (1) </t>
    </r>
    <r>
      <rPr>
        <sz val="8"/>
        <color theme="0" tint="-0.499984740745262"/>
        <rFont val="Calibri"/>
        <family val="2"/>
        <scheme val="minor"/>
      </rPr>
      <t>[3. Aufnahme]</t>
    </r>
  </si>
  <si>
    <r>
      <t xml:space="preserve">Die drei Fanatiker und der Super-Papagei (2) </t>
    </r>
    <r>
      <rPr>
        <sz val="8"/>
        <color theme="0" tint="-0.499984740745262"/>
        <rFont val="Calibri"/>
        <family val="2"/>
        <scheme val="minor"/>
      </rPr>
      <t>[2. Aufnahme]</t>
    </r>
  </si>
  <si>
    <r>
      <t xml:space="preserve">Die drei Fanatiker und die flüsternde Mumie (3) </t>
    </r>
    <r>
      <rPr>
        <sz val="8"/>
        <color theme="0" tint="-0.499984740745262"/>
        <rFont val="Calibri"/>
        <family val="2"/>
        <scheme val="minor"/>
      </rPr>
      <t>[1. Aufnahme]</t>
    </r>
  </si>
  <si>
    <t>Spezialgelagerter Adventskalender 2022 – Tür 12: DSSP – 1W6 Freunde und das Modul der Meister (Seite C)</t>
  </si>
  <si>
    <t>RS4.3</t>
  </si>
  <si>
    <r>
      <t xml:space="preserve">#Adventskalender - 12. Türchen </t>
    </r>
    <r>
      <rPr>
        <sz val="9"/>
        <color theme="0" tint="-0.499984740745262"/>
        <rFont val="Calibri"/>
        <family val="2"/>
        <scheme val="minor"/>
      </rPr>
      <t xml:space="preserve">[Buchstabe: </t>
    </r>
    <r>
      <rPr>
        <b/>
        <sz val="10"/>
        <color theme="0" tint="-0.499984740745262"/>
        <rFont val="Calibri"/>
        <family val="2"/>
        <scheme val="minor"/>
      </rPr>
      <t>A</t>
    </r>
    <r>
      <rPr>
        <sz val="9"/>
        <color theme="0" tint="-0.499984740745262"/>
        <rFont val="Calibri"/>
        <family val="2"/>
        <scheme val="minor"/>
      </rPr>
      <t>ndreas von der Meden]</t>
    </r>
  </si>
  <si>
    <r>
      <t xml:space="preserve">#Adventskalender - 13. Türchen </t>
    </r>
    <r>
      <rPr>
        <sz val="9"/>
        <color theme="0" tint="-0.499984740745262"/>
        <rFont val="Calibri"/>
        <family val="2"/>
        <scheme val="minor"/>
      </rPr>
      <t xml:space="preserve">[Buchstabe: </t>
    </r>
    <r>
      <rPr>
        <b/>
        <sz val="10"/>
        <color theme="0" tint="-0.499984740745262"/>
        <rFont val="Calibri"/>
        <family val="2"/>
        <scheme val="minor"/>
      </rPr>
      <t>N</t>
    </r>
    <r>
      <rPr>
        <sz val="9"/>
        <color theme="0" tint="-0.499984740745262"/>
        <rFont val="Calibri"/>
        <family val="2"/>
        <scheme val="minor"/>
      </rPr>
      <t>acht in Angst]</t>
    </r>
  </si>
  <si>
    <r>
      <t xml:space="preserve">#Adventskalender - 14. Türchen </t>
    </r>
    <r>
      <rPr>
        <sz val="9"/>
        <color theme="0" tint="-0.499984740745262"/>
        <rFont val="Calibri"/>
        <family val="2"/>
        <scheme val="minor"/>
      </rPr>
      <t xml:space="preserve">[Buchstabe: </t>
    </r>
    <r>
      <rPr>
        <b/>
        <sz val="10"/>
        <color theme="0" tint="-0.499984740745262"/>
        <rFont val="Calibri"/>
        <family val="2"/>
        <scheme val="minor"/>
      </rPr>
      <t>Z</t>
    </r>
    <r>
      <rPr>
        <sz val="9"/>
        <color theme="0" tint="-0.499984740745262"/>
        <rFont val="Calibri"/>
        <family val="2"/>
        <scheme val="minor"/>
      </rPr>
      <t>entrale]</t>
    </r>
  </si>
  <si>
    <t>KAdv6.01</t>
  </si>
  <si>
    <t>KAdv6.02</t>
  </si>
  <si>
    <t>Adv1.01</t>
  </si>
  <si>
    <t>Adv1.02</t>
  </si>
  <si>
    <t>Adv1.03</t>
  </si>
  <si>
    <t>KAdv6.03</t>
  </si>
  <si>
    <t>Adv1.04</t>
  </si>
  <si>
    <t>KAdv6.04</t>
  </si>
  <si>
    <t>Adv1.05</t>
  </si>
  <si>
    <t>KAdv6.05</t>
  </si>
  <si>
    <t>Adv1.06</t>
  </si>
  <si>
    <t>KAdv6.06</t>
  </si>
  <si>
    <t>Adv1.07</t>
  </si>
  <si>
    <t>KAdv6.07</t>
  </si>
  <si>
    <t>Adv1.08</t>
  </si>
  <si>
    <t>KAdv6.08</t>
  </si>
  <si>
    <t>Adv1.09</t>
  </si>
  <si>
    <t>KAdv6.09</t>
  </si>
  <si>
    <t>KAdv6.10</t>
  </si>
  <si>
    <t>KAdv6.11</t>
  </si>
  <si>
    <t>KAdv6.12</t>
  </si>
  <si>
    <t>KAdv6.13</t>
  </si>
  <si>
    <t>KAdv6.14</t>
  </si>
  <si>
    <t>KAdv6.15</t>
  </si>
  <si>
    <t>KAdv6.16</t>
  </si>
  <si>
    <t>KAdv6.17</t>
  </si>
  <si>
    <t>KAdv6.18</t>
  </si>
  <si>
    <t>KAdv6.19</t>
  </si>
  <si>
    <t>KAdv6.20</t>
  </si>
  <si>
    <t>KAdv6.21</t>
  </si>
  <si>
    <t>KAdv6.22</t>
  </si>
  <si>
    <t>KAdv6.23</t>
  </si>
  <si>
    <t>KAdv6.24</t>
  </si>
  <si>
    <t>Die drei ??? - Eine schreckliche Bescherung: Eine schräge Nachtmusik featuring Leonie</t>
  </si>
  <si>
    <t>Spezialgelagerter Adventskalender 2022 – Tür 13: Hurricane – Stadt der Lügen (mit Raimon Weber und Andreas Hötter)</t>
  </si>
  <si>
    <t>Spezialgelagerter Adventskalender 2022 – Tür 14: Papers, please und Return of the Obra Dinn (feat. Somni)</t>
  </si>
  <si>
    <t>12. Tag im Weihnachtsland (Adventskalender), Trockenrodler = Bollerwagen</t>
  </si>
  <si>
    <t>13. Tag im Weihnachtsland (Adventskalender), Podcast-Aufnahme auf Crack</t>
  </si>
  <si>
    <r>
      <t xml:space="preserve">#Adventskalender - 15. Türchen </t>
    </r>
    <r>
      <rPr>
        <sz val="9"/>
        <color theme="0" tint="-0.499984740745262"/>
        <rFont val="Calibri"/>
        <family val="2"/>
        <scheme val="minor"/>
      </rPr>
      <t xml:space="preserve">[Buchstabe: </t>
    </r>
    <r>
      <rPr>
        <b/>
        <sz val="10"/>
        <color theme="0" tint="-0.499984740745262"/>
        <rFont val="Calibri"/>
        <family val="2"/>
        <scheme val="minor"/>
      </rPr>
      <t>V</t>
    </r>
    <r>
      <rPr>
        <sz val="9"/>
        <color theme="0" tint="-0.499984740745262"/>
        <rFont val="Calibri"/>
        <family val="2"/>
        <scheme val="minor"/>
      </rPr>
      <t>ictor Hugenay]</t>
    </r>
  </si>
  <si>
    <t>Unt3</t>
  </si>
  <si>
    <t>Spezialgelagerter Adventskalender 2022 – Tür 15: Die drei ??? und das Duell der Magier (Untold 3)</t>
  </si>
  <si>
    <t>Spezialgelagerter Adventskalender 2022 – Tür 16: TKKG Lösegeld für einen Irrtum (107)</t>
  </si>
  <si>
    <t>TKKG107</t>
  </si>
  <si>
    <t>15. Tag im Weihnachtsland (Adventskalender), Zieht die Spendierhosen an, es geht los!</t>
  </si>
  <si>
    <t>16. Tag im Weihnachtsland (Adventskalender), VENDETTA für Giovanni</t>
  </si>
  <si>
    <t>14. Tag im Weihnachtsland (Adventskalender), Nazis in Norris´ Bar</t>
  </si>
  <si>
    <r>
      <t xml:space="preserve">#Adventskalender - 17. Türchen </t>
    </r>
    <r>
      <rPr>
        <sz val="9"/>
        <color theme="0" tint="-0.499984740745262"/>
        <rFont val="Calibri"/>
        <family val="2"/>
        <scheme val="minor"/>
      </rPr>
      <t xml:space="preserve">[Buchstabe: </t>
    </r>
    <r>
      <rPr>
        <b/>
        <sz val="10"/>
        <color theme="0" tint="-0.499984740745262"/>
        <rFont val="Calibri"/>
        <family val="2"/>
        <scheme val="minor"/>
      </rPr>
      <t>R</t>
    </r>
    <r>
      <rPr>
        <sz val="9"/>
        <color theme="0" tint="-0.499984740745262"/>
        <rFont val="Calibri"/>
        <family val="2"/>
        <scheme val="minor"/>
      </rPr>
      <t>olls-Royce]</t>
    </r>
  </si>
  <si>
    <t>Int21</t>
  </si>
  <si>
    <t>Spezialgelagerter Adventskalender 2022 – Tür 17: Cally Stronk und Christian Friedrich über die drei ??? Ein Auftrag. Ein Rätsel. Deine Mission. (Interview XXI)</t>
  </si>
  <si>
    <r>
      <t xml:space="preserve">#Adventskalender - 19. Türchen </t>
    </r>
    <r>
      <rPr>
        <sz val="9"/>
        <color theme="0" tint="-0.499984740745262"/>
        <rFont val="Calibri"/>
        <family val="2"/>
        <scheme val="minor"/>
      </rPr>
      <t xml:space="preserve">[Buchstabe: </t>
    </r>
    <r>
      <rPr>
        <b/>
        <sz val="10"/>
        <color theme="0" tint="-0.499984740745262"/>
        <rFont val="Calibri"/>
        <family val="2"/>
        <scheme val="minor"/>
      </rPr>
      <t>B</t>
    </r>
    <r>
      <rPr>
        <sz val="9"/>
        <color theme="0" tint="-0.499984740745262"/>
        <rFont val="Calibri"/>
        <family val="2"/>
        <scheme val="minor"/>
      </rPr>
      <t>lackbeard]</t>
    </r>
  </si>
  <si>
    <r>
      <t xml:space="preserve">#Adventskalender - 18. Türchen </t>
    </r>
    <r>
      <rPr>
        <sz val="9"/>
        <color theme="0" tint="-0.499984740745262"/>
        <rFont val="Calibri"/>
        <family val="2"/>
        <scheme val="minor"/>
      </rPr>
      <t xml:space="preserve">[Buchstabe: Skinner </t>
    </r>
    <r>
      <rPr>
        <b/>
        <sz val="10"/>
        <color theme="0" tint="-0.499984740745262"/>
        <rFont val="Calibri"/>
        <family val="2"/>
        <scheme val="minor"/>
      </rPr>
      <t>N</t>
    </r>
    <r>
      <rPr>
        <sz val="9"/>
        <color theme="0" tint="-0.499984740745262"/>
        <rFont val="Calibri"/>
        <family val="2"/>
        <scheme val="minor"/>
      </rPr>
      <t>orris]</t>
    </r>
  </si>
  <si>
    <r>
      <t xml:space="preserve">#Adventskalender - 16. Türchen </t>
    </r>
    <r>
      <rPr>
        <sz val="9"/>
        <color theme="0" tint="-0.499984740745262"/>
        <rFont val="Calibri"/>
        <family val="2"/>
        <scheme val="minor"/>
      </rPr>
      <t xml:space="preserve">[Buchstabe: Gaius </t>
    </r>
    <r>
      <rPr>
        <b/>
        <sz val="10"/>
        <color theme="0" tint="-0.499984740745262"/>
        <rFont val="Calibri"/>
        <family val="2"/>
        <scheme val="minor"/>
      </rPr>
      <t>O</t>
    </r>
    <r>
      <rPr>
        <sz val="9"/>
        <color theme="0" tint="-0.499984740745262"/>
        <rFont val="Calibri"/>
        <family val="2"/>
        <scheme val="minor"/>
      </rPr>
      <t>ctavius Augustus]</t>
    </r>
  </si>
  <si>
    <r>
      <t xml:space="preserve">#Adventskalender - 9. Türchen </t>
    </r>
    <r>
      <rPr>
        <sz val="9"/>
        <color theme="0" tint="-0.499984740745262"/>
        <rFont val="Calibri"/>
        <family val="2"/>
        <scheme val="minor"/>
      </rPr>
      <t xml:space="preserve">[Buchstabe: Inspektor </t>
    </r>
    <r>
      <rPr>
        <b/>
        <sz val="10"/>
        <color theme="0" tint="-0.499984740745262"/>
        <rFont val="Calibri"/>
        <family val="2"/>
        <scheme val="minor"/>
      </rPr>
      <t>C</t>
    </r>
    <r>
      <rPr>
        <sz val="9"/>
        <color theme="0" tint="-0.499984740745262"/>
        <rFont val="Calibri"/>
        <family val="2"/>
        <scheme val="minor"/>
      </rPr>
      <t>otta]</t>
    </r>
  </si>
  <si>
    <r>
      <t xml:space="preserve">15 - Ein kleiner teaser für Folge 15! </t>
    </r>
    <r>
      <rPr>
        <sz val="8"/>
        <color theme="0" tint="-0.499984740745262"/>
        <rFont val="Calibri"/>
        <family val="2"/>
        <scheme val="minor"/>
      </rPr>
      <t>[Ausschnitt TKKG Theme Song]</t>
    </r>
  </si>
  <si>
    <t>Podcast: Die drei ??? Fan-Special (10) – Jan-Friedrich Conrad</t>
  </si>
  <si>
    <t>SF #7 - Kaffeefahrt und Harry Potter</t>
  </si>
  <si>
    <t>SF10</t>
  </si>
  <si>
    <t>Spezialgelagerter Adventskalender 2022 – Tür 18: Hui Buh – Das Schlossgespenst</t>
  </si>
  <si>
    <t>Spezialgelagerter Adventskalender 2022 – Tür 19: Fiebertraum von Johannes Maria Stangl (gelesen von Philip Bösand)</t>
  </si>
  <si>
    <t>17. Tag im Weihnachtsland (Adventskalender), 10 Millionen Scouville Pizza</t>
  </si>
  <si>
    <t>18. Tag im Weihnachtsland (Adventskalender), Life begins at the end of the Aufnahmesession</t>
  </si>
  <si>
    <t>19. Tag im Weihnachtsland (Adventskalender), Jonas ist ein Phantom</t>
  </si>
  <si>
    <r>
      <t xml:space="preserve">#Adventskalender - 20. Türchen </t>
    </r>
    <r>
      <rPr>
        <sz val="9"/>
        <color theme="0" tint="-0.499984740745262"/>
        <rFont val="Calibri"/>
        <family val="2"/>
        <scheme val="minor"/>
      </rPr>
      <t xml:space="preserve">[Buchstabe: </t>
    </r>
    <r>
      <rPr>
        <b/>
        <sz val="10"/>
        <color theme="0" tint="-0.499984740745262"/>
        <rFont val="Calibri"/>
        <family val="2"/>
        <scheme val="minor"/>
      </rPr>
      <t>A</t>
    </r>
    <r>
      <rPr>
        <sz val="9"/>
        <color theme="0" tint="-0.499984740745262"/>
        <rFont val="Calibri"/>
        <family val="2"/>
        <scheme val="minor"/>
      </rPr>
      <t>manda Black]</t>
    </r>
  </si>
  <si>
    <t>Spezialgelagerter Adventskalender 2022 – Tür 20: Elea Eluanda</t>
  </si>
  <si>
    <t>Spezi4</t>
  </si>
  <si>
    <t>Spezialgelagerter Adventskalender 2022 – Tür 21: Der Spezitest 4.0 und Spiele für Zwei</t>
  </si>
  <si>
    <r>
      <t xml:space="preserve">#Adventskalender - 21. Türchen </t>
    </r>
    <r>
      <rPr>
        <sz val="9"/>
        <color theme="0" tint="-0.499984740745262"/>
        <rFont val="Calibri"/>
        <family val="2"/>
        <scheme val="minor"/>
      </rPr>
      <t xml:space="preserve">[Buchstabe: </t>
    </r>
    <r>
      <rPr>
        <b/>
        <sz val="10"/>
        <color theme="0" tint="-0.499984740745262"/>
        <rFont val="Calibri"/>
        <family val="2"/>
        <scheme val="minor"/>
      </rPr>
      <t>R</t>
    </r>
    <r>
      <rPr>
        <sz val="9"/>
        <color theme="0" tint="-0.499984740745262"/>
        <rFont val="Calibri"/>
        <family val="2"/>
        <scheme val="minor"/>
      </rPr>
      <t>otbauchfliegenschnäpper]</t>
    </r>
  </si>
  <si>
    <t>SSP #118: Die drei ??? – Eine schreckliche Bescherung (Xmas 4 – Tür 24)</t>
  </si>
  <si>
    <t>SSP #118.5: Der spezialgelagerte Jahresrückblick (2022)</t>
  </si>
  <si>
    <t>Spezialgelagerter Adventskalender 2022 – Tür 22: Fable</t>
  </si>
  <si>
    <r>
      <t xml:space="preserve">#Adventskalender - 22. Türchen </t>
    </r>
    <r>
      <rPr>
        <sz val="9"/>
        <color theme="0" tint="-0.499984740745262"/>
        <rFont val="Calibri"/>
        <family val="2"/>
        <scheme val="minor"/>
      </rPr>
      <t xml:space="preserve">[Buchstabe: </t>
    </r>
    <r>
      <rPr>
        <b/>
        <sz val="10"/>
        <color theme="0" tint="-0.499984740745262"/>
        <rFont val="Calibri"/>
        <family val="2"/>
        <scheme val="minor"/>
      </rPr>
      <t>N</t>
    </r>
    <r>
      <rPr>
        <sz val="9"/>
        <color theme="0" tint="-0.499984740745262"/>
        <rFont val="Calibri"/>
        <family val="2"/>
        <scheme val="minor"/>
      </rPr>
      <t>orton Rome]</t>
    </r>
  </si>
  <si>
    <r>
      <t xml:space="preserve">#Adventskalender - 23. Türchen </t>
    </r>
    <r>
      <rPr>
        <sz val="9"/>
        <color theme="0" tint="-0.499984740745262"/>
        <rFont val="Calibri"/>
        <family val="2"/>
        <scheme val="minor"/>
      </rPr>
      <t xml:space="preserve">[Buchstabe: </t>
    </r>
    <r>
      <rPr>
        <b/>
        <sz val="10"/>
        <color theme="0" tint="-0.499984740745262"/>
        <rFont val="Calibri"/>
        <family val="2"/>
        <scheme val="minor"/>
      </rPr>
      <t>E</t>
    </r>
    <r>
      <rPr>
        <sz val="9"/>
        <color theme="0" tint="-0.499984740745262"/>
        <rFont val="Calibri"/>
        <family val="2"/>
        <scheme val="minor"/>
      </rPr>
      <t>lizabeth Zapata]</t>
    </r>
  </si>
  <si>
    <r>
      <t xml:space="preserve">#Adventskalender - 24. Türchen </t>
    </r>
    <r>
      <rPr>
        <sz val="9"/>
        <color theme="0" tint="-0.499984740745262"/>
        <rFont val="Calibri"/>
        <family val="2"/>
        <scheme val="minor"/>
      </rPr>
      <t xml:space="preserve">[Buchstabe: </t>
    </r>
    <r>
      <rPr>
        <b/>
        <sz val="10"/>
        <color theme="0" tint="-0.499984740745262"/>
        <rFont val="Calibri"/>
        <family val="2"/>
        <scheme val="minor"/>
      </rPr>
      <t>Y</t>
    </r>
    <r>
      <rPr>
        <sz val="9"/>
        <color theme="0" tint="-0.499984740745262"/>
        <rFont val="Calibri"/>
        <family val="2"/>
        <scheme val="minor"/>
      </rPr>
      <t>axché]</t>
    </r>
  </si>
  <si>
    <t>#40 - Die drei ??? - Eine schreckliche Bescherung</t>
  </si>
  <si>
    <t>20. Tag im Weihnachtsland (Adventskalender), Die Festung fällt</t>
  </si>
  <si>
    <t>21. Tag im Weihnachtsland (Adventskalender), Tesla Model S</t>
  </si>
  <si>
    <t>22. Tag im Weihnachtsland (Adventskalender), Weihnachtsmarkt im Juni?</t>
  </si>
  <si>
    <t>23. Tag im Weihnachtsland (Adventskalender), KIKI ist vom Verfassungsschutz</t>
  </si>
  <si>
    <t>24. Tag im Weihnachtsland (Adventskalender), Ötzi in Jonathans Tiefkühltruhe</t>
  </si>
  <si>
    <t>Der Bobcast und die Weihnachtspause (Season 2)</t>
  </si>
  <si>
    <t>OhrCast 127-3 Rückhör November 2022, Die drei ??? (219) und die Teufelsklippe</t>
  </si>
  <si>
    <t>Folge 27: Im Bann des Voodoo und Kreaturen der Nacht</t>
  </si>
  <si>
    <t>79/209</t>
  </si>
  <si>
    <t>Winter Wunder Weihnachtsfolge // Die drei !!! (Verliebte Weihnachten)</t>
  </si>
  <si>
    <t>Adv4.01</t>
  </si>
  <si>
    <t>Adv22.01</t>
  </si>
  <si>
    <t>KAdv2.01</t>
  </si>
  <si>
    <t>Adv4.02</t>
  </si>
  <si>
    <t>Adv22.02</t>
  </si>
  <si>
    <t>KAdv2.02</t>
  </si>
  <si>
    <t>Adv4.03</t>
  </si>
  <si>
    <t>Adv22.03</t>
  </si>
  <si>
    <t>KAdv2.03</t>
  </si>
  <si>
    <t>Adv4.04</t>
  </si>
  <si>
    <t>Adv22.04</t>
  </si>
  <si>
    <t>KAdv2.04</t>
  </si>
  <si>
    <t>Adv4.05</t>
  </si>
  <si>
    <t>Adv22.05</t>
  </si>
  <si>
    <t>KAdv2.05</t>
  </si>
  <si>
    <t>Adv4.06</t>
  </si>
  <si>
    <t>Adv22.06</t>
  </si>
  <si>
    <t>KAdv2.06</t>
  </si>
  <si>
    <t>Adv4.07</t>
  </si>
  <si>
    <t>Adv22.07</t>
  </si>
  <si>
    <t>KAdv2.07</t>
  </si>
  <si>
    <t>Adv4.08</t>
  </si>
  <si>
    <t>Adv22.08</t>
  </si>
  <si>
    <t>KAdv2.08</t>
  </si>
  <si>
    <t>Adv4.09</t>
  </si>
  <si>
    <t>Adv22.09</t>
  </si>
  <si>
    <t>KAdv2.09</t>
  </si>
  <si>
    <t>Unter Anführungszeichen - Absolute Ausnahmen-Folge</t>
  </si>
  <si>
    <t>#Adventskalender - Outtakes [2022]</t>
  </si>
  <si>
    <t>[SPECIAL] Jahresrückblick: Das war 2022!</t>
  </si>
  <si>
    <t>Interview18</t>
  </si>
  <si>
    <t>Interview19</t>
  </si>
  <si>
    <t>Interview20</t>
  </si>
  <si>
    <t>Interview21</t>
  </si>
  <si>
    <r>
      <t>Adv22.</t>
    </r>
    <r>
      <rPr>
        <sz val="1"/>
        <color theme="1"/>
        <rFont val="Calibri"/>
        <family val="2"/>
        <scheme val="minor"/>
      </rPr>
      <t>0</t>
    </r>
    <r>
      <rPr>
        <sz val="11"/>
        <color theme="1"/>
        <rFont val="Calibri"/>
        <family val="2"/>
        <scheme val="minor"/>
      </rPr>
      <t>1</t>
    </r>
  </si>
  <si>
    <r>
      <t>Adv22.</t>
    </r>
    <r>
      <rPr>
        <sz val="1"/>
        <color theme="1"/>
        <rFont val="Calibri"/>
        <family val="2"/>
        <scheme val="minor"/>
      </rPr>
      <t>0</t>
    </r>
    <r>
      <rPr>
        <sz val="11"/>
        <color theme="1"/>
        <rFont val="Calibri"/>
        <family val="2"/>
        <scheme val="minor"/>
      </rPr>
      <t>2</t>
    </r>
  </si>
  <si>
    <r>
      <t>Adv22.</t>
    </r>
    <r>
      <rPr>
        <sz val="1"/>
        <color theme="1"/>
        <rFont val="Calibri"/>
        <family val="2"/>
        <scheme val="minor"/>
      </rPr>
      <t>0</t>
    </r>
    <r>
      <rPr>
        <sz val="11"/>
        <color theme="1"/>
        <rFont val="Calibri"/>
        <family val="2"/>
        <scheme val="minor"/>
      </rPr>
      <t>3</t>
    </r>
  </si>
  <si>
    <r>
      <t>Adv22.</t>
    </r>
    <r>
      <rPr>
        <sz val="1"/>
        <color theme="1"/>
        <rFont val="Calibri"/>
        <family val="2"/>
        <scheme val="minor"/>
      </rPr>
      <t>0</t>
    </r>
    <r>
      <rPr>
        <sz val="11"/>
        <color theme="1"/>
        <rFont val="Calibri"/>
        <family val="2"/>
        <scheme val="minor"/>
      </rPr>
      <t>4</t>
    </r>
  </si>
  <si>
    <r>
      <t>Adv22.</t>
    </r>
    <r>
      <rPr>
        <sz val="1"/>
        <color theme="1"/>
        <rFont val="Calibri"/>
        <family val="2"/>
        <scheme val="minor"/>
      </rPr>
      <t>0</t>
    </r>
    <r>
      <rPr>
        <sz val="11"/>
        <color theme="1"/>
        <rFont val="Calibri"/>
        <family val="2"/>
        <scheme val="minor"/>
      </rPr>
      <t>5</t>
    </r>
  </si>
  <si>
    <r>
      <t>Adv22.</t>
    </r>
    <r>
      <rPr>
        <sz val="1"/>
        <color theme="1"/>
        <rFont val="Calibri"/>
        <family val="2"/>
        <scheme val="minor"/>
      </rPr>
      <t>0</t>
    </r>
    <r>
      <rPr>
        <sz val="11"/>
        <color theme="1"/>
        <rFont val="Calibri"/>
        <family val="2"/>
        <scheme val="minor"/>
      </rPr>
      <t>6</t>
    </r>
  </si>
  <si>
    <r>
      <t>Adv22.</t>
    </r>
    <r>
      <rPr>
        <sz val="1"/>
        <color theme="1"/>
        <rFont val="Calibri"/>
        <family val="2"/>
        <scheme val="minor"/>
      </rPr>
      <t>0</t>
    </r>
    <r>
      <rPr>
        <sz val="11"/>
        <color theme="1"/>
        <rFont val="Calibri"/>
        <family val="2"/>
        <scheme val="minor"/>
      </rPr>
      <t>7</t>
    </r>
  </si>
  <si>
    <r>
      <t>Adv22.</t>
    </r>
    <r>
      <rPr>
        <sz val="1"/>
        <color theme="1"/>
        <rFont val="Calibri"/>
        <family val="2"/>
        <scheme val="minor"/>
      </rPr>
      <t>0</t>
    </r>
    <r>
      <rPr>
        <sz val="11"/>
        <color theme="1"/>
        <rFont val="Calibri"/>
        <family val="2"/>
        <scheme val="minor"/>
      </rPr>
      <t>8</t>
    </r>
  </si>
  <si>
    <r>
      <t>Adv22.</t>
    </r>
    <r>
      <rPr>
        <sz val="1"/>
        <color theme="1"/>
        <rFont val="Calibri"/>
        <family val="2"/>
        <scheme val="minor"/>
      </rPr>
      <t>0</t>
    </r>
    <r>
      <rPr>
        <sz val="11"/>
        <color theme="1"/>
        <rFont val="Calibri"/>
        <family val="2"/>
        <scheme val="minor"/>
      </rPr>
      <t>9</t>
    </r>
  </si>
  <si>
    <t>SSP101</t>
  </si>
  <si>
    <t>SSP102</t>
  </si>
  <si>
    <t>SSP103</t>
  </si>
  <si>
    <t>SSP104</t>
  </si>
  <si>
    <t>SSP105</t>
  </si>
  <si>
    <t>SSP106</t>
  </si>
  <si>
    <t>SSP107</t>
  </si>
  <si>
    <t>SSP108</t>
  </si>
  <si>
    <t>SSP109</t>
  </si>
  <si>
    <t>SSP110</t>
  </si>
  <si>
    <t>SSP111</t>
  </si>
  <si>
    <t>SSP112</t>
  </si>
  <si>
    <t>SSP113</t>
  </si>
  <si>
    <t>SSP114</t>
  </si>
  <si>
    <t>SSP115</t>
  </si>
  <si>
    <t>SSP116</t>
  </si>
  <si>
    <t>SSP117</t>
  </si>
  <si>
    <t>SSP118</t>
  </si>
  <si>
    <t>SSP103.5</t>
  </si>
  <si>
    <t>SSP107.5</t>
  </si>
  <si>
    <t>SSP118.5</t>
  </si>
  <si>
    <r>
      <t>SSP</t>
    </r>
    <r>
      <rPr>
        <sz val="1"/>
        <color theme="1"/>
        <rFont val="Calibri"/>
        <family val="2"/>
        <scheme val="minor"/>
      </rPr>
      <t>00</t>
    </r>
    <r>
      <rPr>
        <sz val="11"/>
        <color theme="1"/>
        <rFont val="Calibri"/>
        <family val="2"/>
        <scheme val="minor"/>
      </rPr>
      <t>0</t>
    </r>
  </si>
  <si>
    <r>
      <t>SSP</t>
    </r>
    <r>
      <rPr>
        <sz val="1"/>
        <color theme="1"/>
        <rFont val="Calibri"/>
        <family val="2"/>
        <scheme val="minor"/>
      </rPr>
      <t>00</t>
    </r>
    <r>
      <rPr>
        <sz val="11"/>
        <color theme="1"/>
        <rFont val="Calibri"/>
        <family val="2"/>
        <scheme val="minor"/>
      </rPr>
      <t>1</t>
    </r>
  </si>
  <si>
    <r>
      <t>SSP</t>
    </r>
    <r>
      <rPr>
        <sz val="1"/>
        <color theme="1"/>
        <rFont val="Calibri"/>
        <family val="2"/>
        <scheme val="minor"/>
      </rPr>
      <t>00</t>
    </r>
    <r>
      <rPr>
        <sz val="11"/>
        <color theme="1"/>
        <rFont val="Calibri"/>
        <family val="2"/>
        <scheme val="minor"/>
      </rPr>
      <t>1.5</t>
    </r>
  </si>
  <si>
    <r>
      <t>SSP</t>
    </r>
    <r>
      <rPr>
        <sz val="1"/>
        <color theme="1"/>
        <rFont val="Calibri"/>
        <family val="2"/>
        <scheme val="minor"/>
      </rPr>
      <t>00</t>
    </r>
    <r>
      <rPr>
        <sz val="11"/>
        <color theme="1"/>
        <rFont val="Calibri"/>
        <family val="2"/>
        <scheme val="minor"/>
      </rPr>
      <t>2</t>
    </r>
  </si>
  <si>
    <r>
      <t>SSP</t>
    </r>
    <r>
      <rPr>
        <sz val="1"/>
        <color theme="1"/>
        <rFont val="Calibri"/>
        <family val="2"/>
        <scheme val="minor"/>
      </rPr>
      <t>00</t>
    </r>
    <r>
      <rPr>
        <sz val="11"/>
        <color theme="1"/>
        <rFont val="Calibri"/>
        <family val="2"/>
        <scheme val="minor"/>
      </rPr>
      <t>2.5</t>
    </r>
  </si>
  <si>
    <r>
      <t>SSP</t>
    </r>
    <r>
      <rPr>
        <sz val="1"/>
        <color theme="1"/>
        <rFont val="Calibri"/>
        <family val="2"/>
        <scheme val="minor"/>
      </rPr>
      <t>00</t>
    </r>
    <r>
      <rPr>
        <sz val="11"/>
        <color theme="1"/>
        <rFont val="Calibri"/>
        <family val="2"/>
        <scheme val="minor"/>
      </rPr>
      <t>3</t>
    </r>
  </si>
  <si>
    <r>
      <t>SSP</t>
    </r>
    <r>
      <rPr>
        <sz val="1"/>
        <color theme="1"/>
        <rFont val="Calibri"/>
        <family val="2"/>
        <scheme val="minor"/>
      </rPr>
      <t>00</t>
    </r>
    <r>
      <rPr>
        <sz val="11"/>
        <color theme="1"/>
        <rFont val="Calibri"/>
        <family val="2"/>
        <scheme val="minor"/>
      </rPr>
      <t>3.5</t>
    </r>
  </si>
  <si>
    <r>
      <t>SSP</t>
    </r>
    <r>
      <rPr>
        <sz val="1"/>
        <color theme="1"/>
        <rFont val="Calibri"/>
        <family val="2"/>
        <scheme val="minor"/>
      </rPr>
      <t>00</t>
    </r>
    <r>
      <rPr>
        <sz val="11"/>
        <color theme="1"/>
        <rFont val="Calibri"/>
        <family val="2"/>
        <scheme val="minor"/>
      </rPr>
      <t>4</t>
    </r>
  </si>
  <si>
    <r>
      <t>SSP</t>
    </r>
    <r>
      <rPr>
        <sz val="1"/>
        <color theme="1"/>
        <rFont val="Calibri"/>
        <family val="2"/>
        <scheme val="minor"/>
      </rPr>
      <t>00</t>
    </r>
    <r>
      <rPr>
        <sz val="11"/>
        <color theme="1"/>
        <rFont val="Calibri"/>
        <family val="2"/>
        <scheme val="minor"/>
      </rPr>
      <t>4.5</t>
    </r>
  </si>
  <si>
    <r>
      <t>SSP</t>
    </r>
    <r>
      <rPr>
        <sz val="1"/>
        <color theme="1"/>
        <rFont val="Calibri"/>
        <family val="2"/>
        <scheme val="minor"/>
      </rPr>
      <t>00</t>
    </r>
    <r>
      <rPr>
        <sz val="11"/>
        <color theme="1"/>
        <rFont val="Calibri"/>
        <family val="2"/>
        <scheme val="minor"/>
      </rPr>
      <t>5</t>
    </r>
  </si>
  <si>
    <r>
      <t>SSP</t>
    </r>
    <r>
      <rPr>
        <sz val="1"/>
        <color theme="1"/>
        <rFont val="Calibri"/>
        <family val="2"/>
        <scheme val="minor"/>
      </rPr>
      <t>00</t>
    </r>
    <r>
      <rPr>
        <sz val="11"/>
        <color theme="1"/>
        <rFont val="Calibri"/>
        <family val="2"/>
        <scheme val="minor"/>
      </rPr>
      <t>5.5</t>
    </r>
  </si>
  <si>
    <r>
      <t>SSP</t>
    </r>
    <r>
      <rPr>
        <sz val="1"/>
        <color theme="1"/>
        <rFont val="Calibri"/>
        <family val="2"/>
        <scheme val="minor"/>
      </rPr>
      <t>00</t>
    </r>
    <r>
      <rPr>
        <sz val="11"/>
        <color theme="1"/>
        <rFont val="Calibri"/>
        <family val="2"/>
        <scheme val="minor"/>
      </rPr>
      <t>6</t>
    </r>
  </si>
  <si>
    <r>
      <t>SSP</t>
    </r>
    <r>
      <rPr>
        <sz val="1"/>
        <color theme="1"/>
        <rFont val="Calibri"/>
        <family val="2"/>
        <scheme val="minor"/>
      </rPr>
      <t>00</t>
    </r>
    <r>
      <rPr>
        <sz val="11"/>
        <color theme="1"/>
        <rFont val="Calibri"/>
        <family val="2"/>
        <scheme val="minor"/>
      </rPr>
      <t>6.5</t>
    </r>
  </si>
  <si>
    <r>
      <t>SSP</t>
    </r>
    <r>
      <rPr>
        <sz val="1"/>
        <color theme="1"/>
        <rFont val="Calibri"/>
        <family val="2"/>
        <scheme val="minor"/>
      </rPr>
      <t>00</t>
    </r>
    <r>
      <rPr>
        <sz val="11"/>
        <color theme="1"/>
        <rFont val="Calibri"/>
        <family val="2"/>
        <scheme val="minor"/>
      </rPr>
      <t>7</t>
    </r>
  </si>
  <si>
    <r>
      <t>SSP</t>
    </r>
    <r>
      <rPr>
        <sz val="1"/>
        <color theme="1"/>
        <rFont val="Calibri"/>
        <family val="2"/>
        <scheme val="minor"/>
      </rPr>
      <t>00</t>
    </r>
    <r>
      <rPr>
        <sz val="11"/>
        <color theme="1"/>
        <rFont val="Calibri"/>
        <family val="2"/>
        <scheme val="minor"/>
      </rPr>
      <t>7.5</t>
    </r>
  </si>
  <si>
    <r>
      <t>SSP</t>
    </r>
    <r>
      <rPr>
        <sz val="1"/>
        <color theme="1"/>
        <rFont val="Calibri"/>
        <family val="2"/>
        <scheme val="minor"/>
      </rPr>
      <t>00</t>
    </r>
    <r>
      <rPr>
        <sz val="11"/>
        <color theme="1"/>
        <rFont val="Calibri"/>
        <family val="2"/>
        <scheme val="minor"/>
      </rPr>
      <t>8</t>
    </r>
  </si>
  <si>
    <r>
      <t>SSP</t>
    </r>
    <r>
      <rPr>
        <sz val="1"/>
        <color theme="1"/>
        <rFont val="Calibri"/>
        <family val="2"/>
        <scheme val="minor"/>
      </rPr>
      <t>00</t>
    </r>
    <r>
      <rPr>
        <sz val="11"/>
        <color theme="1"/>
        <rFont val="Calibri"/>
        <family val="2"/>
        <scheme val="minor"/>
      </rPr>
      <t>8.5</t>
    </r>
  </si>
  <si>
    <r>
      <t>SSP</t>
    </r>
    <r>
      <rPr>
        <sz val="1"/>
        <color theme="1"/>
        <rFont val="Calibri"/>
        <family val="2"/>
        <scheme val="minor"/>
      </rPr>
      <t>00</t>
    </r>
    <r>
      <rPr>
        <sz val="11"/>
        <color theme="1"/>
        <rFont val="Calibri"/>
        <family val="2"/>
        <scheme val="minor"/>
      </rPr>
      <t>9</t>
    </r>
  </si>
  <si>
    <r>
      <t>SSP</t>
    </r>
    <r>
      <rPr>
        <sz val="1"/>
        <color theme="1"/>
        <rFont val="Calibri"/>
        <family val="2"/>
        <scheme val="minor"/>
      </rPr>
      <t>00</t>
    </r>
    <r>
      <rPr>
        <sz val="11"/>
        <color theme="1"/>
        <rFont val="Calibri"/>
        <family val="2"/>
        <scheme val="minor"/>
      </rPr>
      <t>9.5</t>
    </r>
  </si>
  <si>
    <r>
      <t>SSP</t>
    </r>
    <r>
      <rPr>
        <sz val="1"/>
        <color theme="1"/>
        <rFont val="Calibri"/>
        <family val="2"/>
        <scheme val="minor"/>
      </rPr>
      <t>0</t>
    </r>
    <r>
      <rPr>
        <sz val="11"/>
        <color theme="1"/>
        <rFont val="Calibri"/>
        <family val="2"/>
        <scheme val="minor"/>
      </rPr>
      <t>10</t>
    </r>
  </si>
  <si>
    <r>
      <t>SSP</t>
    </r>
    <r>
      <rPr>
        <sz val="1"/>
        <color theme="1"/>
        <rFont val="Calibri"/>
        <family val="2"/>
        <scheme val="minor"/>
      </rPr>
      <t>0</t>
    </r>
    <r>
      <rPr>
        <sz val="11"/>
        <color theme="1"/>
        <rFont val="Calibri"/>
        <family val="2"/>
        <scheme val="minor"/>
      </rPr>
      <t>10.5</t>
    </r>
  </si>
  <si>
    <r>
      <t>SSP</t>
    </r>
    <r>
      <rPr>
        <sz val="1"/>
        <color theme="1"/>
        <rFont val="Calibri"/>
        <family val="2"/>
        <scheme val="minor"/>
      </rPr>
      <t>0</t>
    </r>
    <r>
      <rPr>
        <sz val="11"/>
        <color theme="1"/>
        <rFont val="Calibri"/>
        <family val="2"/>
        <scheme val="minor"/>
      </rPr>
      <t>11</t>
    </r>
  </si>
  <si>
    <r>
      <t>SSP</t>
    </r>
    <r>
      <rPr>
        <sz val="1"/>
        <color theme="1"/>
        <rFont val="Calibri"/>
        <family val="2"/>
        <scheme val="minor"/>
      </rPr>
      <t>0</t>
    </r>
    <r>
      <rPr>
        <sz val="11"/>
        <color theme="1"/>
        <rFont val="Calibri"/>
        <family val="2"/>
        <scheme val="minor"/>
      </rPr>
      <t>11.5</t>
    </r>
  </si>
  <si>
    <r>
      <t>SSP</t>
    </r>
    <r>
      <rPr>
        <sz val="1"/>
        <color theme="1"/>
        <rFont val="Calibri"/>
        <family val="2"/>
        <scheme val="minor"/>
      </rPr>
      <t>0</t>
    </r>
    <r>
      <rPr>
        <sz val="11"/>
        <color theme="1"/>
        <rFont val="Calibri"/>
        <family val="2"/>
        <scheme val="minor"/>
      </rPr>
      <t>12</t>
    </r>
  </si>
  <si>
    <r>
      <t>SSP</t>
    </r>
    <r>
      <rPr>
        <sz val="1"/>
        <color theme="1"/>
        <rFont val="Calibri"/>
        <family val="2"/>
        <scheme val="minor"/>
      </rPr>
      <t>0</t>
    </r>
    <r>
      <rPr>
        <sz val="11"/>
        <color theme="1"/>
        <rFont val="Calibri"/>
        <family val="2"/>
        <scheme val="minor"/>
      </rPr>
      <t>13</t>
    </r>
  </si>
  <si>
    <r>
      <t>SSP</t>
    </r>
    <r>
      <rPr>
        <sz val="1"/>
        <color theme="1"/>
        <rFont val="Calibri"/>
        <family val="2"/>
        <scheme val="minor"/>
      </rPr>
      <t>0</t>
    </r>
    <r>
      <rPr>
        <sz val="11"/>
        <color theme="1"/>
        <rFont val="Calibri"/>
        <family val="2"/>
        <scheme val="minor"/>
      </rPr>
      <t>14</t>
    </r>
  </si>
  <si>
    <r>
      <t>SSP</t>
    </r>
    <r>
      <rPr>
        <sz val="1"/>
        <color theme="1"/>
        <rFont val="Calibri"/>
        <family val="2"/>
        <scheme val="minor"/>
      </rPr>
      <t>0</t>
    </r>
    <r>
      <rPr>
        <sz val="11"/>
        <color theme="1"/>
        <rFont val="Calibri"/>
        <family val="2"/>
        <scheme val="minor"/>
      </rPr>
      <t>15</t>
    </r>
  </si>
  <si>
    <r>
      <t>SSP</t>
    </r>
    <r>
      <rPr>
        <sz val="1"/>
        <color theme="1"/>
        <rFont val="Calibri"/>
        <family val="2"/>
        <scheme val="minor"/>
      </rPr>
      <t>0</t>
    </r>
    <r>
      <rPr>
        <sz val="11"/>
        <color theme="1"/>
        <rFont val="Calibri"/>
        <family val="2"/>
        <scheme val="minor"/>
      </rPr>
      <t>15.5</t>
    </r>
  </si>
  <si>
    <r>
      <t>SSP</t>
    </r>
    <r>
      <rPr>
        <sz val="1"/>
        <color theme="1"/>
        <rFont val="Calibri"/>
        <family val="2"/>
        <scheme val="minor"/>
      </rPr>
      <t>0</t>
    </r>
    <r>
      <rPr>
        <sz val="11"/>
        <color theme="1"/>
        <rFont val="Calibri"/>
        <family val="2"/>
        <scheme val="minor"/>
      </rPr>
      <t>16</t>
    </r>
  </si>
  <si>
    <r>
      <t>SSP</t>
    </r>
    <r>
      <rPr>
        <sz val="1"/>
        <color theme="1"/>
        <rFont val="Calibri"/>
        <family val="2"/>
        <scheme val="minor"/>
      </rPr>
      <t>0</t>
    </r>
    <r>
      <rPr>
        <sz val="11"/>
        <color theme="1"/>
        <rFont val="Calibri"/>
        <family val="2"/>
        <scheme val="minor"/>
      </rPr>
      <t>17</t>
    </r>
  </si>
  <si>
    <r>
      <t>SSP</t>
    </r>
    <r>
      <rPr>
        <sz val="1"/>
        <color theme="1"/>
        <rFont val="Calibri"/>
        <family val="2"/>
        <scheme val="minor"/>
      </rPr>
      <t>0</t>
    </r>
    <r>
      <rPr>
        <sz val="11"/>
        <color theme="1"/>
        <rFont val="Calibri"/>
        <family val="2"/>
        <scheme val="minor"/>
      </rPr>
      <t>17.5</t>
    </r>
  </si>
  <si>
    <r>
      <t>SSP</t>
    </r>
    <r>
      <rPr>
        <sz val="1"/>
        <color theme="1"/>
        <rFont val="Calibri"/>
        <family val="2"/>
        <scheme val="minor"/>
      </rPr>
      <t>0</t>
    </r>
    <r>
      <rPr>
        <sz val="11"/>
        <color theme="1"/>
        <rFont val="Calibri"/>
        <family val="2"/>
        <scheme val="minor"/>
      </rPr>
      <t>18</t>
    </r>
  </si>
  <si>
    <r>
      <t>SSP</t>
    </r>
    <r>
      <rPr>
        <sz val="1"/>
        <color theme="1"/>
        <rFont val="Calibri"/>
        <family val="2"/>
        <scheme val="minor"/>
      </rPr>
      <t>0</t>
    </r>
    <r>
      <rPr>
        <sz val="11"/>
        <color theme="1"/>
        <rFont val="Calibri"/>
        <family val="2"/>
        <scheme val="minor"/>
      </rPr>
      <t>19</t>
    </r>
  </si>
  <si>
    <r>
      <t>SSP</t>
    </r>
    <r>
      <rPr>
        <sz val="1"/>
        <color theme="1"/>
        <rFont val="Calibri"/>
        <family val="2"/>
        <scheme val="minor"/>
      </rPr>
      <t>0</t>
    </r>
    <r>
      <rPr>
        <sz val="11"/>
        <color theme="1"/>
        <rFont val="Calibri"/>
        <family val="2"/>
        <scheme val="minor"/>
      </rPr>
      <t>20</t>
    </r>
  </si>
  <si>
    <r>
      <t>SSP</t>
    </r>
    <r>
      <rPr>
        <sz val="1"/>
        <color theme="1"/>
        <rFont val="Calibri"/>
        <family val="2"/>
        <scheme val="minor"/>
      </rPr>
      <t>0</t>
    </r>
    <r>
      <rPr>
        <sz val="11"/>
        <color theme="1"/>
        <rFont val="Calibri"/>
        <family val="2"/>
        <scheme val="minor"/>
      </rPr>
      <t>21</t>
    </r>
  </si>
  <si>
    <r>
      <t>SSP</t>
    </r>
    <r>
      <rPr>
        <sz val="1"/>
        <color theme="1"/>
        <rFont val="Calibri"/>
        <family val="2"/>
        <scheme val="minor"/>
      </rPr>
      <t>0</t>
    </r>
    <r>
      <rPr>
        <sz val="11"/>
        <color theme="1"/>
        <rFont val="Calibri"/>
        <family val="2"/>
        <scheme val="minor"/>
      </rPr>
      <t>22</t>
    </r>
  </si>
  <si>
    <r>
      <t>SSP</t>
    </r>
    <r>
      <rPr>
        <sz val="1"/>
        <color theme="1"/>
        <rFont val="Calibri"/>
        <family val="2"/>
        <scheme val="minor"/>
      </rPr>
      <t>0</t>
    </r>
    <r>
      <rPr>
        <sz val="11"/>
        <color theme="1"/>
        <rFont val="Calibri"/>
        <family val="2"/>
        <scheme val="minor"/>
      </rPr>
      <t>22.5</t>
    </r>
  </si>
  <si>
    <r>
      <t>SSP</t>
    </r>
    <r>
      <rPr>
        <sz val="1"/>
        <color theme="1"/>
        <rFont val="Calibri"/>
        <family val="2"/>
        <scheme val="minor"/>
      </rPr>
      <t>0</t>
    </r>
    <r>
      <rPr>
        <sz val="11"/>
        <color theme="1"/>
        <rFont val="Calibri"/>
        <family val="2"/>
        <scheme val="minor"/>
      </rPr>
      <t>23</t>
    </r>
  </si>
  <si>
    <r>
      <t>SSP</t>
    </r>
    <r>
      <rPr>
        <sz val="1"/>
        <color theme="1"/>
        <rFont val="Calibri"/>
        <family val="2"/>
        <scheme val="minor"/>
      </rPr>
      <t>0</t>
    </r>
    <r>
      <rPr>
        <sz val="11"/>
        <color theme="1"/>
        <rFont val="Calibri"/>
        <family val="2"/>
        <scheme val="minor"/>
      </rPr>
      <t>24</t>
    </r>
  </si>
  <si>
    <r>
      <t>SSP</t>
    </r>
    <r>
      <rPr>
        <sz val="1"/>
        <color theme="1"/>
        <rFont val="Calibri"/>
        <family val="2"/>
        <scheme val="minor"/>
      </rPr>
      <t>0</t>
    </r>
    <r>
      <rPr>
        <sz val="11"/>
        <color theme="1"/>
        <rFont val="Calibri"/>
        <family val="2"/>
        <scheme val="minor"/>
      </rPr>
      <t>24.5</t>
    </r>
  </si>
  <si>
    <r>
      <t>SSP</t>
    </r>
    <r>
      <rPr>
        <sz val="1"/>
        <color theme="1"/>
        <rFont val="Calibri"/>
        <family val="2"/>
        <scheme val="minor"/>
      </rPr>
      <t>0</t>
    </r>
    <r>
      <rPr>
        <sz val="11"/>
        <color theme="1"/>
        <rFont val="Calibri"/>
        <family val="2"/>
        <scheme val="minor"/>
      </rPr>
      <t>25A</t>
    </r>
  </si>
  <si>
    <r>
      <t>SSP</t>
    </r>
    <r>
      <rPr>
        <sz val="1"/>
        <color theme="1"/>
        <rFont val="Calibri"/>
        <family val="2"/>
        <scheme val="minor"/>
      </rPr>
      <t>0</t>
    </r>
    <r>
      <rPr>
        <sz val="11"/>
        <color theme="1"/>
        <rFont val="Calibri"/>
        <family val="2"/>
        <scheme val="minor"/>
      </rPr>
      <t>25B</t>
    </r>
  </si>
  <si>
    <r>
      <t>SSP</t>
    </r>
    <r>
      <rPr>
        <sz val="1"/>
        <color theme="1"/>
        <rFont val="Calibri"/>
        <family val="2"/>
        <scheme val="minor"/>
      </rPr>
      <t>0</t>
    </r>
    <r>
      <rPr>
        <sz val="11"/>
        <color theme="1"/>
        <rFont val="Calibri"/>
        <family val="2"/>
        <scheme val="minor"/>
      </rPr>
      <t>25C</t>
    </r>
  </si>
  <si>
    <r>
      <t>SSP</t>
    </r>
    <r>
      <rPr>
        <sz val="1"/>
        <color theme="1"/>
        <rFont val="Calibri"/>
        <family val="2"/>
        <scheme val="minor"/>
      </rPr>
      <t>0</t>
    </r>
    <r>
      <rPr>
        <sz val="11"/>
        <color theme="1"/>
        <rFont val="Calibri"/>
        <family val="2"/>
        <scheme val="minor"/>
      </rPr>
      <t>26</t>
    </r>
  </si>
  <si>
    <r>
      <t>SSP</t>
    </r>
    <r>
      <rPr>
        <sz val="1"/>
        <color theme="1"/>
        <rFont val="Calibri"/>
        <family val="2"/>
        <scheme val="minor"/>
      </rPr>
      <t>0</t>
    </r>
    <r>
      <rPr>
        <sz val="11"/>
        <color theme="1"/>
        <rFont val="Calibri"/>
        <family val="2"/>
        <scheme val="minor"/>
      </rPr>
      <t>26.5</t>
    </r>
  </si>
  <si>
    <r>
      <t>SSP</t>
    </r>
    <r>
      <rPr>
        <sz val="1"/>
        <color theme="1"/>
        <rFont val="Calibri"/>
        <family val="2"/>
        <scheme val="minor"/>
      </rPr>
      <t>0</t>
    </r>
    <r>
      <rPr>
        <sz val="11"/>
        <color theme="1"/>
        <rFont val="Calibri"/>
        <family val="2"/>
        <scheme val="minor"/>
      </rPr>
      <t>27</t>
    </r>
  </si>
  <si>
    <r>
      <t>SSP</t>
    </r>
    <r>
      <rPr>
        <sz val="1"/>
        <color theme="1"/>
        <rFont val="Calibri"/>
        <family val="2"/>
        <scheme val="minor"/>
      </rPr>
      <t>0</t>
    </r>
    <r>
      <rPr>
        <sz val="11"/>
        <color theme="1"/>
        <rFont val="Calibri"/>
        <family val="2"/>
        <scheme val="minor"/>
      </rPr>
      <t>28</t>
    </r>
  </si>
  <si>
    <r>
      <t>SSP</t>
    </r>
    <r>
      <rPr>
        <sz val="1"/>
        <color theme="1"/>
        <rFont val="Calibri"/>
        <family val="2"/>
        <scheme val="minor"/>
      </rPr>
      <t>0</t>
    </r>
    <r>
      <rPr>
        <sz val="11"/>
        <color theme="1"/>
        <rFont val="Calibri"/>
        <family val="2"/>
        <scheme val="minor"/>
      </rPr>
      <t>29</t>
    </r>
  </si>
  <si>
    <r>
      <t>SSP</t>
    </r>
    <r>
      <rPr>
        <sz val="1"/>
        <color theme="1"/>
        <rFont val="Calibri"/>
        <family val="2"/>
        <scheme val="minor"/>
      </rPr>
      <t>0</t>
    </r>
    <r>
      <rPr>
        <sz val="11"/>
        <color theme="1"/>
        <rFont val="Calibri"/>
        <family val="2"/>
        <scheme val="minor"/>
      </rPr>
      <t>29.5</t>
    </r>
  </si>
  <si>
    <r>
      <t>SSP</t>
    </r>
    <r>
      <rPr>
        <sz val="1"/>
        <color theme="1"/>
        <rFont val="Calibri"/>
        <family val="2"/>
        <scheme val="minor"/>
      </rPr>
      <t>0</t>
    </r>
    <r>
      <rPr>
        <sz val="11"/>
        <color theme="1"/>
        <rFont val="Calibri"/>
        <family val="2"/>
        <scheme val="minor"/>
      </rPr>
      <t>30</t>
    </r>
  </si>
  <si>
    <r>
      <t>SSP</t>
    </r>
    <r>
      <rPr>
        <sz val="1"/>
        <color theme="1"/>
        <rFont val="Calibri"/>
        <family val="2"/>
        <scheme val="minor"/>
      </rPr>
      <t>0</t>
    </r>
    <r>
      <rPr>
        <sz val="11"/>
        <color theme="1"/>
        <rFont val="Calibri"/>
        <family val="2"/>
        <scheme val="minor"/>
      </rPr>
      <t>31</t>
    </r>
  </si>
  <si>
    <r>
      <t>SSP</t>
    </r>
    <r>
      <rPr>
        <sz val="1"/>
        <color theme="1"/>
        <rFont val="Calibri"/>
        <family val="2"/>
        <scheme val="minor"/>
      </rPr>
      <t>0</t>
    </r>
    <r>
      <rPr>
        <sz val="11"/>
        <color theme="1"/>
        <rFont val="Calibri"/>
        <family val="2"/>
        <scheme val="minor"/>
      </rPr>
      <t>32</t>
    </r>
  </si>
  <si>
    <r>
      <t>SSP</t>
    </r>
    <r>
      <rPr>
        <sz val="1"/>
        <color theme="1"/>
        <rFont val="Calibri"/>
        <family val="2"/>
        <scheme val="minor"/>
      </rPr>
      <t>0</t>
    </r>
    <r>
      <rPr>
        <sz val="11"/>
        <color theme="1"/>
        <rFont val="Calibri"/>
        <family val="2"/>
        <scheme val="minor"/>
      </rPr>
      <t>33</t>
    </r>
  </si>
  <si>
    <r>
      <t>SSP</t>
    </r>
    <r>
      <rPr>
        <sz val="1"/>
        <color theme="1"/>
        <rFont val="Calibri"/>
        <family val="2"/>
        <scheme val="minor"/>
      </rPr>
      <t>0</t>
    </r>
    <r>
      <rPr>
        <sz val="11"/>
        <color theme="1"/>
        <rFont val="Calibri"/>
        <family val="2"/>
        <scheme val="minor"/>
      </rPr>
      <t>33.5</t>
    </r>
  </si>
  <si>
    <r>
      <t>SSP</t>
    </r>
    <r>
      <rPr>
        <sz val="1"/>
        <color theme="1"/>
        <rFont val="Calibri"/>
        <family val="2"/>
        <scheme val="minor"/>
      </rPr>
      <t>0</t>
    </r>
    <r>
      <rPr>
        <sz val="11"/>
        <color theme="1"/>
        <rFont val="Calibri"/>
        <family val="2"/>
        <scheme val="minor"/>
      </rPr>
      <t>34</t>
    </r>
  </si>
  <si>
    <r>
      <t>SSP</t>
    </r>
    <r>
      <rPr>
        <sz val="1"/>
        <color theme="1"/>
        <rFont val="Calibri"/>
        <family val="2"/>
        <scheme val="minor"/>
      </rPr>
      <t>0</t>
    </r>
    <r>
      <rPr>
        <sz val="11"/>
        <color theme="1"/>
        <rFont val="Calibri"/>
        <family val="2"/>
        <scheme val="minor"/>
      </rPr>
      <t>35</t>
    </r>
  </si>
  <si>
    <r>
      <t>SSP</t>
    </r>
    <r>
      <rPr>
        <sz val="1"/>
        <color theme="1"/>
        <rFont val="Calibri"/>
        <family val="2"/>
        <scheme val="minor"/>
      </rPr>
      <t>0</t>
    </r>
    <r>
      <rPr>
        <sz val="11"/>
        <color theme="1"/>
        <rFont val="Calibri"/>
        <family val="2"/>
        <scheme val="minor"/>
      </rPr>
      <t>35.5</t>
    </r>
  </si>
  <si>
    <r>
      <t>SSP</t>
    </r>
    <r>
      <rPr>
        <sz val="1"/>
        <color theme="1"/>
        <rFont val="Calibri"/>
        <family val="2"/>
        <scheme val="minor"/>
      </rPr>
      <t>0</t>
    </r>
    <r>
      <rPr>
        <sz val="11"/>
        <color theme="1"/>
        <rFont val="Calibri"/>
        <family val="2"/>
        <scheme val="minor"/>
      </rPr>
      <t>36</t>
    </r>
  </si>
  <si>
    <r>
      <t>SSP</t>
    </r>
    <r>
      <rPr>
        <sz val="1"/>
        <color theme="1"/>
        <rFont val="Calibri"/>
        <family val="2"/>
        <scheme val="minor"/>
      </rPr>
      <t>0</t>
    </r>
    <r>
      <rPr>
        <sz val="11"/>
        <color theme="1"/>
        <rFont val="Calibri"/>
        <family val="2"/>
        <scheme val="minor"/>
      </rPr>
      <t>37</t>
    </r>
  </si>
  <si>
    <r>
      <t>SSP</t>
    </r>
    <r>
      <rPr>
        <sz val="1"/>
        <color theme="1"/>
        <rFont val="Calibri"/>
        <family val="2"/>
        <scheme val="minor"/>
      </rPr>
      <t>0</t>
    </r>
    <r>
      <rPr>
        <sz val="11"/>
        <color theme="1"/>
        <rFont val="Calibri"/>
        <family val="2"/>
        <scheme val="minor"/>
      </rPr>
      <t>38</t>
    </r>
  </si>
  <si>
    <r>
      <t>SSP</t>
    </r>
    <r>
      <rPr>
        <sz val="1"/>
        <color theme="1"/>
        <rFont val="Calibri"/>
        <family val="2"/>
        <scheme val="minor"/>
      </rPr>
      <t>0</t>
    </r>
    <r>
      <rPr>
        <sz val="11"/>
        <color theme="1"/>
        <rFont val="Calibri"/>
        <family val="2"/>
        <scheme val="minor"/>
      </rPr>
      <t>39</t>
    </r>
  </si>
  <si>
    <r>
      <t>SSP</t>
    </r>
    <r>
      <rPr>
        <sz val="1"/>
        <color theme="1"/>
        <rFont val="Calibri"/>
        <family val="2"/>
        <scheme val="minor"/>
      </rPr>
      <t>0</t>
    </r>
    <r>
      <rPr>
        <sz val="11"/>
        <color theme="1"/>
        <rFont val="Calibri"/>
        <family val="2"/>
        <scheme val="minor"/>
      </rPr>
      <t>39.5</t>
    </r>
  </si>
  <si>
    <r>
      <t>SSP</t>
    </r>
    <r>
      <rPr>
        <sz val="1"/>
        <color theme="1"/>
        <rFont val="Calibri"/>
        <family val="2"/>
        <scheme val="minor"/>
      </rPr>
      <t>0</t>
    </r>
    <r>
      <rPr>
        <sz val="11"/>
        <color theme="1"/>
        <rFont val="Calibri"/>
        <family val="2"/>
        <scheme val="minor"/>
      </rPr>
      <t>40</t>
    </r>
  </si>
  <si>
    <r>
      <t>SSP</t>
    </r>
    <r>
      <rPr>
        <sz val="1"/>
        <color theme="1"/>
        <rFont val="Calibri"/>
        <family val="2"/>
        <scheme val="minor"/>
      </rPr>
      <t>0</t>
    </r>
    <r>
      <rPr>
        <sz val="11"/>
        <color theme="1"/>
        <rFont val="Calibri"/>
        <family val="2"/>
        <scheme val="minor"/>
      </rPr>
      <t>40.5</t>
    </r>
  </si>
  <si>
    <r>
      <t>SSP</t>
    </r>
    <r>
      <rPr>
        <sz val="1"/>
        <color theme="1"/>
        <rFont val="Calibri"/>
        <family val="2"/>
        <scheme val="minor"/>
      </rPr>
      <t>0</t>
    </r>
    <r>
      <rPr>
        <sz val="11"/>
        <color theme="1"/>
        <rFont val="Calibri"/>
        <family val="2"/>
        <scheme val="minor"/>
      </rPr>
      <t>41</t>
    </r>
  </si>
  <si>
    <r>
      <t>SSP</t>
    </r>
    <r>
      <rPr>
        <sz val="1"/>
        <color theme="1"/>
        <rFont val="Calibri"/>
        <family val="2"/>
        <scheme val="minor"/>
      </rPr>
      <t>0</t>
    </r>
    <r>
      <rPr>
        <sz val="11"/>
        <color theme="1"/>
        <rFont val="Calibri"/>
        <family val="2"/>
        <scheme val="minor"/>
      </rPr>
      <t>42</t>
    </r>
  </si>
  <si>
    <r>
      <t>SSP</t>
    </r>
    <r>
      <rPr>
        <sz val="1"/>
        <color theme="1"/>
        <rFont val="Calibri"/>
        <family val="2"/>
        <scheme val="minor"/>
      </rPr>
      <t>0</t>
    </r>
    <r>
      <rPr>
        <sz val="11"/>
        <color theme="1"/>
        <rFont val="Calibri"/>
        <family val="2"/>
        <scheme val="minor"/>
      </rPr>
      <t>42.5</t>
    </r>
  </si>
  <si>
    <r>
      <t>SSP</t>
    </r>
    <r>
      <rPr>
        <sz val="1"/>
        <color theme="1"/>
        <rFont val="Calibri"/>
        <family val="2"/>
        <scheme val="minor"/>
      </rPr>
      <t>0</t>
    </r>
    <r>
      <rPr>
        <sz val="11"/>
        <color theme="1"/>
        <rFont val="Calibri"/>
        <family val="2"/>
        <scheme val="minor"/>
      </rPr>
      <t>43</t>
    </r>
  </si>
  <si>
    <r>
      <t>SSP</t>
    </r>
    <r>
      <rPr>
        <sz val="1"/>
        <color theme="1"/>
        <rFont val="Calibri"/>
        <family val="2"/>
        <scheme val="minor"/>
      </rPr>
      <t>0</t>
    </r>
    <r>
      <rPr>
        <sz val="11"/>
        <color theme="1"/>
        <rFont val="Calibri"/>
        <family val="2"/>
        <scheme val="minor"/>
      </rPr>
      <t>44</t>
    </r>
  </si>
  <si>
    <r>
      <t>SSP</t>
    </r>
    <r>
      <rPr>
        <sz val="1"/>
        <color theme="1"/>
        <rFont val="Calibri"/>
        <family val="2"/>
        <scheme val="minor"/>
      </rPr>
      <t>0</t>
    </r>
    <r>
      <rPr>
        <sz val="11"/>
        <color theme="1"/>
        <rFont val="Calibri"/>
        <family val="2"/>
        <scheme val="minor"/>
      </rPr>
      <t>44.5</t>
    </r>
  </si>
  <si>
    <r>
      <t>SSP</t>
    </r>
    <r>
      <rPr>
        <sz val="1"/>
        <color theme="1"/>
        <rFont val="Calibri"/>
        <family val="2"/>
        <scheme val="minor"/>
      </rPr>
      <t>0</t>
    </r>
    <r>
      <rPr>
        <sz val="11"/>
        <color theme="1"/>
        <rFont val="Calibri"/>
        <family val="2"/>
        <scheme val="minor"/>
      </rPr>
      <t>45</t>
    </r>
  </si>
  <si>
    <r>
      <t>SSP</t>
    </r>
    <r>
      <rPr>
        <sz val="1"/>
        <color theme="1"/>
        <rFont val="Calibri"/>
        <family val="2"/>
        <scheme val="minor"/>
      </rPr>
      <t>0</t>
    </r>
    <r>
      <rPr>
        <sz val="11"/>
        <color theme="1"/>
        <rFont val="Calibri"/>
        <family val="2"/>
        <scheme val="minor"/>
      </rPr>
      <t>45.5</t>
    </r>
  </si>
  <si>
    <r>
      <t>SSP</t>
    </r>
    <r>
      <rPr>
        <sz val="1"/>
        <color theme="1"/>
        <rFont val="Calibri"/>
        <family val="2"/>
        <scheme val="minor"/>
      </rPr>
      <t>0</t>
    </r>
    <r>
      <rPr>
        <sz val="11"/>
        <color theme="1"/>
        <rFont val="Calibri"/>
        <family val="2"/>
        <scheme val="minor"/>
      </rPr>
      <t>46</t>
    </r>
  </si>
  <si>
    <r>
      <t>SSP</t>
    </r>
    <r>
      <rPr>
        <sz val="1"/>
        <color theme="1"/>
        <rFont val="Calibri"/>
        <family val="2"/>
        <scheme val="minor"/>
      </rPr>
      <t>0</t>
    </r>
    <r>
      <rPr>
        <sz val="11"/>
        <color theme="1"/>
        <rFont val="Calibri"/>
        <family val="2"/>
        <scheme val="minor"/>
      </rPr>
      <t>47</t>
    </r>
  </si>
  <si>
    <r>
      <t>SSP</t>
    </r>
    <r>
      <rPr>
        <sz val="1"/>
        <color theme="1"/>
        <rFont val="Calibri"/>
        <family val="2"/>
        <scheme val="minor"/>
      </rPr>
      <t>0</t>
    </r>
    <r>
      <rPr>
        <sz val="11"/>
        <color theme="1"/>
        <rFont val="Calibri"/>
        <family val="2"/>
        <scheme val="minor"/>
      </rPr>
      <t>48</t>
    </r>
  </si>
  <si>
    <r>
      <t>SSP</t>
    </r>
    <r>
      <rPr>
        <sz val="1"/>
        <color theme="1"/>
        <rFont val="Calibri"/>
        <family val="2"/>
        <scheme val="minor"/>
      </rPr>
      <t>0</t>
    </r>
    <r>
      <rPr>
        <sz val="11"/>
        <color theme="1"/>
        <rFont val="Calibri"/>
        <family val="2"/>
        <scheme val="minor"/>
      </rPr>
      <t>49</t>
    </r>
  </si>
  <si>
    <r>
      <t>SSP</t>
    </r>
    <r>
      <rPr>
        <sz val="1"/>
        <color theme="1"/>
        <rFont val="Calibri"/>
        <family val="2"/>
        <scheme val="minor"/>
      </rPr>
      <t>0</t>
    </r>
    <r>
      <rPr>
        <sz val="11"/>
        <color theme="1"/>
        <rFont val="Calibri"/>
        <family val="2"/>
        <scheme val="minor"/>
      </rPr>
      <t>50a/b</t>
    </r>
  </si>
  <si>
    <r>
      <t>SSP</t>
    </r>
    <r>
      <rPr>
        <sz val="1"/>
        <color theme="1"/>
        <rFont val="Calibri"/>
        <family val="2"/>
        <scheme val="minor"/>
      </rPr>
      <t>0</t>
    </r>
    <r>
      <rPr>
        <sz val="11"/>
        <color theme="1"/>
        <rFont val="Calibri"/>
        <family val="2"/>
        <scheme val="minor"/>
      </rPr>
      <t>51</t>
    </r>
  </si>
  <si>
    <r>
      <t>SSP</t>
    </r>
    <r>
      <rPr>
        <sz val="1"/>
        <color theme="1"/>
        <rFont val="Calibri"/>
        <family val="2"/>
        <scheme val="minor"/>
      </rPr>
      <t>0</t>
    </r>
    <r>
      <rPr>
        <sz val="11"/>
        <color theme="1"/>
        <rFont val="Calibri"/>
        <family val="2"/>
        <scheme val="minor"/>
      </rPr>
      <t>52</t>
    </r>
  </si>
  <si>
    <r>
      <t>SSP</t>
    </r>
    <r>
      <rPr>
        <sz val="1"/>
        <color theme="1"/>
        <rFont val="Calibri"/>
        <family val="2"/>
        <scheme val="minor"/>
      </rPr>
      <t>0</t>
    </r>
    <r>
      <rPr>
        <sz val="11"/>
        <color theme="1"/>
        <rFont val="Calibri"/>
        <family val="2"/>
        <scheme val="minor"/>
      </rPr>
      <t>52.5</t>
    </r>
  </si>
  <si>
    <r>
      <t>SSP</t>
    </r>
    <r>
      <rPr>
        <sz val="1"/>
        <color theme="1"/>
        <rFont val="Calibri"/>
        <family val="2"/>
        <scheme val="minor"/>
      </rPr>
      <t>0</t>
    </r>
    <r>
      <rPr>
        <sz val="11"/>
        <color theme="1"/>
        <rFont val="Calibri"/>
        <family val="2"/>
        <scheme val="minor"/>
      </rPr>
      <t>52.7.5</t>
    </r>
  </si>
  <si>
    <r>
      <t>SSP</t>
    </r>
    <r>
      <rPr>
        <sz val="1"/>
        <color theme="1"/>
        <rFont val="Calibri"/>
        <family val="2"/>
        <scheme val="minor"/>
      </rPr>
      <t>0</t>
    </r>
    <r>
      <rPr>
        <sz val="11"/>
        <color theme="1"/>
        <rFont val="Calibri"/>
        <family val="2"/>
        <scheme val="minor"/>
      </rPr>
      <t>53</t>
    </r>
  </si>
  <si>
    <r>
      <t>SSP</t>
    </r>
    <r>
      <rPr>
        <sz val="1"/>
        <color theme="1"/>
        <rFont val="Calibri"/>
        <family val="2"/>
        <scheme val="minor"/>
      </rPr>
      <t>0</t>
    </r>
    <r>
      <rPr>
        <sz val="11"/>
        <color theme="1"/>
        <rFont val="Calibri"/>
        <family val="2"/>
        <scheme val="minor"/>
      </rPr>
      <t>54</t>
    </r>
  </si>
  <si>
    <r>
      <t>SSP</t>
    </r>
    <r>
      <rPr>
        <sz val="1"/>
        <color theme="1"/>
        <rFont val="Calibri"/>
        <family val="2"/>
        <scheme val="minor"/>
      </rPr>
      <t>0</t>
    </r>
    <r>
      <rPr>
        <sz val="11"/>
        <color theme="1"/>
        <rFont val="Calibri"/>
        <family val="2"/>
        <scheme val="minor"/>
      </rPr>
      <t>55</t>
    </r>
  </si>
  <si>
    <r>
      <t>SSP</t>
    </r>
    <r>
      <rPr>
        <sz val="1"/>
        <color theme="1"/>
        <rFont val="Calibri"/>
        <family val="2"/>
        <scheme val="minor"/>
      </rPr>
      <t>0</t>
    </r>
    <r>
      <rPr>
        <sz val="11"/>
        <color theme="1"/>
        <rFont val="Calibri"/>
        <family val="2"/>
        <scheme val="minor"/>
      </rPr>
      <t>56</t>
    </r>
  </si>
  <si>
    <r>
      <t>SSP</t>
    </r>
    <r>
      <rPr>
        <sz val="1"/>
        <color theme="1"/>
        <rFont val="Calibri"/>
        <family val="2"/>
        <scheme val="minor"/>
      </rPr>
      <t>0</t>
    </r>
    <r>
      <rPr>
        <sz val="11"/>
        <color theme="1"/>
        <rFont val="Calibri"/>
        <family val="2"/>
        <scheme val="minor"/>
      </rPr>
      <t>57</t>
    </r>
  </si>
  <si>
    <r>
      <t>SSP</t>
    </r>
    <r>
      <rPr>
        <sz val="1"/>
        <color theme="1"/>
        <rFont val="Calibri"/>
        <family val="2"/>
        <scheme val="minor"/>
      </rPr>
      <t>0</t>
    </r>
    <r>
      <rPr>
        <sz val="11"/>
        <color theme="1"/>
        <rFont val="Calibri"/>
        <family val="2"/>
        <scheme val="minor"/>
      </rPr>
      <t>58</t>
    </r>
  </si>
  <si>
    <r>
      <t>SSP</t>
    </r>
    <r>
      <rPr>
        <sz val="1"/>
        <color theme="1"/>
        <rFont val="Calibri"/>
        <family val="2"/>
        <scheme val="minor"/>
      </rPr>
      <t>0</t>
    </r>
    <r>
      <rPr>
        <sz val="11"/>
        <color theme="1"/>
        <rFont val="Calibri"/>
        <family val="2"/>
        <scheme val="minor"/>
      </rPr>
      <t>59</t>
    </r>
  </si>
  <si>
    <r>
      <t>SSP</t>
    </r>
    <r>
      <rPr>
        <sz val="1"/>
        <color theme="1"/>
        <rFont val="Calibri"/>
        <family val="2"/>
        <scheme val="minor"/>
      </rPr>
      <t>0</t>
    </r>
    <r>
      <rPr>
        <sz val="11"/>
        <color theme="1"/>
        <rFont val="Calibri"/>
        <family val="2"/>
        <scheme val="minor"/>
      </rPr>
      <t>60</t>
    </r>
  </si>
  <si>
    <r>
      <t>SSP</t>
    </r>
    <r>
      <rPr>
        <sz val="1"/>
        <color theme="1"/>
        <rFont val="Calibri"/>
        <family val="2"/>
        <scheme val="minor"/>
      </rPr>
      <t>0</t>
    </r>
    <r>
      <rPr>
        <sz val="11"/>
        <color theme="1"/>
        <rFont val="Calibri"/>
        <family val="2"/>
        <scheme val="minor"/>
      </rPr>
      <t>60.5</t>
    </r>
  </si>
  <si>
    <r>
      <t>SSP</t>
    </r>
    <r>
      <rPr>
        <sz val="1"/>
        <color theme="1"/>
        <rFont val="Calibri"/>
        <family val="2"/>
        <scheme val="minor"/>
      </rPr>
      <t>0</t>
    </r>
    <r>
      <rPr>
        <sz val="11"/>
        <color theme="1"/>
        <rFont val="Calibri"/>
        <family val="2"/>
        <scheme val="minor"/>
      </rPr>
      <t>61</t>
    </r>
  </si>
  <si>
    <r>
      <t>SSP</t>
    </r>
    <r>
      <rPr>
        <sz val="1"/>
        <color theme="1"/>
        <rFont val="Calibri"/>
        <family val="2"/>
        <scheme val="minor"/>
      </rPr>
      <t>0</t>
    </r>
    <r>
      <rPr>
        <sz val="11"/>
        <color theme="1"/>
        <rFont val="Calibri"/>
        <family val="2"/>
        <scheme val="minor"/>
      </rPr>
      <t>62</t>
    </r>
  </si>
  <si>
    <r>
      <t>SSP</t>
    </r>
    <r>
      <rPr>
        <sz val="1"/>
        <color theme="1"/>
        <rFont val="Calibri"/>
        <family val="2"/>
        <scheme val="minor"/>
      </rPr>
      <t>0</t>
    </r>
    <r>
      <rPr>
        <sz val="11"/>
        <color theme="1"/>
        <rFont val="Calibri"/>
        <family val="2"/>
        <scheme val="minor"/>
      </rPr>
      <t>63</t>
    </r>
  </si>
  <si>
    <r>
      <t>SSP</t>
    </r>
    <r>
      <rPr>
        <sz val="1"/>
        <color theme="1"/>
        <rFont val="Calibri"/>
        <family val="2"/>
        <scheme val="minor"/>
      </rPr>
      <t>0</t>
    </r>
    <r>
      <rPr>
        <sz val="11"/>
        <color theme="1"/>
        <rFont val="Calibri"/>
        <family val="2"/>
        <scheme val="minor"/>
      </rPr>
      <t>64</t>
    </r>
  </si>
  <si>
    <r>
      <t>SSP</t>
    </r>
    <r>
      <rPr>
        <sz val="1"/>
        <color theme="1"/>
        <rFont val="Calibri"/>
        <family val="2"/>
        <scheme val="minor"/>
      </rPr>
      <t>0</t>
    </r>
    <r>
      <rPr>
        <sz val="11"/>
        <color theme="1"/>
        <rFont val="Calibri"/>
        <family val="2"/>
        <scheme val="minor"/>
      </rPr>
      <t>65</t>
    </r>
  </si>
  <si>
    <r>
      <t>SSP</t>
    </r>
    <r>
      <rPr>
        <sz val="1"/>
        <color theme="1"/>
        <rFont val="Calibri"/>
        <family val="2"/>
        <scheme val="minor"/>
      </rPr>
      <t>0</t>
    </r>
    <r>
      <rPr>
        <sz val="11"/>
        <color theme="1"/>
        <rFont val="Calibri"/>
        <family val="2"/>
        <scheme val="minor"/>
      </rPr>
      <t>66</t>
    </r>
  </si>
  <si>
    <r>
      <t>SSP</t>
    </r>
    <r>
      <rPr>
        <sz val="1"/>
        <color theme="1"/>
        <rFont val="Calibri"/>
        <family val="2"/>
        <scheme val="minor"/>
      </rPr>
      <t>0</t>
    </r>
    <r>
      <rPr>
        <sz val="11"/>
        <color theme="1"/>
        <rFont val="Calibri"/>
        <family val="2"/>
        <scheme val="minor"/>
      </rPr>
      <t>67</t>
    </r>
  </si>
  <si>
    <r>
      <t>SSP</t>
    </r>
    <r>
      <rPr>
        <sz val="1"/>
        <color theme="1"/>
        <rFont val="Calibri"/>
        <family val="2"/>
        <scheme val="minor"/>
      </rPr>
      <t>0</t>
    </r>
    <r>
      <rPr>
        <sz val="11"/>
        <color theme="1"/>
        <rFont val="Calibri"/>
        <family val="2"/>
        <scheme val="minor"/>
      </rPr>
      <t>68</t>
    </r>
  </si>
  <si>
    <r>
      <t>SSP</t>
    </r>
    <r>
      <rPr>
        <sz val="1"/>
        <color theme="1"/>
        <rFont val="Calibri"/>
        <family val="2"/>
        <scheme val="minor"/>
      </rPr>
      <t>0</t>
    </r>
    <r>
      <rPr>
        <sz val="11"/>
        <color theme="1"/>
        <rFont val="Calibri"/>
        <family val="2"/>
        <scheme val="minor"/>
      </rPr>
      <t>68.5</t>
    </r>
  </si>
  <si>
    <r>
      <t>SSP</t>
    </r>
    <r>
      <rPr>
        <sz val="1"/>
        <color theme="1"/>
        <rFont val="Calibri"/>
        <family val="2"/>
        <scheme val="minor"/>
      </rPr>
      <t>0</t>
    </r>
    <r>
      <rPr>
        <sz val="11"/>
        <color theme="1"/>
        <rFont val="Calibri"/>
        <family val="2"/>
        <scheme val="minor"/>
      </rPr>
      <t>69</t>
    </r>
  </si>
  <si>
    <r>
      <t>SSP</t>
    </r>
    <r>
      <rPr>
        <sz val="1"/>
        <color theme="1"/>
        <rFont val="Calibri"/>
        <family val="2"/>
        <scheme val="minor"/>
      </rPr>
      <t>0</t>
    </r>
    <r>
      <rPr>
        <sz val="11"/>
        <color theme="1"/>
        <rFont val="Calibri"/>
        <family val="2"/>
        <scheme val="minor"/>
      </rPr>
      <t>69.5</t>
    </r>
  </si>
  <si>
    <r>
      <t>SSP</t>
    </r>
    <r>
      <rPr>
        <sz val="1"/>
        <color theme="1"/>
        <rFont val="Calibri"/>
        <family val="2"/>
        <scheme val="minor"/>
      </rPr>
      <t>0</t>
    </r>
    <r>
      <rPr>
        <sz val="11"/>
        <color theme="1"/>
        <rFont val="Calibri"/>
        <family val="2"/>
        <scheme val="minor"/>
      </rPr>
      <t>70</t>
    </r>
  </si>
  <si>
    <r>
      <t>SSP</t>
    </r>
    <r>
      <rPr>
        <sz val="1"/>
        <color theme="1"/>
        <rFont val="Calibri"/>
        <family val="2"/>
        <scheme val="minor"/>
      </rPr>
      <t>0</t>
    </r>
    <r>
      <rPr>
        <sz val="11"/>
        <color theme="1"/>
        <rFont val="Calibri"/>
        <family val="2"/>
        <scheme val="minor"/>
      </rPr>
      <t>71</t>
    </r>
  </si>
  <si>
    <r>
      <t>SSP</t>
    </r>
    <r>
      <rPr>
        <sz val="1"/>
        <color theme="1"/>
        <rFont val="Calibri"/>
        <family val="2"/>
        <scheme val="minor"/>
      </rPr>
      <t>0</t>
    </r>
    <r>
      <rPr>
        <sz val="11"/>
        <color theme="1"/>
        <rFont val="Calibri"/>
        <family val="2"/>
        <scheme val="minor"/>
      </rPr>
      <t>72</t>
    </r>
  </si>
  <si>
    <r>
      <t>SSP</t>
    </r>
    <r>
      <rPr>
        <sz val="1"/>
        <color theme="1"/>
        <rFont val="Calibri"/>
        <family val="2"/>
        <scheme val="minor"/>
      </rPr>
      <t>0</t>
    </r>
    <r>
      <rPr>
        <sz val="11"/>
        <color theme="1"/>
        <rFont val="Calibri"/>
        <family val="2"/>
        <scheme val="minor"/>
      </rPr>
      <t>73</t>
    </r>
  </si>
  <si>
    <r>
      <t>SSP</t>
    </r>
    <r>
      <rPr>
        <sz val="1"/>
        <color theme="1"/>
        <rFont val="Calibri"/>
        <family val="2"/>
        <scheme val="minor"/>
      </rPr>
      <t>0</t>
    </r>
    <r>
      <rPr>
        <sz val="11"/>
        <color theme="1"/>
        <rFont val="Calibri"/>
        <family val="2"/>
        <scheme val="minor"/>
      </rPr>
      <t>74</t>
    </r>
  </si>
  <si>
    <r>
      <t>SSP</t>
    </r>
    <r>
      <rPr>
        <sz val="1"/>
        <color theme="1"/>
        <rFont val="Calibri"/>
        <family val="2"/>
        <scheme val="minor"/>
      </rPr>
      <t>0</t>
    </r>
    <r>
      <rPr>
        <sz val="11"/>
        <color theme="1"/>
        <rFont val="Calibri"/>
        <family val="2"/>
        <scheme val="minor"/>
      </rPr>
      <t>75</t>
    </r>
  </si>
  <si>
    <r>
      <t>SSP</t>
    </r>
    <r>
      <rPr>
        <sz val="1"/>
        <color theme="1"/>
        <rFont val="Calibri"/>
        <family val="2"/>
        <scheme val="minor"/>
      </rPr>
      <t>0</t>
    </r>
    <r>
      <rPr>
        <sz val="11"/>
        <color theme="1"/>
        <rFont val="Calibri"/>
        <family val="2"/>
        <scheme val="minor"/>
      </rPr>
      <t>76</t>
    </r>
  </si>
  <si>
    <r>
      <t>SSP</t>
    </r>
    <r>
      <rPr>
        <sz val="1"/>
        <color theme="1"/>
        <rFont val="Calibri"/>
        <family val="2"/>
        <scheme val="minor"/>
      </rPr>
      <t>0</t>
    </r>
    <r>
      <rPr>
        <sz val="11"/>
        <color theme="1"/>
        <rFont val="Calibri"/>
        <family val="2"/>
        <scheme val="minor"/>
      </rPr>
      <t>77a</t>
    </r>
  </si>
  <si>
    <r>
      <t>SSP</t>
    </r>
    <r>
      <rPr>
        <sz val="1"/>
        <color theme="1"/>
        <rFont val="Calibri"/>
        <family val="2"/>
        <scheme val="minor"/>
      </rPr>
      <t>0</t>
    </r>
    <r>
      <rPr>
        <sz val="11"/>
        <color theme="1"/>
        <rFont val="Calibri"/>
        <family val="2"/>
        <scheme val="minor"/>
      </rPr>
      <t>77b</t>
    </r>
  </si>
  <si>
    <r>
      <t>SSP</t>
    </r>
    <r>
      <rPr>
        <sz val="1"/>
        <color theme="1"/>
        <rFont val="Calibri"/>
        <family val="2"/>
        <scheme val="minor"/>
      </rPr>
      <t>0</t>
    </r>
    <r>
      <rPr>
        <sz val="11"/>
        <color theme="1"/>
        <rFont val="Calibri"/>
        <family val="2"/>
        <scheme val="minor"/>
      </rPr>
      <t>77c</t>
    </r>
  </si>
  <si>
    <r>
      <t>SSP</t>
    </r>
    <r>
      <rPr>
        <sz val="1"/>
        <color theme="1"/>
        <rFont val="Calibri"/>
        <family val="2"/>
        <scheme val="minor"/>
      </rPr>
      <t>0</t>
    </r>
    <r>
      <rPr>
        <sz val="11"/>
        <color theme="1"/>
        <rFont val="Calibri"/>
        <family val="2"/>
        <scheme val="minor"/>
      </rPr>
      <t>77.5</t>
    </r>
  </si>
  <si>
    <r>
      <t>SSP</t>
    </r>
    <r>
      <rPr>
        <sz val="1"/>
        <color theme="1"/>
        <rFont val="Calibri"/>
        <family val="2"/>
        <scheme val="minor"/>
      </rPr>
      <t>0</t>
    </r>
    <r>
      <rPr>
        <sz val="11"/>
        <color theme="1"/>
        <rFont val="Calibri"/>
        <family val="2"/>
        <scheme val="minor"/>
      </rPr>
      <t>78</t>
    </r>
  </si>
  <si>
    <r>
      <t>SSP</t>
    </r>
    <r>
      <rPr>
        <sz val="1"/>
        <color theme="1"/>
        <rFont val="Calibri"/>
        <family val="2"/>
        <scheme val="minor"/>
      </rPr>
      <t>0</t>
    </r>
    <r>
      <rPr>
        <sz val="11"/>
        <color theme="1"/>
        <rFont val="Calibri"/>
        <family val="2"/>
        <scheme val="minor"/>
      </rPr>
      <t>79</t>
    </r>
  </si>
  <si>
    <r>
      <t>SSP</t>
    </r>
    <r>
      <rPr>
        <sz val="1"/>
        <color theme="1"/>
        <rFont val="Calibri"/>
        <family val="2"/>
        <scheme val="minor"/>
      </rPr>
      <t>0</t>
    </r>
    <r>
      <rPr>
        <sz val="11"/>
        <color theme="1"/>
        <rFont val="Calibri"/>
        <family val="2"/>
        <scheme val="minor"/>
      </rPr>
      <t>79.5</t>
    </r>
  </si>
  <si>
    <r>
      <t>SSP</t>
    </r>
    <r>
      <rPr>
        <sz val="1"/>
        <color theme="1"/>
        <rFont val="Calibri"/>
        <family val="2"/>
        <scheme val="minor"/>
      </rPr>
      <t>0</t>
    </r>
    <r>
      <rPr>
        <sz val="11"/>
        <color theme="1"/>
        <rFont val="Calibri"/>
        <family val="2"/>
        <scheme val="minor"/>
      </rPr>
      <t>80</t>
    </r>
  </si>
  <si>
    <r>
      <t>SSP</t>
    </r>
    <r>
      <rPr>
        <sz val="1"/>
        <color theme="1"/>
        <rFont val="Calibri"/>
        <family val="2"/>
        <scheme val="minor"/>
      </rPr>
      <t>0</t>
    </r>
    <r>
      <rPr>
        <sz val="11"/>
        <color theme="1"/>
        <rFont val="Calibri"/>
        <family val="2"/>
        <scheme val="minor"/>
      </rPr>
      <t>81</t>
    </r>
  </si>
  <si>
    <r>
      <t>SSP</t>
    </r>
    <r>
      <rPr>
        <sz val="1"/>
        <color theme="1"/>
        <rFont val="Calibri"/>
        <family val="2"/>
        <scheme val="minor"/>
      </rPr>
      <t>0</t>
    </r>
    <r>
      <rPr>
        <sz val="11"/>
        <color theme="1"/>
        <rFont val="Calibri"/>
        <family val="2"/>
        <scheme val="minor"/>
      </rPr>
      <t>82</t>
    </r>
  </si>
  <si>
    <r>
      <t>SSP</t>
    </r>
    <r>
      <rPr>
        <sz val="1"/>
        <color theme="1"/>
        <rFont val="Calibri"/>
        <family val="2"/>
        <scheme val="minor"/>
      </rPr>
      <t>0</t>
    </r>
    <r>
      <rPr>
        <sz val="11"/>
        <color theme="1"/>
        <rFont val="Calibri"/>
        <family val="2"/>
        <scheme val="minor"/>
      </rPr>
      <t>82.5</t>
    </r>
  </si>
  <si>
    <r>
      <t>SSP</t>
    </r>
    <r>
      <rPr>
        <sz val="1"/>
        <color theme="1"/>
        <rFont val="Calibri"/>
        <family val="2"/>
        <scheme val="minor"/>
      </rPr>
      <t>0</t>
    </r>
    <r>
      <rPr>
        <sz val="11"/>
        <color theme="1"/>
        <rFont val="Calibri"/>
        <family val="2"/>
        <scheme val="minor"/>
      </rPr>
      <t>83</t>
    </r>
  </si>
  <si>
    <r>
      <t>SSP</t>
    </r>
    <r>
      <rPr>
        <sz val="1"/>
        <color theme="1"/>
        <rFont val="Calibri"/>
        <family val="2"/>
        <scheme val="minor"/>
      </rPr>
      <t>0</t>
    </r>
    <r>
      <rPr>
        <sz val="11"/>
        <color theme="1"/>
        <rFont val="Calibri"/>
        <family val="2"/>
        <scheme val="minor"/>
      </rPr>
      <t>84</t>
    </r>
  </si>
  <si>
    <r>
      <t>SSP</t>
    </r>
    <r>
      <rPr>
        <sz val="1"/>
        <color theme="1"/>
        <rFont val="Calibri"/>
        <family val="2"/>
        <scheme val="minor"/>
      </rPr>
      <t>0</t>
    </r>
    <r>
      <rPr>
        <sz val="11"/>
        <color theme="1"/>
        <rFont val="Calibri"/>
        <family val="2"/>
        <scheme val="minor"/>
      </rPr>
      <t>85</t>
    </r>
  </si>
  <si>
    <r>
      <t>SSP</t>
    </r>
    <r>
      <rPr>
        <sz val="1"/>
        <color theme="1"/>
        <rFont val="Calibri"/>
        <family val="2"/>
        <scheme val="minor"/>
      </rPr>
      <t>0</t>
    </r>
    <r>
      <rPr>
        <sz val="11"/>
        <color theme="1"/>
        <rFont val="Calibri"/>
        <family val="2"/>
        <scheme val="minor"/>
      </rPr>
      <t>86</t>
    </r>
  </si>
  <si>
    <r>
      <t>SSP</t>
    </r>
    <r>
      <rPr>
        <sz val="1"/>
        <color theme="1"/>
        <rFont val="Calibri"/>
        <family val="2"/>
        <scheme val="minor"/>
      </rPr>
      <t>0</t>
    </r>
    <r>
      <rPr>
        <sz val="11"/>
        <color theme="1"/>
        <rFont val="Calibri"/>
        <family val="2"/>
        <scheme val="minor"/>
      </rPr>
      <t>87</t>
    </r>
  </si>
  <si>
    <r>
      <t>SSP</t>
    </r>
    <r>
      <rPr>
        <sz val="1"/>
        <color theme="1"/>
        <rFont val="Calibri"/>
        <family val="2"/>
        <scheme val="minor"/>
      </rPr>
      <t>0</t>
    </r>
    <r>
      <rPr>
        <sz val="11"/>
        <color theme="1"/>
        <rFont val="Calibri"/>
        <family val="2"/>
        <scheme val="minor"/>
      </rPr>
      <t>88</t>
    </r>
  </si>
  <si>
    <r>
      <t>SSP</t>
    </r>
    <r>
      <rPr>
        <sz val="1"/>
        <color theme="1"/>
        <rFont val="Calibri"/>
        <family val="2"/>
        <scheme val="minor"/>
      </rPr>
      <t>0</t>
    </r>
    <r>
      <rPr>
        <sz val="11"/>
        <color theme="1"/>
        <rFont val="Calibri"/>
        <family val="2"/>
        <scheme val="minor"/>
      </rPr>
      <t>89</t>
    </r>
  </si>
  <si>
    <r>
      <t>SSP</t>
    </r>
    <r>
      <rPr>
        <sz val="1"/>
        <color theme="1"/>
        <rFont val="Calibri"/>
        <family val="2"/>
        <scheme val="minor"/>
      </rPr>
      <t>0</t>
    </r>
    <r>
      <rPr>
        <sz val="11"/>
        <color theme="1"/>
        <rFont val="Calibri"/>
        <family val="2"/>
        <scheme val="minor"/>
      </rPr>
      <t>89.5</t>
    </r>
  </si>
  <si>
    <r>
      <t>SSP</t>
    </r>
    <r>
      <rPr>
        <sz val="1"/>
        <color theme="1"/>
        <rFont val="Calibri"/>
        <family val="2"/>
        <scheme val="minor"/>
      </rPr>
      <t>0</t>
    </r>
    <r>
      <rPr>
        <sz val="11"/>
        <color theme="1"/>
        <rFont val="Calibri"/>
        <family val="2"/>
        <scheme val="minor"/>
      </rPr>
      <t>90</t>
    </r>
  </si>
  <si>
    <r>
      <t>SSP</t>
    </r>
    <r>
      <rPr>
        <sz val="1"/>
        <color theme="1"/>
        <rFont val="Calibri"/>
        <family val="2"/>
        <scheme val="minor"/>
      </rPr>
      <t>0</t>
    </r>
    <r>
      <rPr>
        <sz val="11"/>
        <color theme="1"/>
        <rFont val="Calibri"/>
        <family val="2"/>
        <scheme val="minor"/>
      </rPr>
      <t>90.5</t>
    </r>
  </si>
  <si>
    <r>
      <t>SSP</t>
    </r>
    <r>
      <rPr>
        <sz val="1"/>
        <color theme="1"/>
        <rFont val="Calibri"/>
        <family val="2"/>
        <scheme val="minor"/>
      </rPr>
      <t>0</t>
    </r>
    <r>
      <rPr>
        <sz val="11"/>
        <color theme="1"/>
        <rFont val="Calibri"/>
        <family val="2"/>
        <scheme val="minor"/>
      </rPr>
      <t>91</t>
    </r>
  </si>
  <si>
    <r>
      <t>SSP</t>
    </r>
    <r>
      <rPr>
        <sz val="1"/>
        <color theme="1"/>
        <rFont val="Calibri"/>
        <family val="2"/>
        <scheme val="minor"/>
      </rPr>
      <t>0</t>
    </r>
    <r>
      <rPr>
        <sz val="11"/>
        <color theme="1"/>
        <rFont val="Calibri"/>
        <family val="2"/>
        <scheme val="minor"/>
      </rPr>
      <t>91.5</t>
    </r>
  </si>
  <si>
    <r>
      <t>SSP</t>
    </r>
    <r>
      <rPr>
        <sz val="1"/>
        <color theme="1"/>
        <rFont val="Calibri"/>
        <family val="2"/>
        <scheme val="minor"/>
      </rPr>
      <t>0</t>
    </r>
    <r>
      <rPr>
        <sz val="11"/>
        <color theme="1"/>
        <rFont val="Calibri"/>
        <family val="2"/>
        <scheme val="minor"/>
      </rPr>
      <t>92</t>
    </r>
  </si>
  <si>
    <r>
      <t>SSP</t>
    </r>
    <r>
      <rPr>
        <sz val="1"/>
        <color theme="1"/>
        <rFont val="Calibri"/>
        <family val="2"/>
        <scheme val="minor"/>
      </rPr>
      <t>0</t>
    </r>
    <r>
      <rPr>
        <sz val="11"/>
        <color theme="1"/>
        <rFont val="Calibri"/>
        <family val="2"/>
        <scheme val="minor"/>
      </rPr>
      <t>93</t>
    </r>
  </si>
  <si>
    <r>
      <t>SSP</t>
    </r>
    <r>
      <rPr>
        <sz val="1"/>
        <color theme="1"/>
        <rFont val="Calibri"/>
        <family val="2"/>
        <scheme val="minor"/>
      </rPr>
      <t>0</t>
    </r>
    <r>
      <rPr>
        <sz val="11"/>
        <color theme="1"/>
        <rFont val="Calibri"/>
        <family val="2"/>
        <scheme val="minor"/>
      </rPr>
      <t>94</t>
    </r>
  </si>
  <si>
    <r>
      <t>SSP</t>
    </r>
    <r>
      <rPr>
        <sz val="1"/>
        <color theme="1"/>
        <rFont val="Calibri"/>
        <family val="2"/>
        <scheme val="minor"/>
      </rPr>
      <t>0</t>
    </r>
    <r>
      <rPr>
        <sz val="11"/>
        <color theme="1"/>
        <rFont val="Calibri"/>
        <family val="2"/>
        <scheme val="minor"/>
      </rPr>
      <t>95</t>
    </r>
  </si>
  <si>
    <r>
      <t>SSP</t>
    </r>
    <r>
      <rPr>
        <sz val="1"/>
        <color theme="1"/>
        <rFont val="Calibri"/>
        <family val="2"/>
        <scheme val="minor"/>
      </rPr>
      <t>0</t>
    </r>
    <r>
      <rPr>
        <sz val="11"/>
        <color theme="1"/>
        <rFont val="Calibri"/>
        <family val="2"/>
        <scheme val="minor"/>
      </rPr>
      <t>96</t>
    </r>
  </si>
  <si>
    <r>
      <t>SSP</t>
    </r>
    <r>
      <rPr>
        <sz val="1"/>
        <color theme="1"/>
        <rFont val="Calibri"/>
        <family val="2"/>
        <scheme val="minor"/>
      </rPr>
      <t>0</t>
    </r>
    <r>
      <rPr>
        <sz val="11"/>
        <color theme="1"/>
        <rFont val="Calibri"/>
        <family val="2"/>
        <scheme val="minor"/>
      </rPr>
      <t>96.5</t>
    </r>
  </si>
  <si>
    <r>
      <t>SSP</t>
    </r>
    <r>
      <rPr>
        <sz val="1"/>
        <color theme="1"/>
        <rFont val="Calibri"/>
        <family val="2"/>
        <scheme val="minor"/>
      </rPr>
      <t>0</t>
    </r>
    <r>
      <rPr>
        <sz val="11"/>
        <color theme="1"/>
        <rFont val="Calibri"/>
        <family val="2"/>
        <scheme val="minor"/>
      </rPr>
      <t>97</t>
    </r>
  </si>
  <si>
    <r>
      <t>SSP</t>
    </r>
    <r>
      <rPr>
        <sz val="1"/>
        <color theme="1"/>
        <rFont val="Calibri"/>
        <family val="2"/>
        <scheme val="minor"/>
      </rPr>
      <t>0</t>
    </r>
    <r>
      <rPr>
        <sz val="11"/>
        <color theme="1"/>
        <rFont val="Calibri"/>
        <family val="2"/>
        <scheme val="minor"/>
      </rPr>
      <t>98</t>
    </r>
  </si>
  <si>
    <r>
      <t>SSP</t>
    </r>
    <r>
      <rPr>
        <sz val="1"/>
        <color theme="1"/>
        <rFont val="Calibri"/>
        <family val="2"/>
        <scheme val="minor"/>
      </rPr>
      <t>0</t>
    </r>
    <r>
      <rPr>
        <sz val="11"/>
        <color theme="1"/>
        <rFont val="Calibri"/>
        <family val="2"/>
        <scheme val="minor"/>
      </rPr>
      <t>99</t>
    </r>
  </si>
  <si>
    <t>Bonus: Eine schreckliche Bescherung (Deleted Scenes)</t>
  </si>
  <si>
    <r>
      <t xml:space="preserve">Der Bobcast und der verschwundene Schatz (Season 2, Ep. 22) </t>
    </r>
    <r>
      <rPr>
        <sz val="8"/>
        <color theme="1"/>
        <rFont val="Calibri"/>
        <family val="2"/>
        <scheme val="minor"/>
      </rPr>
      <t>[mit Karin Lieneweg 1]</t>
    </r>
  </si>
  <si>
    <r>
      <t xml:space="preserve">Der Bobcast und die flammende Spur (Season 2, Ep. 20) </t>
    </r>
    <r>
      <rPr>
        <sz val="8"/>
        <color theme="1"/>
        <rFont val="Calibri"/>
        <family val="2"/>
        <scheme val="minor"/>
      </rPr>
      <t>[mit Oliver Rohrbeck 1]</t>
    </r>
  </si>
  <si>
    <r>
      <t xml:space="preserve">Der Bobcast und der Teufelsberg (Season 2, Ep. 19) </t>
    </r>
    <r>
      <rPr>
        <sz val="8"/>
        <color theme="1"/>
        <rFont val="Calibri"/>
        <family val="2"/>
        <scheme val="minor"/>
      </rPr>
      <t>[mit Jürgen Thormann 2, Fanny]</t>
    </r>
  </si>
  <si>
    <t>#61 - Das Schienen-Monster</t>
  </si>
  <si>
    <t>#62 - Aufbruch ins All</t>
  </si>
  <si>
    <t>#65 - Alarm im Dino-Park</t>
  </si>
  <si>
    <t>#66 - Geheimnis im Meer</t>
  </si>
  <si>
    <t>#67 - Die Musikdiebe</t>
  </si>
  <si>
    <t>#68 - Zombie-Alarm</t>
  </si>
  <si>
    <t>http://podcasters.spotify.com/pod/show/beachcast/</t>
  </si>
  <si>
    <t>Teaser: beachcast - ein neuer drei Fragezeichen Podcast</t>
  </si>
  <si>
    <t>http://dasgeheimnisderbuecher.podigee.io/</t>
  </si>
  <si>
    <r>
      <t>Das Geheimnis der Bücher (DGdB)</t>
    </r>
    <r>
      <rPr>
        <sz val="11"/>
        <color theme="1"/>
        <rFont val="Calibri"/>
        <family val="2"/>
        <scheme val="minor"/>
      </rPr>
      <t xml:space="preserve"> - Der drei Fragezeichen-Bücher-Podcast </t>
    </r>
    <r>
      <rPr>
        <sz val="11"/>
        <color theme="0"/>
        <rFont val="Calibri"/>
        <family val="2"/>
        <scheme val="minor"/>
      </rPr>
      <t>(seit 23. Dezember 2022)</t>
    </r>
  </si>
  <si>
    <t>Folge 057: Ein Fall für die Rosen (01) – Die Kathedrale der Macht</t>
  </si>
  <si>
    <t>DDx</t>
  </si>
  <si>
    <t>SSP #118.9: Die spezialgelagerte Jahresvorschau (2023)</t>
  </si>
  <si>
    <t>Abfahrt</t>
  </si>
  <si>
    <t>Folge 101 - Abfahrt A2 und der tanzende Teufel</t>
  </si>
  <si>
    <t>Folge 105 - Abfahrt A2 und der verschwundene Schatz</t>
  </si>
  <si>
    <t>Folge 109 - Abfahrt A2 und das Aztekenschwert</t>
  </si>
  <si>
    <t>Folge 113 - Abfahrt A2 und die silberne Spinne</t>
  </si>
  <si>
    <t>Folge 118 - Abfahrt A2 und die singende Schlange</t>
  </si>
  <si>
    <t>Folge 122 - Abfahrt A2 und die Silbermine</t>
  </si>
  <si>
    <t>Folge 126 - Abfahrt A2 und der magische Kreis</t>
  </si>
  <si>
    <t>Folge 128 - Der Hörspiel-Nerd-Cast</t>
  </si>
  <si>
    <t>Folge 131 - Abfahrt A2 und der Doppelgänger</t>
  </si>
  <si>
    <t>Folge 135 - Die Originalmusik</t>
  </si>
  <si>
    <t>Folge 140 - Abfahrt A2 und das Riff der Haie</t>
  </si>
  <si>
    <t>Folge 144 - Abfahrt A2 und das Narbengesicht</t>
  </si>
  <si>
    <t>Folge 148 - Abfahrt A2 und der Ameisenmensch</t>
  </si>
  <si>
    <t>Folge 152 - Abfahrt A2 und die bedrohte Ranch</t>
  </si>
  <si>
    <t>Folge 156 - Abfahrt A2 und der rote Pirat</t>
  </si>
  <si>
    <t>http://www.podcast.de/podcast/3048610/die-dritte-abfahrt</t>
  </si>
  <si>
    <t>http://www.podcast.de/podcast/764751/abfahrt-a2</t>
  </si>
  <si>
    <r>
      <t xml:space="preserve">Folge </t>
    </r>
    <r>
      <rPr>
        <sz val="1"/>
        <color theme="1"/>
        <rFont val="Calibri"/>
        <family val="2"/>
        <scheme val="minor"/>
      </rPr>
      <t>0</t>
    </r>
    <r>
      <rPr>
        <sz val="11"/>
        <color theme="1"/>
        <rFont val="Calibri"/>
        <family val="2"/>
        <scheme val="minor"/>
      </rPr>
      <t>14 - Abfahrt A2 und der Super-Papagei</t>
    </r>
  </si>
  <si>
    <r>
      <t xml:space="preserve">Folge </t>
    </r>
    <r>
      <rPr>
        <sz val="1"/>
        <color theme="1"/>
        <rFont val="Calibri"/>
        <family val="2"/>
        <scheme val="minor"/>
      </rPr>
      <t>0</t>
    </r>
    <r>
      <rPr>
        <sz val="11"/>
        <color theme="1"/>
        <rFont val="Calibri"/>
        <family val="2"/>
        <scheme val="minor"/>
      </rPr>
      <t>19 - Abfahrt A2 und der Phantomsee</t>
    </r>
  </si>
  <si>
    <r>
      <t xml:space="preserve">Folge </t>
    </r>
    <r>
      <rPr>
        <sz val="1"/>
        <color theme="1"/>
        <rFont val="Calibri"/>
        <family val="2"/>
        <scheme val="minor"/>
      </rPr>
      <t>0</t>
    </r>
    <r>
      <rPr>
        <sz val="11"/>
        <color theme="1"/>
        <rFont val="Calibri"/>
        <family val="2"/>
        <scheme val="minor"/>
      </rPr>
      <t>23 - Abfahrt A2 und der Karpatenhund</t>
    </r>
  </si>
  <si>
    <r>
      <t xml:space="preserve">Folge </t>
    </r>
    <r>
      <rPr>
        <sz val="1"/>
        <color theme="1"/>
        <rFont val="Calibri"/>
        <family val="2"/>
        <scheme val="minor"/>
      </rPr>
      <t>0</t>
    </r>
    <r>
      <rPr>
        <sz val="11"/>
        <color theme="1"/>
        <rFont val="Calibri"/>
        <family val="2"/>
        <scheme val="minor"/>
      </rPr>
      <t>28 - Abfahrt A2 und die schwarze Katze</t>
    </r>
  </si>
  <si>
    <r>
      <t xml:space="preserve">Folge </t>
    </r>
    <r>
      <rPr>
        <sz val="1"/>
        <color theme="1"/>
        <rFont val="Calibri"/>
        <family val="2"/>
        <scheme val="minor"/>
      </rPr>
      <t>0</t>
    </r>
    <r>
      <rPr>
        <sz val="11"/>
        <color theme="1"/>
        <rFont val="Calibri"/>
        <family val="2"/>
        <scheme val="minor"/>
      </rPr>
      <t>32 - Abfahrt A2 und der Fluch des Rubins</t>
    </r>
  </si>
  <si>
    <r>
      <t xml:space="preserve">Folge </t>
    </r>
    <r>
      <rPr>
        <sz val="1"/>
        <color theme="1"/>
        <rFont val="Calibri"/>
        <family val="2"/>
        <scheme val="minor"/>
      </rPr>
      <t>0</t>
    </r>
    <r>
      <rPr>
        <sz val="11"/>
        <color theme="1"/>
        <rFont val="Calibri"/>
        <family val="2"/>
        <scheme val="minor"/>
      </rPr>
      <t>36 - Abfahrt A2 und der sprechende Totenkopf</t>
    </r>
  </si>
  <si>
    <r>
      <t xml:space="preserve">Folge </t>
    </r>
    <r>
      <rPr>
        <sz val="1"/>
        <color theme="1"/>
        <rFont val="Calibri"/>
        <family val="2"/>
        <scheme val="minor"/>
      </rPr>
      <t>0</t>
    </r>
    <r>
      <rPr>
        <sz val="11"/>
        <color theme="1"/>
        <rFont val="Calibri"/>
        <family val="2"/>
        <scheme val="minor"/>
      </rPr>
      <t>41 - Abfahrt A2 und der unheimliche Drache</t>
    </r>
  </si>
  <si>
    <r>
      <t xml:space="preserve">Folge </t>
    </r>
    <r>
      <rPr>
        <sz val="1"/>
        <color theme="1"/>
        <rFont val="Calibri"/>
        <family val="2"/>
        <scheme val="minor"/>
      </rPr>
      <t>0</t>
    </r>
    <r>
      <rPr>
        <sz val="11"/>
        <color theme="1"/>
        <rFont val="Calibri"/>
        <family val="2"/>
        <scheme val="minor"/>
      </rPr>
      <t>45 - Abfahrt A2 und der grüne Geist</t>
    </r>
  </si>
  <si>
    <r>
      <t xml:space="preserve">Folge </t>
    </r>
    <r>
      <rPr>
        <sz val="1"/>
        <color theme="1"/>
        <rFont val="Calibri"/>
        <family val="2"/>
        <scheme val="minor"/>
      </rPr>
      <t>0</t>
    </r>
    <r>
      <rPr>
        <sz val="11"/>
        <color theme="1"/>
        <rFont val="Calibri"/>
        <family val="2"/>
        <scheme val="minor"/>
      </rPr>
      <t>49 - Abfahrt A2 und die rätselhaften Bilder</t>
    </r>
  </si>
  <si>
    <r>
      <t xml:space="preserve">Folge </t>
    </r>
    <r>
      <rPr>
        <sz val="1"/>
        <color theme="1"/>
        <rFont val="Calibri"/>
        <family val="2"/>
        <scheme val="minor"/>
      </rPr>
      <t>0</t>
    </r>
    <r>
      <rPr>
        <sz val="11"/>
        <color theme="1"/>
        <rFont val="Calibri"/>
        <family val="2"/>
        <scheme val="minor"/>
      </rPr>
      <t>54 - Abfahrt A2 und die flüsternde Mumie</t>
    </r>
  </si>
  <si>
    <r>
      <t xml:space="preserve">Folge </t>
    </r>
    <r>
      <rPr>
        <sz val="1"/>
        <color theme="1"/>
        <rFont val="Calibri"/>
        <family val="2"/>
        <scheme val="minor"/>
      </rPr>
      <t>0</t>
    </r>
    <r>
      <rPr>
        <sz val="11"/>
        <color theme="1"/>
        <rFont val="Calibri"/>
        <family val="2"/>
        <scheme val="minor"/>
      </rPr>
      <t>58 - Abfahrt A2 und das Gespensterschloss</t>
    </r>
  </si>
  <si>
    <r>
      <t xml:space="preserve">Folge </t>
    </r>
    <r>
      <rPr>
        <sz val="1"/>
        <color theme="1"/>
        <rFont val="Calibri"/>
        <family val="2"/>
        <scheme val="minor"/>
      </rPr>
      <t>0</t>
    </r>
    <r>
      <rPr>
        <sz val="11"/>
        <color theme="1"/>
        <rFont val="Calibri"/>
        <family val="2"/>
        <scheme val="minor"/>
      </rPr>
      <t>62 - Abfahrt A2 und der seltsame Wecker</t>
    </r>
  </si>
  <si>
    <r>
      <t xml:space="preserve">Folge </t>
    </r>
    <r>
      <rPr>
        <sz val="1"/>
        <color theme="1"/>
        <rFont val="Calibri"/>
        <family val="2"/>
        <scheme val="minor"/>
      </rPr>
      <t>0</t>
    </r>
    <r>
      <rPr>
        <sz val="11"/>
        <color theme="1"/>
        <rFont val="Calibri"/>
        <family val="2"/>
        <scheme val="minor"/>
      </rPr>
      <t>67 - Abfahrt A2 und der lachende Schatten</t>
    </r>
  </si>
  <si>
    <r>
      <t xml:space="preserve">Folge </t>
    </r>
    <r>
      <rPr>
        <sz val="1"/>
        <color theme="1"/>
        <rFont val="Calibri"/>
        <family val="2"/>
        <scheme val="minor"/>
      </rPr>
      <t>0</t>
    </r>
    <r>
      <rPr>
        <sz val="11"/>
        <color theme="1"/>
        <rFont val="Calibri"/>
        <family val="2"/>
        <scheme val="minor"/>
      </rPr>
      <t>71 - Abfahrt A2 und das Bergmonster</t>
    </r>
  </si>
  <si>
    <r>
      <t xml:space="preserve">Folge </t>
    </r>
    <r>
      <rPr>
        <sz val="1"/>
        <color theme="1"/>
        <rFont val="Calibri"/>
        <family val="2"/>
        <scheme val="minor"/>
      </rPr>
      <t>0</t>
    </r>
    <r>
      <rPr>
        <sz val="11"/>
        <color theme="1"/>
        <rFont val="Calibri"/>
        <family val="2"/>
        <scheme val="minor"/>
      </rPr>
      <t>74 - Die Sprecher Folge</t>
    </r>
  </si>
  <si>
    <r>
      <t xml:space="preserve">Folge </t>
    </r>
    <r>
      <rPr>
        <sz val="1"/>
        <color theme="1"/>
        <rFont val="Calibri"/>
        <family val="2"/>
        <scheme val="minor"/>
      </rPr>
      <t>0</t>
    </r>
    <r>
      <rPr>
        <sz val="11"/>
        <color theme="1"/>
        <rFont val="Calibri"/>
        <family val="2"/>
        <scheme val="minor"/>
      </rPr>
      <t>75 - Abfahrt A2 und der rasende Löwe</t>
    </r>
  </si>
  <si>
    <r>
      <t xml:space="preserve">Folge </t>
    </r>
    <r>
      <rPr>
        <sz val="1"/>
        <color theme="1"/>
        <rFont val="Calibri"/>
        <family val="2"/>
        <scheme val="minor"/>
      </rPr>
      <t>0</t>
    </r>
    <r>
      <rPr>
        <sz val="11"/>
        <color theme="1"/>
        <rFont val="Calibri"/>
        <family val="2"/>
        <scheme val="minor"/>
      </rPr>
      <t>80 - Abfahrt A2 und der Zauberspiegel</t>
    </r>
  </si>
  <si>
    <r>
      <t xml:space="preserve">Folge </t>
    </r>
    <r>
      <rPr>
        <sz val="1"/>
        <color theme="1"/>
        <rFont val="Calibri"/>
        <family val="2"/>
        <scheme val="minor"/>
      </rPr>
      <t>0</t>
    </r>
    <r>
      <rPr>
        <sz val="11"/>
        <color theme="1"/>
        <rFont val="Calibri"/>
        <family val="2"/>
        <scheme val="minor"/>
      </rPr>
      <t>84 - Abfahrt A2 und die gefährliche Erbschaft</t>
    </r>
  </si>
  <si>
    <r>
      <t xml:space="preserve">Folge </t>
    </r>
    <r>
      <rPr>
        <sz val="1"/>
        <color theme="1"/>
        <rFont val="Calibri"/>
        <family val="2"/>
        <scheme val="minor"/>
      </rPr>
      <t>0</t>
    </r>
    <r>
      <rPr>
        <sz val="11"/>
        <color theme="1"/>
        <rFont val="Calibri"/>
        <family val="2"/>
        <scheme val="minor"/>
      </rPr>
      <t>88 - Abfahrt A2 und die Geisterinsel</t>
    </r>
  </si>
  <si>
    <r>
      <t xml:space="preserve">Folge </t>
    </r>
    <r>
      <rPr>
        <sz val="1"/>
        <color theme="1"/>
        <rFont val="Calibri"/>
        <family val="2"/>
        <scheme val="minor"/>
      </rPr>
      <t>0</t>
    </r>
    <r>
      <rPr>
        <sz val="11"/>
        <color theme="1"/>
        <rFont val="Calibri"/>
        <family val="2"/>
        <scheme val="minor"/>
      </rPr>
      <t>93 - Abfahrt A2 und der Teufelsberg</t>
    </r>
  </si>
  <si>
    <r>
      <t xml:space="preserve">Folge </t>
    </r>
    <r>
      <rPr>
        <sz val="1"/>
        <color theme="1"/>
        <rFont val="Calibri"/>
        <family val="2"/>
        <scheme val="minor"/>
      </rPr>
      <t>0</t>
    </r>
    <r>
      <rPr>
        <sz val="11"/>
        <color theme="1"/>
        <rFont val="Calibri"/>
        <family val="2"/>
        <scheme val="minor"/>
      </rPr>
      <t>97 - Abfahrt A2 und die flammende Spur</t>
    </r>
  </si>
  <si>
    <r>
      <t>Die dritte Abfahrt</t>
    </r>
    <r>
      <rPr>
        <sz val="11"/>
        <color theme="1"/>
        <rFont val="Calibri"/>
        <family val="2"/>
        <scheme val="minor"/>
      </rPr>
      <t xml:space="preserve"> - Der drei ??? Podcast von Abfahrt A2</t>
    </r>
    <r>
      <rPr>
        <b/>
        <sz val="11"/>
        <color theme="1"/>
        <rFont val="Calibri"/>
        <family val="2"/>
        <scheme val="minor"/>
      </rPr>
      <t xml:space="preserve"> </t>
    </r>
    <r>
      <rPr>
        <b/>
        <sz val="11"/>
        <color theme="0"/>
        <rFont val="Calibri"/>
        <family val="2"/>
        <scheme val="minor"/>
      </rPr>
      <t>(seit 31. Januar 2020)</t>
    </r>
  </si>
  <si>
    <t>Nachlese zu Folge 1 - Abfahrt A2 und der Superpapagei</t>
  </si>
  <si>
    <t>Nachlese zu Folge 2 - Abfahrt A2 und der Phantomsee</t>
  </si>
  <si>
    <t>Nachlese zu Folge 3 - Abfahrt A2 und der Karpatenhund</t>
  </si>
  <si>
    <t>Nachlese zu Folge 4 - Abfahrt A2 und die schwarze Katze</t>
  </si>
  <si>
    <t>Nachlese zu Folge 5 - Abfahrt A2 und der Fluch des Rubins</t>
  </si>
  <si>
    <t>#44 - Die drei ??? - Der Fluch des Drachen</t>
  </si>
  <si>
    <t>#43 feat. "Die Zentrale" - Die Dr3i - Tödliche Regie</t>
  </si>
  <si>
    <t>Trailer - #43 feat. "Die Zentrale" - Die Dr3i - Tödliche Regie</t>
  </si>
  <si>
    <t>#42 - Die drei ??? - Höhenangst</t>
  </si>
  <si>
    <r>
      <t xml:space="preserve">#XX - On Tour - Q&amp;A mit Nell &amp; Thomas </t>
    </r>
    <r>
      <rPr>
        <sz val="9"/>
        <color theme="1"/>
        <rFont val="Calibri"/>
        <family val="2"/>
        <scheme val="minor"/>
      </rPr>
      <t>[Altonaer Theater - Signale aus dem Jenseits]</t>
    </r>
  </si>
  <si>
    <r>
      <t xml:space="preserve">#XX - Die drei ??? - Erbe des Drachen </t>
    </r>
    <r>
      <rPr>
        <sz val="9"/>
        <color theme="1"/>
        <rFont val="Calibri"/>
        <family val="2"/>
        <scheme val="minor"/>
      </rPr>
      <t>[Kinofilm]</t>
    </r>
  </si>
  <si>
    <t>#41/1 - Die drei ??? - Toteninsel Part 1</t>
  </si>
  <si>
    <t>#41/2 - Die drei ??? - Toteninsel Part 2</t>
  </si>
  <si>
    <t>#41/3 - Die drei ??? - Toteninsel Part 3</t>
  </si>
  <si>
    <t>#45 - Die drei ??? - Angriff der Computer-Viren</t>
  </si>
  <si>
    <t>beachcast</t>
  </si>
  <si>
    <t>DGdB</t>
  </si>
  <si>
    <t>Folge 52: Die Schwingen der Gerechtigkeit, Die drei ??? - Die Spur des Raben featuring Leonie</t>
  </si>
  <si>
    <t>Folge 53: Die 1-Mann-Spezialeinheit, Die drei ??? und die flüsternden Puppen featuring Falk Poetz</t>
  </si>
  <si>
    <t>CB8</t>
  </si>
  <si>
    <t>Folge 54: Lost and found, Die drei ??? - Der Feuerteufel</t>
  </si>
  <si>
    <t>Drehbuch der Täuschung</t>
  </si>
  <si>
    <t>Der Tag der Toten</t>
  </si>
  <si>
    <t>Der Ruf der Krähen</t>
  </si>
  <si>
    <t>Die dritte Abfahrt</t>
  </si>
  <si>
    <t>https://www.podcast.de/podcast/3048610/die-dritte-abfahrt</t>
  </si>
  <si>
    <t>Der drei Fragezeichen-Audiocast</t>
  </si>
  <si>
    <t>Das Geheimnis der Bücher</t>
  </si>
  <si>
    <t>https://podcasters.spotify.com/pod/show/beachcast/</t>
  </si>
  <si>
    <t>https://dasgeheimnisderbuecher.podigee.io/</t>
  </si>
  <si>
    <t>http://open.spotify.com/show/6xXN9mjJ86rGw3Mz0AM0sZ</t>
  </si>
  <si>
    <t>[10] Diggytalk meets ??? - ANDRÉ MARX</t>
  </si>
  <si>
    <t>[11] Diggytalk meets ??? - JAN-FRIEDRICH CONRAD</t>
  </si>
  <si>
    <t>view-source:https://feeds.acast.com/public/shows/6318c63f6c187b00135fb38b</t>
  </si>
  <si>
    <t>[13] Diggytalk meets ??? - HEIKEDINE KÖRTING</t>
  </si>
  <si>
    <t>[15] Diggytalk meets ??? - ANDREAS RUCH</t>
  </si>
  <si>
    <t>[18] Diggytalk meets ??? - MARCO SONNLEITNER</t>
  </si>
  <si>
    <t>[19] Diggytalk meets ??? - JENS-PETER MORGENSTERN</t>
  </si>
  <si>
    <t>[20] Diggytalk meets ??? - SILVIA CHRISTOPH</t>
  </si>
  <si>
    <t>[23] Diggytalk meets ??? - CHRISTOPHER TAUBER</t>
  </si>
  <si>
    <t>[22] Diggytalk meets ??? - IVAR LEON MENGER</t>
  </si>
  <si>
    <t>[24] Diggytalk meets ??? - CHRISTIAN RODENWALD</t>
  </si>
  <si>
    <t>Diggytalk "Die drei ???" Weihnachtsspezial</t>
  </si>
  <si>
    <t>[25] Diggytalk meets ??? - KARI ERLHOFF</t>
  </si>
  <si>
    <t>[27] Diggytalk meets ??? - ANNE PAGEL</t>
  </si>
  <si>
    <t>[34] Diggytalk meets ??? - ROCKY-BEACH.COM</t>
  </si>
  <si>
    <t>[02] Diggytalk meets ??? - ANDRÉ MINNINGER</t>
  </si>
  <si>
    <t>[05] Diggytalk meets ??? - KAI SCHWIND</t>
  </si>
  <si>
    <r>
      <t>beachcast</t>
    </r>
    <r>
      <rPr>
        <sz val="11"/>
        <color theme="1"/>
        <rFont val="Calibri"/>
        <family val="2"/>
        <scheme val="minor"/>
      </rPr>
      <t xml:space="preserve"> - Der drei Fragezeichen-Audiocast </t>
    </r>
    <r>
      <rPr>
        <sz val="11"/>
        <color theme="0"/>
        <rFont val="Calibri"/>
        <family val="2"/>
        <scheme val="minor"/>
      </rPr>
      <t>(seit 23. Dezember 2022)</t>
    </r>
  </si>
  <si>
    <t>[x]</t>
  </si>
  <si>
    <r>
      <rPr>
        <b/>
        <sz val="11"/>
        <color theme="1"/>
        <rFont val="Calibri"/>
        <family val="2"/>
        <scheme val="minor"/>
      </rPr>
      <t>Diggytalk</t>
    </r>
    <r>
      <rPr>
        <sz val="11"/>
        <color theme="1"/>
        <rFont val="Calibri"/>
        <family val="2"/>
        <scheme val="minor"/>
      </rPr>
      <t xml:space="preserve"> - ein Podcast für und mit Fans </t>
    </r>
    <r>
      <rPr>
        <sz val="11"/>
        <color theme="0"/>
        <rFont val="Calibri"/>
        <family val="2"/>
        <scheme val="minor"/>
      </rPr>
      <t>(seit 3. Oktober 2021)</t>
    </r>
  </si>
  <si>
    <t>Diggytalk</t>
  </si>
  <si>
    <r>
      <t xml:space="preserve">Ankündigung </t>
    </r>
    <r>
      <rPr>
        <sz val="9"/>
        <color theme="1"/>
        <rFont val="Calibri"/>
        <family val="2"/>
        <scheme val="minor"/>
      </rPr>
      <t>[zweiter Podcast Götterkomplex]</t>
    </r>
  </si>
  <si>
    <t># 67 - ...und die lustige Rotwein Folge // Rufmord (99)</t>
  </si>
  <si>
    <t># 66 - ...und der kalte Krieg der Hosts // Dreckiger Deal (72)</t>
  </si>
  <si>
    <t># 68 - ...und Peters erste Abmahnung // Geist des Goldgräbers (177)</t>
  </si>
  <si>
    <t># 69 - ...und der lustige Satelliten Raub // Schwingen des Unheils (216)</t>
  </si>
  <si>
    <t># 70 - ...und das Jungs angelnde Sportboot // Narbengesicht (31)</t>
  </si>
  <si>
    <t>Die Drei Ausrufezeichen und die spaßige Sozialkritik // Herzklopfen (25)</t>
  </si>
  <si>
    <t>!!!39</t>
  </si>
  <si>
    <t>!!!25</t>
  </si>
  <si>
    <t>MK4</t>
  </si>
  <si>
    <t>MK Shorts - Kommentar: Drei Ausrufezeichen und Feminismus</t>
  </si>
  <si>
    <t># 71 - ...und der unnötige Trigger // Spur des Raben (75)</t>
  </si>
  <si>
    <t>Unter Anführungszeichen #27: Die drei ??? - Der Geist des Goldgräbers (177)</t>
  </si>
  <si>
    <t>Spezialgelagerte Sonderfolge #4 - TKKG 116: Klassenfahrt zur Hexenburg (mit Malte Küppers)</t>
  </si>
  <si>
    <t>TKKG116</t>
  </si>
  <si>
    <t>Unter Anführungszeichen #28: Die drei ??? und die Automafia (53)</t>
  </si>
  <si>
    <t>Unter Anführungszeichen #29: Die drei ??? und der unsichtbare Passagier (189)</t>
  </si>
  <si>
    <t>Folge 28: Labyrinth der Götter und die sieben Tore</t>
  </si>
  <si>
    <t>91/108</t>
  </si>
  <si>
    <t>05/213</t>
  </si>
  <si>
    <t>Folge 29: Fluch des Rubins und Fluch der Medusa</t>
  </si>
  <si>
    <t>Fluch des Rubins</t>
  </si>
  <si>
    <t>Fluch der Medusa</t>
  </si>
  <si>
    <t>Folge 30: Der unheimliche Drache und Fels der Dämonen</t>
  </si>
  <si>
    <t>07/133</t>
  </si>
  <si>
    <t>#24 | #152 Forever Young... Bert Young</t>
  </si>
  <si>
    <t>Die silberne Spinne</t>
  </si>
  <si>
    <t>#25 | #196 Nach müde kommt albern</t>
  </si>
  <si>
    <t>25/196</t>
  </si>
  <si>
    <t>#26 | #148 Chemiestunde mit Elly</t>
  </si>
  <si>
    <t>26/148</t>
  </si>
  <si>
    <t>27/221</t>
  </si>
  <si>
    <t>Der magische Kreis</t>
  </si>
  <si>
    <t>Folgenanalyse zu 'Die drei ??? - und die gefährliche Erbschaft (17)'</t>
  </si>
  <si>
    <t>Special - Besprechung zum Kinofilm 'Die drei ??? - Erbe des Drachen'</t>
  </si>
  <si>
    <t>Unter Anführungszeichen #30: Die drei ??? und der Ameisenmensch (32)</t>
  </si>
  <si>
    <t>SF01</t>
  </si>
  <si>
    <t>SF02</t>
  </si>
  <si>
    <t>SF03</t>
  </si>
  <si>
    <t>SF04</t>
  </si>
  <si>
    <t>SF05</t>
  </si>
  <si>
    <t>SF06</t>
  </si>
  <si>
    <t>SF07</t>
  </si>
  <si>
    <t>SF08</t>
  </si>
  <si>
    <t>SF09</t>
  </si>
  <si>
    <t>Die drei ??? - Record Release Feature zum Hörspiel-Adventskalender 2022 | Sonder Podcast</t>
  </si>
  <si>
    <t>HB21</t>
  </si>
  <si>
    <t>Die drei ??? Podcast - Holger Mahlich im Interview [gefährliche Erbschaft [17]</t>
  </si>
  <si>
    <t>Die drei ??? - Record Release Feature Folge 221 | Sonder Podcast</t>
  </si>
  <si>
    <r>
      <t xml:space="preserve">#69 - Tatort Kletterpark </t>
    </r>
    <r>
      <rPr>
        <sz val="8"/>
        <color theme="1"/>
        <rFont val="Calibri"/>
        <family val="2"/>
        <scheme val="minor"/>
      </rPr>
      <t>[aufgenommen: 23./24.03.23]</t>
    </r>
  </si>
  <si>
    <t>VP075 Vinylopresso &amp; DER VINYLIST Fan Special zu den drei Fragezeichen ??? mit Cally Stronk und Christian Friedrich</t>
  </si>
  <si>
    <t>VP078 Vinylopresso &amp; DER VINYLIST Fan Special zu den drei Fragezeichen ??? mit Malte Janssen</t>
  </si>
  <si>
    <t>OhrCast 129-3 Rückhör Januar 2023, Die drei ??? (220) Im Wald der Gefahren</t>
  </si>
  <si>
    <t>OhrCast 130-2 Voraushör März 2023, Die drei ??? (221) Manuskript des Satans</t>
  </si>
  <si>
    <t>Folge 160 - Abfahrt A2 und der Höhlenmensch</t>
  </si>
  <si>
    <t>Folge 8 [Staffel 2]: Ivar-Leon Menger, vom ???-Fan zum Hörspielautor der Kultserie (und vielem mehr)</t>
  </si>
  <si>
    <t>Folge 9 [Staffel 2]: Jan-Friedrich Conrad, Komponist des ???-Vocoder-Intros (uvm.)</t>
  </si>
  <si>
    <t>Die allererste Folge - Superpapagei vs. Wetterelefant</t>
  </si>
  <si>
    <r>
      <t xml:space="preserve">#64 - Jagd auf das Dino-Ei </t>
    </r>
    <r>
      <rPr>
        <sz val="8"/>
        <color theme="1"/>
        <rFont val="Calibri"/>
        <family val="2"/>
        <scheme val="minor"/>
      </rPr>
      <t>[aufgenommen: 02.02.23]</t>
    </r>
  </si>
  <si>
    <r>
      <t xml:space="preserve">#63 - Rückkehr der Saurier </t>
    </r>
    <r>
      <rPr>
        <sz val="8"/>
        <color theme="1"/>
        <rFont val="Calibri"/>
        <family val="2"/>
        <scheme val="minor"/>
      </rPr>
      <t>[aufgenommen: 24.01.23]</t>
    </r>
  </si>
  <si>
    <r>
      <t xml:space="preserve">Der Bobcast und das Aztekenschwert (Season 2, Ep. 23) </t>
    </r>
    <r>
      <rPr>
        <sz val="8"/>
        <color theme="1"/>
        <rFont val="Calibri"/>
        <family val="2"/>
        <scheme val="minor"/>
      </rPr>
      <t>[mit Bastian Pastewka 4]</t>
    </r>
  </si>
  <si>
    <t>#41: "Die Drei Fragezeichen - Im Bann des Voodoo"</t>
  </si>
  <si>
    <r>
      <t xml:space="preserve">SSP #54: Die drei ??? – Das Auge des Drachen (113) </t>
    </r>
    <r>
      <rPr>
        <sz val="8"/>
        <color theme="1"/>
        <rFont val="Calibri"/>
        <family val="2"/>
        <scheme val="minor"/>
      </rPr>
      <t>[Christins Geburtstagsfolge 1]</t>
    </r>
  </si>
  <si>
    <r>
      <t xml:space="preserve">SSP #80: Die drei ??? und der Hexengarten (184) mit Christin </t>
    </r>
    <r>
      <rPr>
        <sz val="8"/>
        <color theme="1"/>
        <rFont val="Calibri"/>
        <family val="2"/>
        <scheme val="minor"/>
      </rPr>
      <t>[Christins Geburtstagsfolge 2]</t>
    </r>
  </si>
  <si>
    <r>
      <t xml:space="preserve">SSP #102: Die drei ??? – Die Karten des Bösen (82) </t>
    </r>
    <r>
      <rPr>
        <sz val="8"/>
        <color theme="1"/>
        <rFont val="Calibri"/>
        <family val="2"/>
        <scheme val="minor"/>
      </rPr>
      <t>[Christins Geburtstagsfolge 3]</t>
    </r>
  </si>
  <si>
    <r>
      <t xml:space="preserve">SSP #121: Die drei ??? – Auf tödlichem Kurs (115) </t>
    </r>
    <r>
      <rPr>
        <sz val="8"/>
        <color theme="1"/>
        <rFont val="Calibri"/>
        <family val="2"/>
        <scheme val="minor"/>
      </rPr>
      <t>[Christins Geburtstagsfolge 4]</t>
    </r>
  </si>
  <si>
    <t>[35] Diggytalk meets ??? - MATTHIAS BOGUCKI</t>
  </si>
  <si>
    <t>SSP #123: Die drei ??? – Die falschen Detektive (207)</t>
  </si>
  <si>
    <r>
      <t xml:space="preserve">#70 - Diamantenjagd </t>
    </r>
    <r>
      <rPr>
        <sz val="8"/>
        <color theme="1"/>
        <rFont val="Calibri"/>
        <family val="2"/>
        <scheme val="minor"/>
      </rPr>
      <t>[aufgenommen: 30.03.23]</t>
    </r>
  </si>
  <si>
    <t>#03 DGdB und die Schwarze Madonna - Peter in der Zeitung, Bob in der Dunkelkammer, Justus im Knast</t>
  </si>
  <si>
    <t>#02 DGdB und die Fußball-Falle - Flüche, Fallen und dicke Engel - ausgerechnet eine Sportfolge!?</t>
  </si>
  <si>
    <t>#01 DGdB und das Gespensterschloss - Gipsbein, Visitenkarte, Rolls Royce, Kreide und ganz viel Angst - Das allererste Buch</t>
  </si>
  <si>
    <t>#00 Die Null-Folge von "Das Geheimnis der Bücher" - Warum braucht man den neuen ???-Bücher-Podcast unbedingt?</t>
  </si>
  <si>
    <t>#04 DGdB und die flüsternden Puppen - Schließlich-Zähler-Justus, Panik-Peter, Visitenkarten-Bob</t>
  </si>
  <si>
    <t>#27 | #221 Satana*sch</t>
  </si>
  <si>
    <t>Out7</t>
  </si>
  <si>
    <t>Rocky Beach Crimes - Tödliche Törtchen (Outtake)</t>
  </si>
  <si>
    <t>Podcast 1</t>
  </si>
  <si>
    <t>VÖ 1</t>
  </si>
  <si>
    <t>Podcast 2</t>
  </si>
  <si>
    <t>VÖ 2</t>
  </si>
  <si>
    <t>Podcast 3</t>
  </si>
  <si>
    <t>VÖ 3</t>
  </si>
  <si>
    <t>Podcast 4</t>
  </si>
  <si>
    <t>VÖ 4</t>
  </si>
  <si>
    <t xml:space="preserve"> Podcast 5</t>
  </si>
  <si>
    <t>VÖ 5</t>
  </si>
  <si>
    <t xml:space="preserve"> Podcast 6</t>
  </si>
  <si>
    <t>VÖ 6</t>
  </si>
  <si>
    <t>Das Seeungeheuer</t>
  </si>
  <si>
    <t/>
  </si>
  <si>
    <t>Die Pforte zum Jenseits</t>
  </si>
  <si>
    <t>Verschollen in der Zeit</t>
  </si>
  <si>
    <t>Zug um Zug</t>
  </si>
  <si>
    <t>Das Haus der 1000 Rätsel</t>
  </si>
  <si>
    <t>Tödliche Regie</t>
  </si>
  <si>
    <t>… und der kopflose Reiter</t>
  </si>
  <si>
    <t>Der Jahrhundertstein</t>
  </si>
  <si>
    <t>Das lebende Gemälde</t>
  </si>
  <si>
    <t>Die unterirdische Kathedrale</t>
  </si>
  <si>
    <t>Der 5. Advent (2012)</t>
  </si>
  <si>
    <t>Stille Nacht, düstere Nacht (2015)</t>
  </si>
  <si>
    <t>O du finstere (2020)</t>
  </si>
  <si>
    <t>Eine schreckliche Bescherung (2022)</t>
  </si>
  <si>
    <t>Das amerikanische Original - The Three Investigators</t>
  </si>
  <si>
    <t>Versprecher bei den drei Fragezeichen</t>
  </si>
  <si>
    <t>Die drei Fragezeichen und die Rache des Carlos (Parodie 6)</t>
  </si>
  <si>
    <t>Erwachsenen-Themen bei den drei Fragezeichen</t>
  </si>
  <si>
    <t>Ewig das Gleiche Part II</t>
  </si>
  <si>
    <t>Review - 106 Der Mann ohne Kopf</t>
  </si>
  <si>
    <r>
      <t xml:space="preserve">#71 - Monster-Wolken </t>
    </r>
    <r>
      <rPr>
        <sz val="8"/>
        <color theme="1"/>
        <rFont val="Calibri"/>
        <family val="2"/>
        <scheme val="minor"/>
      </rPr>
      <t>[aufgenommen: 05.04.23]</t>
    </r>
  </si>
  <si>
    <t>http://dreiraetselleichen.podigee.io/</t>
  </si>
  <si>
    <r>
      <rPr>
        <b/>
        <sz val="11"/>
        <rFont val="Calibri"/>
        <family val="2"/>
        <scheme val="minor"/>
      </rPr>
      <t>Die drei Rätselleichen</t>
    </r>
    <r>
      <rPr>
        <sz val="11"/>
        <rFont val="Calibri"/>
        <family val="2"/>
        <scheme val="minor"/>
      </rPr>
      <t xml:space="preserve"> - wöchentlicher Podcast von Fans für Fans</t>
    </r>
  </si>
  <si>
    <t>01 Geheimakte Podcast</t>
  </si>
  <si>
    <t>02 Die Schwingen des Urteils</t>
  </si>
  <si>
    <t>03 Die Super-Folge-Drei</t>
  </si>
  <si>
    <t>04 Der heimliche Fehler</t>
  </si>
  <si>
    <t>05 Master of Stress</t>
  </si>
  <si>
    <t>06 Podcast im Park</t>
  </si>
  <si>
    <t>07 gefährlicher Mix</t>
  </si>
  <si>
    <t>08 Der verschwundene Satz</t>
  </si>
  <si>
    <t>09 die silberne Stimme</t>
  </si>
  <si>
    <t>10 verhextes Handy</t>
  </si>
  <si>
    <t>11 und der Feierteufel</t>
  </si>
  <si>
    <t>12 Der goldene Schwerdtfeger</t>
  </si>
  <si>
    <t>13 Gefährlicher Mix II</t>
  </si>
  <si>
    <t>14 Gefährlicher Stolz</t>
  </si>
  <si>
    <t>Leichen</t>
  </si>
  <si>
    <t>28/211</t>
  </si>
  <si>
    <t>Der Doppelgänger</t>
  </si>
  <si>
    <t>Der Jadekönig</t>
  </si>
  <si>
    <t>[36] Diggytalk meets ??? - VALENTIN RÖVENSTRUNCK</t>
  </si>
  <si>
    <t>[32] Diggytalk meets ??? - BRIGITTE JOHANNA HENKEL-WAIDHOFER</t>
  </si>
  <si>
    <r>
      <rPr>
        <b/>
        <sz val="11"/>
        <color theme="1"/>
        <rFont val="Calibri"/>
        <family val="2"/>
        <scheme val="minor"/>
      </rPr>
      <t>Die tosende Hollywoodschaukel</t>
    </r>
    <r>
      <rPr>
        <sz val="11"/>
        <color theme="1"/>
        <rFont val="Calibri"/>
        <family val="2"/>
        <scheme val="minor"/>
      </rPr>
      <t xml:space="preserve"> - Der TKKG Podcast </t>
    </r>
    <r>
      <rPr>
        <sz val="11"/>
        <color theme="0"/>
        <rFont val="Calibri"/>
        <family val="2"/>
        <scheme val="minor"/>
      </rPr>
      <t>(seit 12. Juni 2021)</t>
    </r>
    <r>
      <rPr>
        <sz val="11"/>
        <color theme="1"/>
        <rFont val="Calibri"/>
        <family val="2"/>
        <scheme val="minor"/>
      </rPr>
      <t xml:space="preserve"> 
</t>
    </r>
    <r>
      <rPr>
        <sz val="9"/>
        <color theme="1"/>
        <rFont val="Calibri"/>
        <family val="2"/>
        <scheme val="minor"/>
      </rPr>
      <t>(zuvor "Die Rasende Hängematte" - Neues aus der Millionenstadt  19. Februar 2021 - 14. Mai 2021)</t>
    </r>
  </si>
  <si>
    <r>
      <t xml:space="preserve">[SPECIAL] Zwei Jahre KaffeekannenTalk! </t>
    </r>
    <r>
      <rPr>
        <sz val="8"/>
        <color theme="1"/>
        <rFont val="Calibri"/>
        <family val="2"/>
        <scheme val="minor"/>
      </rPr>
      <t>[aufgenommen: 08.04.23]</t>
    </r>
  </si>
  <si>
    <r>
      <t xml:space="preserve">Der Bobcast und die silberne Spinne (Season 2, Ep. 24) </t>
    </r>
    <r>
      <rPr>
        <sz val="8"/>
        <color theme="1"/>
        <rFont val="Calibri"/>
        <family val="2"/>
        <scheme val="minor"/>
      </rPr>
      <t>[mit Bastian Pastewka 5]</t>
    </r>
  </si>
  <si>
    <r>
      <t xml:space="preserve">SSP #122: Die drei ??? – Das leere Grab (78) </t>
    </r>
    <r>
      <rPr>
        <sz val="8"/>
        <color theme="1"/>
        <rFont val="Calibri"/>
        <family val="2"/>
        <scheme val="minor"/>
      </rPr>
      <t>[Justus-Voting-Folge]</t>
    </r>
  </si>
  <si>
    <r>
      <t xml:space="preserve">SSP #120: Die drei ??? und die Teufelsklippe (219) </t>
    </r>
    <r>
      <rPr>
        <sz val="8"/>
        <color theme="1"/>
        <rFont val="Calibri"/>
        <family val="2"/>
        <scheme val="minor"/>
      </rPr>
      <t>[Peter-Voting-Folge]</t>
    </r>
  </si>
  <si>
    <r>
      <t xml:space="preserve">SSP #119: Die drei ??? – Rufmord (99) </t>
    </r>
    <r>
      <rPr>
        <sz val="8"/>
        <color theme="1"/>
        <rFont val="Calibri"/>
        <family val="2"/>
        <scheme val="minor"/>
      </rPr>
      <t>[Bob-Voting-Folge]</t>
    </r>
  </si>
  <si>
    <t>Sonderfolge: Endlich mal Tote!, Rocky Beach Crimes - Tödliche Törtchen (Tante Mathilda ermittelt)</t>
  </si>
  <si>
    <t>Sonderfolge: Bäng Bäng!, Die drei ??? - Shoot the works (Twitch Special)</t>
  </si>
  <si>
    <t>Sonderfolge: Unsere Rezension, Die drei ??? - Erbe des Drachen (Filmkritik)</t>
  </si>
  <si>
    <t>#46 - Die drei ??? - Die Schwingen des Unheils</t>
  </si>
  <si>
    <r>
      <t xml:space="preserve">SSP #124: Die drei ??? und der rote Rächer (96) </t>
    </r>
    <r>
      <rPr>
        <sz val="8"/>
        <color theme="1"/>
        <rFont val="Calibri"/>
        <family val="2"/>
        <scheme val="minor"/>
      </rPr>
      <t>[Olafs Geburtstagsfolge 6]</t>
    </r>
  </si>
  <si>
    <t>#72 - Mission Goldhund</t>
  </si>
  <si>
    <t>http://podcasters.spotify.com/pod/show/taschenlampen</t>
  </si>
  <si>
    <t>http://podcasters.spotify.com/pod/show/diedreifanatiker</t>
  </si>
  <si>
    <t>Doppelpunkt</t>
  </si>
  <si>
    <t>Doppelpunkt Episode 6 - Folge 120 Der schwarze Skorpion</t>
  </si>
  <si>
    <r>
      <t xml:space="preserve">Doppelpunkt Episode 1 - Folge </t>
    </r>
    <r>
      <rPr>
        <sz val="1"/>
        <color theme="1"/>
        <rFont val="Calibri"/>
        <family val="2"/>
        <scheme val="minor"/>
      </rPr>
      <t>0</t>
    </r>
    <r>
      <rPr>
        <sz val="11"/>
        <color theme="1"/>
        <rFont val="Calibri"/>
        <family val="2"/>
        <scheme val="minor"/>
      </rPr>
      <t>87 Wolfsgesicht</t>
    </r>
  </si>
  <si>
    <r>
      <t xml:space="preserve">Doppelpunkt Episode 2 - Folge </t>
    </r>
    <r>
      <rPr>
        <sz val="1"/>
        <color theme="1"/>
        <rFont val="Calibri"/>
        <family val="2"/>
        <scheme val="minor"/>
      </rPr>
      <t>0</t>
    </r>
    <r>
      <rPr>
        <sz val="11"/>
        <color theme="1"/>
        <rFont val="Calibri"/>
        <family val="2"/>
        <scheme val="minor"/>
      </rPr>
      <t>90 Der Feuerteufel</t>
    </r>
  </si>
  <si>
    <r>
      <t xml:space="preserve">Doppelpunkt Episode 3 - Folge </t>
    </r>
    <r>
      <rPr>
        <sz val="1"/>
        <color theme="1"/>
        <rFont val="Calibri"/>
        <family val="2"/>
        <scheme val="minor"/>
      </rPr>
      <t>0</t>
    </r>
    <r>
      <rPr>
        <sz val="11"/>
        <color theme="1"/>
        <rFont val="Calibri"/>
        <family val="2"/>
        <scheme val="minor"/>
      </rPr>
      <t>77 Pistenteufel</t>
    </r>
  </si>
  <si>
    <r>
      <t xml:space="preserve">Doppelpunkt Episode 4 - Folge </t>
    </r>
    <r>
      <rPr>
        <sz val="1"/>
        <color theme="1"/>
        <rFont val="Calibri"/>
        <family val="2"/>
        <scheme val="minor"/>
      </rPr>
      <t>0</t>
    </r>
    <r>
      <rPr>
        <sz val="11"/>
        <color theme="1"/>
        <rFont val="Calibri"/>
        <family val="2"/>
        <scheme val="minor"/>
      </rPr>
      <t>98 Tal des Schreckens</t>
    </r>
  </si>
  <si>
    <r>
      <t xml:space="preserve">Doppelpunkt Episode 5 - Folge </t>
    </r>
    <r>
      <rPr>
        <sz val="1"/>
        <color theme="1"/>
        <rFont val="Calibri"/>
        <family val="2"/>
        <scheme val="minor"/>
      </rPr>
      <t>0</t>
    </r>
    <r>
      <rPr>
        <sz val="11"/>
        <color theme="1"/>
        <rFont val="Calibri"/>
        <family val="2"/>
        <scheme val="minor"/>
      </rPr>
      <t>86 Nacht in Angst</t>
    </r>
  </si>
  <si>
    <r>
      <t>Doppelpunkt</t>
    </r>
    <r>
      <rPr>
        <sz val="11"/>
        <color theme="1"/>
        <rFont val="Calibri"/>
        <family val="2"/>
        <scheme val="minor"/>
      </rPr>
      <t xml:space="preserve"> - Der ???-Podcast </t>
    </r>
    <r>
      <rPr>
        <sz val="11"/>
        <color theme="0"/>
        <rFont val="Calibri"/>
        <family val="2"/>
        <scheme val="minor"/>
      </rPr>
      <t>(seit September 2022)</t>
    </r>
  </si>
  <si>
    <t>https://open.spotify.com/show/1EGX3oM7F8paWh5zXmBdLq</t>
  </si>
  <si>
    <t>:punkt</t>
  </si>
  <si>
    <t>#73 - Turbo-Rennen</t>
  </si>
  <si>
    <t>HB22</t>
  </si>
  <si>
    <t>Die drei ??? Podcast - Mai Thi Nguyen-Kim im Interview [rätselhafte Bilder (9)]</t>
  </si>
  <si>
    <t>Folge 55: Thomas hält ein Referat, Die drei ??? - Schüsse aus dem Dunkel</t>
  </si>
  <si>
    <t>Der Bobcast und der magische Kreis (Season 2, Ep. 27)</t>
  </si>
  <si>
    <t>Doppelpunkt Episode 7 - Folge 220 Im Wald der Gefahren</t>
  </si>
  <si>
    <t>Die drei ??? - Record Release Feature Folge 222 | Sonder Podcast</t>
  </si>
  <si>
    <t>#47 - Die drei ??? - Meuterei auf hoher See</t>
  </si>
  <si>
    <t>#48 - Die drei ??? - Nacht der Tiger</t>
  </si>
  <si>
    <t>#49 - Die drei ??? - Der verschwundene Filmstar</t>
  </si>
  <si>
    <t>Unter Anführungszeichen #31: Die drei ??? - SMS aus dem Grab (129)</t>
  </si>
  <si>
    <t># 72 - ...Kindheitstrauma für 29,99 // Kristallschädel (217)</t>
  </si>
  <si>
    <t>Folge 31: Der giftige Gockel und giftiges Wasser</t>
  </si>
  <si>
    <t>47/059</t>
  </si>
  <si>
    <t>Der giftige Gockel</t>
  </si>
  <si>
    <t>#28 | #211 Zweimal Nanda und zurück</t>
  </si>
  <si>
    <t>Der letzte Song</t>
  </si>
  <si>
    <t>29/183</t>
  </si>
  <si>
    <t>SSP Live #8 / SSP präsentiert: Die drei ??? und der magische Kreis</t>
  </si>
  <si>
    <r>
      <t xml:space="preserve">#74 - Gefährlicher Nebel </t>
    </r>
    <r>
      <rPr>
        <sz val="8"/>
        <color theme="1"/>
        <rFont val="Calibri"/>
        <family val="2"/>
        <scheme val="minor"/>
      </rPr>
      <t>[aufgenommen: 04.05.23]</t>
    </r>
  </si>
  <si>
    <t>KG2.1</t>
  </si>
  <si>
    <t>Die drei ???: Das Rätsel der Sieben - Der siebte Gast (Kurzgeschichte), Wenn die Katze aus dem Haus ist…</t>
  </si>
  <si>
    <t>Die drei ??? und die Geisterlampe: Entführt!, Sonderfolge: Die drei Nussknacker</t>
  </si>
  <si>
    <t>Die drei ??? und die Geisterlampe - Psychomoon, Unser Ferienprogramm</t>
  </si>
  <si>
    <r>
      <rPr>
        <b/>
        <sz val="11"/>
        <rFont val="Calibri"/>
        <family val="2"/>
        <scheme val="minor"/>
      </rPr>
      <t>Hörspiele sehen</t>
    </r>
    <r>
      <rPr>
        <sz val="11"/>
        <rFont val="Calibri"/>
        <family val="2"/>
        <scheme val="minor"/>
      </rPr>
      <t xml:space="preserve"> – Der Theater ex libris Podcast</t>
    </r>
  </si>
  <si>
    <t>http://tiemann.tv/theater-ex-libris/381-hoerspiele-sehen-der-theater-ex-libris-podcast.html</t>
  </si>
  <si>
    <t>Folge 2: Die Drei Fragezeichen – Wie alles begann mit Judith Suermann und Urs von Wulfen</t>
  </si>
  <si>
    <r>
      <t xml:space="preserve">#77 - Schatz aus dem All </t>
    </r>
    <r>
      <rPr>
        <sz val="8"/>
        <color theme="1"/>
        <rFont val="Calibri"/>
        <family val="2"/>
        <scheme val="minor"/>
      </rPr>
      <t>[aufgenommen: 14.05.23]</t>
    </r>
  </si>
  <si>
    <r>
      <t xml:space="preserve">#76 - Im Geistergarten </t>
    </r>
    <r>
      <rPr>
        <sz val="8"/>
        <color theme="1"/>
        <rFont val="Calibri"/>
        <family val="2"/>
        <scheme val="minor"/>
      </rPr>
      <t>[aufgenommen: 13.05.23]</t>
    </r>
  </si>
  <si>
    <r>
      <t xml:space="preserve">#75 - Falsches Gold </t>
    </r>
    <r>
      <rPr>
        <sz val="8"/>
        <color theme="1"/>
        <rFont val="Calibri"/>
        <family val="2"/>
        <scheme val="minor"/>
      </rPr>
      <t>[aufgenommen: 09.05.23]</t>
    </r>
  </si>
  <si>
    <t>#50 - Die drei ??? - Master of Chess</t>
  </si>
  <si>
    <r>
      <t xml:space="preserve">#XX - On Tour - Ein kleines bisschen Fan-Tagebuch </t>
    </r>
    <r>
      <rPr>
        <sz val="9"/>
        <color theme="1"/>
        <rFont val="Calibri"/>
        <family val="2"/>
        <scheme val="minor"/>
      </rPr>
      <t>[Live Events]</t>
    </r>
  </si>
  <si>
    <r>
      <t xml:space="preserve">#78 - Falscher Alarm </t>
    </r>
    <r>
      <rPr>
        <sz val="8"/>
        <color theme="1"/>
        <rFont val="Calibri"/>
        <family val="2"/>
        <scheme val="minor"/>
      </rPr>
      <t>[aufgenommen: 28.05.23]</t>
    </r>
  </si>
  <si>
    <r>
      <t xml:space="preserve">#79 - Gefahr im Spiegelkabinett </t>
    </r>
    <r>
      <rPr>
        <sz val="8"/>
        <color theme="1"/>
        <rFont val="Calibri"/>
        <family val="2"/>
        <scheme val="minor"/>
      </rPr>
      <t>[aufgenommen: 29.05.23]</t>
    </r>
  </si>
  <si>
    <t>#05 DGdB und das blaue Biest - HEY - Okayokayokay - und ein Wiedersehen nach 35 Jahren</t>
  </si>
  <si>
    <t>#XX - Folge 50 - Livestream Ankündigung</t>
  </si>
  <si>
    <t>#46: "Die Drei Fragezeichen und das Riff der Haie"</t>
  </si>
  <si>
    <t># 73 - ...und Silent Hill für Arme // Die brennende Stadt (166)</t>
  </si>
  <si>
    <t># 74 - ...ein wirklicher Abschluss // Das leere Grab (78)</t>
  </si>
  <si>
    <t># 75 - ...und der äußerst tolerante Gott // Die gefährlichen Fässer (48)</t>
  </si>
  <si>
    <t>Der Bobcast Live in Soest (Schlachthof) - Stimmen aus dem Nichts</t>
  </si>
  <si>
    <t>Der Bobcast Live in Gelsenkirchen (Kulturkirche Heilig Kreuz) - Stimmen aus dem Nichts</t>
  </si>
  <si>
    <t>Der Bobcast Live in Münster (Halle Münsterland) - Stimmen aus dem Nichts</t>
  </si>
  <si>
    <r>
      <t xml:space="preserve">Der Bobcast und die singende Schlange (Season 2, Ep. 25) </t>
    </r>
    <r>
      <rPr>
        <sz val="8"/>
        <color theme="1"/>
        <rFont val="Calibri"/>
        <family val="2"/>
        <scheme val="minor"/>
      </rPr>
      <t>[mit Katrin Fröhlich 1]</t>
    </r>
  </si>
  <si>
    <r>
      <t xml:space="preserve">Der Bobcast und die Silbermine (Season 2, Ep. 26) </t>
    </r>
    <r>
      <rPr>
        <sz val="8"/>
        <color theme="1"/>
        <rFont val="Calibri"/>
        <family val="2"/>
        <scheme val="minor"/>
      </rPr>
      <t>[mit Katrin Fröhlich 2]</t>
    </r>
  </si>
  <si>
    <r>
      <t xml:space="preserve">Der Bobcast und der Doppelgänger (Season 2, Ep. 28) </t>
    </r>
    <r>
      <rPr>
        <sz val="8"/>
        <color theme="1"/>
        <rFont val="Calibri"/>
        <family val="2"/>
        <scheme val="minor"/>
      </rPr>
      <t>[mit Sascha Draeger 1]</t>
    </r>
  </si>
  <si>
    <t>2:13:17</t>
  </si>
  <si>
    <t>SSP #125A: Die drei ??? und der magische Kreis (27) Teil 1 mit Hajo Bremer</t>
  </si>
  <si>
    <t>SSP #125B: Die drei ??? und der magische Kreis (27) Teil 2 mit Hajo Bremer</t>
  </si>
  <si>
    <t>Folge 56: The return of Jodie Foster, Die drei ??? - Feuerturm</t>
  </si>
  <si>
    <t>Die drei ???: Das Rätsel der Sieben - Die rote Sieben (Kurzgeschichte), Die 3 unlustigen 2</t>
  </si>
  <si>
    <t>KG2.4</t>
  </si>
  <si>
    <t>Unter Anführungszeichen #32: Die drei ??? - Nacht in Angst (86)</t>
  </si>
  <si>
    <t>Folge 32: Der Ameisenmensch und schwarze Madonna</t>
  </si>
  <si>
    <t>32/127</t>
  </si>
  <si>
    <t>Der Ameisenmensch</t>
  </si>
  <si>
    <t>#29 | #183 Mannomann, was sind denn das für Podcaster*innen</t>
  </si>
  <si>
    <t>Das Riff der Haie</t>
  </si>
  <si>
    <t>30/133</t>
  </si>
  <si>
    <r>
      <rPr>
        <sz val="11"/>
        <color theme="0"/>
        <rFont val="Calibri"/>
        <family val="2"/>
        <scheme val="minor"/>
      </rPr>
      <t>L</t>
    </r>
    <r>
      <rPr>
        <sz val="11"/>
        <color theme="1"/>
        <rFont val="Calibri"/>
        <family val="2"/>
        <scheme val="minor"/>
      </rPr>
      <t>076</t>
    </r>
  </si>
  <si>
    <r>
      <rPr>
        <sz val="11"/>
        <color theme="0"/>
        <rFont val="Calibri"/>
        <family val="2"/>
        <scheme val="minor"/>
      </rPr>
      <t>L</t>
    </r>
    <r>
      <rPr>
        <sz val="11"/>
        <color theme="1"/>
        <rFont val="Calibri"/>
        <family val="2"/>
        <scheme val="minor"/>
      </rPr>
      <t>027</t>
    </r>
  </si>
  <si>
    <t>1:44:33</t>
  </si>
  <si>
    <r>
      <t xml:space="preserve">#80 - Flug ins Nichts </t>
    </r>
    <r>
      <rPr>
        <sz val="8"/>
        <color theme="1"/>
        <rFont val="Calibri"/>
        <family val="2"/>
        <scheme val="minor"/>
      </rPr>
      <t>[aufgenommen: 08.06.23]</t>
    </r>
  </si>
  <si>
    <t>SSP #125.5: Sonderfeedback zum #SSP125, Vogelschiss und Nidderau</t>
  </si>
  <si>
    <t>FB40</t>
  </si>
  <si>
    <t>FB41</t>
  </si>
  <si>
    <t>FB42</t>
  </si>
  <si>
    <r>
      <rPr>
        <sz val="11"/>
        <color theme="0"/>
        <rFont val="Calibri"/>
        <family val="2"/>
        <scheme val="minor"/>
      </rPr>
      <t>L</t>
    </r>
    <r>
      <rPr>
        <sz val="11"/>
        <rFont val="Calibri"/>
        <family val="2"/>
        <scheme val="minor"/>
      </rPr>
      <t>027</t>
    </r>
  </si>
  <si>
    <t>Der Bobcast und das Riff der Haie (Season 2, Ep. 30)</t>
  </si>
  <si>
    <t>Folge 161 - Abfahrt A2 und der Super-Wal</t>
  </si>
  <si>
    <t>Folge 163 - Abfahrt A2 und der heimliche Hehler</t>
  </si>
  <si>
    <r>
      <t xml:space="preserve">#81 - Das Geisterspiel </t>
    </r>
    <r>
      <rPr>
        <sz val="8"/>
        <color theme="1"/>
        <rFont val="Calibri"/>
        <family val="2"/>
        <scheme val="minor"/>
      </rPr>
      <t>[aufgenommen: 10.06.23]</t>
    </r>
  </si>
  <si>
    <t>Unter Anführungszeichen #33: Die drei ??? und der letzte Song (183)</t>
  </si>
  <si>
    <t># 76 - ...viel Rauch um nichts // Feuerturm (85)</t>
  </si>
  <si>
    <t>SSP #126: Die drei ??? und die blutenden Bilder (161)</t>
  </si>
  <si>
    <t>FragezeichenPod – Erbe des Drachen (Filmhörspiel)</t>
  </si>
  <si>
    <t>#82 - Die Laser-Falle</t>
  </si>
  <si>
    <t>3T1</t>
  </si>
  <si>
    <t>#07 DGdB - Die Höhle des Grauens - Die Sommer-Folge: extra lang, extra hot, extra mit GAST - Besuch von R&amp;A</t>
  </si>
  <si>
    <t>#06 DGdB - Haus des Schreckens - Wenn der Täter doof parkt, zu wenig schreckhaft ist und Vogelkacke auf dem Kopf hat</t>
  </si>
  <si>
    <t>07/2023 - Zwischenfolge - Sommerpause - Rückblick und Ausblick</t>
  </si>
  <si>
    <t>SSP #126.5: Sonderausgabe zu Nidderau, Thunfischsalat und Hörspielmusik mit Felix Bartling</t>
  </si>
  <si>
    <t>FB43</t>
  </si>
  <si>
    <t>OhrCast 133-3 Rückhör Mai 2023, Die drei ??? (222) und die Gesetzlosen</t>
  </si>
  <si>
    <t>Folge 33: und der sprechende Totenkopf</t>
  </si>
  <si>
    <t>[37] Diggytalk meets ??? - MATTHIAS KELLER</t>
  </si>
  <si>
    <t>Die drei ??? Podcast - Klaas Heufer-Umlauf im Interview [schrulliger Millionär (46)]</t>
  </si>
  <si>
    <t>HB23</t>
  </si>
  <si>
    <t>#30 | #133 Gibts nicht? Gibts doch!</t>
  </si>
  <si>
    <r>
      <t xml:space="preserve">Der Bobcast und das Narbengesicht (Season 2, Ep. 31) </t>
    </r>
    <r>
      <rPr>
        <sz val="8"/>
        <color theme="1"/>
        <rFont val="Calibri"/>
        <family val="2"/>
        <scheme val="minor"/>
      </rPr>
      <t>[mit C. R. Rodenwald 1]</t>
    </r>
  </si>
  <si>
    <r>
      <t xml:space="preserve">SSP #127: Die drei ??? und das silberne Amulett (187) </t>
    </r>
    <r>
      <rPr>
        <sz val="8"/>
        <color theme="1"/>
        <rFont val="Calibri"/>
        <family val="2"/>
        <scheme val="minor"/>
      </rPr>
      <t>[Ines Geburtstagsfolge 4]</t>
    </r>
  </si>
  <si>
    <t># 77 - ...die Detektive schauen zu // Dopingmixer (60)</t>
  </si>
  <si>
    <t>http://open.spotify.com/show/3eka4CgbqoLBwBpbEx6Udw</t>
  </si>
  <si>
    <t>RBW</t>
  </si>
  <si>
    <r>
      <t>Rocky Beach Weekly (Trailer)</t>
    </r>
    <r>
      <rPr>
        <sz val="11"/>
        <color theme="0" tint="-0.499984740745262"/>
        <rFont val="Calibri"/>
        <family val="2"/>
        <scheme val="minor"/>
      </rPr>
      <t xml:space="preserve"> [1]</t>
    </r>
  </si>
  <si>
    <r>
      <t>Rocky Beach Weekly (Trailer)</t>
    </r>
    <r>
      <rPr>
        <sz val="11"/>
        <color theme="0" tint="-0.499984740745262"/>
        <rFont val="Calibri"/>
        <family val="2"/>
        <scheme val="minor"/>
      </rPr>
      <t xml:space="preserve"> [2]</t>
    </r>
  </si>
  <si>
    <t>001 - Der super Mynah</t>
  </si>
  <si>
    <t>002 - Phantom Jim</t>
  </si>
  <si>
    <t>003 - und der unsichtbare Hund</t>
  </si>
  <si>
    <t>000 - ??? Für Dummies</t>
  </si>
  <si>
    <t>004 - Das Katzen-Versteck</t>
  </si>
  <si>
    <t>005 - und der Fluch des August</t>
  </si>
  <si>
    <t>006 - und der sprechende Sockel</t>
  </si>
  <si>
    <t>007 - und der schlechte Drache</t>
  </si>
  <si>
    <t>008 - und die Geisterperlen</t>
  </si>
  <si>
    <t>009 - und die rätselhafte Markise</t>
  </si>
  <si>
    <t>010 - und der flüsternde Sarkophag</t>
  </si>
  <si>
    <t>011 - und das Spuk-Schloss</t>
  </si>
  <si>
    <t>012 - und der schreiende Wecker</t>
  </si>
  <si>
    <t>013 - und der lachende Vogel</t>
  </si>
  <si>
    <t>014 - und der Monsterberg</t>
  </si>
  <si>
    <t>015 - und die rasenden Wildtiere</t>
  </si>
  <si>
    <t>016 - und der Zauberer im Spiegel</t>
  </si>
  <si>
    <t>017 - und der letzte Dillon</t>
  </si>
  <si>
    <t>018 - und die Goldinsel</t>
  </si>
  <si>
    <t>019 - und der heulende Berg</t>
  </si>
  <si>
    <t>020 - und die Spuren in der Töpferei</t>
  </si>
  <si>
    <t>021 - und der schreiende Teufel</t>
  </si>
  <si>
    <t>022 - und der verschwundene Gürtel</t>
  </si>
  <si>
    <t>023 - und das spanische Schwert</t>
  </si>
  <si>
    <t>024 - und die silberne Glocke</t>
  </si>
  <si>
    <t>025 - und die schreiende Schlange</t>
  </si>
  <si>
    <t>026 - und die vergoldete Mine</t>
  </si>
  <si>
    <t>027 - und die magischen Rollen</t>
  </si>
  <si>
    <t>028 - und der doppelte Justus</t>
  </si>
  <si>
    <t>030 - und das Riff der Aktivisten</t>
  </si>
  <si>
    <t>031 - und das falsche Gesicht</t>
  </si>
  <si>
    <t>032 - und der Vogelscheuchenmensch</t>
  </si>
  <si>
    <t>033 - und die unabhängige Ranch</t>
  </si>
  <si>
    <t>034 - und der falsche Erbe</t>
  </si>
  <si>
    <t>Rocky Beach Weekly</t>
  </si>
  <si>
    <t>https://open.spotify.com/show/3eka4CgbqoLBwBpbEx6Udw</t>
  </si>
  <si>
    <r>
      <t>Rocky Beach Weekly (RBW)</t>
    </r>
    <r>
      <rPr>
        <sz val="11"/>
        <color theme="1"/>
        <rFont val="Calibri"/>
        <family val="2"/>
        <scheme val="minor"/>
      </rPr>
      <t xml:space="preserve"> - ??? Fan Podcast</t>
    </r>
    <r>
      <rPr>
        <sz val="11"/>
        <color theme="0"/>
        <rFont val="Calibri"/>
        <family val="2"/>
        <scheme val="minor"/>
      </rPr>
      <t xml:space="preserve"> (seit 12. September 2022) [Erster Instagram-Eintrag Mo., 05. Sep. 2022]</t>
    </r>
  </si>
  <si>
    <t>Logo1 bis 022; Logo2 ab 023</t>
  </si>
  <si>
    <t>Kriterien für den Hauptblock: mindestens drei DDF-Folgenbesprechungen; keine Paywall; möglichst mit RSS-Feed; Schöpfungshöhe (≠ z. B. ???-Crimebusters-YouTube-Kanal nur mit Grunddaten und Buchausschnittslesungen)</t>
  </si>
  <si>
    <t>Kriterien nicht erfüllt</t>
  </si>
  <si>
    <t>Das Narbengesicht</t>
  </si>
  <si>
    <t>Brainwash</t>
  </si>
  <si>
    <t>31/CB12</t>
  </si>
  <si>
    <t>http://podcasters.spotify.com/pod/show/doppelpunktdreifrag/</t>
  </si>
  <si>
    <t>SSP #128: Die drei ??? – Der gefiederte Schrecken (178)</t>
  </si>
  <si>
    <t>Folge 58: Das Ende einer Ära, Die drei ??? und der dreiTag: Der Fluch der Sheldon Street</t>
  </si>
  <si>
    <t>Folge 57: Alle Jahre wieder…, Die drei ??? - Auf tödlichem Kurs</t>
  </si>
  <si>
    <t>Folge 166 - Abfahrt A2 und der unsichtbare Gegner</t>
  </si>
  <si>
    <t>Unter Anführungszeichen #34: Die drei ??? und der gestohlene Preis (44)</t>
  </si>
  <si>
    <t>Folge 34: Villa der Toten</t>
  </si>
  <si>
    <t>Folge 35: Botschaft von Geisterhand</t>
  </si>
  <si>
    <t># 78 - Rapedrug Rising // Tal des Schreckens (98)</t>
  </si>
  <si>
    <t>Der Bobcast und der Ameisenmensch (Season 3, Ep. 32)</t>
  </si>
  <si>
    <t>Der Bobcast und die Sommerpause 23 (Season 2)</t>
  </si>
  <si>
    <t>035 - und das Höhlenskelett</t>
  </si>
  <si>
    <t>036 - und der entführte Wal</t>
  </si>
  <si>
    <r>
      <t xml:space="preserve">#83 - Gefahr im Dschungel </t>
    </r>
    <r>
      <rPr>
        <sz val="8"/>
        <color theme="1"/>
        <rFont val="Calibri"/>
        <family val="2"/>
        <scheme val="minor"/>
      </rPr>
      <t>[aufgenommen: 08.07.23]</t>
    </r>
  </si>
  <si>
    <r>
      <t xml:space="preserve">#84 - Die Rätselfalle </t>
    </r>
    <r>
      <rPr>
        <sz val="8"/>
        <color theme="1"/>
        <rFont val="Calibri"/>
        <family val="2"/>
        <scheme val="minor"/>
      </rPr>
      <t>[aufgenommen: 09.07.23]</t>
    </r>
  </si>
  <si>
    <t>#08 DGdB - Der Biss der Bestie - Tierisch was los</t>
  </si>
  <si>
    <t>Folge 168 - Abfahrt A2 und die Perlenvögel</t>
  </si>
  <si>
    <t>#31 | #TSF1 Noch zwei Sektenfolgen bis zur Insektenfolge</t>
  </si>
  <si>
    <t>Der weiße Leopard</t>
  </si>
  <si>
    <t>32/212</t>
  </si>
  <si>
    <t>037 - und der heimliche Beschützer</t>
  </si>
  <si>
    <t>Die bedrohte Ranch</t>
  </si>
  <si>
    <t>Der rote Pirat</t>
  </si>
  <si>
    <t># 79 - ...und Justus und die anderen zwei Spacken // Höhlenmensch (35)</t>
  </si>
  <si>
    <t>#XX: SOMMERLOCHEXTRA - Das große Interview mit Kai Schwind (Bobcast)</t>
  </si>
  <si>
    <t>#85 - Spur des Drachen</t>
  </si>
  <si>
    <t>#86 - Der goldene Drache</t>
  </si>
  <si>
    <t>038 - und der unsichtbare Verfolger</t>
  </si>
  <si>
    <t>Die drei ??? - Record Release Feature Folge 223 | Sonder Podcast</t>
  </si>
  <si>
    <t>Folge 36: Manuskript des Satans</t>
  </si>
  <si>
    <t>Die drei ??? Podcast - Kai Schwind im Interview [Bergmonster (14)]</t>
  </si>
  <si>
    <t>HB24</t>
  </si>
  <si>
    <t>039 - und die Perlendiebe</t>
  </si>
  <si>
    <t>[44] Diggytalk meets ??? - CHRISTIAN RODENWALD</t>
  </si>
  <si>
    <t># 80 - ...und Gabbo,Gabbo,Gabbo // schwarze Katze (4)</t>
  </si>
  <si>
    <t>040 - und der Münzenmarder</t>
  </si>
  <si>
    <t>Int22</t>
  </si>
  <si>
    <t>SSP Interview (XXII): Das VPT und der heimliche Hehler</t>
  </si>
  <si>
    <t>FragezeichenPod – 199 – der grüne Kobold</t>
  </si>
  <si>
    <t>FragezeichenPod – 223 – und der Knochenmann</t>
  </si>
  <si>
    <t>OhrCast 135-2 Rückhör August 2023, Die drei ??? (223) und der Knochenmann</t>
  </si>
  <si>
    <t>Folge 37: und die Fussball-Falle</t>
  </si>
  <si>
    <r>
      <t xml:space="preserve">#87 - Tatort Skater-Park </t>
    </r>
    <r>
      <rPr>
        <sz val="8"/>
        <color theme="1"/>
        <rFont val="Calibri"/>
        <family val="2"/>
        <scheme val="minor"/>
      </rPr>
      <t>[aufgenommen: 21.08.23]</t>
    </r>
  </si>
  <si>
    <t>Folge 061: Die drei Fragezeichen (130) – Der Fluch des Drachen</t>
  </si>
  <si>
    <r>
      <t xml:space="preserve">FragezeichenPod – 06/2016 (Folge 130 - Flug </t>
    </r>
    <r>
      <rPr>
        <sz val="8"/>
        <color theme="1"/>
        <rFont val="Calibri"/>
        <family val="2"/>
        <scheme val="minor"/>
      </rPr>
      <t>[sic]</t>
    </r>
    <r>
      <rPr>
        <sz val="11"/>
        <color theme="1"/>
        <rFont val="Calibri"/>
        <family val="2"/>
        <scheme val="minor"/>
      </rPr>
      <t xml:space="preserve"> des Drachen - nicht veröffentlicht)</t>
    </r>
  </si>
  <si>
    <r>
      <t>Was hoerst du so?</t>
    </r>
    <r>
      <rPr>
        <sz val="11"/>
        <rFont val="Calibri"/>
        <family val="2"/>
        <scheme val="minor"/>
      </rPr>
      <t xml:space="preserve"> Der Podcast</t>
    </r>
    <r>
      <rPr>
        <b/>
        <sz val="11"/>
        <rFont val="Calibri"/>
        <family val="2"/>
        <scheme val="minor"/>
      </rPr>
      <t xml:space="preserve"> </t>
    </r>
    <r>
      <rPr>
        <b/>
        <sz val="11"/>
        <color theme="0"/>
        <rFont val="Calibri"/>
        <family val="2"/>
        <scheme val="minor"/>
      </rPr>
      <t>(seit 24. Juli 2016 [Teaser], 16. Mai 2016 [Website])</t>
    </r>
  </si>
  <si>
    <t>Folge 006: TKKG – Alarm im Zirkus Sarani</t>
  </si>
  <si>
    <t>TKKG010</t>
  </si>
  <si>
    <t>Folge 008: TKKG – Mörderischer Stammbaum</t>
  </si>
  <si>
    <t>TKKG103</t>
  </si>
  <si>
    <t>#47: "TKKG - Vermißte Kids und Killerpflanzen"</t>
  </si>
  <si>
    <t>TKKG105</t>
  </si>
  <si>
    <t>TKKG005</t>
  </si>
  <si>
    <t>#42: "TKKG - Das Phantom auf dem Feuerstuhl"</t>
  </si>
  <si>
    <t>#31: "TKKG - Der Schatz in der Drachenhöhle" (oder das Z-Wort in den Hörspielwelten)</t>
  </si>
  <si>
    <t>#15: "TKKG - Die weiße Schmuggler-Yacht" (oder warum Tarzan zu Tim wurde)</t>
  </si>
  <si>
    <t>TKKG038</t>
  </si>
  <si>
    <t>#06: "TKKG - Die Jagd nach den Millionendieben"</t>
  </si>
  <si>
    <t>TKKG001</t>
  </si>
  <si>
    <t>#51 - Die drei ??? - Die Rache des Tigers</t>
  </si>
  <si>
    <t>#52 - Die drei ??? - Die Karten des Bösen</t>
  </si>
  <si>
    <t>#53 - Die Dr3i - Die Pforte zum Jenseits</t>
  </si>
  <si>
    <t>Geisterlampe (2012)</t>
  </si>
  <si>
    <t>Rätsel der Sieben (2014)</t>
  </si>
  <si>
    <t>Zeitgeist (2016)</t>
  </si>
  <si>
    <t>schwarzer Tag (2018)</t>
  </si>
  <si>
    <t>GN5</t>
  </si>
  <si>
    <t>GN3</t>
  </si>
  <si>
    <t>dreiäugiger Totenkopf (2015)</t>
  </si>
  <si>
    <t>Dorf der Teufel (2017)</t>
  </si>
  <si>
    <t>Ritual der Schlangen (2019)</t>
  </si>
  <si>
    <t>goldener Salamander (2021)</t>
  </si>
  <si>
    <r>
      <t xml:space="preserve">Rocky Beach - </t>
    </r>
    <r>
      <rPr>
        <sz val="8"/>
        <rFont val="Calibri"/>
        <family val="2"/>
        <scheme val="minor"/>
      </rPr>
      <t>Eine Interpretation</t>
    </r>
    <r>
      <rPr>
        <sz val="10"/>
        <rFont val="Calibri"/>
        <family val="2"/>
        <scheme val="minor"/>
      </rPr>
      <t xml:space="preserve"> (2020)</t>
    </r>
  </si>
  <si>
    <t>TSE1.1</t>
  </si>
  <si>
    <t>TSE1.2</t>
  </si>
  <si>
    <t>TSE2.1</t>
  </si>
  <si>
    <t>TSE2.2</t>
  </si>
  <si>
    <t>Brainwash (CB12/TSE1.1)</t>
  </si>
  <si>
    <t>House of Horrors (FYF3/TSE1.2)</t>
  </si>
  <si>
    <t>High Strung (CB13/TSE1.3)</t>
  </si>
  <si>
    <t>Savage Statue (FYF4/TSE2.1)</t>
  </si>
  <si>
    <t>Shoot the Works (CB8/TSE2.2)</t>
  </si>
  <si>
    <t>versunkenes Schiff (TSE2.3)</t>
  </si>
  <si>
    <t>Grab der Inka-Mumie (Midi 1)</t>
  </si>
  <si>
    <t>Tornadojäger (Midi 2)</t>
  </si>
  <si>
    <t>kaltes Auge (Midi 3)</t>
  </si>
  <si>
    <t>Fluch der Sheldon Street (dreiTag-Teil J)</t>
  </si>
  <si>
    <t>Im Zeichen der Ritter (dreiTag-Teil B)</t>
  </si>
  <si>
    <t>fremder Freund (dreiTag-Teil P)</t>
  </si>
  <si>
    <t>Master of Chess</t>
  </si>
  <si>
    <t>Grab der Maya</t>
  </si>
  <si>
    <t>Phonophobia</t>
  </si>
  <si>
    <t>Unter Anführungszeichen #35: Die drei ??? - Der finstere Rivale (117)</t>
  </si>
  <si>
    <t>#88 - Surfstrand in Gefahr</t>
  </si>
  <si>
    <t>#89 - Spuk im Leuchtturm</t>
  </si>
  <si>
    <t>#90 - Gespensterjagd</t>
  </si>
  <si>
    <t>#91 - Die Geistermühle</t>
  </si>
  <si>
    <t>#92 - Stunde der Wahrheit</t>
  </si>
  <si>
    <t>#93 - Der schwarze Joker</t>
  </si>
  <si>
    <r>
      <t xml:space="preserve">[SPECIAL] Finale - Teil I </t>
    </r>
    <r>
      <rPr>
        <sz val="8"/>
        <color theme="1"/>
        <rFont val="Calibri"/>
        <family val="2"/>
        <scheme val="minor"/>
      </rPr>
      <t>[KaffeekannenTalk-Podcast]</t>
    </r>
  </si>
  <si>
    <t>#09 DGdB - Todesflug - Verrückt, verhasst und doch vergnüglich?</t>
  </si>
  <si>
    <t>#10 DGdB - Der giftige Gockel - Justus auf Diät - Peter in Love - Bob nicht da</t>
  </si>
  <si>
    <t>041 - und das Volk der tanzenden Wasser</t>
  </si>
  <si>
    <t>042 - und der dreifache Sarg</t>
  </si>
  <si>
    <t>043 - und der entführende Werwolf</t>
  </si>
  <si>
    <t>044 - und der gestohlene Darsteller</t>
  </si>
  <si>
    <t>045 - und der Fels der Wikinger</t>
  </si>
  <si>
    <t>046 - und der fiese Millionär</t>
  </si>
  <si>
    <t>#32 | #212 Podcasten am Siedepunkt</t>
  </si>
  <si>
    <t>#33 | #217 Die Indiana-Jones-4-Connection</t>
  </si>
  <si>
    <t>33/217</t>
  </si>
  <si>
    <t>Der Kristallschädel</t>
  </si>
  <si>
    <t>34/109</t>
  </si>
  <si>
    <t># 81 - ...und der langweilige Polit Thriller // Fluch der Medusa (213)</t>
  </si>
  <si>
    <t># 82 - ...nicht wirklich fast aber richtig furious // Bibi und Tina - Falsches Spiel mit Alex</t>
  </si>
  <si>
    <t>Folge 38: und die rätselhaften Bilder</t>
  </si>
  <si>
    <t>Folge 39: und der gestohlene Preis</t>
  </si>
  <si>
    <t>Folge 170 - Abfahrt A2 und der Automarder</t>
  </si>
  <si>
    <t>Folge 173 - Abfahrt A2 und das Volk der Winde</t>
  </si>
  <si>
    <t>FragezeichenPod – 024 – Die silberne Spinne / Zu Dritt</t>
  </si>
  <si>
    <t>Folge 59: Abfalleimer des Grauens, Die drei ??? - Schrecken aus dem Moor</t>
  </si>
  <si>
    <t>SSP #129: Die drei ??? – Schüsse aus dem Dunkel (70)</t>
  </si>
  <si>
    <t>SSP #130: Die drei ??? und das Gold der Wikinger (45)</t>
  </si>
  <si>
    <t>Der Bobcast und die bedrohte Ranch (Season 3, Ep. 33)</t>
  </si>
  <si>
    <t>Der Bobcast und der rote Pirat (Season 3, Ep. 34)</t>
  </si>
  <si>
    <t>Der Bobcast und der Höhlenmensch (Season 3, Ep. 35)</t>
  </si>
  <si>
    <t>Der Bobcast und der Super-Wal (Season 3, Ep. 36)</t>
  </si>
  <si>
    <t>Der Bobcast und der unsichtbare Gegner (Season 3, Ep. 38)</t>
  </si>
  <si>
    <t>https://cdn.julephosting.de/podcasts/1120-haschimitenfurst-der-bobcast/feed.rss</t>
  </si>
  <si>
    <t>Unter Anführungszeichen #36: Die drei ??? und die Perlenvögel (39)</t>
  </si>
  <si>
    <t>Unter Anführungszeichen #38: Die drei ??? und die Gesetzlosen (222)</t>
  </si>
  <si>
    <t>Unter Anführungszeichen #37: Die drei ??? und die feurige Flut (148)</t>
  </si>
  <si>
    <t>Die Zw3i Folgen-Planungs-Übersicht</t>
  </si>
  <si>
    <t>#55 - Die drei ??? - Geister-Canyon</t>
  </si>
  <si>
    <t>#57 - Die drei ??? - Der Geisterzug</t>
  </si>
  <si>
    <t>047 - und der manipulierte Gockel</t>
  </si>
  <si>
    <t>#54 - Die drei ??? - Geisterinsel</t>
  </si>
  <si>
    <r>
      <t xml:space="preserve">[SPECIAL] Finale - Teil II </t>
    </r>
    <r>
      <rPr>
        <sz val="8"/>
        <color theme="1"/>
        <rFont val="Calibri"/>
        <family val="2"/>
        <scheme val="minor"/>
      </rPr>
      <t>[Hörspielreihe ???-Kids]</t>
    </r>
  </si>
  <si>
    <t>SSP #131: Die drei ??? und der seltsame Wecker (12) feat. Methodisch Inkorrekt</t>
  </si>
  <si>
    <t># 83 - ...und die verspätete Folge // Der schrullige Millionär (46)</t>
  </si>
  <si>
    <t>#34 | #109 Drei Rätselleichen auf Karperfahrt</t>
  </si>
  <si>
    <t>35/146</t>
  </si>
  <si>
    <t>048 - und das gefährliche Wasser</t>
  </si>
  <si>
    <t>#11 DGdB - Vampir im Internet - Fagott-Musik macht Laune</t>
  </si>
  <si>
    <t>Folge 40: und das Hexenhandy</t>
  </si>
  <si>
    <r>
      <t xml:space="preserve">[SPECIAL] Finale - Teil III </t>
    </r>
    <r>
      <rPr>
        <sz val="8"/>
        <color theme="1"/>
        <rFont val="Calibri"/>
        <family val="2"/>
        <scheme val="minor"/>
      </rPr>
      <t>[Spiel &amp; Spaß, Q&amp;A] [aufgenommen: 05.11.23]</t>
    </r>
  </si>
  <si>
    <t>#94 - Falsche Vampire N/A</t>
  </si>
  <si>
    <t>#95 - Geheime Zeichen N/A</t>
  </si>
  <si>
    <t>#96 - Der Schrottkönig N/A</t>
  </si>
  <si>
    <t>#97 - Die Fragezeichen-Falle N/A</t>
  </si>
  <si>
    <t>#98 - Die Geisterpferde N/A</t>
  </si>
  <si>
    <t>#99 - Football-Falle N/A</t>
  </si>
  <si>
    <t>Der Bobcast und die Perlenvögel (Season 4, Ep. 39)</t>
  </si>
  <si>
    <t>Der Bobcast und der Automarder (Season 4, Ep. 40)</t>
  </si>
  <si>
    <t>Der Bobcast und das Volk der Winde (Season 4, Ep. 41)</t>
  </si>
  <si>
    <r>
      <t xml:space="preserve">Spezialgelagerter Adventskalender 2023 – Tür 3: Die Dr3i – Tödliche Regie (6) </t>
    </r>
    <r>
      <rPr>
        <sz val="8"/>
        <color theme="1"/>
        <rFont val="Calibri"/>
        <family val="2"/>
        <scheme val="minor"/>
      </rPr>
      <t>[Hannes Geburtstagsfolge 6]</t>
    </r>
  </si>
  <si>
    <t>Spezialgelagerter Adventskalender 2023 – Tür 1: DSSP – 1W6 Freunde – Weihnachtsmänner rauben leise (Seite A)</t>
  </si>
  <si>
    <t>Spezialgelagerter Adventskalender 2023 – Tür 2: DSSP – 1W6 Freunde – Weihnachtsmänner rauben leise (Seite B)</t>
  </si>
  <si>
    <t>Spezialgelagerter Adventskalender 2023 – Tür 4: Wings of Glory</t>
  </si>
  <si>
    <t>Spezialgelagerter Adventskalender 2023 – Tür 5: TKKG – Opfer fliegen 1. Klasse (101)</t>
  </si>
  <si>
    <t>TKKG101</t>
  </si>
  <si>
    <t>RS5.1</t>
  </si>
  <si>
    <t>RS5.2</t>
  </si>
  <si>
    <t>#12 DGdB und die flüsternde Mumie - Toter gehts nicht! - Oder?</t>
  </si>
  <si>
    <t>12/2023 - Zwischenfolge - Weihnachten - Der 5. Advent</t>
  </si>
  <si>
    <r>
      <t xml:space="preserve">#000 - Kassettenkinder </t>
    </r>
    <r>
      <rPr>
        <sz val="8"/>
        <color theme="1"/>
        <rFont val="Calibri"/>
        <family val="2"/>
        <scheme val="minor"/>
      </rPr>
      <t>[Staffel 1]</t>
    </r>
  </si>
  <si>
    <r>
      <t xml:space="preserve">#001 - und das Bergmonster </t>
    </r>
    <r>
      <rPr>
        <sz val="8"/>
        <color theme="1"/>
        <rFont val="Calibri"/>
        <family val="2"/>
        <scheme val="minor"/>
      </rPr>
      <t>[Staffel 1]</t>
    </r>
  </si>
  <si>
    <r>
      <t xml:space="preserve">#002 - und die Silbermine </t>
    </r>
    <r>
      <rPr>
        <sz val="8"/>
        <color theme="1"/>
        <rFont val="Calibri"/>
        <family val="2"/>
        <scheme val="minor"/>
      </rPr>
      <t>[Staffel 1]</t>
    </r>
  </si>
  <si>
    <r>
      <t xml:space="preserve">#003 - und der riskante Ritt </t>
    </r>
    <r>
      <rPr>
        <sz val="8"/>
        <color theme="1"/>
        <rFont val="Calibri"/>
        <family val="2"/>
        <scheme val="minor"/>
      </rPr>
      <t>[Staffel 1]</t>
    </r>
  </si>
  <si>
    <r>
      <t xml:space="preserve">#004 - und die flammende Spur </t>
    </r>
    <r>
      <rPr>
        <sz val="8"/>
        <color theme="1"/>
        <rFont val="Calibri"/>
        <family val="2"/>
        <scheme val="minor"/>
      </rPr>
      <t>[Staffel 1]</t>
    </r>
  </si>
  <si>
    <r>
      <t xml:space="preserve">#005 - und der Automarder </t>
    </r>
    <r>
      <rPr>
        <sz val="8"/>
        <color theme="1"/>
        <rFont val="Calibri"/>
        <family val="2"/>
        <scheme val="minor"/>
      </rPr>
      <t>[Staffel 1]</t>
    </r>
  </si>
  <si>
    <r>
      <t xml:space="preserve">#006 - Die schwarze Katze </t>
    </r>
    <r>
      <rPr>
        <sz val="8"/>
        <color theme="1"/>
        <rFont val="Calibri"/>
        <family val="2"/>
        <scheme val="minor"/>
      </rPr>
      <t>[Staffel 2]</t>
    </r>
  </si>
  <si>
    <r>
      <t xml:space="preserve">#007 - Der sprechende Totenkopf </t>
    </r>
    <r>
      <rPr>
        <sz val="8"/>
        <color theme="1"/>
        <rFont val="Calibri"/>
        <family val="2"/>
        <scheme val="minor"/>
      </rPr>
      <t>[Staffel 2]</t>
    </r>
  </si>
  <si>
    <r>
      <t xml:space="preserve">#008 - Nacht in Angst </t>
    </r>
    <r>
      <rPr>
        <sz val="8"/>
        <color theme="1"/>
        <rFont val="Calibri"/>
        <family val="2"/>
        <scheme val="minor"/>
      </rPr>
      <t>[Staffel 2]</t>
    </r>
  </si>
  <si>
    <r>
      <t xml:space="preserve">#009 - Gold der Wikinger </t>
    </r>
    <r>
      <rPr>
        <sz val="8"/>
        <color theme="1"/>
        <rFont val="Calibri"/>
        <family val="2"/>
        <scheme val="minor"/>
      </rPr>
      <t>[Staffel 2]</t>
    </r>
  </si>
  <si>
    <t>HLE</t>
  </si>
  <si>
    <t>Hotel Luxury End</t>
  </si>
  <si>
    <t>Adv5</t>
  </si>
  <si>
    <t>Böser die Glocken nie klingen (2023)</t>
  </si>
  <si>
    <t>Spezialgelagerter Adventskalender 2023 – Tür 6: Die drei ??? und die Geisterlampe (A) [Geisterlampe (KG1-GL-12/1), dunkle Vergangenheit (KG1-GL-8/2)]</t>
  </si>
  <si>
    <t>Spezialgelagerter Adventskalender 2023 – Tür 7: Aber im Buch 1: Giftige Super Piraten [Musikpiraten (CB7/50/52), Super-Papagei (2/8/1), giftiger Gockel (CB2/48/47)]</t>
  </si>
  <si>
    <r>
      <t xml:space="preserve">SSP #133: Die drei ??? – Stadt der Vampire (140) </t>
    </r>
    <r>
      <rPr>
        <sz val="8"/>
        <color theme="1"/>
        <rFont val="Calibri"/>
        <family val="2"/>
        <scheme val="minor"/>
      </rPr>
      <t>[Michelles Geburtstagsfolge 3]</t>
    </r>
  </si>
  <si>
    <r>
      <t xml:space="preserve">SSP #132: Die drei ??? und die Rache der Samurai (145) </t>
    </r>
    <r>
      <rPr>
        <sz val="8"/>
        <color theme="1"/>
        <rFont val="Calibri"/>
        <family val="2"/>
        <scheme val="minor"/>
      </rPr>
      <t>[Sebastians Geburtstagsfolge 6]</t>
    </r>
  </si>
  <si>
    <t>Spezialgelagerter Adventskalender 2023 – Tür 8: Lurchi</t>
  </si>
  <si>
    <t>Spezialgelagerter Adventskalender 2023 – Tür 9: Drizzt – Die Saga vom Dunkelelf</t>
  </si>
  <si>
    <r>
      <t>Adv23.</t>
    </r>
    <r>
      <rPr>
        <sz val="1"/>
        <color theme="1"/>
        <rFont val="Calibri"/>
        <family val="2"/>
        <scheme val="minor"/>
      </rPr>
      <t>0</t>
    </r>
    <r>
      <rPr>
        <sz val="9"/>
        <color theme="1"/>
        <rFont val="Calibri"/>
        <family val="2"/>
        <scheme val="minor"/>
      </rPr>
      <t>1</t>
    </r>
  </si>
  <si>
    <t>Adv23.10</t>
  </si>
  <si>
    <t>Adv23.11</t>
  </si>
  <si>
    <t>Adv23.12</t>
  </si>
  <si>
    <t>Adv23.13</t>
  </si>
  <si>
    <t>Adv23.14</t>
  </si>
  <si>
    <t>Adv23.15</t>
  </si>
  <si>
    <t>Adv23.16</t>
  </si>
  <si>
    <t>Adv23.17</t>
  </si>
  <si>
    <t>Adv23.18</t>
  </si>
  <si>
    <t>Adv23.19</t>
  </si>
  <si>
    <t>Adv23.20</t>
  </si>
  <si>
    <t>Adv23.21</t>
  </si>
  <si>
    <t>Adv23.22</t>
  </si>
  <si>
    <t>Adv23.23</t>
  </si>
  <si>
    <t>Adv23.24</t>
  </si>
  <si>
    <r>
      <t>Adv23.</t>
    </r>
    <r>
      <rPr>
        <sz val="1"/>
        <color theme="1"/>
        <rFont val="Calibri"/>
        <family val="2"/>
        <scheme val="minor"/>
      </rPr>
      <t>0</t>
    </r>
    <r>
      <rPr>
        <sz val="9"/>
        <color theme="1"/>
        <rFont val="Calibri"/>
        <family val="2"/>
        <scheme val="minor"/>
      </rPr>
      <t>2</t>
    </r>
  </si>
  <si>
    <r>
      <t>Adv23.</t>
    </r>
    <r>
      <rPr>
        <sz val="1"/>
        <color theme="1"/>
        <rFont val="Calibri"/>
        <family val="2"/>
        <scheme val="minor"/>
      </rPr>
      <t>0</t>
    </r>
    <r>
      <rPr>
        <sz val="9"/>
        <color theme="1"/>
        <rFont val="Calibri"/>
        <family val="2"/>
        <scheme val="minor"/>
      </rPr>
      <t>3</t>
    </r>
  </si>
  <si>
    <r>
      <t>Adv23.</t>
    </r>
    <r>
      <rPr>
        <sz val="1"/>
        <color theme="1"/>
        <rFont val="Calibri"/>
        <family val="2"/>
        <scheme val="minor"/>
      </rPr>
      <t>0</t>
    </r>
    <r>
      <rPr>
        <sz val="9"/>
        <color theme="1"/>
        <rFont val="Calibri"/>
        <family val="2"/>
        <scheme val="minor"/>
      </rPr>
      <t>4</t>
    </r>
  </si>
  <si>
    <r>
      <t>Adv23.</t>
    </r>
    <r>
      <rPr>
        <sz val="1"/>
        <color theme="1"/>
        <rFont val="Calibri"/>
        <family val="2"/>
        <scheme val="minor"/>
      </rPr>
      <t>0</t>
    </r>
    <r>
      <rPr>
        <sz val="9"/>
        <color theme="1"/>
        <rFont val="Calibri"/>
        <family val="2"/>
        <scheme val="minor"/>
      </rPr>
      <t>5</t>
    </r>
  </si>
  <si>
    <r>
      <t>Adv23.</t>
    </r>
    <r>
      <rPr>
        <sz val="1"/>
        <color theme="1"/>
        <rFont val="Calibri"/>
        <family val="2"/>
        <scheme val="minor"/>
      </rPr>
      <t>0</t>
    </r>
    <r>
      <rPr>
        <sz val="9"/>
        <color theme="1"/>
        <rFont val="Calibri"/>
        <family val="2"/>
        <scheme val="minor"/>
      </rPr>
      <t>6</t>
    </r>
  </si>
  <si>
    <r>
      <t>Adv23.</t>
    </r>
    <r>
      <rPr>
        <sz val="1"/>
        <color theme="1"/>
        <rFont val="Calibri"/>
        <family val="2"/>
        <scheme val="minor"/>
      </rPr>
      <t>0</t>
    </r>
    <r>
      <rPr>
        <sz val="9"/>
        <color theme="1"/>
        <rFont val="Calibri"/>
        <family val="2"/>
        <scheme val="minor"/>
      </rPr>
      <t>7</t>
    </r>
  </si>
  <si>
    <r>
      <t>Adv23.</t>
    </r>
    <r>
      <rPr>
        <sz val="1"/>
        <color theme="1"/>
        <rFont val="Calibri"/>
        <family val="2"/>
        <scheme val="minor"/>
      </rPr>
      <t>0</t>
    </r>
    <r>
      <rPr>
        <sz val="9"/>
        <color theme="1"/>
        <rFont val="Calibri"/>
        <family val="2"/>
        <scheme val="minor"/>
      </rPr>
      <t>8</t>
    </r>
  </si>
  <si>
    <r>
      <t>Adv23.</t>
    </r>
    <r>
      <rPr>
        <sz val="1"/>
        <color theme="1"/>
        <rFont val="Calibri"/>
        <family val="2"/>
        <scheme val="minor"/>
      </rPr>
      <t>0</t>
    </r>
    <r>
      <rPr>
        <sz val="9"/>
        <color theme="1"/>
        <rFont val="Calibri"/>
        <family val="2"/>
        <scheme val="minor"/>
      </rPr>
      <t>9</t>
    </r>
  </si>
  <si>
    <r>
      <t xml:space="preserve">#Adventskalender - 1. Türchen </t>
    </r>
    <r>
      <rPr>
        <sz val="9"/>
        <color theme="0" tint="-0.499984740745262"/>
        <rFont val="Calibri"/>
        <family val="2"/>
        <scheme val="minor"/>
      </rPr>
      <t>[Buchstabe: Rach</t>
    </r>
    <r>
      <rPr>
        <b/>
        <sz val="10"/>
        <color theme="0" tint="-0.499984740745262"/>
        <rFont val="Calibri"/>
        <family val="2"/>
        <scheme val="minor"/>
      </rPr>
      <t>E</t>
    </r>
    <r>
      <rPr>
        <sz val="9"/>
        <color theme="0" tint="-0.499984740745262"/>
        <rFont val="Calibri"/>
        <family val="2"/>
        <scheme val="minor"/>
      </rPr>
      <t xml:space="preserve"> des Tigers]</t>
    </r>
  </si>
  <si>
    <r>
      <t xml:space="preserve">#Adventskalender - 2. Türchen </t>
    </r>
    <r>
      <rPr>
        <sz val="9"/>
        <color theme="0" tint="-0.499984740745262"/>
        <rFont val="Calibri"/>
        <family val="2"/>
        <scheme val="minor"/>
      </rPr>
      <t>[Buchstabe: An</t>
    </r>
    <r>
      <rPr>
        <b/>
        <sz val="10"/>
        <color theme="0" tint="-0.499984740745262"/>
        <rFont val="Calibri"/>
        <family val="2"/>
        <scheme val="minor"/>
      </rPr>
      <t>D</t>
    </r>
    <r>
      <rPr>
        <sz val="9"/>
        <color theme="0" tint="-0.499984740745262"/>
        <rFont val="Calibri"/>
        <family val="2"/>
        <scheme val="minor"/>
      </rPr>
      <t>ré Marx]</t>
    </r>
  </si>
  <si>
    <r>
      <t xml:space="preserve">#Adventskalender - 3. Türchen </t>
    </r>
    <r>
      <rPr>
        <sz val="9"/>
        <color theme="0" tint="-0.499984740745262"/>
        <rFont val="Calibri"/>
        <family val="2"/>
        <scheme val="minor"/>
      </rPr>
      <t>[Buchstabe: Silverston</t>
    </r>
    <r>
      <rPr>
        <b/>
        <sz val="10"/>
        <color theme="0" tint="-0.499984740745262"/>
        <rFont val="Calibri"/>
        <family val="2"/>
        <scheme val="minor"/>
      </rPr>
      <t>E</t>
    </r>
    <r>
      <rPr>
        <sz val="9"/>
        <color theme="0" tint="-0.499984740745262"/>
        <rFont val="Calibri"/>
        <family val="2"/>
        <scheme val="minor"/>
      </rPr>
      <t>]</t>
    </r>
  </si>
  <si>
    <r>
      <t xml:space="preserve">#Adventskalender - 4. Türchen </t>
    </r>
    <r>
      <rPr>
        <sz val="9"/>
        <color theme="0" tint="-0.499984740745262"/>
        <rFont val="Calibri"/>
        <family val="2"/>
        <scheme val="minor"/>
      </rPr>
      <t>[Buchstabe: Mirac</t>
    </r>
    <r>
      <rPr>
        <b/>
        <sz val="10"/>
        <color theme="0" tint="-0.499984740745262"/>
        <rFont val="Calibri"/>
        <family val="2"/>
        <scheme val="minor"/>
      </rPr>
      <t>L</t>
    </r>
    <r>
      <rPr>
        <sz val="9"/>
        <color theme="0" tint="-0.499984740745262"/>
        <rFont val="Calibri"/>
        <family val="2"/>
        <scheme val="minor"/>
      </rPr>
      <t>e Tastes]</t>
    </r>
  </si>
  <si>
    <r>
      <t xml:space="preserve">#Adventskalender - 5. Türchen </t>
    </r>
    <r>
      <rPr>
        <sz val="9"/>
        <color theme="0" tint="-0.499984740745262"/>
        <rFont val="Calibri"/>
        <family val="2"/>
        <scheme val="minor"/>
      </rPr>
      <t>[Buchstabe: Allie Jami</t>
    </r>
    <r>
      <rPr>
        <b/>
        <sz val="10"/>
        <color theme="0" tint="-0.499984740745262"/>
        <rFont val="Calibri"/>
        <family val="2"/>
        <scheme val="minor"/>
      </rPr>
      <t>S</t>
    </r>
    <r>
      <rPr>
        <sz val="9"/>
        <color theme="0" tint="-0.499984740745262"/>
        <rFont val="Calibri"/>
        <family val="2"/>
        <scheme val="minor"/>
      </rPr>
      <t>on]</t>
    </r>
  </si>
  <si>
    <r>
      <t xml:space="preserve">#Adventskalender - 6. Türchen </t>
    </r>
    <r>
      <rPr>
        <sz val="9"/>
        <color theme="0" tint="-0.499984740745262"/>
        <rFont val="Calibri"/>
        <family val="2"/>
        <scheme val="minor"/>
      </rPr>
      <t xml:space="preserve">[Buchstabe: </t>
    </r>
    <r>
      <rPr>
        <b/>
        <sz val="10"/>
        <color theme="0" tint="-0.499984740745262"/>
        <rFont val="Calibri"/>
        <family val="2"/>
        <scheme val="minor"/>
      </rPr>
      <t>T</t>
    </r>
    <r>
      <rPr>
        <sz val="9"/>
        <color theme="0" tint="-0.499984740745262"/>
        <rFont val="Calibri"/>
        <family val="2"/>
        <scheme val="minor"/>
      </rPr>
      <t>elefonlawine]</t>
    </r>
  </si>
  <si>
    <r>
      <t xml:space="preserve">#Adventskalender - 7. Türchen </t>
    </r>
    <r>
      <rPr>
        <sz val="9"/>
        <color theme="0" tint="-0.499984740745262"/>
        <rFont val="Calibri"/>
        <family val="2"/>
        <scheme val="minor"/>
      </rPr>
      <t>[Buchstabe: Kalt</t>
    </r>
    <r>
      <rPr>
        <b/>
        <sz val="10"/>
        <color theme="0" tint="-0.499984740745262"/>
        <rFont val="Calibri"/>
        <family val="2"/>
        <scheme val="minor"/>
      </rPr>
      <t>E</t>
    </r>
    <r>
      <rPr>
        <sz val="9"/>
        <color theme="0" tint="-0.499984740745262"/>
        <rFont val="Calibri"/>
        <family val="2"/>
        <scheme val="minor"/>
      </rPr>
      <t>s Tor]</t>
    </r>
  </si>
  <si>
    <r>
      <t xml:space="preserve">#Adventskalender - 8. Türchen </t>
    </r>
    <r>
      <rPr>
        <sz val="9"/>
        <color theme="0" tint="-0.499984740745262"/>
        <rFont val="Calibri"/>
        <family val="2"/>
        <scheme val="minor"/>
      </rPr>
      <t>[Buchstabe: S</t>
    </r>
    <r>
      <rPr>
        <b/>
        <sz val="10"/>
        <color theme="0" tint="-0.499984740745262"/>
        <rFont val="Calibri"/>
        <family val="2"/>
        <scheme val="minor"/>
      </rPr>
      <t>I</t>
    </r>
    <r>
      <rPr>
        <sz val="9"/>
        <color theme="0" tint="-0.499984740745262"/>
        <rFont val="Calibri"/>
        <family val="2"/>
        <scheme val="minor"/>
      </rPr>
      <t>ngende Schlange]</t>
    </r>
  </si>
  <si>
    <r>
      <t xml:space="preserve">#Adventskalender - 9. Türchen </t>
    </r>
    <r>
      <rPr>
        <sz val="9"/>
        <color theme="0" tint="-0.499984740745262"/>
        <rFont val="Calibri"/>
        <family val="2"/>
        <scheme val="minor"/>
      </rPr>
      <t>[Buchstabe: Pa</t>
    </r>
    <r>
      <rPr>
        <b/>
        <sz val="10"/>
        <color theme="0" tint="-0.499984740745262"/>
        <rFont val="Calibri"/>
        <family val="2"/>
        <scheme val="minor"/>
      </rPr>
      <t>N</t>
    </r>
    <r>
      <rPr>
        <sz val="9"/>
        <color theme="0" tint="-0.499984740745262"/>
        <rFont val="Calibri"/>
        <family val="2"/>
        <scheme val="minor"/>
      </rPr>
      <t>ic Porky]</t>
    </r>
  </si>
  <si>
    <t>#56 - Die drei ??? - Das Hexen-Handy</t>
  </si>
  <si>
    <t>#58 - Die drei ??? - Böser die Glocken nie klingen</t>
  </si>
  <si>
    <t>#59 - Die drei ??? - Pistenteufel</t>
  </si>
  <si>
    <t>#60 - Die drei ??? - Die blutenden Bilder</t>
  </si>
  <si>
    <t>#63 - Die Dr3i - Zug um Zug</t>
  </si>
  <si>
    <r>
      <t xml:space="preserve">#Adventskalender - 10. Türchen </t>
    </r>
    <r>
      <rPr>
        <sz val="9"/>
        <color theme="0" tint="-0.499984740745262"/>
        <rFont val="Calibri"/>
        <family val="2"/>
        <scheme val="minor"/>
      </rPr>
      <t>[Buchstabe: H</t>
    </r>
    <r>
      <rPr>
        <b/>
        <sz val="10"/>
        <color theme="0" tint="-0.499984740745262"/>
        <rFont val="Calibri"/>
        <family val="2"/>
        <scheme val="minor"/>
      </rPr>
      <t>E</t>
    </r>
    <r>
      <rPr>
        <sz val="9"/>
        <color theme="0" tint="-0.499984740745262"/>
        <rFont val="Calibri"/>
        <family val="2"/>
        <scheme val="minor"/>
      </rPr>
      <t>imlicher Hehler]</t>
    </r>
  </si>
  <si>
    <r>
      <t xml:space="preserve">SSP #134: Die drei ??? und die Gesetzlosen (222 – Tür 10) </t>
    </r>
    <r>
      <rPr>
        <sz val="8"/>
        <color theme="1"/>
        <rFont val="Calibri"/>
        <family val="2"/>
        <scheme val="minor"/>
      </rPr>
      <t>[Toms Geburtstagsfolge 7]</t>
    </r>
  </si>
  <si>
    <t>Adv5.10</t>
  </si>
  <si>
    <t>Adv5.11</t>
  </si>
  <si>
    <t>Adv5.12</t>
  </si>
  <si>
    <t>Adv5.13</t>
  </si>
  <si>
    <t>Adv5.14</t>
  </si>
  <si>
    <t>Adv5.15</t>
  </si>
  <si>
    <t>Adv5.16</t>
  </si>
  <si>
    <t>Adv5.17</t>
  </si>
  <si>
    <t>Adv5.18</t>
  </si>
  <si>
    <t>Adv5.19</t>
  </si>
  <si>
    <t>Adv5.20</t>
  </si>
  <si>
    <t>Adv5.21</t>
  </si>
  <si>
    <t>Adv5.22</t>
  </si>
  <si>
    <t>Adv5.23</t>
  </si>
  <si>
    <t>Adv5.24</t>
  </si>
  <si>
    <r>
      <t>Adv5.</t>
    </r>
    <r>
      <rPr>
        <sz val="1"/>
        <color theme="1"/>
        <rFont val="Calibri"/>
        <family val="2"/>
        <scheme val="minor"/>
      </rPr>
      <t>0</t>
    </r>
    <r>
      <rPr>
        <sz val="11"/>
        <color theme="1"/>
        <rFont val="Calibri"/>
        <family val="2"/>
        <scheme val="minor"/>
      </rPr>
      <t>1</t>
    </r>
  </si>
  <si>
    <r>
      <t>Adv5.</t>
    </r>
    <r>
      <rPr>
        <sz val="1"/>
        <color theme="1"/>
        <rFont val="Calibri"/>
        <family val="2"/>
        <scheme val="minor"/>
      </rPr>
      <t>0</t>
    </r>
    <r>
      <rPr>
        <sz val="11"/>
        <color theme="1"/>
        <rFont val="Calibri"/>
        <family val="2"/>
        <scheme val="minor"/>
      </rPr>
      <t>2</t>
    </r>
  </si>
  <si>
    <r>
      <t>Adv5.</t>
    </r>
    <r>
      <rPr>
        <sz val="1"/>
        <color theme="1"/>
        <rFont val="Calibri"/>
        <family val="2"/>
        <scheme val="minor"/>
      </rPr>
      <t>0</t>
    </r>
    <r>
      <rPr>
        <sz val="11"/>
        <color theme="1"/>
        <rFont val="Calibri"/>
        <family val="2"/>
        <scheme val="minor"/>
      </rPr>
      <t>4</t>
    </r>
  </si>
  <si>
    <r>
      <t>Adv5.</t>
    </r>
    <r>
      <rPr>
        <sz val="1"/>
        <color theme="1"/>
        <rFont val="Calibri"/>
        <family val="2"/>
        <scheme val="minor"/>
      </rPr>
      <t>0</t>
    </r>
    <r>
      <rPr>
        <sz val="11"/>
        <color theme="1"/>
        <rFont val="Calibri"/>
        <family val="2"/>
        <scheme val="minor"/>
      </rPr>
      <t>5</t>
    </r>
  </si>
  <si>
    <r>
      <t>Adv5.</t>
    </r>
    <r>
      <rPr>
        <sz val="1"/>
        <color theme="1"/>
        <rFont val="Calibri"/>
        <family val="2"/>
        <scheme val="minor"/>
      </rPr>
      <t>0</t>
    </r>
    <r>
      <rPr>
        <sz val="11"/>
        <color theme="1"/>
        <rFont val="Calibri"/>
        <family val="2"/>
        <scheme val="minor"/>
      </rPr>
      <t>6</t>
    </r>
  </si>
  <si>
    <r>
      <t>Adv5.</t>
    </r>
    <r>
      <rPr>
        <sz val="1"/>
        <color theme="1"/>
        <rFont val="Calibri"/>
        <family val="2"/>
        <scheme val="minor"/>
      </rPr>
      <t>0</t>
    </r>
    <r>
      <rPr>
        <sz val="11"/>
        <color theme="1"/>
        <rFont val="Calibri"/>
        <family val="2"/>
        <scheme val="minor"/>
      </rPr>
      <t>7</t>
    </r>
  </si>
  <si>
    <r>
      <t>Adv5.</t>
    </r>
    <r>
      <rPr>
        <sz val="1"/>
        <color theme="1"/>
        <rFont val="Calibri"/>
        <family val="2"/>
        <scheme val="minor"/>
      </rPr>
      <t>0</t>
    </r>
    <r>
      <rPr>
        <sz val="11"/>
        <color theme="1"/>
        <rFont val="Calibri"/>
        <family val="2"/>
        <scheme val="minor"/>
      </rPr>
      <t>8</t>
    </r>
  </si>
  <si>
    <r>
      <t>Adv5.</t>
    </r>
    <r>
      <rPr>
        <sz val="1"/>
        <color theme="1"/>
        <rFont val="Calibri"/>
        <family val="2"/>
        <scheme val="minor"/>
      </rPr>
      <t>0</t>
    </r>
    <r>
      <rPr>
        <sz val="11"/>
        <color theme="1"/>
        <rFont val="Calibri"/>
        <family val="2"/>
        <scheme val="minor"/>
      </rPr>
      <t>9</t>
    </r>
  </si>
  <si>
    <t>Die drei ??? - Böser die Glocken nie klingen: Unbekannte Herkunft</t>
  </si>
  <si>
    <t>Die drei ??? - Böser die Glocken nie klingen: Alarm</t>
  </si>
  <si>
    <t>Die drei ??? - Böser die Glocken nie klingen: Ein viertes Fragezeichen</t>
  </si>
  <si>
    <t>Die drei ??? - Böser die Glocken nie klingen: Fairer Deal</t>
  </si>
  <si>
    <t>Die drei ??? - Böser die Glocken nie klingen: Auf in den Kampf</t>
  </si>
  <si>
    <t>Die drei ??? - Böser die Glocken nie klingen: Zimmer 7</t>
  </si>
  <si>
    <t>Die drei ??? - Böser die Glocken nie klingen: Erwischt!</t>
  </si>
  <si>
    <t>Die drei ??? - Böser die Glocken nie klingen: Heftiger Streit</t>
  </si>
  <si>
    <t>Die drei ??? - Böser die Glocken nie klingen: Dicht auf der Spur</t>
  </si>
  <si>
    <t>Die drei ??? - Böser die Glocken nie klingen: Hausdurchsuchung</t>
  </si>
  <si>
    <t>Die drei ??? - Böser die Glocken nie klingen: Observation</t>
  </si>
  <si>
    <t>Die drei ??? - Böser die Glocken nie klingen: Bittere Realität</t>
  </si>
  <si>
    <t>Die drei ??? - Böser die Glocken nie klingen: Razzia</t>
  </si>
  <si>
    <t>Die drei ??? - Böser die Glocken nie klingen: Stich ins Wespennest</t>
  </si>
  <si>
    <t>Die drei ??? - Böser die Glocken nie klingen: Effektive Strategie</t>
  </si>
  <si>
    <t>Die drei ??? - Böser die Glocken nie klingen: Der Verzweiflung nah</t>
  </si>
  <si>
    <t>Die drei ??? - Böser die Glocken nie klingen: Heißes Eisen</t>
  </si>
  <si>
    <t>Die drei ??? - Böser die Glocken nie klingen: Wie im Märchen</t>
  </si>
  <si>
    <t>Die drei ??? - Böser die Glocken nie klingen: Verzweiflungstat</t>
  </si>
  <si>
    <t>Die drei ??? - Böser die Glocken nie klingen: Polizeieinsatz</t>
  </si>
  <si>
    <t>Die drei ??? - Böser die Glocken nie klingen: Verdacht</t>
  </si>
  <si>
    <t>Die drei ??? - Böser die Glocken nie klingen: Stockender Atem</t>
  </si>
  <si>
    <t>Die drei ??? - Böser die Glocken nie klingen: Beichte</t>
  </si>
  <si>
    <t>049 - und die Comic Fälscher</t>
  </si>
  <si>
    <r>
      <t xml:space="preserve">#Adventskalender - 11. Türchen </t>
    </r>
    <r>
      <rPr>
        <sz val="9"/>
        <color theme="0" tint="-0.499984740745262"/>
        <rFont val="Calibri"/>
        <family val="2"/>
        <scheme val="minor"/>
      </rPr>
      <t>[Buchstabe: Samuel Reynold</t>
    </r>
    <r>
      <rPr>
        <b/>
        <sz val="10"/>
        <color theme="0" tint="-0.499984740745262"/>
        <rFont val="Calibri"/>
        <family val="2"/>
        <scheme val="minor"/>
      </rPr>
      <t>S</t>
    </r>
    <r>
      <rPr>
        <sz val="9"/>
        <color theme="0" tint="-0.499984740745262"/>
        <rFont val="Calibri"/>
        <family val="2"/>
        <scheme val="minor"/>
      </rPr>
      <t>]</t>
    </r>
  </si>
  <si>
    <t>Spezi5</t>
  </si>
  <si>
    <t>Spezialgelagerter Adventskalender 2023 – Tür 11: Der letzte Spezitest</t>
  </si>
  <si>
    <t>Sonderfolge - Die Gruselserie (1981), Wer ist Kai?</t>
  </si>
  <si>
    <t>S21</t>
  </si>
  <si>
    <t>S23</t>
  </si>
  <si>
    <t>S24</t>
  </si>
  <si>
    <r>
      <t xml:space="preserve">#Adventskalender - 12. Türchen </t>
    </r>
    <r>
      <rPr>
        <sz val="9"/>
        <color theme="0" tint="-0.499984740745262"/>
        <rFont val="Calibri"/>
        <family val="2"/>
        <scheme val="minor"/>
      </rPr>
      <t xml:space="preserve">[Buchstabe: </t>
    </r>
    <r>
      <rPr>
        <b/>
        <sz val="10"/>
        <color theme="0" tint="-0.499984740745262"/>
        <rFont val="Calibri"/>
        <family val="2"/>
        <scheme val="minor"/>
      </rPr>
      <t>K</t>
    </r>
    <r>
      <rPr>
        <sz val="9"/>
        <color theme="0" tint="-0.499984740745262"/>
        <rFont val="Calibri"/>
        <family val="2"/>
        <scheme val="minor"/>
      </rPr>
      <t>atrin Fröhlich]</t>
    </r>
  </si>
  <si>
    <t>Spezialgelagerter Adventskalender 2023 – Tür 12: Barbie im Fernsehen</t>
  </si>
  <si>
    <t>#35 | #146 Sorry, Mrs. Pitkätossu</t>
  </si>
  <si>
    <t>36/203</t>
  </si>
  <si>
    <t>Die drei ??? - Record Release Feature zum Hörspiel-Adventskalender 2023 | Sonder Podcast</t>
  </si>
  <si>
    <t>Die drei ??? - Record Release Feature Folge 224 | Sonder Podcast</t>
  </si>
  <si>
    <t>FragezeichenPod – 043 – und der höllische Werwolf</t>
  </si>
  <si>
    <t>Folge 175 - Abfahrt A2 und der weinende Sarg</t>
  </si>
  <si>
    <t>Folge 177 - Abfahrt A2 und der höllische Werwolf</t>
  </si>
  <si>
    <t>Spezialgelagerter Adventskalender 2023 – Tür 13: Tom und Locke</t>
  </si>
  <si>
    <r>
      <t xml:space="preserve">#Adventskalender - 13. Türchen </t>
    </r>
    <r>
      <rPr>
        <sz val="9"/>
        <color theme="0" tint="-0.499984740745262"/>
        <rFont val="Calibri"/>
        <family val="2"/>
        <scheme val="minor"/>
      </rPr>
      <t>[Buchstabe: Br</t>
    </r>
    <r>
      <rPr>
        <b/>
        <sz val="10"/>
        <color theme="0" tint="-0.499984740745262"/>
        <rFont val="Calibri"/>
        <family val="2"/>
        <scheme val="minor"/>
      </rPr>
      <t>I</t>
    </r>
    <r>
      <rPr>
        <sz val="9"/>
        <color theme="0" tint="-0.499984740745262"/>
        <rFont val="Calibri"/>
        <family val="2"/>
        <scheme val="minor"/>
      </rPr>
      <t>t Douglas]</t>
    </r>
  </si>
  <si>
    <t>Folge 41 / Jubiläumsfolge: Toteninsel</t>
  </si>
  <si>
    <t># 85 - ...und der bessere Bob der Baumeister // Benjamin Blümchen auf der Baustelle</t>
  </si>
  <si>
    <t>SF11</t>
  </si>
  <si>
    <t># 86 - ...und die Jürgen und Jochen Chronicles // Manuskript des Satans (221)</t>
  </si>
  <si>
    <r>
      <t xml:space="preserve">#Adventskalender - 14. Türchen </t>
    </r>
    <r>
      <rPr>
        <sz val="9"/>
        <color theme="0" tint="-0.499984740745262"/>
        <rFont val="Calibri"/>
        <family val="2"/>
        <scheme val="minor"/>
      </rPr>
      <t>[Buchstabe: Karten des Böse</t>
    </r>
    <r>
      <rPr>
        <b/>
        <sz val="10"/>
        <color theme="0" tint="-0.499984740745262"/>
        <rFont val="Calibri"/>
        <family val="2"/>
        <scheme val="minor"/>
      </rPr>
      <t>N</t>
    </r>
    <r>
      <rPr>
        <sz val="9"/>
        <color theme="0" tint="-0.499984740745262"/>
        <rFont val="Calibri"/>
        <family val="2"/>
        <scheme val="minor"/>
      </rPr>
      <t>]</t>
    </r>
  </si>
  <si>
    <t>OhrCast 139-4 Rückhör November 2023, Die drei ??? (224) Die Yacht des Verrats</t>
  </si>
  <si>
    <t>OhrCast 139-4 Rückhör November 2023, Die drei ??? (SE) Böser die Glocken nie klingen</t>
  </si>
  <si>
    <r>
      <t xml:space="preserve">SF #4 - Die Ferienbande und die detaillierte Analyse </t>
    </r>
    <r>
      <rPr>
        <sz val="8"/>
        <color theme="1"/>
        <rFont val="Calibri"/>
        <family val="2"/>
        <scheme val="minor"/>
      </rPr>
      <t>[Ferienbande #1]</t>
    </r>
  </si>
  <si>
    <r>
      <t xml:space="preserve">SF #6 - Die Ferienbande und ein echt gelöster Fall // Das voll gemeine Phantom (2) </t>
    </r>
    <r>
      <rPr>
        <sz val="8"/>
        <color theme="1"/>
        <rFont val="Calibri"/>
        <family val="2"/>
        <scheme val="minor"/>
      </rPr>
      <t>[Ferienbande #2]</t>
    </r>
  </si>
  <si>
    <r>
      <t xml:space="preserve"># 84 - ...Familienfeier in slow Motion // Hexspruch mit Folgen (82) </t>
    </r>
    <r>
      <rPr>
        <sz val="8"/>
        <color theme="1"/>
        <rFont val="Calibri"/>
        <family val="2"/>
        <scheme val="minor"/>
      </rPr>
      <t>[Bibi Blocksberg]</t>
    </r>
  </si>
  <si>
    <r>
      <t xml:space="preserve">SF #7 </t>
    </r>
    <r>
      <rPr>
        <sz val="8"/>
        <color theme="1"/>
        <rFont val="Calibri"/>
        <family val="2"/>
        <scheme val="minor"/>
      </rPr>
      <t>[sic]</t>
    </r>
    <r>
      <rPr>
        <sz val="11"/>
        <color theme="1"/>
        <rFont val="Calibri"/>
        <family val="2"/>
        <scheme val="minor"/>
      </rPr>
      <t xml:space="preserve"> - Die Ferienbande - Babsi bumst die Bösis...und den Gärtner // Die unerträglichen Schmuggler </t>
    </r>
    <r>
      <rPr>
        <sz val="8"/>
        <color theme="1"/>
        <rFont val="Calibri"/>
        <family val="2"/>
        <scheme val="minor"/>
      </rPr>
      <t>[Ferienbande #3]</t>
    </r>
  </si>
  <si>
    <t>Die drei ??? - Böser die Glocken nie klingen: Vandalismus</t>
  </si>
  <si>
    <r>
      <t xml:space="preserve">#Adventskalender - 15. Türchen </t>
    </r>
    <r>
      <rPr>
        <sz val="9"/>
        <color theme="0" tint="-0.499984740745262"/>
        <rFont val="Calibri"/>
        <family val="2"/>
        <scheme val="minor"/>
      </rPr>
      <t>[Buchstabe: Visite</t>
    </r>
    <r>
      <rPr>
        <b/>
        <sz val="10"/>
        <color theme="0" tint="-0.499984740745262"/>
        <rFont val="Calibri"/>
        <family val="2"/>
        <scheme val="minor"/>
      </rPr>
      <t>N</t>
    </r>
    <r>
      <rPr>
        <sz val="9"/>
        <color theme="0" tint="-0.499984740745262"/>
        <rFont val="Calibri"/>
        <family val="2"/>
        <scheme val="minor"/>
      </rPr>
      <t>karte]</t>
    </r>
  </si>
  <si>
    <t>Spezialgelagerter Adventskalender 2023- Tür 15: Die Computer-Kids</t>
  </si>
  <si>
    <t>Spezialgelagerter Adventskalender 2023- Tür 16: Private Eye – Ganz in weiss (Teil 1)</t>
  </si>
  <si>
    <r>
      <t xml:space="preserve">#Adventskalender - 16. Türchen </t>
    </r>
    <r>
      <rPr>
        <sz val="9"/>
        <color theme="0" tint="-0.499984740745262"/>
        <rFont val="Calibri"/>
        <family val="2"/>
        <scheme val="minor"/>
      </rPr>
      <t>[Buchstabe: Dick Perr</t>
    </r>
    <r>
      <rPr>
        <b/>
        <sz val="10"/>
        <color theme="0" tint="-0.499984740745262"/>
        <rFont val="Calibri"/>
        <family val="2"/>
        <scheme val="minor"/>
      </rPr>
      <t>Y</t>
    </r>
    <r>
      <rPr>
        <sz val="9"/>
        <color theme="0" tint="-0.499984740745262"/>
        <rFont val="Calibri"/>
        <family val="2"/>
        <scheme val="minor"/>
      </rPr>
      <t>]</t>
    </r>
  </si>
  <si>
    <t>Folge 176 - Ein Gruß zum Jahresende</t>
  </si>
  <si>
    <t>VP096 Vinylopresso &amp; DER VINYLIST Fan Special zu den drei Fragezeichen ??? mit André Minninger</t>
  </si>
  <si>
    <t>VP100 Vinylopresso &amp; DER VINYLIST Fan Special zu den drei Fragezeichen ??? und die geheimnisvollen Rothenbaum Tapes</t>
  </si>
  <si>
    <t>VP103 Vinylopresso &amp; DER VINYLIST Fan Special zu den drei Fragezeichen ??? mit Kari Erlhoff</t>
  </si>
  <si>
    <t>[50] ANNY - Café Rocky Beach - 2 Jahre Diggytalk</t>
  </si>
  <si>
    <t>[52] STEPHAN CHRZESCINSKI - Sprecher-August August - Die drei ???</t>
  </si>
  <si>
    <t>[53] VOLKER GRAAP - Hitchcock Days Eutin</t>
  </si>
  <si>
    <t>[54] ANDRÉ MARX - Die drei ??? Erbe des Drachen</t>
  </si>
  <si>
    <t>[55] KARSTEN HAASE - Die drei ??? Sammler</t>
  </si>
  <si>
    <t>[58] CHRISTOPHER TAUBER &amp; CALLE CLAUS - Die drei ??? Graphic Novel</t>
  </si>
  <si>
    <t>[60] JENS WAWRCZECK -  Peter Shaw Die drei ??? - How to Hitchcock</t>
  </si>
  <si>
    <t>[61] ANJA HERRE - Lektorin für Kosmos Die drei ??? - Graphic Novels und die geheimen Bilder</t>
  </si>
  <si>
    <r>
      <t xml:space="preserve">#Adventskalender - 17. Türchen </t>
    </r>
    <r>
      <rPr>
        <sz val="9"/>
        <color theme="0" tint="-0.499984740745262"/>
        <rFont val="Calibri"/>
        <family val="2"/>
        <scheme val="minor"/>
      </rPr>
      <t xml:space="preserve">[Buchstabe: </t>
    </r>
    <r>
      <rPr>
        <b/>
        <sz val="10"/>
        <color theme="0" tint="-0.499984740745262"/>
        <rFont val="Calibri"/>
        <family val="2"/>
        <scheme val="minor"/>
      </rPr>
      <t>H</t>
    </r>
    <r>
      <rPr>
        <sz val="9"/>
        <color theme="0" tint="-0.499984740745262"/>
        <rFont val="Calibri"/>
        <family val="2"/>
        <scheme val="minor"/>
      </rPr>
      <t>aschimitenfürst]</t>
    </r>
  </si>
  <si>
    <t>Spezialgelagerter Adventskalender 2023- Tür 17: Private Eye – Ganz in weiss (Teil 2)</t>
  </si>
  <si>
    <r>
      <t xml:space="preserve">#Adventskalender - 18. Türchen </t>
    </r>
    <r>
      <rPr>
        <sz val="9"/>
        <color theme="0" tint="-0.499984740745262"/>
        <rFont val="Calibri"/>
        <family val="2"/>
        <scheme val="minor"/>
      </rPr>
      <t>[Buchstabe: Alph</t>
    </r>
    <r>
      <rPr>
        <b/>
        <sz val="10"/>
        <color theme="0" tint="-0.499984740745262"/>
        <rFont val="Calibri"/>
        <family val="2"/>
        <scheme val="minor"/>
      </rPr>
      <t>A</t>
    </r>
    <r>
      <rPr>
        <sz val="9"/>
        <color theme="0" tint="-0.499984740745262"/>
        <rFont val="Calibri"/>
        <family val="2"/>
        <scheme val="minor"/>
      </rPr>
      <t>]</t>
    </r>
  </si>
  <si>
    <t>Spezialgelagerter Adventskalender 2023- Tür 18: Dark Holmes (feat. Philip Bösand)</t>
  </si>
  <si>
    <t>Spezialgelagerter Adventskalender 2023- Tür 14: Die Raureif Saga</t>
  </si>
  <si>
    <r>
      <t xml:space="preserve">#Adventskalender - 19. Türchen </t>
    </r>
    <r>
      <rPr>
        <sz val="9"/>
        <color theme="0" tint="-0.499984740745262"/>
        <rFont val="Calibri"/>
        <family val="2"/>
        <scheme val="minor"/>
      </rPr>
      <t>[Buchstabe: Ha</t>
    </r>
    <r>
      <rPr>
        <b/>
        <sz val="10"/>
        <color theme="0" tint="-0.499984740745262"/>
        <rFont val="Calibri"/>
        <family val="2"/>
        <scheme val="minor"/>
      </rPr>
      <t>U</t>
    </r>
    <r>
      <rPr>
        <sz val="9"/>
        <color theme="0" tint="-0.499984740745262"/>
        <rFont val="Calibri"/>
        <family val="2"/>
        <scheme val="minor"/>
      </rPr>
      <t>s des Schreckens]</t>
    </r>
  </si>
  <si>
    <t>Spezialgelagerter Adventskalender 2023- Tür 19: Die Erben des Bischofs von Johannes Maria Stangl (gelesen von Philip Bösand)</t>
  </si>
  <si>
    <t>Outtakes [2023]</t>
  </si>
  <si>
    <t>Der Bobcast und der gestohlene Preis (Season 4, Ep. 44)</t>
  </si>
  <si>
    <t>Der Bobcast und das Gold der Wikinger (Season 4, Ep. 45)</t>
  </si>
  <si>
    <t>Der Bobcast und der schrullige Millionär (Season 4, Ep. 46)</t>
  </si>
  <si>
    <t>Der Bobcast und der giftige Gockel (Season 4, Ep. 47)</t>
  </si>
  <si>
    <t>Der Bobcast und die gefährlichen Fässer (Season 4, Ep. 48)</t>
  </si>
  <si>
    <t>Die drei ??? - Record Release Feature Folge 226 | Sonder Podcast</t>
  </si>
  <si>
    <t>Die drei ??? - Record Release Feature Folge 227 | Sonder Podcast</t>
  </si>
  <si>
    <t>RS6.1</t>
  </si>
  <si>
    <t>RS6.2</t>
  </si>
  <si>
    <r>
      <t xml:space="preserve">#Adventskalender - 20. Türchen </t>
    </r>
    <r>
      <rPr>
        <sz val="9"/>
        <color theme="0" tint="-0.499984740745262"/>
        <rFont val="Calibri"/>
        <family val="2"/>
        <scheme val="minor"/>
      </rPr>
      <t>[Buchstabe: Clari</t>
    </r>
    <r>
      <rPr>
        <b/>
        <sz val="10"/>
        <color theme="0" tint="-0.499984740745262"/>
        <rFont val="Calibri"/>
        <family val="2"/>
        <scheme val="minor"/>
      </rPr>
      <t>S</t>
    </r>
    <r>
      <rPr>
        <sz val="9"/>
        <color theme="0" tint="-0.499984740745262"/>
        <rFont val="Calibri"/>
        <family val="2"/>
        <scheme val="minor"/>
      </rPr>
      <t>sa Franklin]</t>
    </r>
  </si>
  <si>
    <r>
      <t xml:space="preserve">#Adventskalender - 21. Türchen </t>
    </r>
    <r>
      <rPr>
        <sz val="9"/>
        <color theme="0" tint="-0.499984740745262"/>
        <rFont val="Calibri"/>
        <family val="2"/>
        <scheme val="minor"/>
      </rPr>
      <t>[Buchstabe: Er</t>
    </r>
    <r>
      <rPr>
        <b/>
        <sz val="10"/>
        <color theme="0" tint="-0.499984740745262"/>
        <rFont val="Calibri"/>
        <family val="2"/>
        <scheme val="minor"/>
      </rPr>
      <t>B</t>
    </r>
    <r>
      <rPr>
        <sz val="9"/>
        <color theme="0" tint="-0.499984740745262"/>
        <rFont val="Calibri"/>
        <family val="2"/>
        <scheme val="minor"/>
      </rPr>
      <t>e des Drachen]</t>
    </r>
  </si>
  <si>
    <t>Spezialgelagerter Adventskalender 2023- Tür 20: Die Preacher Chroniken</t>
  </si>
  <si>
    <t>Spezialgelagerter Adventskalender 2023- Tür 21: Kari Erlhoff und Evelyn Boyd über die Rocky Beach Crimes (Interview XXIII)</t>
  </si>
  <si>
    <t>Int23</t>
  </si>
  <si>
    <r>
      <t xml:space="preserve">#Adventskalender - 22. Türchen </t>
    </r>
    <r>
      <rPr>
        <sz val="9"/>
        <color theme="0" tint="-0.499984740745262"/>
        <rFont val="Calibri"/>
        <family val="2"/>
        <scheme val="minor"/>
      </rPr>
      <t>[Buchstabe: P</t>
    </r>
    <r>
      <rPr>
        <b/>
        <sz val="10"/>
        <color theme="0" tint="-0.499984740745262"/>
        <rFont val="Calibri"/>
        <family val="2"/>
        <scheme val="minor"/>
      </rPr>
      <t>O</t>
    </r>
    <r>
      <rPr>
        <sz val="9"/>
        <color theme="0" tint="-0.499984740745262"/>
        <rFont val="Calibri"/>
        <family val="2"/>
        <scheme val="minor"/>
      </rPr>
      <t>wder Gulch]</t>
    </r>
  </si>
  <si>
    <t>Spezialgelagerter Adventskalender 2023- Tür 22: Die drei ??? und der Würfel des Schicksals (Ein Untold-Story)</t>
  </si>
  <si>
    <t>Unt4</t>
  </si>
  <si>
    <r>
      <t xml:space="preserve">#Adventskalender - 23. Türchen </t>
    </r>
    <r>
      <rPr>
        <sz val="9"/>
        <color theme="0" tint="-0.499984740745262"/>
        <rFont val="Calibri"/>
        <family val="2"/>
        <scheme val="minor"/>
      </rPr>
      <t>[Buchstabe: Amig</t>
    </r>
    <r>
      <rPr>
        <b/>
        <sz val="10"/>
        <color theme="0" tint="-0.499984740745262"/>
        <rFont val="Calibri"/>
        <family val="2"/>
        <scheme val="minor"/>
      </rPr>
      <t>O</t>
    </r>
    <r>
      <rPr>
        <sz val="9"/>
        <color theme="0" tint="-0.499984740745262"/>
        <rFont val="Calibri"/>
        <family val="2"/>
        <scheme val="minor"/>
      </rPr>
      <t>s-Presse]</t>
    </r>
  </si>
  <si>
    <t>Spezialgelagerter Adventskalender 2023- Tür 23: Spezialgelagerte Outtakes ’23</t>
  </si>
  <si>
    <t>Unter Anführungszeichen #39: Die drei ??? - Die Karten des Bösen (82)</t>
  </si>
  <si>
    <t>SSP #134.5: Der spezialgelagerte Jahresrückblick (2023)</t>
  </si>
  <si>
    <t>Spezialgelagerter Adventskalender 2023- Tür 24: Die drei ??? und die Geisterlampe (B) [Psychomoon (KG1-GL-11/11), Jagd auf den Weihnachtsmann (KG1-GL-9/12)]</t>
  </si>
  <si>
    <r>
      <t>KG1</t>
    </r>
    <r>
      <rPr>
        <sz val="8"/>
        <color theme="1"/>
        <rFont val="Calibri"/>
        <family val="2"/>
        <scheme val="minor"/>
      </rPr>
      <t>.11/12</t>
    </r>
  </si>
  <si>
    <r>
      <t>KG1</t>
    </r>
    <r>
      <rPr>
        <sz val="8"/>
        <color theme="1"/>
        <rFont val="Calibri"/>
        <family val="2"/>
        <scheme val="minor"/>
      </rPr>
      <t>.01/02</t>
    </r>
  </si>
  <si>
    <r>
      <t xml:space="preserve">#Adventskalender - 24. Türchen </t>
    </r>
    <r>
      <rPr>
        <sz val="9"/>
        <color theme="0" tint="-0.499984740745262"/>
        <rFont val="Calibri"/>
        <family val="2"/>
        <scheme val="minor"/>
      </rPr>
      <t>[Buchstabe: Mas</t>
    </r>
    <r>
      <rPr>
        <b/>
        <sz val="10"/>
        <color theme="0" tint="-0.499984740745262"/>
        <rFont val="Calibri"/>
        <family val="2"/>
        <scheme val="minor"/>
      </rPr>
      <t>T</t>
    </r>
    <r>
      <rPr>
        <sz val="9"/>
        <color theme="0" tint="-0.499984740745262"/>
        <rFont val="Calibri"/>
        <family val="2"/>
        <scheme val="minor"/>
      </rPr>
      <t>er of Chess]</t>
    </r>
  </si>
  <si>
    <r>
      <t xml:space="preserve">Der Bobcast und der heimliche Hehler (Season 3, Ep. 37) </t>
    </r>
    <r>
      <rPr>
        <sz val="8"/>
        <color theme="1"/>
        <rFont val="Calibri"/>
        <family val="2"/>
        <scheme val="minor"/>
      </rPr>
      <t>[mit Simon Jäger 1]</t>
    </r>
  </si>
  <si>
    <r>
      <t xml:space="preserve">Der Bobcast und die Winterpause (Season 3) </t>
    </r>
    <r>
      <rPr>
        <sz val="8"/>
        <color theme="1"/>
        <rFont val="Calibri"/>
        <family val="2"/>
        <scheme val="minor"/>
      </rPr>
      <t>[mit Karl-Ulrich Meves 1]</t>
    </r>
  </si>
  <si>
    <t>#53: Die Freundinnen der Drei Fragezeichen (erzählt anhand der Folge "Angriff der Computer-Viren")</t>
  </si>
  <si>
    <t>#Adventskalender - Outtakes</t>
  </si>
  <si>
    <t>#XX - Jahresrückblick 2023</t>
  </si>
  <si>
    <t>#XX - Adventskalender 2023 Auflösung</t>
  </si>
  <si>
    <t>FragezeichenPod – 190 – die Kammer der Rätsel</t>
  </si>
  <si>
    <t>SSP #135: Die drei ??? und der weinende Sarg (42)</t>
  </si>
  <si>
    <t>Folge 60: Leonie strikes again, Die drei ??? - Späte Rache (69) featuring Leonie</t>
  </si>
  <si>
    <t>S25</t>
  </si>
  <si>
    <t>Special: Die drei ??? (11) und das Gespensterschloss 2.0, 5 Jahre "Die Zentrale"</t>
  </si>
  <si>
    <t>Unter Anführungszeichen #40: Die drei ??? - Spuk im Netz (132)</t>
  </si>
  <si>
    <t>Folge 42: und der magische Kreis</t>
  </si>
  <si>
    <t>Folge 43: und das versunkene Dorf</t>
  </si>
  <si>
    <t>#36 | #203 J gegen J wegen J und J</t>
  </si>
  <si>
    <t>#37 | #180 152 miles 80s roadtrip</t>
  </si>
  <si>
    <t>37/180</t>
  </si>
  <si>
    <t>Der heimliche Hehler</t>
  </si>
  <si>
    <t>Der unsichtbare Gegner</t>
  </si>
  <si>
    <t>38/186</t>
  </si>
  <si>
    <t>#55: "TKKG - Banditen im Palasthotel"</t>
  </si>
  <si>
    <t>TKKG027</t>
  </si>
  <si>
    <t>#61 - Die drei ??? - Gefährliches Quiz</t>
  </si>
  <si>
    <t>#64 - Die drei ??? - Der letzte Song</t>
  </si>
  <si>
    <t>#66 - Die drei ??? - Der tanzende Teufel</t>
  </si>
  <si>
    <t>#65 - Die drei ??? - Der Geist des Goldgräbers</t>
  </si>
  <si>
    <t>050 - und das falsche Schauspiel</t>
  </si>
  <si>
    <t>051 - und der Goldesel</t>
  </si>
  <si>
    <t>052 - und die Musikdiebe</t>
  </si>
  <si>
    <t>053 - und die Auto Band</t>
  </si>
  <si>
    <t>#13 DGdB - Der geheime Schlüssel - Mobismecs und Schlupfrabbler</t>
  </si>
  <si>
    <t>#14 DGdB - Das Geheimnis der Särge - Keller, Grüfte, Katakomben</t>
  </si>
  <si>
    <t>SSP #136: Die drei ??? und der Feuergeist (158)</t>
  </si>
  <si>
    <t>Folge 179 - Abfahrt A2 und der gestohlene Preis</t>
  </si>
  <si>
    <t>Spezialgelagerte Sonderfolge #5: Jahresrückblick 2023</t>
  </si>
  <si>
    <t>FragezeichenPod – 225 – und der Puppenmacher (1-20)</t>
  </si>
  <si>
    <t>Die drei ??? - Record Release Feature zur Jubiläumsfolge 225 | Sonder Podcast</t>
  </si>
  <si>
    <t>#15 DGdB - Insektenstachel - Gesurre, Gebrumme und Geschrei</t>
  </si>
  <si>
    <t>RBP</t>
  </si>
  <si>
    <t>#001: Die drei ??? und das Gespensterschloss (1)</t>
  </si>
  <si>
    <t>#000 Vorstellunsrunde</t>
  </si>
  <si>
    <t>#002: Die drei ??? und der Karpatenhund</t>
  </si>
  <si>
    <t>#002a: Jahresendfolge 2023</t>
  </si>
  <si>
    <t>#003: Die drei ??? und die verlorene Zeit (214)</t>
  </si>
  <si>
    <r>
      <t xml:space="preserve">#010 - Bedrohte Ranch </t>
    </r>
    <r>
      <rPr>
        <sz val="8"/>
        <color theme="1"/>
        <rFont val="Calibri"/>
        <family val="2"/>
        <scheme val="minor"/>
      </rPr>
      <t>[Staffel 2]</t>
    </r>
  </si>
  <si>
    <t>http://open.spotify.com/show/4vyafADyS1ykP3MzvEwaqC</t>
  </si>
  <si>
    <t>http://www.youtube.com/@Rocky-Beach-Podcast-hc2jz</t>
  </si>
  <si>
    <t>#38 | #186 5*****Chaos-Opa-Tour</t>
  </si>
  <si>
    <t>Die Rache der Samurai</t>
  </si>
  <si>
    <t>39/145</t>
  </si>
  <si>
    <r>
      <rPr>
        <sz val="11"/>
        <color theme="0"/>
        <rFont val="Calibri"/>
        <family val="2"/>
        <scheme val="minor"/>
      </rPr>
      <t>L</t>
    </r>
    <r>
      <rPr>
        <sz val="11"/>
        <color theme="1"/>
        <rFont val="Calibri"/>
        <family val="2"/>
        <scheme val="minor"/>
      </rPr>
      <t>099</t>
    </r>
  </si>
  <si>
    <t>Der Bobcast Live in Saarbrücken (Congresshalle) - Hexen-Handy</t>
  </si>
  <si>
    <t>Der Bobcast Live in Essen (Lichtburg) - Hexen-Handy</t>
  </si>
  <si>
    <t>Der Bobcast Live in Köln (Theater am Tanzbrunnen) - Hexen-Handy</t>
  </si>
  <si>
    <t>Der Bobcast Live in Berlin (Admiralspalast) - Hexen-Handy</t>
  </si>
  <si>
    <t>Der Bobcast Live in Hannover (Theater am Aegi) - Hexen-Handy</t>
  </si>
  <si>
    <t>Der Bobcast Live in Bremen (Metropol Theater) - Hexen-Handy</t>
  </si>
  <si>
    <t>Der Bobcast Live in Hamburg (Laeiszhalle) - Hexen-Handy</t>
  </si>
  <si>
    <t>Der Bobcast Live in Stuttgart (Theaterhaus) - Hexen-Handy</t>
  </si>
  <si>
    <t>Der Bobcast Live in München (Circus Krone) - Hexen-Handy</t>
  </si>
  <si>
    <t>Der Bobcast Live in Bad Vilbel (VILCO) - Hexen-Handy</t>
  </si>
  <si>
    <r>
      <t xml:space="preserve">Der Bobcast und der weinende Sarg (Season 4, Ep. 42) </t>
    </r>
    <r>
      <rPr>
        <sz val="8"/>
        <color theme="1"/>
        <rFont val="Calibri"/>
        <family val="2"/>
        <scheme val="minor"/>
      </rPr>
      <t>[mit Franziska Wierz 1]</t>
    </r>
  </si>
  <si>
    <r>
      <t xml:space="preserve">Der Bobcast und der höllische Werwolf (Season 4, Ep. 43) </t>
    </r>
    <r>
      <rPr>
        <sz val="8"/>
        <color theme="1"/>
        <rFont val="Calibri"/>
        <family val="2"/>
        <scheme val="minor"/>
      </rPr>
      <t>[mit Sascha Draeger 2]</t>
    </r>
  </si>
  <si>
    <r>
      <t xml:space="preserve">SSP #138: Die drei ??? – Tal des Schreckens (98) </t>
    </r>
    <r>
      <rPr>
        <sz val="8"/>
        <color theme="1"/>
        <rFont val="Calibri"/>
        <family val="2"/>
        <scheme val="minor"/>
      </rPr>
      <t>[Olafs Geburtstagsfolge 7]</t>
    </r>
  </si>
  <si>
    <t>SSP #136.5: Sieben Jahre Spezialgelagerter Sonderpodcast</t>
  </si>
  <si>
    <t>FB44</t>
  </si>
  <si>
    <r>
      <t xml:space="preserve">SSP #137: Die drei ??? – Das Kabinett des Zauberers (181) </t>
    </r>
    <r>
      <rPr>
        <sz val="8"/>
        <color theme="1"/>
        <rFont val="Calibri"/>
        <family val="2"/>
        <scheme val="minor"/>
      </rPr>
      <t>[John Allens Geburtstagsfolge 1]</t>
    </r>
  </si>
  <si>
    <r>
      <t xml:space="preserve">#011 - Geisterinsel </t>
    </r>
    <r>
      <rPr>
        <sz val="8"/>
        <color theme="1"/>
        <rFont val="Calibri"/>
        <family val="2"/>
        <scheme val="minor"/>
      </rPr>
      <t>[Staffel 2]</t>
    </r>
  </si>
  <si>
    <t>#16 DGdB und der Puppenmacher - Karohemden, Regenbogenrosen und Basteln mit Mais</t>
  </si>
  <si>
    <t>Doppelpunkt Episode 8 - Folge 154 Botschaft aus der Unterwelt</t>
  </si>
  <si>
    <t>Doppelpunkt Episode 9 - Folge 105 Nebelberg</t>
  </si>
  <si>
    <t>054 - Gefahr im Theater</t>
  </si>
  <si>
    <t>055 - the real MVP</t>
  </si>
  <si>
    <t>056 - und der Angriff der Computer-Sounds</t>
  </si>
  <si>
    <t xml:space="preserve"> Stand: 20.04.2024</t>
  </si>
  <si>
    <t>X1 - Auf ein Wort mit C.R. Rodenwald und Thomas Freitag - Willkommen in Rocky Beach</t>
  </si>
  <si>
    <t>#62 - Die drei ??? - Schrecken aus dem Moor</t>
  </si>
  <si>
    <t>#67 - Die drei ??? - Späte Rache</t>
  </si>
  <si>
    <t>#60: "Die drei Fragezeichen - Nacht in Angst"</t>
  </si>
  <si>
    <t>#39 | #145 Zusammensummiert weird</t>
  </si>
  <si>
    <t>Automarder</t>
  </si>
  <si>
    <t>40/159</t>
  </si>
  <si>
    <t>#40 | #159 Autoschieber</t>
  </si>
  <si>
    <r>
      <t xml:space="preserve"># 87 - ...Quo Vadis Kirschkuchen // Fußballfieber (123) </t>
    </r>
    <r>
      <rPr>
        <sz val="8"/>
        <color theme="1"/>
        <rFont val="Calibri"/>
        <family val="2"/>
        <scheme val="minor"/>
      </rPr>
      <t>[Letzte ???-Folge]</t>
    </r>
  </si>
  <si>
    <t>Folge 44: der unsichtbare Gegner</t>
  </si>
  <si>
    <t>Folge 45: Gefährliches Quiz</t>
  </si>
  <si>
    <t>https://open.spotify.com/show/4vyafADyS1ykP3MzvEwaqC</t>
  </si>
  <si>
    <r>
      <rPr>
        <b/>
        <sz val="11"/>
        <color theme="1"/>
        <rFont val="Calibri"/>
        <family val="2"/>
        <scheme val="minor"/>
      </rPr>
      <t>Rocky-Beach-Podcast</t>
    </r>
    <r>
      <rPr>
        <sz val="11"/>
        <color theme="1"/>
        <rFont val="Calibri"/>
        <family val="2"/>
        <scheme val="minor"/>
      </rPr>
      <t xml:space="preserve"> - Der wohl jüngste Podcast über die drei Detektive und ihr Rocky Beach </t>
    </r>
    <r>
      <rPr>
        <sz val="11"/>
        <color theme="0"/>
        <rFont val="Calibri"/>
        <family val="2"/>
        <scheme val="minor"/>
      </rPr>
      <t>(seit 28. Juni 2023)</t>
    </r>
  </si>
  <si>
    <t>Rocky-Beach-Podcast</t>
  </si>
  <si>
    <t>Folge 61: Von der Millionenstadt nach Rocky Beach, Die drei ??? - Die Yacht des Verrats (224) featuring Sascha Draeger</t>
  </si>
  <si>
    <t>S26</t>
  </si>
  <si>
    <t>Quizspecial: Die Welt der drei Fragezeichen 2, Benjamin vs Olli vs Thomas</t>
  </si>
  <si>
    <t>Folge 62: Volle Bruchlandung, Die drei ??? und der verschollene Pilot (163)</t>
  </si>
  <si>
    <t>Folge 63: 2 1/2 Jahre in der Mache, Die drei ??? - Vampir im Internet (88)</t>
  </si>
  <si>
    <t>Folge 181 - Abfahrt A2 und das Gold der Wikinger</t>
  </si>
  <si>
    <t>Folge 182 - Abfahrt A2 und das Live Spezial</t>
  </si>
  <si>
    <t>Unter Anführungszeichen #41: Die drei ??? - Stimmen aus dem Nichts (76)</t>
  </si>
  <si>
    <t>Unter Anführungszeichen #42: Die drei ??? und die verlorene Zeit (215)</t>
  </si>
  <si>
    <t>Unter Anführungszeichen #43: Die drei ??? und Etwas</t>
  </si>
  <si>
    <t>OhrCast 142-3 Rückhör Januar 2024, Die drei ??? (225) und der Puppenmacher</t>
  </si>
  <si>
    <t>#68 - Die drei ??? - Das Kabinett des Zauberers</t>
  </si>
  <si>
    <t># 99 - …und die niedergeschriebene vorbereitete Folge // Die feurige Flut (148)</t>
  </si>
  <si>
    <t># 88 - ...und die zw3i Fragwürdigen // Cannabis, Torten und WWE</t>
  </si>
  <si>
    <t>05/2024 - Zwischenfolge</t>
  </si>
  <si>
    <t>#70 feat. "Die Zentrale" - Die Dr3i - Das Seeungeheuer</t>
  </si>
  <si>
    <t>#69 - Die Dr3i - Das Haus der 1000 Rätsel</t>
  </si>
  <si>
    <t>Der Bobcast und die Live-Tour</t>
  </si>
  <si>
    <t>Der Bobcast und die Comic-Diebe (Season 4, Ep. 49)</t>
  </si>
  <si>
    <t>Der Bobcast und der verschwundene Filmstar (Season 4, Ep. 50)</t>
  </si>
  <si>
    <t>L099</t>
  </si>
  <si>
    <t>Folge 184 - Abfahrt A2 und der schrullige Millionär</t>
  </si>
  <si>
    <t>Folge 186 - Abfahrt A2 und der giftige Gockel</t>
  </si>
  <si>
    <t>XX - Interview mit Theaterschauspieler Nils Martens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</si>
</sst>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407]d/\ mmmm\ yyyy;@"/>
    <numFmt numFmtId="165" formatCode="000"/>
    <numFmt numFmtId="166" formatCode="&quot;ca. &quot;[h]:mm:ss"/>
    <numFmt numFmtId="167" formatCode="[=1]0\ &quot;Tag&quot;;[&lt;&gt;1]0\ &quot;Tage&quot;"/>
    <numFmt numFmtId="168" formatCode="&quot;SSP #&quot;#"/>
    <numFmt numFmtId="169" formatCode="&quot;ΔSSPs&quot;\ #"/>
    <numFmt numFmtId="170" formatCode="#&quot;-mal&quot;"/>
    <numFmt numFmtId="171" formatCode="#.##&quot; Tage&quot;"/>
    <numFmt numFmtId="172" formatCode="#\ &quot;Abstimmungen&quot;"/>
    <numFmt numFmtId="173" formatCode="#\ &quot;Stimmen&quot;"/>
    <numFmt numFmtId="174" formatCode="#.##\ &quot;Stimmen&quot;"/>
    <numFmt numFmtId="175" formatCode="&quot;∅  &quot;[h]:mm:ss"/>
    <numFmt numFmtId="176" formatCode="[h]:mm:ss.00"/>
    <numFmt numFmtId="177" formatCode="[&gt;1]&quot;Δt &quot;0&quot; Tage&quot;;[=1]&quot;Δt &quot;0&quot; Tag&quot;;General"/>
    <numFmt numFmtId="178" formatCode="ddd/\,\ dd/\ mmm/\ yyyy"/>
    <numFmt numFmtId="179" formatCode="&quot;Summe:&quot;\ #\ &quot;Stimmen&quot;"/>
    <numFmt numFmtId="180" formatCode="&quot;Ø&quot;\ #.##\ &quot;Stimmen&quot;"/>
    <numFmt numFmtId="181" formatCode="&quot;min.&quot;\ #\ &quot;Stimmen&quot;"/>
    <numFmt numFmtId="182" formatCode="&quot;max.&quot;\ #\ &quot;Stimmen&quot;"/>
    <numFmt numFmtId="183" formatCode="&quot;Summe:&quot;\ #\ &quot;Abstimmungen&quot;"/>
    <numFmt numFmtId="184" formatCode="&quot;min.&quot;\ #\ &quot;Tage&quot;"/>
    <numFmt numFmtId="185" formatCode="&quot;max.&quot;\ #\ &quot;Tage&quot;"/>
    <numFmt numFmtId="186" formatCode="&quot;Ø&quot;\ #.##&quot; Tage&quot;"/>
    <numFmt numFmtId="187" formatCode="&quot;(&quot;#.#\ &quot;Wochen)&quot;"/>
    <numFmt numFmtId="188" formatCode="0.0"/>
    <numFmt numFmtId="189" formatCode="[$-407]mmm/\ yy;@"/>
    <numFmt numFmtId="190" formatCode="\—"/>
    <numFmt numFmtId="191" formatCode="&quot;x-Wert:&quot;\ ##\ &quot;%&quot;"/>
    <numFmt numFmtId="192" formatCode="&quot;y-Wert:&quot;\ ##\ &quot;%&quot;"/>
    <numFmt numFmtId="193" formatCode="\(\⌀\ #.###\)"/>
  </numFmts>
  <fonts count="75">
    <font>
      <sz val="11"/>
      <color theme="1"/>
      <name val="Calibri"/>
      <family val="2"/>
      <scheme val="minor"/>
    </font>
    <font>
      <u/>
      <sz val="11"/>
      <color theme="10"/>
      <name val="Calibri"/>
      <family val="2"/>
      <scheme val="minor"/>
    </font>
    <font>
      <b/>
      <sz val="11"/>
      <color theme="1"/>
      <name val="Calibri"/>
      <family val="2"/>
      <scheme val="minor"/>
    </font>
    <font>
      <sz val="8"/>
      <name val="Verdana"/>
      <family val="2"/>
    </font>
    <font>
      <sz val="11"/>
      <name val="Calibri"/>
      <family val="2"/>
      <scheme val="minor"/>
    </font>
    <font>
      <b/>
      <sz val="11"/>
      <name val="Calibri"/>
      <family val="2"/>
      <scheme val="minor"/>
    </font>
    <font>
      <sz val="11"/>
      <color rgb="FF000000"/>
      <name val="Calibri"/>
      <family val="2"/>
      <scheme val="minor"/>
    </font>
    <font>
      <sz val="11"/>
      <color theme="0"/>
      <name val="Calibri"/>
      <family val="2"/>
      <scheme val="minor"/>
    </font>
    <font>
      <sz val="8"/>
      <color theme="1"/>
      <name val="Calibri"/>
      <family val="2"/>
      <scheme val="minor"/>
    </font>
    <font>
      <i/>
      <sz val="8"/>
      <color theme="1"/>
      <name val="Calibri"/>
      <family val="2"/>
      <scheme val="minor"/>
    </font>
    <font>
      <sz val="9"/>
      <color indexed="81"/>
      <name val="Tahoma"/>
      <family val="2"/>
    </font>
    <font>
      <u/>
      <sz val="11"/>
      <name val="Calibri"/>
      <family val="2"/>
      <scheme val="minor"/>
    </font>
    <font>
      <sz val="10"/>
      <color theme="1"/>
      <name val="Calibri"/>
      <family val="2"/>
      <scheme val="minor"/>
    </font>
    <font>
      <sz val="9"/>
      <color theme="1"/>
      <name val="Calibri"/>
      <family val="2"/>
      <scheme val="minor"/>
    </font>
    <font>
      <sz val="1"/>
      <color theme="1"/>
      <name val="Calibri"/>
      <family val="2"/>
      <scheme val="minor"/>
    </font>
    <font>
      <sz val="1"/>
      <name val="Calibri"/>
      <family val="2"/>
      <scheme val="minor"/>
    </font>
    <font>
      <b/>
      <sz val="11"/>
      <color theme="0"/>
      <name val="Calibri"/>
      <family val="2"/>
      <scheme val="minor"/>
    </font>
    <font>
      <b/>
      <i/>
      <sz val="9"/>
      <color indexed="81"/>
      <name val="Tahoma"/>
      <family val="2"/>
    </font>
    <font>
      <sz val="11"/>
      <color rgb="FF000000"/>
      <name val="Calibri"/>
      <family val="2"/>
      <scheme val="minor"/>
    </font>
    <font>
      <sz val="11"/>
      <name val="Calibri"/>
      <family val="2"/>
      <scheme val="minor"/>
    </font>
    <font>
      <sz val="11"/>
      <color theme="0" tint="-0.499984740745262"/>
      <name val="Calibri"/>
      <family val="2"/>
      <scheme val="minor"/>
    </font>
    <font>
      <sz val="8"/>
      <color indexed="81"/>
      <name val="Tahoma"/>
      <family val="2"/>
    </font>
    <font>
      <b/>
      <sz val="9"/>
      <color indexed="81"/>
      <name val="Tahoma"/>
      <family val="2"/>
    </font>
    <font>
      <i/>
      <sz val="9"/>
      <color indexed="81"/>
      <name val="Tahoma"/>
      <family val="2"/>
    </font>
    <font>
      <sz val="11"/>
      <color rgb="FF00B050"/>
      <name val="Calibri"/>
      <family val="2"/>
      <scheme val="minor"/>
    </font>
    <font>
      <b/>
      <sz val="11"/>
      <color rgb="FF00B050"/>
      <name val="Calibri"/>
      <family val="2"/>
      <scheme val="minor"/>
    </font>
    <font>
      <sz val="11"/>
      <color rgb="FF333333"/>
      <name val="Calibri"/>
      <family val="2"/>
      <scheme val="minor"/>
    </font>
    <font>
      <b/>
      <i/>
      <sz val="10"/>
      <color theme="1"/>
      <name val="Calibri"/>
      <family val="2"/>
      <scheme val="minor"/>
    </font>
    <font>
      <i/>
      <sz val="11"/>
      <color theme="1"/>
      <name val="Calibri"/>
      <family val="2"/>
      <scheme val="minor"/>
    </font>
    <font>
      <i/>
      <sz val="10"/>
      <color theme="1"/>
      <name val="Calibri"/>
      <family val="2"/>
      <scheme val="minor"/>
    </font>
    <font>
      <sz val="10"/>
      <name val="Calibri"/>
      <family val="2"/>
    </font>
    <font>
      <sz val="10"/>
      <name val="Calibri"/>
      <family val="2"/>
      <scheme val="minor"/>
    </font>
    <font>
      <sz val="10"/>
      <color theme="0"/>
      <name val="Calibri"/>
      <family val="2"/>
      <scheme val="minor"/>
    </font>
    <font>
      <sz val="11"/>
      <color theme="0" tint="-4.9989318521683403E-2"/>
      <name val="Calibri"/>
      <family val="2"/>
      <scheme val="minor"/>
    </font>
    <font>
      <sz val="10"/>
      <color theme="0" tint="-4.9989318521683403E-2"/>
      <name val="Calibri"/>
      <family val="2"/>
      <scheme val="minor"/>
    </font>
    <font>
      <sz val="9"/>
      <color theme="0"/>
      <name val="Calibri"/>
      <family val="2"/>
      <scheme val="minor"/>
    </font>
    <font>
      <sz val="8"/>
      <color theme="0" tint="-0.249977111117893"/>
      <name val="Calibri"/>
      <family val="2"/>
      <scheme val="minor"/>
    </font>
    <font>
      <sz val="8"/>
      <name val="Calibri"/>
      <family val="2"/>
      <scheme val="minor"/>
    </font>
    <font>
      <sz val="8"/>
      <color theme="0"/>
      <name val="Calibri"/>
      <family val="2"/>
      <scheme val="minor"/>
    </font>
    <font>
      <u/>
      <sz val="11"/>
      <color theme="1"/>
      <name val="Calibri"/>
      <family val="2"/>
      <scheme val="minor"/>
    </font>
    <font>
      <i/>
      <sz val="11"/>
      <name val="Calibri"/>
      <family val="2"/>
      <scheme val="minor"/>
    </font>
    <font>
      <sz val="11"/>
      <color theme="1"/>
      <name val="Calibri"/>
      <family val="2"/>
      <scheme val="minor"/>
    </font>
    <font>
      <sz val="8"/>
      <color theme="0" tint="-0.499984740745262"/>
      <name val="Calibri"/>
      <family val="2"/>
      <scheme val="minor"/>
    </font>
    <font>
      <sz val="11"/>
      <color rgb="FF000000"/>
      <name val="Calibri"/>
      <family val="2"/>
      <scheme val="minor"/>
    </font>
    <font>
      <u/>
      <sz val="11"/>
      <color rgb="FF0563C1"/>
      <name val="Calibri"/>
      <family val="2"/>
      <scheme val="minor"/>
    </font>
    <font>
      <sz val="11"/>
      <color rgb="FF000000"/>
      <name val="Calibri"/>
      <family val="2"/>
      <scheme val="minor"/>
    </font>
    <font>
      <sz val="11"/>
      <color rgb="FF000000"/>
      <name val="Calibri"/>
      <family val="2"/>
      <scheme val="minor"/>
    </font>
    <font>
      <u/>
      <sz val="11"/>
      <color rgb="FF0000FF"/>
      <name val="Calibri"/>
      <family val="2"/>
      <scheme val="minor"/>
    </font>
    <font>
      <sz val="11"/>
      <color theme="1"/>
      <name val="Tahoma"/>
      <family val="2"/>
    </font>
    <font>
      <u/>
      <sz val="11"/>
      <color theme="0"/>
      <name val="Calibri"/>
      <family val="2"/>
      <scheme val="minor"/>
    </font>
    <font>
      <sz val="8"/>
      <color rgb="FFFF0000"/>
      <name val="Calibri"/>
      <family val="2"/>
      <scheme val="minor"/>
    </font>
    <font>
      <sz val="6"/>
      <color theme="1"/>
      <name val="Calibri"/>
      <family val="2"/>
      <scheme val="minor"/>
    </font>
    <font>
      <sz val="11"/>
      <color rgb="FFFF7F00"/>
      <name val="Calibri"/>
      <family val="2"/>
      <scheme val="minor"/>
    </font>
    <font>
      <b/>
      <sz val="11"/>
      <color rgb="FF4F81BD"/>
      <name val="Calibri"/>
      <family val="2"/>
      <scheme val="minor"/>
    </font>
    <font>
      <i/>
      <sz val="11"/>
      <color rgb="FFFF7F00"/>
      <name val="Calibri"/>
      <family val="2"/>
      <scheme val="minor"/>
    </font>
    <font>
      <b/>
      <sz val="11"/>
      <color rgb="FFFF0000"/>
      <name val="Calibri"/>
      <family val="2"/>
      <scheme val="minor"/>
    </font>
    <font>
      <b/>
      <sz val="10"/>
      <color theme="1"/>
      <name val="Calibri"/>
      <family val="2"/>
      <scheme val="minor"/>
    </font>
    <font>
      <sz val="11"/>
      <color rgb="FF000000"/>
      <name val="Calibri"/>
      <family val="2"/>
      <scheme val="minor"/>
    </font>
    <font>
      <sz val="11"/>
      <color rgb="FF000000"/>
      <name val="Calibri"/>
      <family val="2"/>
      <scheme val="minor"/>
    </font>
    <font>
      <sz val="9"/>
      <color theme="0" tint="-0.499984740745262"/>
      <name val="Calibri"/>
      <family val="2"/>
      <scheme val="minor"/>
    </font>
    <font>
      <sz val="11"/>
      <color rgb="FF000000"/>
      <name val="Calibri"/>
      <family val="2"/>
      <scheme val="minor"/>
    </font>
    <font>
      <sz val="9"/>
      <color indexed="10"/>
      <name val="Tahoma"/>
      <family val="2"/>
    </font>
    <font>
      <u/>
      <sz val="8"/>
      <name val="Calibri"/>
      <family val="2"/>
      <scheme val="minor"/>
    </font>
    <font>
      <i/>
      <sz val="10"/>
      <name val="Calibri"/>
      <family val="2"/>
    </font>
    <font>
      <b/>
      <sz val="9"/>
      <color indexed="81"/>
      <name val="Segoe UI"/>
      <family val="2"/>
    </font>
    <font>
      <sz val="9"/>
      <color indexed="81"/>
      <name val="Segoe UI"/>
      <family val="2"/>
    </font>
    <font>
      <sz val="10"/>
      <color rgb="FF000000"/>
      <name val="Calibri"/>
      <family val="2"/>
      <scheme val="minor"/>
    </font>
    <font>
      <sz val="11"/>
      <color rgb="FF000000"/>
      <name val="Calibri"/>
      <family val="2"/>
      <scheme val="minor"/>
    </font>
    <font>
      <sz val="10"/>
      <color theme="0" tint="-0.499984740745262"/>
      <name val="Calibri"/>
      <family val="2"/>
      <scheme val="minor"/>
    </font>
    <font>
      <b/>
      <sz val="10"/>
      <color theme="0" tint="-0.499984740745262"/>
      <name val="Calibri"/>
      <family val="2"/>
      <scheme val="minor"/>
    </font>
    <font>
      <sz val="11"/>
      <color theme="1"/>
      <name val="Calibri"/>
      <scheme val="minor"/>
    </font>
    <font>
      <sz val="11"/>
      <color rgb="FF000000"/>
      <name val="Calibri"/>
      <scheme val="minor"/>
    </font>
    <font>
      <b/>
      <sz val="10"/>
      <color theme="0"/>
      <name val="Calibri"/>
      <family val="2"/>
      <scheme val="minor"/>
    </font>
    <font>
      <sz val="5"/>
      <color theme="0" tint="-0.14999847407452621"/>
      <name val="Calibri"/>
      <family val="2"/>
      <scheme val="minor"/>
    </font>
    <font>
      <sz val="11"/>
      <name val="Calibri"/>
      <scheme val="minor"/>
    </font>
  </fonts>
  <fills count="2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336699"/>
        <bgColor indexed="64"/>
      </patternFill>
    </fill>
    <fill>
      <patternFill patternType="solid">
        <fgColor rgb="FF6699CC"/>
        <bgColor indexed="64"/>
      </patternFill>
    </fill>
    <fill>
      <patternFill patternType="solid">
        <fgColor rgb="FF993333"/>
        <bgColor indexed="64"/>
      </patternFill>
    </fill>
    <fill>
      <patternFill patternType="solid">
        <fgColor rgb="FFCC6666"/>
        <bgColor indexed="64"/>
      </patternFill>
    </fill>
    <fill>
      <patternFill patternType="solid">
        <fgColor rgb="FF669933"/>
        <bgColor indexed="64"/>
      </patternFill>
    </fill>
    <fill>
      <patternFill patternType="solid">
        <fgColor rgb="FF99CC66"/>
        <bgColor indexed="64"/>
      </patternFill>
    </fill>
    <fill>
      <patternFill patternType="solid">
        <fgColor rgb="FF666699"/>
        <bgColor indexed="64"/>
      </patternFill>
    </fill>
    <fill>
      <patternFill patternType="solid">
        <fgColor rgb="FF996699"/>
        <bgColor indexed="64"/>
      </patternFill>
    </fill>
    <fill>
      <patternFill patternType="solid">
        <fgColor rgb="FF339999"/>
        <bgColor indexed="64"/>
      </patternFill>
    </fill>
    <fill>
      <patternFill patternType="solid">
        <fgColor rgb="FF3399CC"/>
        <bgColor indexed="64"/>
      </patternFill>
    </fill>
    <fill>
      <patternFill patternType="solid">
        <fgColor rgb="FFCC6633"/>
        <bgColor indexed="64"/>
      </patternFill>
    </fill>
    <fill>
      <patternFill patternType="solid">
        <fgColor rgb="FFFF9933"/>
        <bgColor indexed="64"/>
      </patternFill>
    </fill>
    <fill>
      <patternFill patternType="solid">
        <fgColor rgb="FFE0FFE0"/>
        <bgColor indexed="64"/>
      </patternFill>
    </fill>
    <fill>
      <patternFill patternType="solid">
        <fgColor rgb="FFC0FFC0"/>
        <bgColor indexed="64"/>
      </patternFill>
    </fill>
    <fill>
      <patternFill patternType="solid">
        <fgColor rgb="FF4F81BD"/>
        <bgColor indexed="64"/>
      </patternFill>
    </fill>
    <fill>
      <patternFill patternType="solid">
        <fgColor rgb="FFC0504D"/>
        <bgColor indexed="64"/>
      </patternFill>
    </fill>
    <fill>
      <patternFill patternType="solid">
        <fgColor rgb="FF9BBB59"/>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2C4D75"/>
        <bgColor indexed="64"/>
      </patternFill>
    </fill>
    <fill>
      <patternFill patternType="solid">
        <fgColor rgb="FF772C2A"/>
        <bgColor indexed="64"/>
      </patternFill>
    </fill>
    <fill>
      <patternFill patternType="solid">
        <fgColor rgb="FF5F7530"/>
        <bgColor indexed="64"/>
      </patternFill>
    </fill>
  </fills>
  <borders count="130">
    <border>
      <left/>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auto="1"/>
      </right>
      <top/>
      <bottom/>
      <diagonal/>
    </border>
    <border>
      <left style="thin">
        <color auto="1"/>
      </left>
      <right style="thin">
        <color theme="0" tint="-0.14996795556505021"/>
      </right>
      <top style="thin">
        <color theme="0" tint="-0.1499679555650502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6795556505021"/>
      </top>
      <bottom style="thin">
        <color theme="0" tint="-0.14996795556505021"/>
      </bottom>
      <diagonal/>
    </border>
    <border>
      <left style="hair">
        <color auto="1"/>
      </left>
      <right style="thin">
        <color theme="0" tint="-0.14996795556505021"/>
      </right>
      <top style="thin">
        <color theme="0" tint="-0.14996795556505021"/>
      </top>
      <bottom style="thin">
        <color theme="0" tint="-0.14996795556505021"/>
      </bottom>
      <diagonal/>
    </border>
    <border>
      <left style="hair">
        <color auto="1"/>
      </left>
      <right/>
      <top/>
      <bottom/>
      <diagonal/>
    </border>
    <border>
      <left style="thin">
        <color theme="0" tint="-0.14996795556505021"/>
      </left>
      <right/>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top/>
      <bottom style="thin">
        <color theme="0" tint="-0.14996795556505021"/>
      </bottom>
      <diagonal/>
    </border>
    <border>
      <left style="hair">
        <color auto="1"/>
      </left>
      <right style="thin">
        <color theme="0" tint="-0.14996795556505021"/>
      </right>
      <top/>
      <bottom style="thin">
        <color theme="0" tint="-0.1499679555650502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theme="0" tint="-0.14996795556505021"/>
      </left>
      <right style="thin">
        <color theme="0" tint="-0.14993743705557422"/>
      </right>
      <top/>
      <bottom style="thin">
        <color theme="0" tint="-0.14993743705557422"/>
      </bottom>
      <diagonal/>
    </border>
    <border>
      <left style="thin">
        <color theme="0" tint="-0.14996795556505021"/>
      </left>
      <right style="hair">
        <color auto="1"/>
      </right>
      <top/>
      <bottom style="thin">
        <color theme="0" tint="-0.14996795556505021"/>
      </bottom>
      <diagonal/>
    </border>
    <border>
      <left style="thin">
        <color theme="0" tint="-0.14996795556505021"/>
      </left>
      <right style="hair">
        <color auto="1"/>
      </right>
      <top style="thin">
        <color theme="0" tint="-0.14996795556505021"/>
      </top>
      <bottom style="thin">
        <color theme="0" tint="-0.14996795556505021"/>
      </bottom>
      <diagonal/>
    </border>
    <border>
      <left/>
      <right/>
      <top style="hair">
        <color auto="1"/>
      </top>
      <bottom/>
      <diagonal/>
    </border>
    <border>
      <left/>
      <right style="hair">
        <color auto="1"/>
      </right>
      <top/>
      <bottom/>
      <diagonal/>
    </border>
    <border>
      <left/>
      <right style="hair">
        <color auto="1"/>
      </right>
      <top style="thin">
        <color auto="1"/>
      </top>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auto="1"/>
      </bottom>
      <diagonal/>
    </border>
    <border>
      <left style="hair">
        <color auto="1"/>
      </left>
      <right/>
      <top style="thin">
        <color auto="1"/>
      </top>
      <bottom/>
      <diagonal/>
    </border>
    <border>
      <left style="thin">
        <color theme="0" tint="-0.14996795556505021"/>
      </left>
      <right style="thin">
        <color auto="1"/>
      </right>
      <top style="thin">
        <color theme="0" tint="-0.14996795556505021"/>
      </top>
      <bottom style="thin">
        <color auto="1"/>
      </bottom>
      <diagonal/>
    </border>
    <border>
      <left/>
      <right style="thin">
        <color theme="0" tint="-0.14993743705557422"/>
      </right>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auto="1"/>
      </left>
      <right style="thin">
        <color auto="1"/>
      </right>
      <top/>
      <bottom style="thin">
        <color theme="0" tint="-0.14993743705557422"/>
      </bottom>
      <diagonal/>
    </border>
    <border>
      <left style="thin">
        <color auto="1"/>
      </left>
      <right style="thin">
        <color auto="1"/>
      </right>
      <top style="thin">
        <color theme="0" tint="-0.14993743705557422"/>
      </top>
      <bottom style="thin">
        <color theme="0" tint="-0.14993743705557422"/>
      </bottom>
      <diagonal/>
    </border>
    <border>
      <left style="thin">
        <color auto="1"/>
      </left>
      <right style="thin">
        <color auto="1"/>
      </right>
      <top style="thin">
        <color theme="0" tint="-0.14993743705557422"/>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theme="0" tint="-0.14996795556505021"/>
      </top>
      <bottom style="thin">
        <color auto="1"/>
      </bottom>
      <diagonal/>
    </border>
    <border>
      <left style="thin">
        <color auto="1"/>
      </left>
      <right style="thin">
        <color auto="1"/>
      </right>
      <top style="thin">
        <color theme="0" tint="-0.14996795556505021"/>
      </top>
      <bottom style="thin">
        <color theme="0" tint="-0.14996795556505021"/>
      </bottom>
      <diagonal/>
    </border>
    <border>
      <left style="thin">
        <color auto="1"/>
      </left>
      <right/>
      <top/>
      <bottom style="thin">
        <color theme="0" tint="-0.14996795556505021"/>
      </bottom>
      <diagonal/>
    </border>
    <border>
      <left/>
      <right/>
      <top/>
      <bottom style="thin">
        <color theme="0" tint="-0.14996795556505021"/>
      </bottom>
      <diagonal/>
    </border>
    <border>
      <left/>
      <right style="hair">
        <color auto="1"/>
      </right>
      <top/>
      <bottom style="thin">
        <color theme="0" tint="-0.14996795556505021"/>
      </bottom>
      <diagonal/>
    </border>
    <border>
      <left/>
      <right style="thin">
        <color auto="1"/>
      </right>
      <top/>
      <bottom style="thin">
        <color theme="0" tint="-0.14996795556505021"/>
      </bottom>
      <diagonal/>
    </border>
    <border>
      <left style="thin">
        <color theme="0" tint="-0.14996795556505021"/>
      </left>
      <right/>
      <top style="thin">
        <color theme="0" tint="-0.14996795556505021"/>
      </top>
      <bottom style="thin">
        <color auto="1"/>
      </bottom>
      <diagonal/>
    </border>
    <border>
      <left style="thin">
        <color theme="0" tint="-0.14996795556505021"/>
      </left>
      <right style="thin">
        <color auto="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right/>
      <top style="thin">
        <color auto="1"/>
      </top>
      <bottom style="thin">
        <color auto="1"/>
      </bottom>
      <diagonal/>
    </border>
    <border>
      <left style="thin">
        <color theme="0" tint="-0.1498764000366222"/>
      </left>
      <right style="thin">
        <color theme="0" tint="-0.14990691854609822"/>
      </right>
      <top style="thin">
        <color theme="0" tint="-0.14990691854609822"/>
      </top>
      <bottom style="thin">
        <color theme="0" tint="-0.14990691854609822"/>
      </bottom>
      <diagonal/>
    </border>
    <border>
      <left/>
      <right/>
      <top style="thin">
        <color theme="0" tint="-0.14996795556505021"/>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14996795556505021"/>
      </left>
      <right style="thin">
        <color auto="1"/>
      </right>
      <top style="thin">
        <color theme="0" tint="-0.14996795556505021"/>
      </top>
      <bottom style="thin">
        <color theme="0" tint="-0.14993743705557422"/>
      </bottom>
      <diagonal/>
    </border>
    <border>
      <left style="thin">
        <color theme="0" tint="-0.14996795556505021"/>
      </left>
      <right style="thin">
        <color auto="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style="thin">
        <color theme="0" tint="-0.14996795556505021"/>
      </right>
      <top style="thin">
        <color theme="0" tint="-0.14996795556505021"/>
      </top>
      <bottom style="thin">
        <color theme="0" tint="-0.14993743705557422"/>
      </bottom>
      <diagonal/>
    </border>
    <border>
      <left style="thin">
        <color auto="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14993743705557422"/>
      </top>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style="thin">
        <color theme="0" tint="-0.499984740745262"/>
      </left>
      <right style="thin">
        <color theme="0" tint="-0.14996795556505021"/>
      </right>
      <top/>
      <bottom style="thin">
        <color theme="0" tint="-0.14996795556505021"/>
      </bottom>
      <diagonal/>
    </border>
    <border>
      <left style="thin">
        <color theme="0" tint="-0.499984740745262"/>
      </left>
      <right style="thin">
        <color theme="0" tint="-0.14996795556505021"/>
      </right>
      <top style="thin">
        <color theme="0" tint="-0.14996795556505021"/>
      </top>
      <bottom style="thin">
        <color theme="0" tint="-0.14996795556505021"/>
      </bottom>
      <diagonal/>
    </border>
    <border>
      <left style="thin">
        <color theme="0" tint="-0.499984740745262"/>
      </left>
      <right style="thin">
        <color theme="0" tint="-0.14996795556505021"/>
      </right>
      <top style="thin">
        <color theme="0" tint="-0.14996795556505021"/>
      </top>
      <bottom/>
      <diagonal/>
    </border>
    <border>
      <left/>
      <right style="thin">
        <color theme="0" tint="-0.14996795556505021"/>
      </right>
      <top style="thin">
        <color auto="1"/>
      </top>
      <bottom style="thin">
        <color theme="0" tint="-0.14996795556505021"/>
      </bottom>
      <diagonal/>
    </border>
    <border>
      <left style="thin">
        <color theme="0" tint="-0.14996795556505021"/>
      </left>
      <right/>
      <top style="thin">
        <color auto="1"/>
      </top>
      <bottom style="thin">
        <color theme="0" tint="-0.14996795556505021"/>
      </bottom>
      <diagonal/>
    </border>
    <border>
      <left style="thin">
        <color auto="1"/>
      </left>
      <right style="thin">
        <color auto="1"/>
      </right>
      <top style="thin">
        <color auto="1"/>
      </top>
      <bottom style="thin">
        <color auto="1"/>
      </bottom>
      <diagonal/>
    </border>
    <border>
      <left style="thin">
        <color theme="0" tint="-0.14990691854609822"/>
      </left>
      <right/>
      <top style="thin">
        <color theme="0" tint="-0.14990691854609822"/>
      </top>
      <bottom style="thin">
        <color theme="0" tint="-0.14990691854609822"/>
      </bottom>
      <diagonal/>
    </border>
    <border>
      <left style="thin">
        <color theme="0" tint="-0.14993743705557422"/>
      </left>
      <right/>
      <top/>
      <bottom/>
      <diagonal/>
    </border>
    <border>
      <left style="thin">
        <color theme="0" tint="-0.14993743705557422"/>
      </left>
      <right/>
      <top style="thin">
        <color theme="0" tint="-0.14990691854609822"/>
      </top>
      <bottom style="thin">
        <color theme="0" tint="-0.14990691854609822"/>
      </bottom>
      <diagonal/>
    </border>
    <border>
      <left style="hair">
        <color auto="1"/>
      </left>
      <right style="thin">
        <color theme="0" tint="-0.14990691854609822"/>
      </right>
      <top style="thin">
        <color theme="0" tint="-0.14990691854609822"/>
      </top>
      <bottom style="thin">
        <color theme="0" tint="-0.14990691854609822"/>
      </bottom>
      <diagonal/>
    </border>
    <border>
      <left style="hair">
        <color auto="1"/>
      </left>
      <right/>
      <top/>
      <bottom style="thin">
        <color auto="1"/>
      </bottom>
      <diagonal/>
    </border>
    <border>
      <left style="hair">
        <color auto="1"/>
      </left>
      <right/>
      <top/>
      <bottom style="thin">
        <color theme="0" tint="-0.14996795556505021"/>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auto="1"/>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right style="thin">
        <color theme="0" tint="-0.14996795556505021"/>
      </right>
      <top style="thin">
        <color theme="0" tint="-0.14993743705557422"/>
      </top>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top style="thin">
        <color theme="0" tint="-0.14993743705557422"/>
      </top>
      <bottom/>
      <diagonal/>
    </border>
    <border>
      <left/>
      <right style="thin">
        <color theme="0" tint="-0.14996795556505021"/>
      </right>
      <top style="thin">
        <color theme="0" tint="-0.14996795556505021"/>
      </top>
      <bottom/>
      <diagonal/>
    </border>
    <border>
      <left style="thin">
        <color auto="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auto="1"/>
      </right>
      <top style="thin">
        <color theme="0" tint="-0.14993743705557422"/>
      </top>
      <bottom style="thin">
        <color theme="0" tint="-0.14996795556505021"/>
      </bottom>
      <diagonal/>
    </border>
    <border>
      <left/>
      <right/>
      <top style="thick">
        <color theme="0"/>
      </top>
      <bottom/>
      <diagonal/>
    </border>
    <border>
      <left/>
      <right style="thin">
        <color theme="0" tint="-0.14996795556505021"/>
      </right>
      <top style="thin">
        <color theme="0" tint="-0.14996795556505021"/>
      </top>
      <bottom style="thin">
        <color auto="1"/>
      </bottom>
      <diagonal/>
    </border>
    <border>
      <left style="thin">
        <color theme="0" tint="-0.14996795556505021"/>
      </left>
      <right style="hair">
        <color auto="1"/>
      </right>
      <top style="thin">
        <color theme="0" tint="-0.14996795556505021"/>
      </top>
      <bottom style="thin">
        <color auto="1"/>
      </bottom>
      <diagonal/>
    </border>
    <border>
      <left/>
      <right style="hair">
        <color auto="1"/>
      </right>
      <top/>
      <bottom style="thin">
        <color auto="1"/>
      </bottom>
      <diagonal/>
    </border>
    <border>
      <left style="thin">
        <color auto="1"/>
      </left>
      <right style="thin">
        <color auto="1"/>
      </right>
      <top style="thin">
        <color theme="0" tint="-0.499984740745262"/>
      </top>
      <bottom style="thin">
        <color theme="0" tint="-0.14996795556505021"/>
      </bottom>
      <diagonal/>
    </border>
    <border>
      <left style="thin">
        <color auto="1"/>
      </left>
      <right style="thin">
        <color auto="1"/>
      </right>
      <top style="thin">
        <color theme="0" tint="-0.14996795556505021"/>
      </top>
      <bottom/>
      <diagonal/>
    </border>
    <border>
      <left style="thin">
        <color theme="0" tint="-0.14996795556505021"/>
      </left>
      <right style="hair">
        <color auto="1"/>
      </right>
      <top style="thin">
        <color theme="0" tint="-0.14996795556505021"/>
      </top>
      <bottom/>
      <diagonal/>
    </border>
    <border>
      <left/>
      <right style="thin">
        <color theme="0" tint="-0.14996795556505021"/>
      </right>
      <top style="thin">
        <color theme="0" tint="-0.499984740745262"/>
      </top>
      <bottom style="thin">
        <color theme="0" tint="-0.14996795556505021"/>
      </bottom>
      <diagonal/>
    </border>
    <border>
      <left style="thin">
        <color theme="0" tint="-0.14996795556505021"/>
      </left>
      <right style="thin">
        <color auto="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style="thin">
        <color theme="0" tint="-0.14996795556505021"/>
      </left>
      <right style="hair">
        <color auto="1"/>
      </right>
      <top style="thin">
        <color theme="0" tint="-0.499984740745262"/>
      </top>
      <bottom style="thin">
        <color theme="0" tint="-0.14996795556505021"/>
      </bottom>
      <diagonal/>
    </border>
    <border>
      <left style="thin">
        <color auto="1"/>
      </left>
      <right style="thin">
        <color auto="1"/>
      </right>
      <top style="thin">
        <color theme="0" tint="-0.14996795556505021"/>
      </top>
      <bottom style="thin">
        <color theme="0" tint="-0.499984740745262"/>
      </bottom>
      <diagonal/>
    </border>
    <border>
      <left/>
      <right style="thin">
        <color theme="0" tint="-0.14996795556505021"/>
      </right>
      <top style="thin">
        <color theme="0" tint="-0.14996795556505021"/>
      </top>
      <bottom style="thin">
        <color theme="0" tint="-0.499984740745262"/>
      </bottom>
      <diagonal/>
    </border>
    <border>
      <left style="thin">
        <color theme="0" tint="-0.14996795556505021"/>
      </left>
      <right style="thin">
        <color auto="1"/>
      </right>
      <top style="thin">
        <color theme="0" tint="-0.14996795556505021"/>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style="thin">
        <color theme="0" tint="-0.14996795556505021"/>
      </left>
      <right style="hair">
        <color auto="1"/>
      </right>
      <top style="thin">
        <color theme="0" tint="-0.14996795556505021"/>
      </top>
      <bottom style="thin">
        <color theme="0" tint="-0.499984740745262"/>
      </bottom>
      <diagonal/>
    </border>
    <border>
      <left style="hair">
        <color auto="1"/>
      </left>
      <right style="thin">
        <color theme="0" tint="-0.14996795556505021"/>
      </right>
      <top style="thin">
        <color theme="0" tint="-0.499984740745262"/>
      </top>
      <bottom style="thin">
        <color theme="0" tint="-0.14996795556505021"/>
      </bottom>
      <diagonal/>
    </border>
    <border>
      <left style="hair">
        <color auto="1"/>
      </left>
      <right style="thin">
        <color theme="0" tint="-0.14996795556505021"/>
      </right>
      <top style="thin">
        <color theme="0" tint="-0.14996795556505021"/>
      </top>
      <bottom style="thin">
        <color theme="0" tint="-0.499984740745262"/>
      </bottom>
      <diagonal/>
    </border>
    <border>
      <left style="thin">
        <color theme="0" tint="-0.14996795556505021"/>
      </left>
      <right/>
      <top style="thin">
        <color theme="0" tint="-0.499984740745262"/>
      </top>
      <bottom style="thin">
        <color theme="0" tint="-0.14996795556505021"/>
      </bottom>
      <diagonal/>
    </border>
    <border>
      <left style="hair">
        <color auto="1"/>
      </left>
      <right style="thin">
        <color theme="0" tint="-0.14996795556505021"/>
      </right>
      <top style="thin">
        <color auto="1"/>
      </top>
      <bottom style="thin">
        <color theme="0" tint="-0.14996795556505021"/>
      </bottom>
      <diagonal/>
    </border>
    <border>
      <left style="hair">
        <color auto="1"/>
      </left>
      <right style="thin">
        <color theme="0" tint="-0.14996795556505021"/>
      </right>
      <top style="thin">
        <color theme="0" tint="-0.14996795556505021"/>
      </top>
      <bottom style="thin">
        <color auto="1"/>
      </bottom>
      <diagonal/>
    </border>
    <border>
      <left style="hair">
        <color auto="1"/>
      </left>
      <right style="thin">
        <color theme="0" tint="-0.14996795556505021"/>
      </right>
      <top style="thin">
        <color theme="0" tint="-0.14996795556505021"/>
      </top>
      <bottom/>
      <diagonal/>
    </border>
  </borders>
  <cellStyleXfs count="2">
    <xf numFmtId="0" fontId="0" fillId="0" borderId="0"/>
    <xf numFmtId="0" fontId="1" fillId="0" borderId="0" applyNumberFormat="0" applyFill="0" applyBorder="0" applyAlignment="0" applyProtection="0"/>
  </cellStyleXfs>
  <cellXfs count="819">
    <xf numFmtId="0" fontId="0" fillId="0" borderId="0" xfId="0"/>
    <xf numFmtId="0" fontId="0" fillId="0" borderId="3" xfId="0" applyBorder="1" applyProtection="1">
      <protection locked="0"/>
    </xf>
    <xf numFmtId="165" fontId="0" fillId="0" borderId="0" xfId="0" applyNumberFormat="1" applyProtection="1">
      <protection locked="0"/>
    </xf>
    <xf numFmtId="164" fontId="0" fillId="0" borderId="0" xfId="0" applyNumberFormat="1" applyProtection="1">
      <protection locked="0"/>
    </xf>
    <xf numFmtId="46" fontId="0" fillId="0" borderId="5" xfId="0" applyNumberFormat="1" applyBorder="1" applyProtection="1">
      <protection locked="0"/>
    </xf>
    <xf numFmtId="0" fontId="0" fillId="0" borderId="0" xfId="0" applyProtection="1">
      <protection locked="0"/>
    </xf>
    <xf numFmtId="165" fontId="0" fillId="0" borderId="0" xfId="0" applyNumberFormat="1" applyAlignment="1" applyProtection="1">
      <alignment horizontal="right"/>
      <protection locked="0"/>
    </xf>
    <xf numFmtId="0" fontId="0" fillId="0" borderId="4" xfId="0" applyBorder="1" applyProtection="1">
      <protection locked="0"/>
    </xf>
    <xf numFmtId="0" fontId="0" fillId="0" borderId="6" xfId="0" applyBorder="1" applyProtection="1">
      <protection locked="0"/>
    </xf>
    <xf numFmtId="165" fontId="0" fillId="0" borderId="6" xfId="0" applyNumberFormat="1" applyBorder="1" applyProtection="1">
      <protection locked="0"/>
    </xf>
    <xf numFmtId="164" fontId="0" fillId="0" borderId="6" xfId="0" applyNumberFormat="1" applyBorder="1" applyProtection="1">
      <protection locked="0"/>
    </xf>
    <xf numFmtId="46" fontId="0" fillId="0" borderId="2" xfId="0" applyNumberFormat="1" applyBorder="1" applyProtection="1">
      <protection locked="0"/>
    </xf>
    <xf numFmtId="0" fontId="4" fillId="0" borderId="0" xfId="1" applyFont="1" applyBorder="1" applyProtection="1">
      <protection locked="0"/>
    </xf>
    <xf numFmtId="164" fontId="4" fillId="0" borderId="0" xfId="1" applyNumberFormat="1" applyFont="1" applyBorder="1" applyProtection="1">
      <protection locked="0"/>
    </xf>
    <xf numFmtId="46" fontId="4" fillId="0" borderId="5" xfId="1" applyNumberFormat="1" applyFont="1" applyBorder="1" applyProtection="1">
      <protection locked="0"/>
    </xf>
    <xf numFmtId="165" fontId="9" fillId="0" borderId="0" xfId="0" applyNumberFormat="1" applyFont="1" applyAlignment="1" applyProtection="1">
      <alignment horizontal="right"/>
      <protection locked="0"/>
    </xf>
    <xf numFmtId="0" fontId="4" fillId="0" borderId="6" xfId="1" applyFont="1" applyBorder="1" applyProtection="1">
      <protection locked="0"/>
    </xf>
    <xf numFmtId="164" fontId="4" fillId="0" borderId="6" xfId="1" applyNumberFormat="1" applyFont="1" applyBorder="1" applyProtection="1">
      <protection locked="0"/>
    </xf>
    <xf numFmtId="46" fontId="4" fillId="0" borderId="2" xfId="1" applyNumberFormat="1" applyFont="1" applyBorder="1" applyProtection="1">
      <protection locked="0"/>
    </xf>
    <xf numFmtId="0" fontId="0" fillId="0" borderId="9" xfId="0" applyBorder="1"/>
    <xf numFmtId="0" fontId="4" fillId="2" borderId="3" xfId="0" applyFont="1" applyFill="1" applyBorder="1" applyAlignment="1" applyProtection="1">
      <alignment horizontal="left"/>
      <protection locked="0"/>
    </xf>
    <xf numFmtId="0" fontId="4" fillId="2" borderId="0" xfId="0" applyFont="1" applyFill="1" applyProtection="1">
      <protection locked="0"/>
    </xf>
    <xf numFmtId="165" fontId="4" fillId="2" borderId="0" xfId="0" applyNumberFormat="1" applyFont="1" applyFill="1" applyProtection="1">
      <protection locked="0"/>
    </xf>
    <xf numFmtId="0" fontId="0" fillId="2" borderId="3" xfId="0" applyFill="1" applyBorder="1" applyAlignment="1" applyProtection="1">
      <alignment horizontal="left"/>
      <protection locked="0"/>
    </xf>
    <xf numFmtId="0" fontId="0" fillId="2" borderId="0" xfId="0" applyFill="1" applyProtection="1">
      <protection locked="0"/>
    </xf>
    <xf numFmtId="165" fontId="0" fillId="2" borderId="0" xfId="0" applyNumberFormat="1" applyFill="1" applyProtection="1">
      <protection locked="0"/>
    </xf>
    <xf numFmtId="46" fontId="0" fillId="2" borderId="5" xfId="0" applyNumberFormat="1" applyFill="1" applyBorder="1" applyProtection="1">
      <protection locked="0"/>
    </xf>
    <xf numFmtId="165" fontId="0" fillId="0" borderId="6" xfId="0" applyNumberFormat="1" applyBorder="1" applyAlignment="1" applyProtection="1">
      <alignment horizontal="right"/>
      <protection locked="0"/>
    </xf>
    <xf numFmtId="0" fontId="0" fillId="3" borderId="0" xfId="0" applyFill="1"/>
    <xf numFmtId="165" fontId="0" fillId="3" borderId="0" xfId="0" applyNumberFormat="1" applyFill="1"/>
    <xf numFmtId="164" fontId="0" fillId="3" borderId="0" xfId="0" applyNumberFormat="1" applyFill="1"/>
    <xf numFmtId="46" fontId="0" fillId="3" borderId="0" xfId="0" applyNumberFormat="1" applyFill="1"/>
    <xf numFmtId="0" fontId="12" fillId="0" borderId="1" xfId="0" applyFont="1" applyBorder="1"/>
    <xf numFmtId="0" fontId="0" fillId="3" borderId="7" xfId="0" applyFill="1" applyBorder="1"/>
    <xf numFmtId="0" fontId="2" fillId="3" borderId="9" xfId="0" applyFont="1" applyFill="1" applyBorder="1"/>
    <xf numFmtId="165" fontId="0" fillId="3" borderId="9" xfId="0" applyNumberFormat="1" applyFill="1" applyBorder="1"/>
    <xf numFmtId="164" fontId="0" fillId="3" borderId="9" xfId="0" applyNumberFormat="1" applyFill="1" applyBorder="1"/>
    <xf numFmtId="46" fontId="0" fillId="3" borderId="8" xfId="0" applyNumberFormat="1" applyFill="1" applyBorder="1"/>
    <xf numFmtId="0" fontId="0" fillId="3" borderId="3" xfId="0" applyFill="1" applyBorder="1"/>
    <xf numFmtId="46" fontId="0" fillId="3" borderId="5" xfId="0" applyNumberFormat="1" applyFill="1" applyBorder="1"/>
    <xf numFmtId="0" fontId="0" fillId="3" borderId="9" xfId="0" applyFill="1" applyBorder="1"/>
    <xf numFmtId="46" fontId="0" fillId="3" borderId="9" xfId="0" applyNumberFormat="1" applyFill="1" applyBorder="1"/>
    <xf numFmtId="0" fontId="4" fillId="3" borderId="9" xfId="1" applyFont="1" applyFill="1" applyBorder="1" applyProtection="1"/>
    <xf numFmtId="164" fontId="4" fillId="3" borderId="9" xfId="1" applyNumberFormat="1" applyFont="1" applyFill="1" applyBorder="1" applyProtection="1"/>
    <xf numFmtId="46" fontId="4" fillId="3" borderId="9" xfId="1" applyNumberFormat="1" applyFont="1" applyFill="1" applyBorder="1" applyProtection="1"/>
    <xf numFmtId="0" fontId="2" fillId="3" borderId="0" xfId="0" applyFont="1" applyFill="1"/>
    <xf numFmtId="0" fontId="4" fillId="3" borderId="0" xfId="1" applyFont="1" applyFill="1" applyProtection="1"/>
    <xf numFmtId="0" fontId="5" fillId="3" borderId="9" xfId="1" applyFont="1" applyFill="1" applyBorder="1" applyProtection="1"/>
    <xf numFmtId="0" fontId="3" fillId="3" borderId="0" xfId="0" applyFont="1" applyFill="1"/>
    <xf numFmtId="165" fontId="1" fillId="3" borderId="0" xfId="1" applyNumberFormat="1" applyFill="1" applyBorder="1" applyProtection="1"/>
    <xf numFmtId="164" fontId="6" fillId="3" borderId="9" xfId="0" applyNumberFormat="1" applyFont="1" applyFill="1" applyBorder="1"/>
    <xf numFmtId="46" fontId="6" fillId="3" borderId="9" xfId="0" applyNumberFormat="1" applyFont="1" applyFill="1" applyBorder="1"/>
    <xf numFmtId="164" fontId="6" fillId="3" borderId="0" xfId="0" applyNumberFormat="1" applyFont="1" applyFill="1"/>
    <xf numFmtId="46" fontId="6" fillId="3" borderId="0" xfId="0" applyNumberFormat="1" applyFont="1" applyFill="1"/>
    <xf numFmtId="0" fontId="2" fillId="0" borderId="0" xfId="0" applyFont="1"/>
    <xf numFmtId="165" fontId="0" fillId="0" borderId="0" xfId="0" applyNumberFormat="1"/>
    <xf numFmtId="164" fontId="6" fillId="0" borderId="0" xfId="0" applyNumberFormat="1" applyFont="1"/>
    <xf numFmtId="46" fontId="6" fillId="0" borderId="0" xfId="0" applyNumberFormat="1" applyFont="1"/>
    <xf numFmtId="0" fontId="1" fillId="0" borderId="0" xfId="1" applyProtection="1"/>
    <xf numFmtId="164" fontId="0" fillId="0" borderId="0" xfId="0" applyNumberFormat="1"/>
    <xf numFmtId="46" fontId="0" fillId="0" borderId="0" xfId="0" applyNumberFormat="1"/>
    <xf numFmtId="0" fontId="11" fillId="0" borderId="0" xfId="1" applyFont="1" applyProtection="1"/>
    <xf numFmtId="164" fontId="6" fillId="0" borderId="0" xfId="0" applyNumberFormat="1" applyFont="1" applyProtection="1">
      <protection locked="0"/>
    </xf>
    <xf numFmtId="46" fontId="6" fillId="0" borderId="5" xfId="0" applyNumberFormat="1" applyFont="1" applyBorder="1" applyProtection="1">
      <protection locked="0"/>
    </xf>
    <xf numFmtId="0" fontId="8" fillId="0" borderId="3" xfId="0" applyFont="1" applyBorder="1" applyProtection="1">
      <protection locked="0"/>
    </xf>
    <xf numFmtId="0" fontId="4" fillId="3" borderId="0" xfId="1" applyFont="1" applyFill="1" applyAlignment="1" applyProtection="1"/>
    <xf numFmtId="0" fontId="5" fillId="0" borderId="0" xfId="0" applyFont="1"/>
    <xf numFmtId="0" fontId="0" fillId="0" borderId="8" xfId="0" applyBorder="1"/>
    <xf numFmtId="0" fontId="0" fillId="2" borderId="5" xfId="0" applyFill="1" applyBorder="1" applyProtection="1">
      <protection locked="0"/>
    </xf>
    <xf numFmtId="0" fontId="2" fillId="2" borderId="3" xfId="0" applyFont="1" applyFill="1" applyBorder="1" applyProtection="1">
      <protection locked="0"/>
    </xf>
    <xf numFmtId="0" fontId="8" fillId="0" borderId="4" xfId="0" applyFont="1" applyBorder="1" applyProtection="1">
      <protection locked="0"/>
    </xf>
    <xf numFmtId="46" fontId="12" fillId="3" borderId="8" xfId="0" applyNumberFormat="1" applyFont="1" applyFill="1" applyBorder="1" applyAlignment="1">
      <alignment horizontal="right" vertical="top"/>
    </xf>
    <xf numFmtId="14" fontId="13" fillId="0" borderId="0" xfId="0" applyNumberFormat="1" applyFont="1"/>
    <xf numFmtId="14" fontId="13" fillId="0" borderId="9" xfId="0" applyNumberFormat="1" applyFont="1" applyBorder="1"/>
    <xf numFmtId="164" fontId="18" fillId="0" borderId="0" xfId="0" applyNumberFormat="1" applyFont="1" applyProtection="1">
      <protection locked="0"/>
    </xf>
    <xf numFmtId="46" fontId="18" fillId="0" borderId="5" xfId="0" applyNumberFormat="1" applyFont="1" applyBorder="1" applyProtection="1">
      <protection locked="0"/>
    </xf>
    <xf numFmtId="0" fontId="20" fillId="0" borderId="3" xfId="0" applyFont="1" applyBorder="1" applyProtection="1">
      <protection locked="0"/>
    </xf>
    <xf numFmtId="0" fontId="20" fillId="0" borderId="0" xfId="0" applyFont="1" applyProtection="1">
      <protection locked="0"/>
    </xf>
    <xf numFmtId="165" fontId="20" fillId="0" borderId="0" xfId="0" applyNumberFormat="1" applyFont="1" applyProtection="1">
      <protection locked="0"/>
    </xf>
    <xf numFmtId="164" fontId="20" fillId="0" borderId="0" xfId="0" applyNumberFormat="1" applyFont="1" applyProtection="1">
      <protection locked="0"/>
    </xf>
    <xf numFmtId="46" fontId="20" fillId="0" borderId="5" xfId="0" applyNumberFormat="1" applyFont="1" applyBorder="1" applyProtection="1">
      <protection locked="0"/>
    </xf>
    <xf numFmtId="0" fontId="20" fillId="0" borderId="4" xfId="0" applyFont="1" applyBorder="1" applyProtection="1">
      <protection locked="0"/>
    </xf>
    <xf numFmtId="0" fontId="20" fillId="0" borderId="6" xfId="0" applyFont="1" applyBorder="1" applyProtection="1">
      <protection locked="0"/>
    </xf>
    <xf numFmtId="165" fontId="20" fillId="0" borderId="6" xfId="0" applyNumberFormat="1" applyFont="1" applyBorder="1" applyProtection="1">
      <protection locked="0"/>
    </xf>
    <xf numFmtId="46" fontId="20" fillId="0" borderId="2" xfId="0" applyNumberFormat="1" applyFont="1" applyBorder="1" applyProtection="1">
      <protection locked="0"/>
    </xf>
    <xf numFmtId="0" fontId="0" fillId="2" borderId="3" xfId="0" applyFill="1" applyBorder="1" applyAlignment="1" applyProtection="1">
      <alignment horizontal="left" indent="1"/>
      <protection locked="0"/>
    </xf>
    <xf numFmtId="0" fontId="0" fillId="2" borderId="3" xfId="0" applyFill="1" applyBorder="1" applyProtection="1">
      <protection locked="0"/>
    </xf>
    <xf numFmtId="0" fontId="0" fillId="0" borderId="21" xfId="0" applyBorder="1" applyProtection="1">
      <protection locked="0"/>
    </xf>
    <xf numFmtId="0" fontId="0" fillId="0" borderId="22" xfId="0" applyBorder="1" applyProtection="1">
      <protection locked="0"/>
    </xf>
    <xf numFmtId="0" fontId="4" fillId="0" borderId="0" xfId="1" applyFont="1" applyProtection="1"/>
    <xf numFmtId="0" fontId="5" fillId="3" borderId="9" xfId="0" applyFont="1" applyFill="1" applyBorder="1"/>
    <xf numFmtId="0" fontId="0" fillId="0" borderId="11" xfId="0" applyBorder="1" applyProtection="1">
      <protection locked="0"/>
    </xf>
    <xf numFmtId="46" fontId="0" fillId="0" borderId="11" xfId="0" applyNumberFormat="1" applyBorder="1" applyProtection="1">
      <protection locked="0"/>
    </xf>
    <xf numFmtId="0" fontId="0" fillId="0" borderId="15" xfId="0" applyBorder="1" applyAlignment="1" applyProtection="1">
      <alignment horizontal="right"/>
      <protection locked="0"/>
    </xf>
    <xf numFmtId="0" fontId="0" fillId="0" borderId="13" xfId="0" applyBorder="1" applyProtection="1">
      <protection locked="0"/>
    </xf>
    <xf numFmtId="46" fontId="0" fillId="0" borderId="13" xfId="0" applyNumberFormat="1" applyBorder="1" applyProtection="1">
      <protection locked="0"/>
    </xf>
    <xf numFmtId="0" fontId="0" fillId="0" borderId="16" xfId="0" applyBorder="1" applyAlignment="1" applyProtection="1">
      <alignment horizontal="right"/>
      <protection locked="0"/>
    </xf>
    <xf numFmtId="0" fontId="2" fillId="3" borderId="0" xfId="0" applyFont="1" applyFill="1" applyAlignment="1">
      <alignment horizontal="left" indent="6"/>
    </xf>
    <xf numFmtId="0" fontId="12" fillId="3" borderId="0" xfId="0" applyFont="1" applyFill="1"/>
    <xf numFmtId="14" fontId="27" fillId="3" borderId="0" xfId="0" applyNumberFormat="1" applyFont="1" applyFill="1"/>
    <xf numFmtId="14" fontId="2" fillId="3" borderId="0" xfId="0" applyNumberFormat="1" applyFont="1" applyFill="1"/>
    <xf numFmtId="0" fontId="12" fillId="3" borderId="25" xfId="0" applyFont="1" applyFill="1" applyBorder="1"/>
    <xf numFmtId="173" fontId="12" fillId="3" borderId="0" xfId="0" applyNumberFormat="1" applyFont="1" applyFill="1"/>
    <xf numFmtId="174" fontId="12" fillId="3" borderId="0" xfId="0" applyNumberFormat="1" applyFont="1" applyFill="1"/>
    <xf numFmtId="0" fontId="7" fillId="3" borderId="0" xfId="0" applyFont="1" applyFill="1"/>
    <xf numFmtId="0" fontId="0" fillId="0" borderId="0" xfId="0" applyAlignment="1">
      <alignment horizontal="left" indent="6"/>
    </xf>
    <xf numFmtId="0" fontId="12" fillId="0" borderId="3" xfId="0" applyFont="1" applyBorder="1"/>
    <xf numFmtId="0" fontId="12" fillId="0" borderId="17" xfId="0" applyFont="1" applyBorder="1"/>
    <xf numFmtId="0" fontId="12" fillId="0" borderId="17" xfId="0" applyFont="1" applyBorder="1" applyAlignment="1">
      <alignment horizontal="left" indent="4"/>
    </xf>
    <xf numFmtId="0" fontId="0" fillId="0" borderId="7" xfId="0" applyBorder="1"/>
    <xf numFmtId="0" fontId="0" fillId="2" borderId="17" xfId="0" applyFill="1" applyBorder="1" applyProtection="1">
      <protection locked="0"/>
    </xf>
    <xf numFmtId="0" fontId="12" fillId="0" borderId="3" xfId="0" applyFont="1" applyBorder="1" applyAlignment="1">
      <alignment horizontal="left" indent="1"/>
    </xf>
    <xf numFmtId="0" fontId="12" fillId="0" borderId="29" xfId="0" applyFont="1" applyBorder="1"/>
    <xf numFmtId="167" fontId="0" fillId="0" borderId="12" xfId="0" applyNumberFormat="1" applyBorder="1" applyProtection="1">
      <protection locked="0"/>
    </xf>
    <xf numFmtId="167" fontId="0" fillId="0" borderId="14" xfId="0" applyNumberFormat="1" applyBorder="1" applyProtection="1">
      <protection locked="0"/>
    </xf>
    <xf numFmtId="0" fontId="0" fillId="2" borderId="29" xfId="0" applyFill="1" applyBorder="1" applyProtection="1">
      <protection locked="0"/>
    </xf>
    <xf numFmtId="167" fontId="0" fillId="0" borderId="12" xfId="0" applyNumberFormat="1" applyBorder="1" applyAlignment="1" applyProtection="1">
      <alignment horizontal="right"/>
      <protection locked="0"/>
    </xf>
    <xf numFmtId="0" fontId="12" fillId="0" borderId="23" xfId="0" applyFont="1" applyBorder="1"/>
    <xf numFmtId="0" fontId="12" fillId="0" borderId="23" xfId="0" applyFont="1" applyBorder="1" applyAlignment="1">
      <alignment horizontal="right"/>
    </xf>
    <xf numFmtId="0" fontId="12" fillId="0" borderId="13" xfId="0" applyFont="1" applyBorder="1" applyAlignment="1">
      <alignment horizontal="center"/>
    </xf>
    <xf numFmtId="0" fontId="12" fillId="2" borderId="10" xfId="0" applyFont="1" applyFill="1" applyBorder="1" applyProtection="1">
      <protection locked="0"/>
    </xf>
    <xf numFmtId="0" fontId="12" fillId="2" borderId="10" xfId="0" applyFont="1" applyFill="1" applyBorder="1" applyAlignment="1" applyProtection="1">
      <alignment horizontal="left"/>
      <protection locked="0"/>
    </xf>
    <xf numFmtId="0" fontId="12" fillId="2" borderId="30" xfId="0" applyFont="1" applyFill="1" applyBorder="1" applyAlignment="1" applyProtection="1">
      <alignment horizontal="right"/>
      <protection locked="0"/>
    </xf>
    <xf numFmtId="0" fontId="2" fillId="3" borderId="39" xfId="0" applyFont="1" applyFill="1" applyBorder="1"/>
    <xf numFmtId="46" fontId="0" fillId="0" borderId="5" xfId="0" applyNumberFormat="1" applyBorder="1"/>
    <xf numFmtId="46" fontId="0" fillId="0" borderId="2" xfId="0" applyNumberFormat="1" applyBorder="1"/>
    <xf numFmtId="0" fontId="12" fillId="2" borderId="31" xfId="0" applyFont="1" applyFill="1" applyBorder="1" applyProtection="1">
      <protection locked="0"/>
    </xf>
    <xf numFmtId="0" fontId="12" fillId="2" borderId="37" xfId="0" applyFont="1" applyFill="1" applyBorder="1" applyProtection="1">
      <protection locked="0"/>
    </xf>
    <xf numFmtId="0" fontId="12" fillId="2" borderId="32" xfId="0" applyFont="1" applyFill="1" applyBorder="1" applyProtection="1">
      <protection locked="0"/>
    </xf>
    <xf numFmtId="0" fontId="12" fillId="2" borderId="15" xfId="0" applyFont="1" applyFill="1" applyBorder="1" applyProtection="1">
      <protection locked="0"/>
    </xf>
    <xf numFmtId="0" fontId="12" fillId="2" borderId="36" xfId="0" applyFont="1" applyFill="1" applyBorder="1" applyProtection="1">
      <protection locked="0"/>
    </xf>
    <xf numFmtId="14" fontId="12" fillId="0" borderId="26" xfId="0" applyNumberFormat="1" applyFont="1" applyBorder="1" applyAlignment="1" applyProtection="1">
      <alignment horizontal="center"/>
      <protection locked="0"/>
    </xf>
    <xf numFmtId="46" fontId="12" fillId="0" borderId="38" xfId="0" applyNumberFormat="1" applyFont="1" applyBorder="1" applyAlignment="1" applyProtection="1">
      <alignment horizontal="center"/>
      <protection locked="0"/>
    </xf>
    <xf numFmtId="14" fontId="12" fillId="0" borderId="16" xfId="0" applyNumberFormat="1" applyFont="1" applyBorder="1" applyAlignment="1" applyProtection="1">
      <alignment horizontal="center"/>
      <protection locked="0"/>
    </xf>
    <xf numFmtId="14" fontId="12" fillId="0" borderId="24" xfId="0" applyNumberFormat="1" applyFont="1" applyBorder="1" applyAlignment="1" applyProtection="1">
      <alignment horizontal="center"/>
      <protection locked="0"/>
    </xf>
    <xf numFmtId="0" fontId="11" fillId="0" borderId="43" xfId="1" applyFont="1" applyBorder="1"/>
    <xf numFmtId="0" fontId="12" fillId="0" borderId="27" xfId="0" applyFont="1" applyBorder="1" applyAlignment="1" applyProtection="1">
      <alignment horizontal="right"/>
      <protection locked="0"/>
    </xf>
    <xf numFmtId="164" fontId="4" fillId="2" borderId="0" xfId="0" applyNumberFormat="1" applyFont="1" applyFill="1" applyAlignment="1" applyProtection="1">
      <alignment horizontal="right" indent="2"/>
      <protection locked="0"/>
    </xf>
    <xf numFmtId="164" fontId="0" fillId="2" borderId="0" xfId="0" applyNumberFormat="1" applyFill="1" applyAlignment="1" applyProtection="1">
      <alignment horizontal="right" indent="2"/>
      <protection locked="0"/>
    </xf>
    <xf numFmtId="0" fontId="0" fillId="2" borderId="0" xfId="0" applyFill="1" applyAlignment="1" applyProtection="1">
      <alignment horizontal="right" indent="2"/>
      <protection locked="0"/>
    </xf>
    <xf numFmtId="0" fontId="4" fillId="3" borderId="0" xfId="0" applyFont="1" applyFill="1"/>
    <xf numFmtId="0" fontId="4" fillId="3" borderId="9" xfId="0" applyFont="1" applyFill="1" applyBorder="1"/>
    <xf numFmtId="0" fontId="4" fillId="0" borderId="0" xfId="0" applyFont="1"/>
    <xf numFmtId="0" fontId="37" fillId="3" borderId="0" xfId="0" applyFont="1" applyFill="1"/>
    <xf numFmtId="46" fontId="4" fillId="3" borderId="0" xfId="0" applyNumberFormat="1" applyFont="1" applyFill="1"/>
    <xf numFmtId="46" fontId="0" fillId="0" borderId="30" xfId="0" applyNumberFormat="1" applyBorder="1" applyAlignment="1" applyProtection="1">
      <alignment horizontal="right"/>
      <protection locked="0"/>
    </xf>
    <xf numFmtId="46" fontId="0" fillId="0" borderId="23" xfId="0" applyNumberFormat="1" applyBorder="1" applyAlignment="1" applyProtection="1">
      <alignment horizontal="right"/>
      <protection locked="0"/>
    </xf>
    <xf numFmtId="167" fontId="0" fillId="0" borderId="14" xfId="0" applyNumberFormat="1" applyBorder="1" applyAlignment="1" applyProtection="1">
      <alignment horizontal="right"/>
      <protection locked="0"/>
    </xf>
    <xf numFmtId="46" fontId="0" fillId="0" borderId="23" xfId="0" applyNumberFormat="1" applyBorder="1" applyProtection="1">
      <protection locked="0"/>
    </xf>
    <xf numFmtId="46" fontId="0" fillId="0" borderId="30" xfId="0" applyNumberFormat="1" applyBorder="1" applyProtection="1">
      <protection locked="0"/>
    </xf>
    <xf numFmtId="46" fontId="4" fillId="0" borderId="13" xfId="0" applyNumberFormat="1" applyFont="1" applyBorder="1" applyProtection="1">
      <protection locked="0"/>
    </xf>
    <xf numFmtId="46" fontId="4" fillId="0" borderId="23" xfId="0" applyNumberFormat="1" applyFont="1" applyBorder="1" applyProtection="1">
      <protection locked="0"/>
    </xf>
    <xf numFmtId="167" fontId="4" fillId="0" borderId="14" xfId="0" applyNumberFormat="1" applyFont="1" applyBorder="1" applyProtection="1">
      <protection locked="0"/>
    </xf>
    <xf numFmtId="46" fontId="0" fillId="0" borderId="45" xfId="0" applyNumberFormat="1" applyBorder="1" applyProtection="1">
      <protection locked="0"/>
    </xf>
    <xf numFmtId="46" fontId="0" fillId="0" borderId="46" xfId="0" applyNumberFormat="1" applyBorder="1" applyProtection="1">
      <protection locked="0"/>
    </xf>
    <xf numFmtId="0" fontId="12" fillId="2" borderId="49" xfId="0" applyFont="1" applyFill="1" applyBorder="1" applyProtection="1">
      <protection locked="0"/>
    </xf>
    <xf numFmtId="0" fontId="12" fillId="0" borderId="50" xfId="0" applyFont="1" applyBorder="1" applyAlignment="1" applyProtection="1">
      <alignment horizontal="right"/>
      <protection locked="0"/>
    </xf>
    <xf numFmtId="0" fontId="12" fillId="2" borderId="51" xfId="0" applyFont="1" applyFill="1" applyBorder="1" applyProtection="1">
      <protection locked="0"/>
    </xf>
    <xf numFmtId="49" fontId="30" fillId="0" borderId="52" xfId="0" applyNumberFormat="1" applyFont="1" applyBorder="1" applyProtection="1">
      <protection locked="0"/>
    </xf>
    <xf numFmtId="49" fontId="31" fillId="0" borderId="52" xfId="0" applyNumberFormat="1" applyFont="1" applyBorder="1" applyProtection="1">
      <protection locked="0"/>
    </xf>
    <xf numFmtId="0" fontId="30" fillId="0" borderId="52" xfId="0" applyFont="1" applyBorder="1" applyProtection="1">
      <protection locked="0"/>
    </xf>
    <xf numFmtId="0" fontId="0" fillId="0" borderId="58" xfId="0" applyBorder="1" applyAlignment="1" applyProtection="1">
      <alignment horizontal="center"/>
      <protection locked="0"/>
    </xf>
    <xf numFmtId="0" fontId="0" fillId="0" borderId="57" xfId="0" applyBorder="1" applyAlignment="1" applyProtection="1">
      <alignment horizontal="center"/>
      <protection locked="0"/>
    </xf>
    <xf numFmtId="0" fontId="35" fillId="3" borderId="0" xfId="0" applyFont="1" applyFill="1"/>
    <xf numFmtId="0" fontId="35" fillId="0" borderId="0" xfId="0" applyFont="1"/>
    <xf numFmtId="0" fontId="0" fillId="0" borderId="5" xfId="0" applyBorder="1" applyAlignment="1">
      <alignment horizontal="right" indent="7"/>
    </xf>
    <xf numFmtId="0" fontId="0" fillId="0" borderId="0" xfId="0" applyAlignment="1">
      <alignment horizontal="right" indent="7"/>
    </xf>
    <xf numFmtId="0" fontId="0" fillId="0" borderId="9" xfId="0" applyBorder="1" applyAlignment="1">
      <alignment horizontal="right" indent="7"/>
    </xf>
    <xf numFmtId="165" fontId="20" fillId="0" borderId="6" xfId="0" applyNumberFormat="1" applyFont="1" applyBorder="1" applyAlignment="1" applyProtection="1">
      <alignment horizontal="right"/>
      <protection locked="0"/>
    </xf>
    <xf numFmtId="0" fontId="12" fillId="0" borderId="0" xfId="0" applyFont="1" applyAlignment="1">
      <alignment horizontal="center"/>
    </xf>
    <xf numFmtId="0" fontId="12" fillId="0" borderId="3" xfId="0" applyFont="1" applyBorder="1" applyAlignment="1" applyProtection="1">
      <alignment horizontal="right"/>
      <protection locked="0"/>
    </xf>
    <xf numFmtId="0" fontId="12" fillId="0" borderId="0" xfId="0" applyFont="1" applyAlignment="1" applyProtection="1">
      <alignment horizontal="right"/>
      <protection locked="0"/>
    </xf>
    <xf numFmtId="0" fontId="12" fillId="0" borderId="40" xfId="0" applyFont="1" applyBorder="1" applyAlignment="1" applyProtection="1">
      <alignment horizontal="right"/>
      <protection locked="0"/>
    </xf>
    <xf numFmtId="0" fontId="12" fillId="0" borderId="0" xfId="0" applyFont="1" applyAlignment="1">
      <alignment horizontal="right"/>
    </xf>
    <xf numFmtId="0" fontId="12" fillId="2" borderId="59" xfId="0" applyFont="1" applyFill="1" applyBorder="1" applyAlignment="1" applyProtection="1">
      <alignment horizontal="right"/>
      <protection locked="0"/>
    </xf>
    <xf numFmtId="0" fontId="12" fillId="2" borderId="60" xfId="0" applyFont="1" applyFill="1" applyBorder="1" applyAlignment="1" applyProtection="1">
      <alignment horizontal="right"/>
      <protection locked="0"/>
    </xf>
    <xf numFmtId="0" fontId="12" fillId="2" borderId="61" xfId="0" applyFont="1" applyFill="1" applyBorder="1" applyAlignment="1" applyProtection="1">
      <alignment horizontal="right"/>
      <protection locked="0"/>
    </xf>
    <xf numFmtId="0" fontId="12" fillId="2" borderId="60" xfId="0" applyFont="1" applyFill="1" applyBorder="1" applyAlignment="1">
      <alignment horizontal="right"/>
    </xf>
    <xf numFmtId="0" fontId="12" fillId="2" borderId="62" xfId="0" applyFont="1" applyFill="1" applyBorder="1" applyAlignment="1">
      <alignment horizontal="center"/>
    </xf>
    <xf numFmtId="0" fontId="8" fillId="0" borderId="0" xfId="0" applyFont="1"/>
    <xf numFmtId="46" fontId="13" fillId="0" borderId="0" xfId="0" applyNumberFormat="1" applyFont="1"/>
    <xf numFmtId="0" fontId="13" fillId="0" borderId="0" xfId="0" applyFont="1"/>
    <xf numFmtId="176" fontId="13" fillId="0" borderId="0" xfId="0" applyNumberFormat="1" applyFont="1"/>
    <xf numFmtId="175" fontId="13" fillId="0" borderId="0" xfId="0" applyNumberFormat="1" applyFont="1" applyAlignment="1">
      <alignment horizontal="left"/>
    </xf>
    <xf numFmtId="0" fontId="0" fillId="0" borderId="11" xfId="0" applyBorder="1" applyAlignment="1" applyProtection="1">
      <alignment horizontal="right" indent="1"/>
      <protection locked="0"/>
    </xf>
    <xf numFmtId="0" fontId="0" fillId="0" borderId="13" xfId="0" applyBorder="1" applyAlignment="1" applyProtection="1">
      <alignment horizontal="right" indent="1"/>
      <protection locked="0"/>
    </xf>
    <xf numFmtId="0" fontId="2" fillId="3" borderId="8" xfId="0" applyFont="1" applyFill="1" applyBorder="1"/>
    <xf numFmtId="0" fontId="39" fillId="0" borderId="0" xfId="1" applyFont="1" applyFill="1" applyBorder="1" applyProtection="1">
      <protection locked="0"/>
    </xf>
    <xf numFmtId="46" fontId="0" fillId="0" borderId="0" xfId="0" applyNumberFormat="1" applyProtection="1">
      <protection locked="0"/>
    </xf>
    <xf numFmtId="0" fontId="39" fillId="0" borderId="0" xfId="1" applyFont="1" applyBorder="1" applyProtection="1">
      <protection locked="0"/>
    </xf>
    <xf numFmtId="14" fontId="0" fillId="0" borderId="0" xfId="0" applyNumberFormat="1"/>
    <xf numFmtId="165" fontId="0" fillId="0" borderId="0" xfId="0" applyNumberFormat="1" applyAlignment="1">
      <alignment horizontal="right"/>
    </xf>
    <xf numFmtId="0" fontId="39" fillId="0" borderId="0" xfId="1" applyFont="1" applyProtection="1"/>
    <xf numFmtId="0" fontId="39" fillId="0" borderId="0" xfId="1" applyFont="1" applyFill="1" applyBorder="1" applyProtection="1"/>
    <xf numFmtId="0" fontId="4" fillId="0" borderId="3" xfId="0" applyFont="1" applyBorder="1" applyProtection="1">
      <protection locked="0"/>
    </xf>
    <xf numFmtId="165" fontId="4" fillId="0" borderId="0" xfId="0" applyNumberFormat="1" applyFont="1" applyProtection="1">
      <protection locked="0"/>
    </xf>
    <xf numFmtId="164" fontId="4" fillId="0" borderId="0" xfId="0" applyNumberFormat="1" applyFont="1" applyProtection="1">
      <protection locked="0"/>
    </xf>
    <xf numFmtId="46" fontId="4" fillId="0" borderId="5" xfId="0" applyNumberFormat="1" applyFont="1" applyBorder="1" applyProtection="1">
      <protection locked="0"/>
    </xf>
    <xf numFmtId="46" fontId="40" fillId="0" borderId="13" xfId="0" applyNumberFormat="1" applyFont="1" applyBorder="1" applyProtection="1">
      <protection locked="0"/>
    </xf>
    <xf numFmtId="46" fontId="40" fillId="0" borderId="23" xfId="0" applyNumberFormat="1" applyFont="1" applyBorder="1" applyProtection="1">
      <protection locked="0"/>
    </xf>
    <xf numFmtId="167" fontId="40" fillId="0" borderId="14" xfId="0" applyNumberFormat="1" applyFont="1" applyBorder="1" applyProtection="1">
      <protection locked="0"/>
    </xf>
    <xf numFmtId="46" fontId="0" fillId="0" borderId="5" xfId="0" quotePrefix="1" applyNumberFormat="1" applyBorder="1" applyAlignment="1" applyProtection="1">
      <alignment horizontal="right"/>
      <protection locked="0"/>
    </xf>
    <xf numFmtId="0" fontId="12" fillId="3" borderId="23" xfId="0" applyFont="1" applyFill="1" applyBorder="1"/>
    <xf numFmtId="0" fontId="12" fillId="0" borderId="46" xfId="0" applyFont="1" applyBorder="1"/>
    <xf numFmtId="0" fontId="0" fillId="3" borderId="46" xfId="0" applyFill="1" applyBorder="1"/>
    <xf numFmtId="0" fontId="41" fillId="0" borderId="3" xfId="0" applyFont="1" applyBorder="1" applyProtection="1">
      <protection locked="0"/>
    </xf>
    <xf numFmtId="0" fontId="41" fillId="0" borderId="0" xfId="0" applyFont="1" applyProtection="1">
      <protection locked="0"/>
    </xf>
    <xf numFmtId="165" fontId="41" fillId="0" borderId="0" xfId="0" applyNumberFormat="1" applyFont="1" applyProtection="1">
      <protection locked="0"/>
    </xf>
    <xf numFmtId="164" fontId="41" fillId="0" borderId="0" xfId="0" applyNumberFormat="1" applyFont="1" applyProtection="1">
      <protection locked="0"/>
    </xf>
    <xf numFmtId="46" fontId="41" fillId="0" borderId="5" xfId="0" applyNumberFormat="1" applyFont="1" applyBorder="1" applyProtection="1">
      <protection locked="0"/>
    </xf>
    <xf numFmtId="0" fontId="4" fillId="0" borderId="0" xfId="0" applyFont="1" applyProtection="1">
      <protection locked="0"/>
    </xf>
    <xf numFmtId="0" fontId="1" fillId="0" borderId="0" xfId="1" applyFill="1" applyProtection="1"/>
    <xf numFmtId="166" fontId="6" fillId="0" borderId="0" xfId="0" applyNumberFormat="1" applyFont="1"/>
    <xf numFmtId="46" fontId="0" fillId="0" borderId="18" xfId="0" applyNumberFormat="1" applyBorder="1" applyProtection="1">
      <protection locked="0"/>
    </xf>
    <xf numFmtId="46" fontId="0" fillId="0" borderId="65" xfId="0" applyNumberFormat="1" applyBorder="1" applyProtection="1">
      <protection locked="0"/>
    </xf>
    <xf numFmtId="167" fontId="0" fillId="0" borderId="64" xfId="0" applyNumberFormat="1" applyBorder="1" applyProtection="1">
      <protection locked="0"/>
    </xf>
    <xf numFmtId="0" fontId="12" fillId="3" borderId="48" xfId="0" applyFont="1" applyFill="1" applyBorder="1"/>
    <xf numFmtId="46" fontId="43" fillId="0" borderId="5" xfId="0" applyNumberFormat="1" applyFont="1" applyBorder="1" applyProtection="1">
      <protection locked="0"/>
    </xf>
    <xf numFmtId="0" fontId="0" fillId="0" borderId="23" xfId="0" applyBorder="1" applyAlignment="1">
      <alignment horizontal="right" indent="1"/>
    </xf>
    <xf numFmtId="49" fontId="0" fillId="0" borderId="0" xfId="0" applyNumberFormat="1" applyAlignment="1" applyProtection="1">
      <alignment horizontal="right"/>
      <protection locked="0"/>
    </xf>
    <xf numFmtId="49" fontId="13" fillId="0" borderId="0" xfId="0" applyNumberFormat="1" applyFont="1" applyAlignment="1" applyProtection="1">
      <alignment horizontal="right"/>
      <protection locked="0"/>
    </xf>
    <xf numFmtId="0" fontId="0" fillId="3" borderId="7" xfId="0" applyFill="1" applyBorder="1" applyProtection="1">
      <protection locked="0"/>
    </xf>
    <xf numFmtId="0" fontId="2" fillId="3" borderId="9" xfId="0" applyFont="1" applyFill="1" applyBorder="1" applyProtection="1">
      <protection locked="0"/>
    </xf>
    <xf numFmtId="49" fontId="0" fillId="3" borderId="9" xfId="0" applyNumberFormat="1" applyFill="1" applyBorder="1" applyAlignment="1" applyProtection="1">
      <alignment horizontal="right"/>
      <protection locked="0"/>
    </xf>
    <xf numFmtId="164" fontId="6" fillId="3" borderId="9" xfId="0" applyNumberFormat="1" applyFont="1" applyFill="1" applyBorder="1" applyProtection="1">
      <protection locked="0"/>
    </xf>
    <xf numFmtId="46" fontId="6" fillId="3" borderId="8" xfId="0" applyNumberFormat="1" applyFont="1" applyFill="1" applyBorder="1" applyProtection="1">
      <protection locked="0"/>
    </xf>
    <xf numFmtId="0" fontId="0" fillId="0" borderId="0" xfId="0" applyAlignment="1" applyProtection="1">
      <alignment horizontal="right"/>
      <protection locked="0"/>
    </xf>
    <xf numFmtId="0" fontId="0" fillId="0" borderId="46" xfId="0" applyBorder="1"/>
    <xf numFmtId="0" fontId="12" fillId="3" borderId="46" xfId="0" applyFont="1" applyFill="1" applyBorder="1"/>
    <xf numFmtId="0" fontId="44" fillId="3" borderId="0" xfId="1" applyFont="1" applyFill="1" applyBorder="1" applyProtection="1"/>
    <xf numFmtId="0" fontId="44" fillId="0" borderId="0" xfId="1" applyFont="1" applyProtection="1"/>
    <xf numFmtId="0" fontId="20" fillId="0" borderId="66" xfId="0" applyFont="1" applyBorder="1" applyProtection="1">
      <protection locked="0"/>
    </xf>
    <xf numFmtId="49" fontId="20" fillId="0" borderId="66" xfId="0" applyNumberFormat="1" applyFont="1" applyBorder="1" applyAlignment="1" applyProtection="1">
      <alignment horizontal="right"/>
      <protection locked="0"/>
    </xf>
    <xf numFmtId="164" fontId="45" fillId="0" borderId="66" xfId="0" applyNumberFormat="1" applyFont="1" applyBorder="1" applyProtection="1">
      <protection locked="0"/>
    </xf>
    <xf numFmtId="46" fontId="45" fillId="0" borderId="66" xfId="0" applyNumberFormat="1" applyFont="1" applyBorder="1" applyProtection="1">
      <protection locked="0"/>
    </xf>
    <xf numFmtId="178" fontId="43" fillId="0" borderId="0" xfId="0" applyNumberFormat="1" applyFont="1" applyProtection="1">
      <protection locked="0"/>
    </xf>
    <xf numFmtId="178" fontId="0" fillId="0" borderId="0" xfId="0" applyNumberFormat="1" applyProtection="1">
      <protection locked="0"/>
    </xf>
    <xf numFmtId="178" fontId="6" fillId="0" borderId="0" xfId="0" applyNumberFormat="1" applyFont="1" applyProtection="1">
      <protection locked="0"/>
    </xf>
    <xf numFmtId="0" fontId="12" fillId="3" borderId="25" xfId="0" applyFont="1" applyFill="1" applyBorder="1" applyAlignment="1">
      <alignment horizontal="center"/>
    </xf>
    <xf numFmtId="0" fontId="12" fillId="0" borderId="25" xfId="0" applyFont="1" applyBorder="1" applyAlignment="1">
      <alignment horizontal="center"/>
    </xf>
    <xf numFmtId="14" fontId="29" fillId="3" borderId="67" xfId="0" applyNumberFormat="1" applyFont="1" applyFill="1" applyBorder="1" applyAlignment="1">
      <alignment horizontal="center"/>
    </xf>
    <xf numFmtId="14" fontId="12" fillId="3" borderId="67" xfId="0" applyNumberFormat="1" applyFont="1" applyFill="1" applyBorder="1" applyAlignment="1">
      <alignment horizontal="center"/>
    </xf>
    <xf numFmtId="14" fontId="12" fillId="0" borderId="67" xfId="0" applyNumberFormat="1" applyFont="1" applyBorder="1" applyAlignment="1">
      <alignment horizontal="center"/>
    </xf>
    <xf numFmtId="0" fontId="42" fillId="0" borderId="0" xfId="0" applyFont="1"/>
    <xf numFmtId="0" fontId="1" fillId="0" borderId="0" xfId="1" applyFill="1" applyBorder="1" applyProtection="1"/>
    <xf numFmtId="46" fontId="36" fillId="0" borderId="0" xfId="0" applyNumberFormat="1" applyFont="1"/>
    <xf numFmtId="165" fontId="20" fillId="0" borderId="0" xfId="0" applyNumberFormat="1" applyFont="1" applyAlignment="1" applyProtection="1">
      <alignment horizontal="right"/>
      <protection locked="0"/>
    </xf>
    <xf numFmtId="164" fontId="46" fillId="0" borderId="0" xfId="0" applyNumberFormat="1" applyFont="1" applyProtection="1">
      <protection locked="0"/>
    </xf>
    <xf numFmtId="46" fontId="46" fillId="0" borderId="5" xfId="0" applyNumberFormat="1" applyFont="1" applyBorder="1" applyProtection="1">
      <protection locked="0"/>
    </xf>
    <xf numFmtId="0" fontId="0" fillId="0" borderId="75" xfId="0" applyBorder="1" applyProtection="1">
      <protection locked="0"/>
    </xf>
    <xf numFmtId="46" fontId="0" fillId="0" borderId="77" xfId="0" applyNumberFormat="1" applyBorder="1" applyAlignment="1" applyProtection="1">
      <alignment horizontal="right"/>
      <protection locked="0"/>
    </xf>
    <xf numFmtId="167" fontId="0" fillId="0" borderId="72" xfId="0" applyNumberFormat="1" applyBorder="1" applyAlignment="1" applyProtection="1">
      <alignment horizontal="right"/>
      <protection locked="0"/>
    </xf>
    <xf numFmtId="0" fontId="0" fillId="0" borderId="76" xfId="0" applyBorder="1" applyProtection="1">
      <protection locked="0"/>
    </xf>
    <xf numFmtId="46" fontId="0" fillId="0" borderId="74" xfId="0" applyNumberFormat="1" applyBorder="1" applyAlignment="1" applyProtection="1">
      <alignment horizontal="right"/>
      <protection locked="0"/>
    </xf>
    <xf numFmtId="167" fontId="0" fillId="0" borderId="73" xfId="0" applyNumberFormat="1" applyBorder="1" applyAlignment="1" applyProtection="1">
      <alignment horizontal="right"/>
      <protection locked="0"/>
    </xf>
    <xf numFmtId="0" fontId="0" fillId="0" borderId="74" xfId="0" applyBorder="1" applyProtection="1">
      <protection locked="0"/>
    </xf>
    <xf numFmtId="167" fontId="0" fillId="0" borderId="48" xfId="0" applyNumberFormat="1" applyBorder="1" applyProtection="1">
      <protection locked="0"/>
    </xf>
    <xf numFmtId="0" fontId="0" fillId="0" borderId="45" xfId="0" applyBorder="1" applyAlignment="1" applyProtection="1">
      <alignment horizontal="right" indent="1"/>
      <protection locked="0"/>
    </xf>
    <xf numFmtId="0" fontId="0" fillId="0" borderId="63" xfId="0" applyBorder="1" applyAlignment="1" applyProtection="1">
      <alignment horizontal="right"/>
      <protection locked="0"/>
    </xf>
    <xf numFmtId="165" fontId="13" fillId="0" borderId="0" xfId="0" applyNumberFormat="1" applyFont="1" applyAlignment="1" applyProtection="1">
      <alignment horizontal="right"/>
      <protection locked="0"/>
    </xf>
    <xf numFmtId="0" fontId="0" fillId="0" borderId="0" xfId="1" applyFont="1" applyProtection="1">
      <protection locked="0"/>
    </xf>
    <xf numFmtId="178" fontId="20" fillId="0" borderId="0" xfId="0" applyNumberFormat="1" applyFont="1" applyProtection="1">
      <protection locked="0"/>
    </xf>
    <xf numFmtId="0" fontId="0" fillId="0" borderId="0" xfId="1" applyFont="1" applyBorder="1" applyProtection="1">
      <protection locked="0"/>
    </xf>
    <xf numFmtId="0" fontId="42" fillId="0" borderId="0" xfId="0" applyFont="1" applyAlignment="1">
      <alignment horizontal="right"/>
    </xf>
    <xf numFmtId="0" fontId="42" fillId="0" borderId="0" xfId="0" applyFont="1" applyAlignment="1" applyProtection="1">
      <alignment horizontal="right"/>
      <protection locked="0"/>
    </xf>
    <xf numFmtId="0" fontId="48" fillId="0" borderId="0" xfId="0" applyFont="1"/>
    <xf numFmtId="178" fontId="46" fillId="0" borderId="0" xfId="0" applyNumberFormat="1" applyFont="1" applyProtection="1">
      <protection locked="0"/>
    </xf>
    <xf numFmtId="0" fontId="12" fillId="3" borderId="0" xfId="0" applyFont="1" applyFill="1" applyAlignment="1">
      <alignment horizontal="right"/>
    </xf>
    <xf numFmtId="0" fontId="49" fillId="0" borderId="0" xfId="1" applyFont="1" applyProtection="1"/>
    <xf numFmtId="10" fontId="12" fillId="3" borderId="0" xfId="0" applyNumberFormat="1" applyFont="1" applyFill="1"/>
    <xf numFmtId="0" fontId="49" fillId="3" borderId="0" xfId="1" applyFont="1" applyFill="1" applyBorder="1" applyProtection="1"/>
    <xf numFmtId="0" fontId="49" fillId="3" borderId="0" xfId="1" applyFont="1" applyFill="1" applyBorder="1" applyAlignment="1" applyProtection="1">
      <alignment horizontal="fill"/>
    </xf>
    <xf numFmtId="0" fontId="33" fillId="3" borderId="0" xfId="0" applyFont="1" applyFill="1"/>
    <xf numFmtId="0" fontId="38" fillId="0" borderId="0" xfId="0" applyFont="1" applyAlignment="1">
      <alignment vertical="center"/>
    </xf>
    <xf numFmtId="0" fontId="38" fillId="0" borderId="0" xfId="0" applyFont="1" applyAlignment="1" applyProtection="1">
      <alignment vertical="center"/>
      <protection locked="0"/>
    </xf>
    <xf numFmtId="0" fontId="38" fillId="0" borderId="0" xfId="0" applyFont="1" applyProtection="1">
      <protection locked="0"/>
    </xf>
    <xf numFmtId="171" fontId="12" fillId="3" borderId="0" xfId="0" applyNumberFormat="1" applyFont="1" applyFill="1"/>
    <xf numFmtId="172" fontId="12" fillId="3" borderId="0" xfId="0" applyNumberFormat="1" applyFont="1" applyFill="1"/>
    <xf numFmtId="0" fontId="12" fillId="3" borderId="67" xfId="0" applyFont="1" applyFill="1" applyBorder="1"/>
    <xf numFmtId="0" fontId="12" fillId="3" borderId="23" xfId="0" applyFont="1" applyFill="1" applyBorder="1" applyAlignment="1">
      <alignment horizontal="right"/>
    </xf>
    <xf numFmtId="170" fontId="12" fillId="3" borderId="23" xfId="0" applyNumberFormat="1" applyFont="1" applyFill="1" applyBorder="1"/>
    <xf numFmtId="0" fontId="12" fillId="3" borderId="79" xfId="0" applyFont="1" applyFill="1" applyBorder="1"/>
    <xf numFmtId="170" fontId="12" fillId="3" borderId="79" xfId="0" applyNumberFormat="1" applyFont="1" applyFill="1" applyBorder="1"/>
    <xf numFmtId="0" fontId="12" fillId="3" borderId="80" xfId="0" applyFont="1" applyFill="1" applyBorder="1"/>
    <xf numFmtId="170" fontId="12" fillId="3" borderId="80" xfId="0" applyNumberFormat="1" applyFont="1" applyFill="1" applyBorder="1"/>
    <xf numFmtId="0" fontId="42" fillId="3" borderId="0" xfId="0" applyFont="1" applyFill="1"/>
    <xf numFmtId="0" fontId="8" fillId="3" borderId="0" xfId="0" applyFont="1" applyFill="1"/>
    <xf numFmtId="0" fontId="50" fillId="3" borderId="0" xfId="0" applyFont="1" applyFill="1" applyAlignment="1">
      <alignment horizontal="left"/>
    </xf>
    <xf numFmtId="184" fontId="12" fillId="3" borderId="0" xfId="0" applyNumberFormat="1" applyFont="1" applyFill="1"/>
    <xf numFmtId="185" fontId="12" fillId="3" borderId="0" xfId="0" applyNumberFormat="1" applyFont="1" applyFill="1"/>
    <xf numFmtId="186" fontId="12" fillId="3" borderId="0" xfId="0" applyNumberFormat="1" applyFont="1" applyFill="1"/>
    <xf numFmtId="187" fontId="51" fillId="3" borderId="0" xfId="0" applyNumberFormat="1" applyFont="1" applyFill="1" applyAlignment="1">
      <alignment horizontal="left"/>
    </xf>
    <xf numFmtId="0" fontId="32" fillId="3" borderId="0" xfId="0" applyFont="1" applyFill="1"/>
    <xf numFmtId="0" fontId="7" fillId="0" borderId="0" xfId="0" applyFont="1"/>
    <xf numFmtId="0" fontId="12" fillId="3" borderId="68" xfId="0" applyFont="1" applyFill="1" applyBorder="1"/>
    <xf numFmtId="10" fontId="12" fillId="3" borderId="68" xfId="0" applyNumberFormat="1" applyFont="1" applyFill="1" applyBorder="1"/>
    <xf numFmtId="178" fontId="57" fillId="0" borderId="0" xfId="0" applyNumberFormat="1" applyFont="1" applyProtection="1">
      <protection locked="0"/>
    </xf>
    <xf numFmtId="46" fontId="57" fillId="0" borderId="5" xfId="0" applyNumberFormat="1" applyFont="1" applyBorder="1" applyProtection="1">
      <protection locked="0"/>
    </xf>
    <xf numFmtId="0" fontId="0" fillId="2" borderId="30" xfId="0" applyFill="1" applyBorder="1" applyProtection="1">
      <protection locked="0"/>
    </xf>
    <xf numFmtId="0" fontId="0" fillId="2" borderId="15" xfId="0" applyFill="1" applyBorder="1" applyProtection="1">
      <protection locked="0"/>
    </xf>
    <xf numFmtId="0" fontId="0" fillId="2" borderId="60" xfId="0" applyFill="1" applyBorder="1" applyProtection="1">
      <protection locked="0"/>
    </xf>
    <xf numFmtId="0" fontId="0" fillId="2" borderId="84" xfId="0" applyFill="1" applyBorder="1" applyProtection="1">
      <protection locked="0"/>
    </xf>
    <xf numFmtId="165" fontId="49" fillId="3" borderId="0" xfId="1" applyNumberFormat="1" applyFont="1" applyFill="1" applyBorder="1" applyAlignment="1" applyProtection="1">
      <alignment horizontal="fill"/>
    </xf>
    <xf numFmtId="0" fontId="49" fillId="3" borderId="0" xfId="1" applyNumberFormat="1" applyFont="1" applyFill="1" applyBorder="1" applyAlignment="1" applyProtection="1">
      <alignment horizontal="fill"/>
    </xf>
    <xf numFmtId="164" fontId="58" fillId="0" borderId="0" xfId="0" applyNumberFormat="1" applyFont="1" applyProtection="1">
      <protection locked="0"/>
    </xf>
    <xf numFmtId="46" fontId="58" fillId="0" borderId="5" xfId="0" applyNumberFormat="1" applyFont="1" applyBorder="1" applyProtection="1">
      <protection locked="0"/>
    </xf>
    <xf numFmtId="0" fontId="19" fillId="0" borderId="0" xfId="0" applyFont="1" applyProtection="1">
      <protection locked="0"/>
    </xf>
    <xf numFmtId="165" fontId="4" fillId="0" borderId="6" xfId="0" applyNumberFormat="1" applyFont="1" applyBorder="1" applyProtection="1">
      <protection locked="0"/>
    </xf>
    <xf numFmtId="164" fontId="4" fillId="0" borderId="6" xfId="0" applyNumberFormat="1" applyFont="1" applyBorder="1" applyProtection="1">
      <protection locked="0"/>
    </xf>
    <xf numFmtId="178" fontId="60" fillId="0" borderId="0" xfId="0" applyNumberFormat="1" applyFont="1" applyProtection="1">
      <protection locked="0"/>
    </xf>
    <xf numFmtId="46" fontId="60" fillId="0" borderId="5" xfId="0" applyNumberFormat="1" applyFont="1" applyBorder="1" applyProtection="1">
      <protection locked="0"/>
    </xf>
    <xf numFmtId="165" fontId="41" fillId="0" borderId="0" xfId="0" applyNumberFormat="1" applyFont="1" applyAlignment="1">
      <alignment horizontal="right"/>
    </xf>
    <xf numFmtId="14" fontId="41" fillId="0" borderId="0" xfId="0" applyNumberFormat="1" applyFont="1"/>
    <xf numFmtId="46" fontId="41" fillId="0" borderId="0" xfId="0" applyNumberFormat="1" applyFont="1"/>
    <xf numFmtId="0" fontId="39" fillId="0" borderId="0" xfId="1" applyFont="1" applyFill="1" applyProtection="1">
      <protection locked="0"/>
    </xf>
    <xf numFmtId="0" fontId="7" fillId="4" borderId="0" xfId="0" applyFont="1" applyFill="1" applyProtection="1">
      <protection locked="0"/>
    </xf>
    <xf numFmtId="0" fontId="13" fillId="0" borderId="0" xfId="0" applyFont="1" applyAlignment="1">
      <alignment vertical="top"/>
    </xf>
    <xf numFmtId="188" fontId="0" fillId="0" borderId="85" xfId="0" applyNumberFormat="1" applyBorder="1" applyProtection="1">
      <protection locked="0"/>
    </xf>
    <xf numFmtId="188" fontId="0" fillId="0" borderId="16" xfId="0" applyNumberFormat="1" applyBorder="1" applyProtection="1">
      <protection locked="0"/>
    </xf>
    <xf numFmtId="0" fontId="7" fillId="0" borderId="85" xfId="0" applyFont="1" applyBorder="1" applyProtection="1">
      <protection locked="0"/>
    </xf>
    <xf numFmtId="0" fontId="7" fillId="0" borderId="23" xfId="0" applyFont="1" applyBorder="1" applyProtection="1">
      <protection locked="0"/>
    </xf>
    <xf numFmtId="0" fontId="0" fillId="0" borderId="23" xfId="0" applyBorder="1" applyAlignment="1" applyProtection="1">
      <alignment horizontal="center"/>
      <protection locked="0"/>
    </xf>
    <xf numFmtId="0" fontId="7" fillId="0" borderId="16" xfId="0" applyFont="1" applyBorder="1" applyProtection="1">
      <protection locked="0"/>
    </xf>
    <xf numFmtId="0" fontId="7" fillId="0" borderId="23" xfId="0" applyFont="1" applyBorder="1" applyAlignment="1" applyProtection="1">
      <alignment horizontal="center"/>
      <protection locked="0"/>
    </xf>
    <xf numFmtId="0" fontId="0" fillId="0" borderId="83" xfId="0" applyBorder="1" applyProtection="1">
      <protection locked="0"/>
    </xf>
    <xf numFmtId="190" fontId="0" fillId="0" borderId="85" xfId="0" applyNumberFormat="1" applyBorder="1" applyProtection="1">
      <protection locked="0"/>
    </xf>
    <xf numFmtId="190" fontId="0" fillId="0" borderId="16" xfId="0" applyNumberFormat="1" applyBorder="1" applyProtection="1">
      <protection locked="0"/>
    </xf>
    <xf numFmtId="0" fontId="0" fillId="0" borderId="16" xfId="0" applyBorder="1" applyAlignment="1" applyProtection="1">
      <alignment horizontal="center"/>
      <protection locked="0"/>
    </xf>
    <xf numFmtId="188" fontId="20" fillId="0" borderId="85" xfId="0" applyNumberFormat="1" applyFont="1" applyBorder="1" applyProtection="1">
      <protection locked="0"/>
    </xf>
    <xf numFmtId="188" fontId="20" fillId="0" borderId="16" xfId="0" applyNumberFormat="1" applyFont="1" applyBorder="1" applyProtection="1">
      <protection locked="0"/>
    </xf>
    <xf numFmtId="188" fontId="4" fillId="0" borderId="85" xfId="0" applyNumberFormat="1" applyFont="1" applyBorder="1" applyProtection="1">
      <protection locked="0"/>
    </xf>
    <xf numFmtId="188" fontId="4" fillId="0" borderId="16" xfId="0" applyNumberFormat="1" applyFont="1" applyBorder="1" applyProtection="1">
      <protection locked="0"/>
    </xf>
    <xf numFmtId="0" fontId="4" fillId="0" borderId="83" xfId="0" applyFont="1" applyBorder="1" applyProtection="1">
      <protection locked="0"/>
    </xf>
    <xf numFmtId="0" fontId="7" fillId="0" borderId="16" xfId="0" applyFont="1" applyBorder="1" applyAlignment="1" applyProtection="1">
      <alignment horizontal="center"/>
      <protection locked="0"/>
    </xf>
    <xf numFmtId="0" fontId="0" fillId="0" borderId="68" xfId="0" applyBorder="1" applyProtection="1">
      <protection locked="0"/>
    </xf>
    <xf numFmtId="0" fontId="7" fillId="0" borderId="86" xfId="0" applyFont="1" applyBorder="1" applyProtection="1">
      <protection locked="0"/>
    </xf>
    <xf numFmtId="0" fontId="7" fillId="0" borderId="65" xfId="0" applyFont="1" applyBorder="1" applyProtection="1">
      <protection locked="0"/>
    </xf>
    <xf numFmtId="0" fontId="7" fillId="0" borderId="82" xfId="0" applyFont="1" applyBorder="1" applyProtection="1">
      <protection locked="0"/>
    </xf>
    <xf numFmtId="188" fontId="20" fillId="0" borderId="86" xfId="0" applyNumberFormat="1" applyFont="1" applyBorder="1" applyProtection="1">
      <protection locked="0"/>
    </xf>
    <xf numFmtId="188" fontId="20" fillId="0" borderId="82" xfId="0" applyNumberFormat="1" applyFont="1" applyBorder="1" applyProtection="1">
      <protection locked="0"/>
    </xf>
    <xf numFmtId="188" fontId="0" fillId="0" borderId="86" xfId="0" applyNumberFormat="1" applyBorder="1" applyProtection="1">
      <protection locked="0"/>
    </xf>
    <xf numFmtId="188" fontId="0" fillId="0" borderId="82" xfId="0" applyNumberFormat="1" applyBorder="1" applyProtection="1">
      <protection locked="0"/>
    </xf>
    <xf numFmtId="0" fontId="12" fillId="2" borderId="13" xfId="0" applyFont="1" applyFill="1" applyBorder="1" applyProtection="1">
      <protection locked="0"/>
    </xf>
    <xf numFmtId="0" fontId="12" fillId="2" borderId="23" xfId="0" applyFont="1" applyFill="1" applyBorder="1" applyProtection="1">
      <protection locked="0"/>
    </xf>
    <xf numFmtId="0" fontId="12" fillId="2" borderId="14" xfId="0" applyFont="1" applyFill="1" applyBorder="1" applyProtection="1">
      <protection locked="0"/>
    </xf>
    <xf numFmtId="0" fontId="8" fillId="0" borderId="13" xfId="0" applyFont="1" applyBorder="1" applyProtection="1">
      <protection locked="0"/>
    </xf>
    <xf numFmtId="0" fontId="2" fillId="0" borderId="23" xfId="0" applyFont="1" applyBorder="1" applyProtection="1">
      <protection locked="0"/>
    </xf>
    <xf numFmtId="9" fontId="2" fillId="0" borderId="23" xfId="0" applyNumberFormat="1" applyFont="1" applyBorder="1" applyProtection="1">
      <protection locked="0"/>
    </xf>
    <xf numFmtId="0" fontId="53" fillId="0" borderId="23" xfId="0" applyFont="1" applyBorder="1" applyProtection="1">
      <protection locked="0"/>
    </xf>
    <xf numFmtId="14" fontId="2" fillId="0" borderId="23" xfId="0" applyNumberFormat="1" applyFont="1" applyBorder="1" applyProtection="1">
      <protection locked="0"/>
    </xf>
    <xf numFmtId="0" fontId="0" fillId="0" borderId="23" xfId="0" applyBorder="1" applyProtection="1">
      <protection locked="0"/>
    </xf>
    <xf numFmtId="0" fontId="0" fillId="0" borderId="14" xfId="0" applyBorder="1" applyProtection="1">
      <protection locked="0"/>
    </xf>
    <xf numFmtId="0" fontId="0" fillId="0" borderId="23" xfId="0" applyBorder="1" applyAlignment="1" applyProtection="1">
      <alignment horizontal="right"/>
      <protection locked="0"/>
    </xf>
    <xf numFmtId="168" fontId="0" fillId="0" borderId="23" xfId="0" applyNumberFormat="1" applyBorder="1" applyProtection="1">
      <protection locked="0"/>
    </xf>
    <xf numFmtId="0" fontId="25" fillId="0" borderId="23" xfId="0" applyFont="1" applyBorder="1" applyProtection="1">
      <protection locked="0"/>
    </xf>
    <xf numFmtId="9" fontId="24" fillId="0" borderId="23" xfId="0" applyNumberFormat="1" applyFont="1" applyBorder="1" applyProtection="1">
      <protection locked="0"/>
    </xf>
    <xf numFmtId="0" fontId="24" fillId="0" borderId="23" xfId="0" applyFont="1" applyBorder="1" applyProtection="1">
      <protection locked="0"/>
    </xf>
    <xf numFmtId="169" fontId="0" fillId="0" borderId="23" xfId="0" applyNumberFormat="1" applyBorder="1" applyAlignment="1" applyProtection="1">
      <alignment horizontal="right"/>
      <protection locked="0"/>
    </xf>
    <xf numFmtId="177" fontId="0" fillId="0" borderId="23" xfId="0" applyNumberFormat="1" applyBorder="1" applyProtection="1">
      <protection locked="0"/>
    </xf>
    <xf numFmtId="14" fontId="0" fillId="0" borderId="23" xfId="0" applyNumberFormat="1" applyBorder="1" applyProtection="1">
      <protection locked="0"/>
    </xf>
    <xf numFmtId="0" fontId="52" fillId="0" borderId="23" xfId="0" applyFont="1" applyBorder="1" applyProtection="1">
      <protection locked="0"/>
    </xf>
    <xf numFmtId="9" fontId="0" fillId="0" borderId="23" xfId="0" applyNumberFormat="1" applyBorder="1" applyProtection="1">
      <protection locked="0"/>
    </xf>
    <xf numFmtId="9" fontId="2" fillId="0" borderId="23" xfId="0" applyNumberFormat="1" applyFont="1" applyBorder="1" applyAlignment="1" applyProtection="1">
      <alignment vertical="center" wrapText="1"/>
      <protection locked="0"/>
    </xf>
    <xf numFmtId="0" fontId="56" fillId="0" borderId="23" xfId="0" applyFont="1" applyBorder="1" applyProtection="1">
      <protection locked="0"/>
    </xf>
    <xf numFmtId="0" fontId="56" fillId="0" borderId="14" xfId="0" applyFont="1" applyBorder="1" applyProtection="1">
      <protection locked="0"/>
    </xf>
    <xf numFmtId="0" fontId="12" fillId="0" borderId="23" xfId="0" applyFont="1" applyBorder="1" applyProtection="1">
      <protection locked="0"/>
    </xf>
    <xf numFmtId="0" fontId="12" fillId="0" borderId="14" xfId="0" applyFont="1" applyBorder="1" applyProtection="1">
      <protection locked="0"/>
    </xf>
    <xf numFmtId="0" fontId="2" fillId="0" borderId="23" xfId="0" applyFont="1" applyBorder="1" applyAlignment="1" applyProtection="1">
      <alignment horizontal="left" vertical="center"/>
      <protection locked="0"/>
    </xf>
    <xf numFmtId="0" fontId="55" fillId="0" borderId="23" xfId="0" applyFont="1" applyBorder="1" applyAlignment="1" applyProtection="1">
      <alignment horizontal="left" vertical="center"/>
      <protection locked="0"/>
    </xf>
    <xf numFmtId="9" fontId="24" fillId="0" borderId="23" xfId="0" applyNumberFormat="1" applyFont="1" applyBorder="1" applyAlignment="1" applyProtection="1">
      <alignment vertical="center" wrapText="1"/>
      <protection locked="0"/>
    </xf>
    <xf numFmtId="0" fontId="26" fillId="0" borderId="23" xfId="0" applyFont="1" applyBorder="1" applyAlignment="1" applyProtection="1">
      <alignment horizontal="left" vertical="center"/>
      <protection locked="0"/>
    </xf>
    <xf numFmtId="0" fontId="26" fillId="0" borderId="23" xfId="0" applyFont="1" applyBorder="1" applyProtection="1">
      <protection locked="0"/>
    </xf>
    <xf numFmtId="168" fontId="2" fillId="0" borderId="23" xfId="0" applyNumberFormat="1" applyFont="1" applyBorder="1" applyProtection="1">
      <protection locked="0"/>
    </xf>
    <xf numFmtId="0" fontId="25" fillId="0" borderId="23" xfId="0" applyFont="1" applyBorder="1" applyAlignment="1" applyProtection="1">
      <alignment horizontal="left" vertical="center"/>
      <protection locked="0"/>
    </xf>
    <xf numFmtId="0" fontId="26" fillId="0" borderId="23" xfId="0" applyFont="1" applyBorder="1" applyAlignment="1" applyProtection="1">
      <alignment vertical="center"/>
      <protection locked="0"/>
    </xf>
    <xf numFmtId="14" fontId="27" fillId="0" borderId="23" xfId="0" applyNumberFormat="1" applyFont="1" applyBorder="1" applyProtection="1">
      <protection locked="0"/>
    </xf>
    <xf numFmtId="177" fontId="28" fillId="0" borderId="23" xfId="0" applyNumberFormat="1" applyFont="1" applyBorder="1" applyProtection="1">
      <protection locked="0"/>
    </xf>
    <xf numFmtId="0" fontId="54" fillId="0" borderId="23" xfId="0" applyFont="1" applyBorder="1" applyProtection="1">
      <protection locked="0"/>
    </xf>
    <xf numFmtId="0" fontId="8" fillId="0" borderId="45" xfId="0" applyFont="1" applyBorder="1" applyProtection="1">
      <protection locked="0"/>
    </xf>
    <xf numFmtId="0" fontId="0" fillId="0" borderId="46" xfId="0" applyBorder="1" applyProtection="1">
      <protection locked="0"/>
    </xf>
    <xf numFmtId="0" fontId="26" fillId="0" borderId="46" xfId="0" applyFont="1" applyBorder="1" applyAlignment="1" applyProtection="1">
      <alignment horizontal="left" vertical="center"/>
      <protection locked="0"/>
    </xf>
    <xf numFmtId="0" fontId="2" fillId="0" borderId="46" xfId="0" applyFont="1" applyBorder="1" applyProtection="1">
      <protection locked="0"/>
    </xf>
    <xf numFmtId="14" fontId="0" fillId="0" borderId="46" xfId="0" applyNumberFormat="1" applyBorder="1" applyProtection="1">
      <protection locked="0"/>
    </xf>
    <xf numFmtId="0" fontId="0" fillId="0" borderId="48" xfId="0" applyBorder="1" applyProtection="1">
      <protection locked="0"/>
    </xf>
    <xf numFmtId="9" fontId="0" fillId="0" borderId="23" xfId="0" applyNumberFormat="1" applyBorder="1" applyAlignment="1" applyProtection="1">
      <alignment vertical="center" wrapText="1"/>
      <protection locked="0"/>
    </xf>
    <xf numFmtId="9" fontId="0" fillId="0" borderId="46" xfId="0" applyNumberFormat="1" applyBorder="1" applyAlignment="1" applyProtection="1">
      <alignment vertical="center" wrapText="1"/>
      <protection locked="0"/>
    </xf>
    <xf numFmtId="165" fontId="0" fillId="0" borderId="23" xfId="0" applyNumberFormat="1" applyBorder="1" applyProtection="1">
      <protection locked="0"/>
    </xf>
    <xf numFmtId="189" fontId="8" fillId="0" borderId="23" xfId="0" applyNumberFormat="1" applyFont="1" applyBorder="1" applyProtection="1">
      <protection locked="0"/>
    </xf>
    <xf numFmtId="165" fontId="0" fillId="0" borderId="23" xfId="0" applyNumberFormat="1" applyBorder="1" applyAlignment="1" applyProtection="1">
      <alignment horizontal="right"/>
      <protection locked="0"/>
    </xf>
    <xf numFmtId="0" fontId="0" fillId="0" borderId="87" xfId="0" applyBorder="1" applyProtection="1">
      <protection locked="0"/>
    </xf>
    <xf numFmtId="165" fontId="0" fillId="0" borderId="43" xfId="0" applyNumberFormat="1" applyBorder="1" applyProtection="1">
      <protection locked="0"/>
    </xf>
    <xf numFmtId="189" fontId="8" fillId="0" borderId="43" xfId="0" applyNumberFormat="1" applyFont="1" applyBorder="1" applyProtection="1">
      <protection locked="0"/>
    </xf>
    <xf numFmtId="0" fontId="0" fillId="0" borderId="4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lignment horizontal="center"/>
    </xf>
    <xf numFmtId="0" fontId="8" fillId="0" borderId="6" xfId="0" applyFont="1" applyBorder="1" applyProtection="1">
      <protection locked="0"/>
    </xf>
    <xf numFmtId="0" fontId="2" fillId="0" borderId="14" xfId="0" applyFont="1" applyBorder="1" applyProtection="1">
      <protection locked="0"/>
    </xf>
    <xf numFmtId="164" fontId="60" fillId="0" borderId="0" xfId="0" applyNumberFormat="1" applyFont="1" applyProtection="1">
      <protection locked="0"/>
    </xf>
    <xf numFmtId="0" fontId="12" fillId="0" borderId="45" xfId="0" applyFont="1" applyBorder="1"/>
    <xf numFmtId="0" fontId="12" fillId="2" borderId="0" xfId="0" applyFont="1" applyFill="1" applyProtection="1">
      <protection locked="0"/>
    </xf>
    <xf numFmtId="14" fontId="12" fillId="3" borderId="25" xfId="0" applyNumberFormat="1" applyFont="1" applyFill="1" applyBorder="1" applyAlignment="1" applyProtection="1">
      <alignment horizontal="center"/>
      <protection locked="0"/>
    </xf>
    <xf numFmtId="46" fontId="12" fillId="3" borderId="90" xfId="0" applyNumberFormat="1" applyFont="1" applyFill="1" applyBorder="1" applyAlignment="1" applyProtection="1">
      <alignment horizontal="center"/>
      <protection locked="0"/>
    </xf>
    <xf numFmtId="0" fontId="0" fillId="3" borderId="10" xfId="0" applyFill="1" applyBorder="1"/>
    <xf numFmtId="0" fontId="12" fillId="2" borderId="91" xfId="0" applyFont="1" applyFill="1" applyBorder="1" applyProtection="1">
      <protection locked="0"/>
    </xf>
    <xf numFmtId="46" fontId="12" fillId="0" borderId="92" xfId="0" applyNumberFormat="1" applyFont="1" applyBorder="1" applyAlignment="1" applyProtection="1">
      <alignment horizontal="center"/>
      <protection locked="0"/>
    </xf>
    <xf numFmtId="0" fontId="12" fillId="2" borderId="28" xfId="0" applyFont="1" applyFill="1" applyBorder="1" applyProtection="1">
      <protection locked="0"/>
    </xf>
    <xf numFmtId="0" fontId="12" fillId="3" borderId="93" xfId="0" applyFont="1" applyFill="1" applyBorder="1" applyAlignment="1" applyProtection="1">
      <alignment horizontal="right"/>
      <protection locked="0"/>
    </xf>
    <xf numFmtId="0" fontId="63" fillId="0" borderId="52" xfId="0" applyFont="1" applyBorder="1" applyProtection="1">
      <protection locked="0"/>
    </xf>
    <xf numFmtId="0" fontId="63" fillId="0" borderId="53" xfId="0" applyFont="1" applyBorder="1" applyProtection="1">
      <protection locked="0"/>
    </xf>
    <xf numFmtId="0" fontId="36" fillId="3" borderId="0" xfId="0" applyFont="1" applyFill="1" applyAlignment="1">
      <alignment horizontal="right"/>
    </xf>
    <xf numFmtId="46" fontId="36" fillId="3" borderId="0" xfId="0" applyNumberFormat="1" applyFont="1" applyFill="1"/>
    <xf numFmtId="0" fontId="47" fillId="0" borderId="0" xfId="1" applyFont="1" applyProtection="1"/>
    <xf numFmtId="0" fontId="39" fillId="0" borderId="0" xfId="1" applyFont="1" applyFill="1" applyAlignment="1" applyProtection="1">
      <alignment horizontal="left" indent="7"/>
    </xf>
    <xf numFmtId="0" fontId="39" fillId="0" borderId="0" xfId="1" applyFont="1" applyFill="1" applyProtection="1"/>
    <xf numFmtId="171" fontId="36" fillId="3" borderId="0" xfId="0" applyNumberFormat="1" applyFont="1" applyFill="1"/>
    <xf numFmtId="0" fontId="0" fillId="3" borderId="7" xfId="0" applyFill="1" applyBorder="1" applyAlignment="1">
      <alignment horizontal="right"/>
    </xf>
    <xf numFmtId="0" fontId="0" fillId="3" borderId="8" xfId="0" applyFill="1" applyBorder="1" applyAlignment="1">
      <alignment horizontal="center"/>
    </xf>
    <xf numFmtId="0" fontId="0" fillId="3" borderId="19" xfId="0" applyFill="1" applyBorder="1" applyAlignment="1">
      <alignment horizontal="center"/>
    </xf>
    <xf numFmtId="0" fontId="0" fillId="3" borderId="19" xfId="0" applyFill="1" applyBorder="1" applyAlignment="1">
      <alignment horizontal="right"/>
    </xf>
    <xf numFmtId="46" fontId="36" fillId="3" borderId="9" xfId="0" applyNumberFormat="1" applyFont="1" applyFill="1" applyBorder="1" applyAlignment="1">
      <alignment vertical="top"/>
    </xf>
    <xf numFmtId="171" fontId="36" fillId="3" borderId="9" xfId="0" applyNumberFormat="1" applyFont="1" applyFill="1" applyBorder="1" applyAlignment="1">
      <alignment vertical="top"/>
    </xf>
    <xf numFmtId="164" fontId="43" fillId="0" borderId="0" xfId="0" applyNumberFormat="1" applyFont="1" applyProtection="1">
      <protection locked="0"/>
    </xf>
    <xf numFmtId="0" fontId="0" fillId="3" borderId="0" xfId="0" applyFill="1" applyAlignment="1">
      <alignment horizontal="right"/>
    </xf>
    <xf numFmtId="46" fontId="36" fillId="3" borderId="9" xfId="1" applyNumberFormat="1" applyFont="1" applyFill="1" applyBorder="1" applyAlignment="1">
      <alignment vertical="top"/>
    </xf>
    <xf numFmtId="46" fontId="36" fillId="3" borderId="0" xfId="1" applyNumberFormat="1" applyFont="1" applyFill="1" applyProtection="1"/>
    <xf numFmtId="0" fontId="0" fillId="0" borderId="28" xfId="0" applyBorder="1"/>
    <xf numFmtId="0" fontId="11" fillId="0" borderId="0" xfId="1" applyFont="1" applyProtection="1">
      <protection locked="0"/>
    </xf>
    <xf numFmtId="0" fontId="11" fillId="0" borderId="6" xfId="1" applyFont="1" applyBorder="1" applyProtection="1">
      <protection locked="0"/>
    </xf>
    <xf numFmtId="0" fontId="41" fillId="0" borderId="23" xfId="1" applyFont="1" applyBorder="1" applyProtection="1">
      <protection locked="0"/>
    </xf>
    <xf numFmtId="0" fontId="41" fillId="0" borderId="23" xfId="1" applyFont="1" applyBorder="1" applyAlignment="1" applyProtection="1">
      <protection locked="0"/>
    </xf>
    <xf numFmtId="0" fontId="41" fillId="0" borderId="23" xfId="1" applyFont="1" applyFill="1" applyBorder="1" applyProtection="1">
      <protection locked="0"/>
    </xf>
    <xf numFmtId="0" fontId="41" fillId="0" borderId="14" xfId="1" applyFont="1" applyBorder="1" applyProtection="1">
      <protection locked="0"/>
    </xf>
    <xf numFmtId="0" fontId="41" fillId="0" borderId="12" xfId="1" applyFont="1" applyBorder="1" applyProtection="1">
      <protection locked="0"/>
    </xf>
    <xf numFmtId="0" fontId="41" fillId="0" borderId="14" xfId="1" applyFont="1" applyBorder="1" applyAlignment="1" applyProtection="1">
      <protection locked="0"/>
    </xf>
    <xf numFmtId="0" fontId="41" fillId="0" borderId="14" xfId="1" applyFont="1" applyFill="1" applyBorder="1" applyProtection="1">
      <protection locked="0"/>
    </xf>
    <xf numFmtId="0" fontId="41" fillId="0" borderId="72" xfId="1" applyFont="1" applyFill="1" applyBorder="1" applyProtection="1">
      <protection locked="0"/>
    </xf>
    <xf numFmtId="0" fontId="41" fillId="0" borderId="73" xfId="1" applyFont="1" applyFill="1" applyBorder="1" applyProtection="1">
      <protection locked="0"/>
    </xf>
    <xf numFmtId="0" fontId="41" fillId="0" borderId="78" xfId="1" applyFont="1" applyFill="1" applyBorder="1" applyProtection="1">
      <protection locked="0"/>
    </xf>
    <xf numFmtId="0" fontId="12" fillId="2" borderId="95" xfId="0" applyFont="1" applyFill="1" applyBorder="1" applyAlignment="1" applyProtection="1">
      <alignment horizontal="right"/>
      <protection locked="0"/>
    </xf>
    <xf numFmtId="0" fontId="12" fillId="0" borderId="28" xfId="0" applyFont="1" applyBorder="1" applyAlignment="1" applyProtection="1">
      <alignment horizontal="right"/>
      <protection locked="0"/>
    </xf>
    <xf numFmtId="0" fontId="12" fillId="2" borderId="95" xfId="0" applyFont="1" applyFill="1" applyBorder="1" applyAlignment="1">
      <alignment horizontal="right"/>
    </xf>
    <xf numFmtId="165" fontId="4" fillId="0" borderId="0" xfId="0" applyNumberFormat="1" applyFont="1" applyAlignment="1" applyProtection="1">
      <alignment horizontal="right"/>
      <protection locked="0"/>
    </xf>
    <xf numFmtId="178" fontId="4" fillId="0" borderId="0" xfId="0" applyNumberFormat="1" applyFont="1" applyProtection="1">
      <protection locked="0"/>
    </xf>
    <xf numFmtId="0" fontId="0" fillId="0" borderId="0" xfId="1" applyFont="1" applyProtection="1"/>
    <xf numFmtId="0" fontId="12" fillId="0" borderId="65" xfId="0" applyFont="1" applyBorder="1"/>
    <xf numFmtId="0" fontId="12" fillId="0" borderId="96" xfId="0" applyFont="1" applyBorder="1"/>
    <xf numFmtId="0" fontId="12" fillId="0" borderId="97" xfId="0" applyFont="1" applyBorder="1"/>
    <xf numFmtId="0" fontId="2" fillId="2" borderId="43" xfId="0" applyFont="1" applyFill="1" applyBorder="1"/>
    <xf numFmtId="0" fontId="2" fillId="2" borderId="42" xfId="0" applyFont="1" applyFill="1" applyBorder="1"/>
    <xf numFmtId="0" fontId="0" fillId="0" borderId="13" xfId="0" applyBorder="1"/>
    <xf numFmtId="0" fontId="2" fillId="2" borderId="44" xfId="0" applyFont="1" applyFill="1" applyBorder="1"/>
    <xf numFmtId="0" fontId="0" fillId="0" borderId="23" xfId="0" applyBorder="1"/>
    <xf numFmtId="0" fontId="47" fillId="0" borderId="14" xfId="1" applyFont="1" applyFill="1" applyBorder="1" applyAlignment="1"/>
    <xf numFmtId="0" fontId="0" fillId="2" borderId="0" xfId="0" applyFill="1"/>
    <xf numFmtId="0" fontId="0" fillId="2" borderId="0" xfId="0" applyFill="1" applyAlignment="1">
      <alignment horizontal="right"/>
    </xf>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12" fillId="0" borderId="0" xfId="0" applyFont="1"/>
    <xf numFmtId="0" fontId="12" fillId="0" borderId="40" xfId="0" applyFont="1" applyBorder="1"/>
    <xf numFmtId="0" fontId="12" fillId="0" borderId="28" xfId="0" applyFont="1" applyBorder="1"/>
    <xf numFmtId="0" fontId="12" fillId="0" borderId="7" xfId="0" applyFont="1" applyBorder="1"/>
    <xf numFmtId="0" fontId="12" fillId="0" borderId="9" xfId="0" applyFont="1" applyBorder="1"/>
    <xf numFmtId="0" fontId="12" fillId="0" borderId="41" xfId="0" applyFont="1" applyBorder="1"/>
    <xf numFmtId="0" fontId="12" fillId="0" borderId="47" xfId="0" applyFont="1" applyBorder="1"/>
    <xf numFmtId="0" fontId="12" fillId="0" borderId="6" xfId="0" applyFont="1" applyBorder="1"/>
    <xf numFmtId="0" fontId="12" fillId="0" borderId="94" xfId="0" applyFont="1" applyBorder="1"/>
    <xf numFmtId="0" fontId="12" fillId="0" borderId="8" xfId="0" applyFont="1" applyBorder="1"/>
    <xf numFmtId="0" fontId="13" fillId="2" borderId="11" xfId="0" applyFont="1" applyFill="1" applyBorder="1" applyAlignment="1" applyProtection="1">
      <alignment horizontal="center"/>
      <protection locked="0"/>
    </xf>
    <xf numFmtId="46" fontId="4" fillId="2" borderId="0" xfId="0" applyNumberFormat="1" applyFont="1" applyFill="1" applyProtection="1">
      <protection locked="0"/>
    </xf>
    <xf numFmtId="166" fontId="0" fillId="0" borderId="0" xfId="0" applyNumberFormat="1" applyProtection="1">
      <protection locked="0"/>
    </xf>
    <xf numFmtId="0" fontId="0" fillId="3" borderId="3" xfId="0" applyFill="1" applyBorder="1" applyAlignment="1">
      <alignment horizontal="left" indent="6"/>
    </xf>
    <xf numFmtId="0" fontId="0" fillId="2" borderId="0" xfId="0" applyFill="1" applyAlignment="1">
      <alignment horizontal="right" indent="4"/>
    </xf>
    <xf numFmtId="164" fontId="66" fillId="0" borderId="0" xfId="0" applyNumberFormat="1" applyFont="1" applyAlignment="1">
      <alignment horizontal="right" indent="4"/>
    </xf>
    <xf numFmtId="165" fontId="12" fillId="0" borderId="0" xfId="0" applyNumberFormat="1" applyFont="1"/>
    <xf numFmtId="46" fontId="66" fillId="0" borderId="0" xfId="0" applyNumberFormat="1" applyFont="1"/>
    <xf numFmtId="164" fontId="12" fillId="0" borderId="0" xfId="0" applyNumberFormat="1" applyFont="1" applyAlignment="1" applyProtection="1">
      <alignment horizontal="right" indent="4"/>
      <protection locked="0"/>
    </xf>
    <xf numFmtId="165" fontId="12" fillId="0" borderId="0" xfId="0" applyNumberFormat="1" applyFont="1" applyProtection="1">
      <protection locked="0"/>
    </xf>
    <xf numFmtId="46" fontId="12" fillId="0" borderId="0" xfId="0" applyNumberFormat="1" applyFont="1" applyProtection="1">
      <protection locked="0"/>
    </xf>
    <xf numFmtId="165" fontId="12" fillId="0" borderId="0" xfId="0" applyNumberFormat="1" applyFont="1" applyAlignment="1" applyProtection="1">
      <alignment horizontal="right"/>
      <protection locked="0"/>
    </xf>
    <xf numFmtId="164" fontId="12" fillId="0" borderId="0" xfId="0" applyNumberFormat="1" applyFont="1" applyAlignment="1">
      <alignment horizontal="right" indent="4"/>
    </xf>
    <xf numFmtId="46" fontId="12" fillId="0" borderId="0" xfId="0" applyNumberFormat="1" applyFont="1"/>
    <xf numFmtId="164" fontId="31" fillId="0" borderId="0" xfId="1" applyNumberFormat="1" applyFont="1" applyBorder="1" applyAlignment="1" applyProtection="1">
      <alignment horizontal="right" indent="4"/>
      <protection locked="0"/>
    </xf>
    <xf numFmtId="46" fontId="31" fillId="0" borderId="0" xfId="1" applyNumberFormat="1" applyFont="1" applyBorder="1" applyProtection="1">
      <protection locked="0"/>
    </xf>
    <xf numFmtId="164" fontId="66" fillId="0" borderId="0" xfId="0" applyNumberFormat="1" applyFont="1" applyAlignment="1" applyProtection="1">
      <alignment horizontal="right" indent="4"/>
      <protection locked="0"/>
    </xf>
    <xf numFmtId="46" fontId="66" fillId="0" borderId="0" xfId="0" applyNumberFormat="1" applyFont="1" applyProtection="1">
      <protection locked="0"/>
    </xf>
    <xf numFmtId="165" fontId="12" fillId="0" borderId="0" xfId="0" applyNumberFormat="1" applyFont="1" applyAlignment="1">
      <alignment horizontal="right"/>
    </xf>
    <xf numFmtId="164" fontId="31" fillId="0" borderId="0" xfId="0" applyNumberFormat="1" applyFont="1" applyAlignment="1" applyProtection="1">
      <alignment horizontal="right" indent="4"/>
      <protection locked="0"/>
    </xf>
    <xf numFmtId="165" fontId="31" fillId="0" borderId="0" xfId="0" applyNumberFormat="1" applyFont="1" applyProtection="1">
      <protection locked="0"/>
    </xf>
    <xf numFmtId="46" fontId="31" fillId="0" borderId="0" xfId="0" applyNumberFormat="1" applyFont="1" applyProtection="1">
      <protection locked="0"/>
    </xf>
    <xf numFmtId="46" fontId="12" fillId="0" borderId="0" xfId="0" quotePrefix="1" applyNumberFormat="1" applyFont="1" applyAlignment="1" applyProtection="1">
      <alignment horizontal="right"/>
      <protection locked="0"/>
    </xf>
    <xf numFmtId="165" fontId="31" fillId="0" borderId="0" xfId="0" applyNumberFormat="1" applyFont="1" applyAlignment="1" applyProtection="1">
      <alignment horizontal="right"/>
      <protection locked="0"/>
    </xf>
    <xf numFmtId="0" fontId="12" fillId="0" borderId="0" xfId="0" applyFont="1" applyAlignment="1">
      <alignment horizontal="right" indent="4"/>
    </xf>
    <xf numFmtId="46" fontId="12" fillId="0" borderId="0" xfId="0" applyNumberFormat="1" applyFont="1" applyAlignment="1">
      <alignment horizontal="right"/>
    </xf>
    <xf numFmtId="164" fontId="67" fillId="0" borderId="0" xfId="0" applyNumberFormat="1" applyFont="1" applyProtection="1">
      <protection locked="0"/>
    </xf>
    <xf numFmtId="46" fontId="67" fillId="0" borderId="5" xfId="0" applyNumberFormat="1" applyFont="1" applyBorder="1" applyProtection="1">
      <protection locked="0"/>
    </xf>
    <xf numFmtId="193" fontId="8" fillId="3" borderId="0" xfId="0" applyNumberFormat="1" applyFont="1" applyFill="1" applyAlignment="1">
      <alignment horizontal="left" vertical="top" indent="14"/>
    </xf>
    <xf numFmtId="0" fontId="0" fillId="0" borderId="98" xfId="0" applyBorder="1" applyProtection="1">
      <protection locked="0"/>
    </xf>
    <xf numFmtId="165" fontId="0" fillId="0" borderId="77" xfId="0" applyNumberFormat="1" applyBorder="1" applyAlignment="1" applyProtection="1">
      <alignment horizontal="right"/>
      <protection locked="0"/>
    </xf>
    <xf numFmtId="189" fontId="8" fillId="0" borderId="77" xfId="0" applyNumberFormat="1" applyFont="1" applyBorder="1" applyProtection="1">
      <protection locked="0"/>
    </xf>
    <xf numFmtId="0" fontId="0" fillId="0" borderId="77" xfId="0" applyBorder="1" applyAlignment="1" applyProtection="1">
      <alignment horizontal="center"/>
      <protection locked="0"/>
    </xf>
    <xf numFmtId="0" fontId="0" fillId="0" borderId="99" xfId="0" applyBorder="1" applyAlignment="1" applyProtection="1">
      <alignment horizontal="center"/>
      <protection locked="0"/>
    </xf>
    <xf numFmtId="0" fontId="0" fillId="0" borderId="100" xfId="0" applyBorder="1" applyProtection="1">
      <protection locked="0"/>
    </xf>
    <xf numFmtId="165" fontId="0" fillId="0" borderId="74" xfId="0" applyNumberFormat="1" applyBorder="1" applyAlignment="1" applyProtection="1">
      <alignment horizontal="right"/>
      <protection locked="0"/>
    </xf>
    <xf numFmtId="189" fontId="8" fillId="0" borderId="74" xfId="0" applyNumberFormat="1" applyFont="1" applyBorder="1" applyProtection="1">
      <protection locked="0"/>
    </xf>
    <xf numFmtId="0" fontId="0" fillId="0" borderId="74" xfId="0" applyBorder="1" applyAlignment="1" applyProtection="1">
      <alignment horizontal="center"/>
      <protection locked="0"/>
    </xf>
    <xf numFmtId="0" fontId="0" fillId="0" borderId="78" xfId="0" applyBorder="1" applyAlignment="1" applyProtection="1">
      <alignment horizontal="center"/>
      <protection locked="0"/>
    </xf>
    <xf numFmtId="0" fontId="0" fillId="0" borderId="101" xfId="0" applyBorder="1" applyProtection="1">
      <protection locked="0"/>
    </xf>
    <xf numFmtId="165" fontId="0" fillId="0" borderId="102" xfId="0" applyNumberFormat="1" applyBorder="1" applyAlignment="1" applyProtection="1">
      <alignment horizontal="right"/>
      <protection locked="0"/>
    </xf>
    <xf numFmtId="189" fontId="8" fillId="0" borderId="102" xfId="0" applyNumberFormat="1" applyFont="1" applyBorder="1" applyProtection="1">
      <protection locked="0"/>
    </xf>
    <xf numFmtId="0" fontId="0" fillId="0" borderId="102" xfId="0" applyBorder="1" applyAlignment="1" applyProtection="1">
      <alignment horizontal="center"/>
      <protection locked="0"/>
    </xf>
    <xf numFmtId="0" fontId="0" fillId="0" borderId="103" xfId="0" applyBorder="1" applyAlignment="1" applyProtection="1">
      <alignment horizontal="center"/>
      <protection locked="0"/>
    </xf>
    <xf numFmtId="0" fontId="0" fillId="0" borderId="100" xfId="0" applyBorder="1" applyAlignment="1" applyProtection="1">
      <alignment horizontal="right"/>
      <protection locked="0"/>
    </xf>
    <xf numFmtId="0" fontId="0" fillId="0" borderId="104" xfId="0" applyBorder="1" applyProtection="1">
      <protection locked="0"/>
    </xf>
    <xf numFmtId="165" fontId="0" fillId="0" borderId="65" xfId="0" applyNumberFormat="1" applyBorder="1" applyAlignment="1" applyProtection="1">
      <alignment horizontal="right"/>
      <protection locked="0"/>
    </xf>
    <xf numFmtId="189" fontId="8" fillId="0" borderId="65" xfId="0" applyNumberFormat="1" applyFont="1" applyBorder="1" applyProtection="1">
      <protection locked="0"/>
    </xf>
    <xf numFmtId="0" fontId="0" fillId="0" borderId="65" xfId="0" applyBorder="1" applyAlignment="1" applyProtection="1">
      <alignment horizontal="center"/>
      <protection locked="0"/>
    </xf>
    <xf numFmtId="0" fontId="0" fillId="0" borderId="82" xfId="0" applyBorder="1" applyAlignment="1" applyProtection="1">
      <alignment horizontal="center"/>
      <protection locked="0"/>
    </xf>
    <xf numFmtId="0" fontId="39" fillId="0" borderId="0" xfId="1" applyFont="1" applyFill="1"/>
    <xf numFmtId="178" fontId="67" fillId="0" borderId="0" xfId="0" applyNumberFormat="1" applyFont="1" applyProtection="1">
      <protection locked="0"/>
    </xf>
    <xf numFmtId="46" fontId="20" fillId="0" borderId="0" xfId="0" applyNumberFormat="1" applyFont="1" applyProtection="1">
      <protection locked="0"/>
    </xf>
    <xf numFmtId="0" fontId="0" fillId="0" borderId="22" xfId="0" applyBorder="1" applyAlignment="1" applyProtection="1">
      <alignment horizontal="right"/>
      <protection locked="0"/>
    </xf>
    <xf numFmtId="0" fontId="39" fillId="0" borderId="0" xfId="1" applyFont="1"/>
    <xf numFmtId="0" fontId="11" fillId="0" borderId="0" xfId="1" applyFont="1" applyFill="1" applyBorder="1" applyProtection="1">
      <protection locked="0"/>
    </xf>
    <xf numFmtId="0" fontId="0" fillId="17" borderId="3" xfId="0" applyFill="1" applyBorder="1" applyProtection="1">
      <protection locked="0"/>
    </xf>
    <xf numFmtId="0" fontId="0" fillId="17" borderId="0" xfId="0" applyFill="1" applyProtection="1">
      <protection locked="0"/>
    </xf>
    <xf numFmtId="165" fontId="0" fillId="17" borderId="0" xfId="0" applyNumberFormat="1" applyFill="1" applyProtection="1">
      <protection locked="0"/>
    </xf>
    <xf numFmtId="46" fontId="0" fillId="17" borderId="5" xfId="0" applyNumberFormat="1" applyFill="1" applyBorder="1" applyProtection="1">
      <protection locked="0"/>
    </xf>
    <xf numFmtId="165" fontId="0" fillId="17" borderId="0" xfId="0" applyNumberFormat="1" applyFill="1" applyAlignment="1" applyProtection="1">
      <alignment horizontal="right"/>
      <protection locked="0"/>
    </xf>
    <xf numFmtId="0" fontId="0" fillId="18" borderId="3" xfId="0" applyFill="1" applyBorder="1" applyProtection="1">
      <protection locked="0"/>
    </xf>
    <xf numFmtId="0" fontId="0" fillId="18" borderId="0" xfId="0" applyFill="1" applyProtection="1">
      <protection locked="0"/>
    </xf>
    <xf numFmtId="165" fontId="0" fillId="18" borderId="0" xfId="0" applyNumberFormat="1" applyFill="1" applyAlignment="1" applyProtection="1">
      <alignment horizontal="right"/>
      <protection locked="0"/>
    </xf>
    <xf numFmtId="46" fontId="0" fillId="18" borderId="5" xfId="0" applyNumberFormat="1" applyFill="1" applyBorder="1" applyProtection="1">
      <protection locked="0"/>
    </xf>
    <xf numFmtId="165" fontId="0" fillId="18" borderId="0" xfId="0" applyNumberFormat="1" applyFill="1" applyProtection="1">
      <protection locked="0"/>
    </xf>
    <xf numFmtId="178" fontId="0" fillId="17" borderId="0" xfId="0" applyNumberFormat="1" applyFill="1" applyProtection="1">
      <protection locked="0"/>
    </xf>
    <xf numFmtId="178" fontId="0" fillId="18" borderId="0" xfId="0" applyNumberFormat="1" applyFill="1" applyProtection="1">
      <protection locked="0"/>
    </xf>
    <xf numFmtId="0" fontId="68" fillId="0" borderId="0" xfId="0" applyFont="1"/>
    <xf numFmtId="165" fontId="68" fillId="0" borderId="0" xfId="0" applyNumberFormat="1" applyFont="1"/>
    <xf numFmtId="46" fontId="68" fillId="0" borderId="0" xfId="0" applyNumberFormat="1" applyFont="1"/>
    <xf numFmtId="164" fontId="7" fillId="0" borderId="0" xfId="0" applyNumberFormat="1" applyFont="1" applyProtection="1">
      <protection locked="0"/>
    </xf>
    <xf numFmtId="164" fontId="7" fillId="0" borderId="6" xfId="0" applyNumberFormat="1" applyFont="1" applyBorder="1" applyProtection="1">
      <protection locked="0"/>
    </xf>
    <xf numFmtId="0" fontId="12" fillId="0" borderId="0" xfId="0" applyFont="1" applyProtection="1">
      <protection locked="0"/>
    </xf>
    <xf numFmtId="192" fontId="0" fillId="0" borderId="0" xfId="0" applyNumberFormat="1" applyAlignment="1" applyProtection="1">
      <alignment horizontal="right"/>
      <protection hidden="1"/>
    </xf>
    <xf numFmtId="191" fontId="0" fillId="0" borderId="0" xfId="0" applyNumberFormat="1" applyAlignment="1" applyProtection="1">
      <alignment horizontal="right"/>
      <protection hidden="1"/>
    </xf>
    <xf numFmtId="0" fontId="0" fillId="0" borderId="85" xfId="0" applyBorder="1" applyProtection="1">
      <protection locked="0"/>
    </xf>
    <xf numFmtId="0" fontId="0" fillId="0" borderId="16" xfId="0" applyBorder="1" applyProtection="1">
      <protection locked="0"/>
    </xf>
    <xf numFmtId="46" fontId="43" fillId="0" borderId="0" xfId="0" applyNumberFormat="1" applyFont="1" applyProtection="1">
      <protection locked="0"/>
    </xf>
    <xf numFmtId="0" fontId="19" fillId="0" borderId="0" xfId="1" applyFont="1" applyBorder="1" applyProtection="1">
      <protection locked="0"/>
    </xf>
    <xf numFmtId="0" fontId="70" fillId="0" borderId="0" xfId="0" applyFont="1" applyProtection="1">
      <protection locked="0"/>
    </xf>
    <xf numFmtId="165" fontId="70" fillId="0" borderId="0" xfId="0" applyNumberFormat="1" applyFont="1" applyProtection="1">
      <protection locked="0"/>
    </xf>
    <xf numFmtId="46" fontId="70" fillId="0" borderId="5" xfId="0" applyNumberFormat="1" applyFont="1" applyBorder="1" applyProtection="1">
      <protection locked="0"/>
    </xf>
    <xf numFmtId="164" fontId="49" fillId="3" borderId="0" xfId="1" applyNumberFormat="1" applyFont="1" applyFill="1" applyAlignment="1">
      <alignment horizontal="fill"/>
    </xf>
    <xf numFmtId="178" fontId="71" fillId="0" borderId="0" xfId="0" applyNumberFormat="1" applyFont="1" applyProtection="1">
      <protection locked="0"/>
    </xf>
    <xf numFmtId="46" fontId="71" fillId="0" borderId="5" xfId="0" applyNumberFormat="1" applyFont="1" applyBorder="1" applyProtection="1">
      <protection locked="0"/>
    </xf>
    <xf numFmtId="0" fontId="4" fillId="0" borderId="13" xfId="0" applyFont="1" applyBorder="1"/>
    <xf numFmtId="0" fontId="41" fillId="0" borderId="23" xfId="1" applyFont="1" applyFill="1" applyBorder="1"/>
    <xf numFmtId="14" fontId="0" fillId="0" borderId="23" xfId="0" applyNumberFormat="1" applyBorder="1"/>
    <xf numFmtId="0" fontId="12" fillId="2" borderId="15" xfId="0" applyFont="1" applyFill="1" applyBorder="1" applyAlignment="1" applyProtection="1">
      <alignment horizontal="right"/>
      <protection locked="0"/>
    </xf>
    <xf numFmtId="0" fontId="12" fillId="3" borderId="16" xfId="0" applyFont="1" applyFill="1" applyBorder="1"/>
    <xf numFmtId="0" fontId="12" fillId="2" borderId="30" xfId="0" applyFont="1" applyFill="1" applyBorder="1" applyAlignment="1">
      <alignment horizontal="right"/>
    </xf>
    <xf numFmtId="0" fontId="0" fillId="0" borderId="105" xfId="0" applyBorder="1" applyProtection="1">
      <protection locked="0"/>
    </xf>
    <xf numFmtId="46" fontId="0" fillId="0" borderId="106" xfId="0" applyNumberFormat="1" applyBorder="1" applyAlignment="1" applyProtection="1">
      <alignment horizontal="right"/>
      <protection locked="0"/>
    </xf>
    <xf numFmtId="167" fontId="0" fillId="0" borderId="107" xfId="0" applyNumberFormat="1" applyBorder="1" applyAlignment="1" applyProtection="1">
      <alignment horizontal="right"/>
      <protection locked="0"/>
    </xf>
    <xf numFmtId="0" fontId="0" fillId="0" borderId="45" xfId="0" applyBorder="1" applyProtection="1">
      <protection locked="0"/>
    </xf>
    <xf numFmtId="46" fontId="0" fillId="0" borderId="46" xfId="0" applyNumberFormat="1" applyBorder="1" applyAlignment="1" applyProtection="1">
      <alignment horizontal="right"/>
      <protection locked="0"/>
    </xf>
    <xf numFmtId="167" fontId="0" fillId="0" borderId="48" xfId="0" applyNumberFormat="1" applyBorder="1" applyAlignment="1" applyProtection="1">
      <alignment horizontal="right"/>
      <protection locked="0"/>
    </xf>
    <xf numFmtId="164" fontId="49" fillId="0" borderId="0" xfId="1" applyNumberFormat="1" applyFont="1"/>
    <xf numFmtId="0" fontId="0" fillId="0" borderId="41" xfId="0" applyBorder="1"/>
    <xf numFmtId="164" fontId="71" fillId="0" borderId="0" xfId="0" applyNumberFormat="1" applyFont="1" applyProtection="1">
      <protection locked="0"/>
    </xf>
    <xf numFmtId="165" fontId="41" fillId="0" borderId="0" xfId="0" quotePrefix="1" applyNumberFormat="1" applyFont="1" applyAlignment="1">
      <alignment horizontal="right"/>
    </xf>
    <xf numFmtId="165" fontId="4" fillId="0" borderId="0" xfId="0" applyNumberFormat="1" applyFont="1"/>
    <xf numFmtId="164" fontId="4" fillId="0" borderId="0" xfId="0" applyNumberFormat="1" applyFont="1"/>
    <xf numFmtId="165" fontId="41" fillId="0" borderId="0" xfId="0" applyNumberFormat="1" applyFont="1"/>
    <xf numFmtId="164" fontId="41" fillId="0" borderId="0" xfId="0" applyNumberFormat="1" applyFont="1"/>
    <xf numFmtId="0" fontId="32" fillId="23" borderId="0" xfId="0" applyFont="1" applyFill="1"/>
    <xf numFmtId="10" fontId="32" fillId="23" borderId="0" xfId="0" applyNumberFormat="1" applyFont="1" applyFill="1"/>
    <xf numFmtId="0" fontId="32" fillId="24" borderId="0" xfId="0" applyFont="1" applyFill="1"/>
    <xf numFmtId="10" fontId="32" fillId="24" borderId="0" xfId="0" applyNumberFormat="1" applyFont="1" applyFill="1"/>
    <xf numFmtId="0" fontId="32" fillId="26" borderId="0" xfId="0" applyFont="1" applyFill="1"/>
    <xf numFmtId="10" fontId="32" fillId="26" borderId="0" xfId="0" applyNumberFormat="1" applyFont="1" applyFill="1"/>
    <xf numFmtId="0" fontId="32" fillId="27" borderId="0" xfId="0" applyFont="1" applyFill="1"/>
    <xf numFmtId="10" fontId="32" fillId="27" borderId="0" xfId="0" applyNumberFormat="1" applyFont="1" applyFill="1"/>
    <xf numFmtId="0" fontId="32" fillId="22" borderId="108" xfId="0" applyFont="1" applyFill="1" applyBorder="1"/>
    <xf numFmtId="10" fontId="32" fillId="22" borderId="108" xfId="0" applyNumberFormat="1" applyFont="1" applyFill="1" applyBorder="1"/>
    <xf numFmtId="0" fontId="32" fillId="25" borderId="108" xfId="0" applyFont="1" applyFill="1" applyBorder="1"/>
    <xf numFmtId="10" fontId="32" fillId="25" borderId="108" xfId="0" applyNumberFormat="1" applyFont="1" applyFill="1" applyBorder="1"/>
    <xf numFmtId="0" fontId="72" fillId="19" borderId="81" xfId="0" applyFont="1" applyFill="1" applyBorder="1"/>
    <xf numFmtId="10" fontId="72" fillId="19" borderId="81" xfId="0" applyNumberFormat="1" applyFont="1" applyFill="1" applyBorder="1"/>
    <xf numFmtId="0" fontId="72" fillId="20" borderId="0" xfId="0" applyFont="1" applyFill="1"/>
    <xf numFmtId="10" fontId="72" fillId="20" borderId="0" xfId="0" applyNumberFormat="1" applyFont="1" applyFill="1"/>
    <xf numFmtId="0" fontId="72" fillId="21" borderId="0" xfId="0" applyFont="1" applyFill="1"/>
    <xf numFmtId="10" fontId="72" fillId="21" borderId="0" xfId="0" applyNumberFormat="1" applyFont="1" applyFill="1"/>
    <xf numFmtId="14" fontId="12" fillId="0" borderId="23" xfId="0" applyNumberFormat="1" applyFont="1" applyBorder="1" applyAlignment="1" applyProtection="1">
      <alignment horizontal="center"/>
      <protection locked="0"/>
    </xf>
    <xf numFmtId="14" fontId="12" fillId="0" borderId="23" xfId="0" applyNumberFormat="1" applyFont="1" applyBorder="1" applyAlignment="1">
      <alignment horizontal="center"/>
    </xf>
    <xf numFmtId="14" fontId="68" fillId="0" borderId="23" xfId="0" applyNumberFormat="1" applyFont="1" applyBorder="1" applyAlignment="1">
      <alignment horizontal="center"/>
    </xf>
    <xf numFmtId="0" fontId="12" fillId="0" borderId="23" xfId="0" applyFont="1" applyBorder="1" applyAlignment="1">
      <alignment horizontal="center"/>
    </xf>
    <xf numFmtId="0" fontId="12" fillId="2" borderId="9" xfId="0" applyFont="1" applyFill="1" applyBorder="1"/>
    <xf numFmtId="165" fontId="12" fillId="2" borderId="9" xfId="0" applyNumberFormat="1" applyFont="1" applyFill="1" applyBorder="1" applyAlignment="1" applyProtection="1">
      <alignment horizontal="center"/>
      <protection locked="0"/>
    </xf>
    <xf numFmtId="0" fontId="12" fillId="2" borderId="9" xfId="0" applyFont="1" applyFill="1" applyBorder="1" applyAlignment="1">
      <alignment horizontal="center"/>
    </xf>
    <xf numFmtId="0" fontId="12" fillId="2" borderId="8" xfId="0" applyFont="1" applyFill="1" applyBorder="1" applyAlignment="1">
      <alignment horizontal="center"/>
    </xf>
    <xf numFmtId="46" fontId="12" fillId="0" borderId="14" xfId="0" applyNumberFormat="1" applyFont="1" applyBorder="1" applyAlignment="1">
      <alignment horizontal="center"/>
    </xf>
    <xf numFmtId="14" fontId="12" fillId="0" borderId="46" xfId="0" applyNumberFormat="1" applyFont="1" applyBorder="1" applyAlignment="1">
      <alignment horizontal="center"/>
    </xf>
    <xf numFmtId="0" fontId="0" fillId="0" borderId="22" xfId="0" applyBorder="1" applyAlignment="1">
      <alignment horizontal="center"/>
    </xf>
    <xf numFmtId="0" fontId="0" fillId="0" borderId="109" xfId="0" applyBorder="1" applyAlignment="1">
      <alignment horizontal="center"/>
    </xf>
    <xf numFmtId="0" fontId="12" fillId="2" borderId="1" xfId="0" applyFont="1" applyFill="1" applyBorder="1"/>
    <xf numFmtId="0" fontId="0" fillId="0" borderId="58" xfId="0" applyBorder="1" applyAlignment="1">
      <alignment horizontal="center"/>
    </xf>
    <xf numFmtId="0" fontId="0" fillId="0" borderId="57" xfId="0" applyBorder="1" applyAlignment="1">
      <alignment horizontal="center"/>
    </xf>
    <xf numFmtId="164" fontId="12" fillId="2" borderId="8" xfId="0" applyNumberFormat="1" applyFont="1" applyFill="1" applyBorder="1" applyProtection="1">
      <protection locked="0"/>
    </xf>
    <xf numFmtId="164" fontId="12" fillId="0" borderId="14" xfId="0" applyNumberFormat="1" applyFont="1" applyBorder="1" applyProtection="1">
      <protection locked="0"/>
    </xf>
    <xf numFmtId="164" fontId="31" fillId="0" borderId="14" xfId="1" applyNumberFormat="1" applyFont="1" applyBorder="1" applyAlignment="1" applyProtection="1">
      <protection locked="0"/>
    </xf>
    <xf numFmtId="164" fontId="12" fillId="0" borderId="14" xfId="0" applyNumberFormat="1" applyFont="1" applyBorder="1"/>
    <xf numFmtId="164" fontId="12" fillId="0" borderId="48" xfId="0" applyNumberFormat="1" applyFont="1" applyBorder="1" applyProtection="1">
      <protection locked="0"/>
    </xf>
    <xf numFmtId="46" fontId="12" fillId="2" borderId="41" xfId="0" applyNumberFormat="1" applyFont="1" applyFill="1" applyBorder="1" applyAlignment="1" applyProtection="1">
      <alignment horizontal="center"/>
      <protection locked="0"/>
    </xf>
    <xf numFmtId="46" fontId="31" fillId="0" borderId="38" xfId="1" applyNumberFormat="1" applyFont="1" applyBorder="1" applyAlignment="1" applyProtection="1">
      <alignment horizontal="center"/>
      <protection locked="0"/>
    </xf>
    <xf numFmtId="46" fontId="12" fillId="0" borderId="38" xfId="0" applyNumberFormat="1" applyFont="1" applyBorder="1" applyAlignment="1">
      <alignment horizontal="center"/>
    </xf>
    <xf numFmtId="46" fontId="12" fillId="0" borderId="110" xfId="0" applyNumberFormat="1" applyFont="1" applyBorder="1" applyAlignment="1" applyProtection="1">
      <alignment horizontal="center"/>
      <protection locked="0"/>
    </xf>
    <xf numFmtId="0" fontId="12" fillId="2" borderId="41" xfId="0" applyFont="1" applyFill="1" applyBorder="1" applyAlignment="1">
      <alignment horizontal="center"/>
    </xf>
    <xf numFmtId="46" fontId="12" fillId="0" borderId="110" xfId="0" applyNumberFormat="1" applyFont="1" applyBorder="1" applyAlignment="1">
      <alignment horizontal="center"/>
    </xf>
    <xf numFmtId="0" fontId="12" fillId="0" borderId="22" xfId="0" applyFont="1" applyBorder="1" applyAlignment="1">
      <alignment horizontal="right"/>
    </xf>
    <xf numFmtId="0" fontId="12" fillId="0" borderId="109" xfId="0" applyFont="1" applyBorder="1" applyAlignment="1">
      <alignment horizontal="right"/>
    </xf>
    <xf numFmtId="0" fontId="68" fillId="0" borderId="22" xfId="0" applyFont="1" applyBorder="1" applyAlignment="1">
      <alignment horizontal="right"/>
    </xf>
    <xf numFmtId="14" fontId="13" fillId="0" borderId="6" xfId="0" applyNumberFormat="1" applyFont="1" applyBorder="1"/>
    <xf numFmtId="0" fontId="0" fillId="0" borderId="6" xfId="0" applyBorder="1" applyAlignment="1">
      <alignment horizontal="right" indent="7"/>
    </xf>
    <xf numFmtId="0" fontId="12" fillId="0" borderId="4" xfId="0" applyFont="1" applyBorder="1"/>
    <xf numFmtId="0" fontId="12" fillId="0" borderId="111" xfId="0" applyFont="1" applyBorder="1"/>
    <xf numFmtId="0" fontId="0" fillId="0" borderId="0" xfId="1" applyFont="1" applyAlignment="1" applyProtection="1">
      <alignment wrapText="1"/>
    </xf>
    <xf numFmtId="0" fontId="49" fillId="3" borderId="0" xfId="1" applyFont="1" applyFill="1" applyAlignment="1">
      <alignment horizontal="fill"/>
    </xf>
    <xf numFmtId="14" fontId="0" fillId="0" borderId="0" xfId="0" applyNumberFormat="1" applyProtection="1">
      <protection locked="0"/>
    </xf>
    <xf numFmtId="14" fontId="43" fillId="0" borderId="0" xfId="0" applyNumberFormat="1" applyFont="1" applyProtection="1">
      <protection locked="0"/>
    </xf>
    <xf numFmtId="14" fontId="20" fillId="0" borderId="0" xfId="0" applyNumberFormat="1" applyFont="1" applyProtection="1">
      <protection locked="0"/>
    </xf>
    <xf numFmtId="165" fontId="0" fillId="0" borderId="0" xfId="0" quotePrefix="1" applyNumberFormat="1" applyAlignment="1" applyProtection="1">
      <alignment horizontal="right"/>
      <protection locked="0"/>
    </xf>
    <xf numFmtId="46" fontId="8" fillId="3" borderId="5" xfId="0" applyNumberFormat="1" applyFont="1" applyFill="1" applyBorder="1"/>
    <xf numFmtId="0" fontId="38" fillId="3" borderId="7" xfId="0" applyFont="1" applyFill="1" applyBorder="1"/>
    <xf numFmtId="0" fontId="73" fillId="3" borderId="0" xfId="0" applyFont="1" applyFill="1" applyAlignment="1">
      <alignment horizontal="left" vertical="top" indent="1"/>
    </xf>
    <xf numFmtId="0" fontId="12" fillId="3" borderId="60" xfId="0" applyFont="1" applyFill="1" applyBorder="1"/>
    <xf numFmtId="0" fontId="20" fillId="0" borderId="6" xfId="1" applyFont="1" applyBorder="1" applyProtection="1">
      <protection locked="0"/>
    </xf>
    <xf numFmtId="49" fontId="20" fillId="0" borderId="6" xfId="0" applyNumberFormat="1" applyFont="1" applyBorder="1" applyAlignment="1" applyProtection="1">
      <alignment horizontal="right"/>
      <protection locked="0"/>
    </xf>
    <xf numFmtId="164" fontId="20" fillId="0" borderId="6" xfId="0" applyNumberFormat="1" applyFont="1" applyBorder="1" applyProtection="1">
      <protection locked="0"/>
    </xf>
    <xf numFmtId="0" fontId="11" fillId="0" borderId="0" xfId="1" applyFont="1"/>
    <xf numFmtId="46" fontId="0" fillId="0" borderId="6" xfId="0" applyNumberFormat="1" applyBorder="1" applyProtection="1">
      <protection locked="0"/>
    </xf>
    <xf numFmtId="0" fontId="74" fillId="0" borderId="6" xfId="1" applyFont="1" applyBorder="1" applyProtection="1">
      <protection locked="0"/>
    </xf>
    <xf numFmtId="14" fontId="29" fillId="0" borderId="23" xfId="0" applyNumberFormat="1" applyFont="1" applyBorder="1" applyAlignment="1">
      <alignment horizontal="center"/>
    </xf>
    <xf numFmtId="46" fontId="29" fillId="0" borderId="38" xfId="0" applyNumberFormat="1" applyFont="1" applyBorder="1" applyAlignment="1">
      <alignment horizontal="center"/>
    </xf>
    <xf numFmtId="0" fontId="0" fillId="0" borderId="113" xfId="0" applyBorder="1" applyAlignment="1">
      <alignment horizontal="center"/>
    </xf>
    <xf numFmtId="0" fontId="0" fillId="0" borderId="104" xfId="0" applyBorder="1" applyAlignment="1">
      <alignment horizontal="center"/>
    </xf>
    <xf numFmtId="164" fontId="31" fillId="0" borderId="64" xfId="1" applyNumberFormat="1" applyFont="1" applyBorder="1" applyAlignment="1" applyProtection="1">
      <protection locked="0"/>
    </xf>
    <xf numFmtId="0" fontId="12" fillId="0" borderId="104" xfId="0" applyFont="1" applyBorder="1" applyAlignment="1">
      <alignment horizontal="right"/>
    </xf>
    <xf numFmtId="14" fontId="12" fillId="0" borderId="65" xfId="0" applyNumberFormat="1" applyFont="1" applyBorder="1" applyAlignment="1" applyProtection="1">
      <alignment horizontal="center"/>
      <protection locked="0"/>
    </xf>
    <xf numFmtId="46" fontId="31" fillId="0" borderId="114" xfId="1" applyNumberFormat="1" applyFont="1" applyBorder="1" applyAlignment="1" applyProtection="1">
      <alignment horizontal="center"/>
      <protection locked="0"/>
    </xf>
    <xf numFmtId="14" fontId="12" fillId="0" borderId="65" xfId="0" applyNumberFormat="1" applyFont="1" applyBorder="1" applyAlignment="1">
      <alignment horizontal="center"/>
    </xf>
    <xf numFmtId="46" fontId="12" fillId="0" borderId="114" xfId="0" applyNumberFormat="1" applyFont="1" applyBorder="1" applyAlignment="1">
      <alignment horizontal="center"/>
    </xf>
    <xf numFmtId="0" fontId="12" fillId="0" borderId="65" xfId="0" applyFont="1" applyBorder="1" applyAlignment="1">
      <alignment horizontal="center"/>
    </xf>
    <xf numFmtId="46" fontId="12" fillId="0" borderId="64" xfId="0" applyNumberFormat="1" applyFont="1" applyBorder="1" applyAlignment="1">
      <alignment horizontal="center"/>
    </xf>
    <xf numFmtId="0" fontId="0" fillId="0" borderId="112" xfId="0" applyBorder="1" applyAlignment="1">
      <alignment horizontal="center"/>
    </xf>
    <xf numFmtId="0" fontId="0" fillId="0" borderId="115" xfId="0" applyBorder="1" applyAlignment="1">
      <alignment horizontal="center"/>
    </xf>
    <xf numFmtId="164" fontId="31" fillId="0" borderId="116" xfId="1" applyNumberFormat="1" applyFont="1" applyBorder="1" applyAlignment="1" applyProtection="1">
      <protection locked="0"/>
    </xf>
    <xf numFmtId="0" fontId="12" fillId="0" borderId="115" xfId="0" applyFont="1" applyBorder="1" applyAlignment="1">
      <alignment horizontal="right"/>
    </xf>
    <xf numFmtId="14" fontId="12" fillId="0" borderId="117" xfId="0" applyNumberFormat="1" applyFont="1" applyBorder="1" applyAlignment="1" applyProtection="1">
      <alignment horizontal="center"/>
      <protection locked="0"/>
    </xf>
    <xf numFmtId="46" fontId="31" fillId="0" borderId="118" xfId="1" applyNumberFormat="1" applyFont="1" applyBorder="1" applyAlignment="1" applyProtection="1">
      <alignment horizontal="center"/>
      <protection locked="0"/>
    </xf>
    <xf numFmtId="14" fontId="12" fillId="0" borderId="117" xfId="0" applyNumberFormat="1" applyFont="1" applyBorder="1" applyAlignment="1">
      <alignment horizontal="center"/>
    </xf>
    <xf numFmtId="46" fontId="12" fillId="0" borderId="118" xfId="0" applyNumberFormat="1" applyFont="1" applyBorder="1" applyAlignment="1">
      <alignment horizontal="center"/>
    </xf>
    <xf numFmtId="14" fontId="29" fillId="0" borderId="117" xfId="0" applyNumberFormat="1" applyFont="1" applyBorder="1" applyAlignment="1">
      <alignment horizontal="center"/>
    </xf>
    <xf numFmtId="46" fontId="29" fillId="0" borderId="118" xfId="0" applyNumberFormat="1" applyFont="1" applyBorder="1" applyAlignment="1">
      <alignment horizontal="center"/>
    </xf>
    <xf numFmtId="0" fontId="12" fillId="0" borderId="117" xfId="0" applyFont="1" applyBorder="1" applyAlignment="1">
      <alignment horizontal="center"/>
    </xf>
    <xf numFmtId="46" fontId="12" fillId="0" borderId="116" xfId="0" applyNumberFormat="1" applyFont="1" applyBorder="1" applyAlignment="1">
      <alignment horizontal="center"/>
    </xf>
    <xf numFmtId="14" fontId="29" fillId="0" borderId="65" xfId="0" applyNumberFormat="1" applyFont="1" applyBorder="1" applyAlignment="1">
      <alignment horizontal="center"/>
    </xf>
    <xf numFmtId="46" fontId="29" fillId="0" borderId="114" xfId="0" applyNumberFormat="1" applyFont="1" applyBorder="1" applyAlignment="1">
      <alignment horizontal="center"/>
    </xf>
    <xf numFmtId="164" fontId="12" fillId="0" borderId="116" xfId="0" applyNumberFormat="1" applyFont="1" applyBorder="1" applyProtection="1">
      <protection locked="0"/>
    </xf>
    <xf numFmtId="46" fontId="12" fillId="0" borderId="118" xfId="0" applyNumberFormat="1" applyFont="1" applyBorder="1" applyAlignment="1" applyProtection="1">
      <alignment horizontal="center"/>
      <protection locked="0"/>
    </xf>
    <xf numFmtId="0" fontId="0" fillId="0" borderId="119" xfId="0" applyBorder="1" applyAlignment="1">
      <alignment horizontal="center"/>
    </xf>
    <xf numFmtId="0" fontId="0" fillId="0" borderId="120" xfId="0" applyBorder="1" applyAlignment="1">
      <alignment horizontal="center"/>
    </xf>
    <xf numFmtId="164" fontId="31" fillId="0" borderId="121" xfId="1" applyNumberFormat="1" applyFont="1" applyBorder="1" applyAlignment="1" applyProtection="1">
      <protection locked="0"/>
    </xf>
    <xf numFmtId="0" fontId="12" fillId="0" borderId="120" xfId="0" applyFont="1" applyBorder="1" applyAlignment="1">
      <alignment horizontal="right"/>
    </xf>
    <xf numFmtId="14" fontId="12" fillId="0" borderId="122" xfId="0" applyNumberFormat="1" applyFont="1" applyBorder="1" applyAlignment="1" applyProtection="1">
      <alignment horizontal="center"/>
      <protection locked="0"/>
    </xf>
    <xf numFmtId="46" fontId="31" fillId="0" borderId="123" xfId="1" applyNumberFormat="1" applyFont="1" applyBorder="1" applyAlignment="1" applyProtection="1">
      <alignment horizontal="center"/>
      <protection locked="0"/>
    </xf>
    <xf numFmtId="14" fontId="12" fillId="0" borderId="122" xfId="0" applyNumberFormat="1" applyFont="1" applyBorder="1" applyAlignment="1">
      <alignment horizontal="center"/>
    </xf>
    <xf numFmtId="46" fontId="12" fillId="0" borderId="123" xfId="0" applyNumberFormat="1" applyFont="1" applyBorder="1" applyAlignment="1">
      <alignment horizontal="center"/>
    </xf>
    <xf numFmtId="0" fontId="12" fillId="0" borderId="122" xfId="0" applyFont="1" applyBorder="1" applyAlignment="1">
      <alignment horizontal="center"/>
    </xf>
    <xf numFmtId="46" fontId="12" fillId="0" borderId="121" xfId="0" applyNumberFormat="1" applyFont="1" applyBorder="1" applyAlignment="1">
      <alignment horizontal="center"/>
    </xf>
    <xf numFmtId="0" fontId="12" fillId="0" borderId="124" xfId="0" applyFont="1" applyBorder="1" applyAlignment="1">
      <alignment horizontal="right"/>
    </xf>
    <xf numFmtId="0" fontId="0" fillId="0" borderId="27" xfId="0" applyBorder="1"/>
    <xf numFmtId="0" fontId="12" fillId="0" borderId="125" xfId="0" applyFont="1" applyBorder="1" applyAlignment="1">
      <alignment horizontal="right"/>
    </xf>
    <xf numFmtId="0" fontId="70" fillId="0" borderId="3" xfId="0" applyFont="1" applyBorder="1" applyProtection="1">
      <protection locked="0"/>
    </xf>
    <xf numFmtId="0" fontId="49" fillId="3" borderId="0" xfId="1" applyFont="1" applyFill="1"/>
    <xf numFmtId="0" fontId="49" fillId="0" borderId="0" xfId="1" applyFont="1"/>
    <xf numFmtId="46" fontId="6" fillId="0" borderId="2" xfId="0" applyNumberFormat="1" applyFont="1" applyBorder="1" applyProtection="1">
      <protection locked="0"/>
    </xf>
    <xf numFmtId="14" fontId="12" fillId="3" borderId="43" xfId="0" applyNumberFormat="1" applyFont="1" applyFill="1" applyBorder="1" applyAlignment="1">
      <alignment horizontal="center"/>
    </xf>
    <xf numFmtId="46" fontId="12" fillId="3" borderId="44" xfId="0" applyNumberFormat="1" applyFont="1" applyFill="1" applyBorder="1" applyAlignment="1">
      <alignment horizontal="center"/>
    </xf>
    <xf numFmtId="0" fontId="12" fillId="3" borderId="23" xfId="0" applyFont="1" applyFill="1" applyBorder="1" applyAlignment="1">
      <alignment horizontal="center"/>
    </xf>
    <xf numFmtId="46" fontId="12" fillId="3" borderId="14" xfId="0" applyNumberFormat="1" applyFont="1" applyFill="1" applyBorder="1" applyAlignment="1">
      <alignment horizontal="center"/>
    </xf>
    <xf numFmtId="0" fontId="12" fillId="3" borderId="46" xfId="0" applyFont="1" applyFill="1" applyBorder="1" applyAlignment="1">
      <alignment horizontal="center"/>
    </xf>
    <xf numFmtId="46" fontId="12" fillId="3" borderId="48" xfId="0" applyNumberFormat="1" applyFont="1" applyFill="1" applyBorder="1" applyAlignment="1">
      <alignment horizontal="center"/>
    </xf>
    <xf numFmtId="46" fontId="12" fillId="0" borderId="126" xfId="0" applyNumberFormat="1" applyFont="1" applyBorder="1" applyAlignment="1">
      <alignment horizontal="center"/>
    </xf>
    <xf numFmtId="46" fontId="12" fillId="0" borderId="16" xfId="0" applyNumberFormat="1" applyFont="1" applyBorder="1" applyAlignment="1">
      <alignment horizontal="center"/>
    </xf>
    <xf numFmtId="46" fontId="12" fillId="0" borderId="63" xfId="0" applyNumberFormat="1" applyFont="1" applyBorder="1" applyAlignment="1">
      <alignment horizontal="center"/>
    </xf>
    <xf numFmtId="0" fontId="12" fillId="3" borderId="127" xfId="0" applyFont="1" applyFill="1" applyBorder="1" applyAlignment="1">
      <alignment horizontal="right"/>
    </xf>
    <xf numFmtId="0" fontId="12" fillId="3" borderId="27" xfId="0" applyFont="1" applyFill="1" applyBorder="1" applyAlignment="1">
      <alignment horizontal="right"/>
    </xf>
    <xf numFmtId="0" fontId="12" fillId="3" borderId="128" xfId="0" applyFont="1" applyFill="1" applyBorder="1" applyAlignment="1">
      <alignment horizontal="right"/>
    </xf>
    <xf numFmtId="0" fontId="68" fillId="0" borderId="120" xfId="0" applyFont="1" applyBorder="1" applyAlignment="1">
      <alignment horizontal="right"/>
    </xf>
    <xf numFmtId="14" fontId="68" fillId="0" borderId="122" xfId="0" applyNumberFormat="1" applyFont="1" applyBorder="1" applyAlignment="1" applyProtection="1">
      <alignment horizontal="center"/>
      <protection locked="0"/>
    </xf>
    <xf numFmtId="164" fontId="12" fillId="0" borderId="64" xfId="0" applyNumberFormat="1" applyFont="1" applyBorder="1" applyProtection="1">
      <protection locked="0"/>
    </xf>
    <xf numFmtId="46" fontId="12" fillId="0" borderId="114" xfId="0" applyNumberFormat="1" applyFont="1" applyBorder="1" applyAlignment="1" applyProtection="1">
      <alignment horizontal="center"/>
      <protection locked="0"/>
    </xf>
    <xf numFmtId="46" fontId="12" fillId="0" borderId="82" xfId="0" applyNumberFormat="1" applyFont="1" applyBorder="1" applyAlignment="1">
      <alignment horizontal="center"/>
    </xf>
    <xf numFmtId="0" fontId="12" fillId="3" borderId="129" xfId="0" applyFont="1" applyFill="1" applyBorder="1" applyAlignment="1">
      <alignment horizontal="right"/>
    </xf>
    <xf numFmtId="0" fontId="12" fillId="3" borderId="65" xfId="0" applyFont="1" applyFill="1" applyBorder="1" applyAlignment="1">
      <alignment horizontal="center"/>
    </xf>
    <xf numFmtId="46" fontId="12" fillId="3" borderId="64" xfId="0" applyNumberFormat="1" applyFont="1" applyFill="1" applyBorder="1" applyAlignment="1">
      <alignment horizontal="center"/>
    </xf>
    <xf numFmtId="46" fontId="29" fillId="0" borderId="116" xfId="0" applyNumberFormat="1" applyFont="1" applyBorder="1" applyAlignment="1">
      <alignment horizontal="center"/>
    </xf>
    <xf numFmtId="14" fontId="12" fillId="0" borderId="46" xfId="0" applyNumberFormat="1" applyFont="1" applyBorder="1" applyAlignment="1" applyProtection="1">
      <alignment horizontal="center"/>
      <protection locked="0"/>
    </xf>
    <xf numFmtId="165" fontId="20" fillId="0" borderId="0" xfId="0" applyNumberFormat="1" applyFont="1" applyAlignment="1">
      <alignment horizontal="right"/>
    </xf>
    <xf numFmtId="14" fontId="20" fillId="0" borderId="0" xfId="0" applyNumberFormat="1" applyFont="1"/>
    <xf numFmtId="46" fontId="20" fillId="0" borderId="0" xfId="0" applyNumberFormat="1" applyFont="1"/>
    <xf numFmtId="0" fontId="20" fillId="0" borderId="0" xfId="1" applyFont="1"/>
    <xf numFmtId="165" fontId="4" fillId="0" borderId="0" xfId="0" applyNumberFormat="1" applyFont="1" applyAlignment="1">
      <alignment horizontal="right"/>
    </xf>
    <xf numFmtId="14" fontId="4" fillId="0" borderId="0" xfId="0" applyNumberFormat="1" applyFont="1"/>
    <xf numFmtId="46" fontId="4" fillId="0" borderId="0" xfId="0" applyNumberFormat="1" applyFont="1"/>
    <xf numFmtId="0" fontId="20" fillId="0" borderId="0" xfId="0" applyFont="1" applyAlignment="1" applyProtection="1">
      <alignment horizontal="right"/>
      <protection locked="0"/>
    </xf>
    <xf numFmtId="0" fontId="41" fillId="0" borderId="0" xfId="1" applyFont="1" applyBorder="1" applyProtection="1">
      <protection locked="0"/>
    </xf>
    <xf numFmtId="164" fontId="71" fillId="0" borderId="6" xfId="0" applyNumberFormat="1" applyFont="1" applyBorder="1" applyProtection="1">
      <protection locked="0"/>
    </xf>
    <xf numFmtId="46" fontId="71" fillId="0" borderId="2" xfId="0" applyNumberFormat="1" applyFont="1" applyBorder="1" applyProtection="1">
      <protection locked="0"/>
    </xf>
    <xf numFmtId="0" fontId="47" fillId="0" borderId="14" xfId="1" applyFont="1" applyFill="1" applyBorder="1"/>
    <xf numFmtId="0" fontId="0" fillId="0" borderId="45" xfId="0" applyBorder="1"/>
    <xf numFmtId="0" fontId="41" fillId="0" borderId="46" xfId="1" applyFont="1" applyFill="1" applyBorder="1"/>
    <xf numFmtId="14" fontId="0" fillId="0" borderId="46" xfId="0" applyNumberFormat="1" applyBorder="1"/>
    <xf numFmtId="0" fontId="0" fillId="0" borderId="46" xfId="0" applyBorder="1" applyAlignment="1">
      <alignment horizontal="right" indent="1"/>
    </xf>
    <xf numFmtId="0" fontId="1" fillId="0" borderId="48" xfId="1" applyFill="1" applyBorder="1"/>
    <xf numFmtId="0" fontId="0" fillId="17" borderId="6" xfId="0" applyFill="1" applyBorder="1" applyProtection="1">
      <protection locked="0"/>
    </xf>
    <xf numFmtId="165" fontId="0" fillId="17" borderId="6" xfId="0" applyNumberFormat="1" applyFill="1" applyBorder="1" applyAlignment="1" applyProtection="1">
      <alignment horizontal="right"/>
      <protection locked="0"/>
    </xf>
    <xf numFmtId="178" fontId="0" fillId="17" borderId="6" xfId="0" applyNumberFormat="1" applyFill="1" applyBorder="1" applyProtection="1">
      <protection locked="0"/>
    </xf>
    <xf numFmtId="46" fontId="0" fillId="17" borderId="2" xfId="0" applyNumberFormat="1" applyFill="1" applyBorder="1" applyProtection="1">
      <protection locked="0"/>
    </xf>
    <xf numFmtId="0" fontId="41" fillId="0" borderId="107" xfId="1" applyFont="1" applyFill="1" applyBorder="1" applyProtection="1">
      <protection locked="0"/>
    </xf>
    <xf numFmtId="0" fontId="0" fillId="0" borderId="109" xfId="0" applyBorder="1" applyProtection="1">
      <protection locked="0"/>
    </xf>
    <xf numFmtId="0" fontId="41" fillId="0" borderId="48" xfId="1" applyFont="1" applyFill="1" applyBorder="1" applyProtection="1">
      <protection locked="0"/>
    </xf>
    <xf numFmtId="0" fontId="12" fillId="3" borderId="83" xfId="0" applyFont="1" applyFill="1" applyBorder="1"/>
    <xf numFmtId="0" fontId="12" fillId="3" borderId="63" xfId="0" applyFont="1" applyFill="1" applyBorder="1"/>
    <xf numFmtId="0" fontId="12" fillId="2" borderId="12" xfId="0" applyFont="1" applyFill="1" applyBorder="1" applyAlignment="1" applyProtection="1">
      <alignment horizontal="right"/>
      <protection locked="0"/>
    </xf>
    <xf numFmtId="0" fontId="12" fillId="3" borderId="14" xfId="0" applyFont="1" applyFill="1" applyBorder="1"/>
    <xf numFmtId="0" fontId="12" fillId="3" borderId="81" xfId="0" applyFont="1" applyFill="1" applyBorder="1"/>
    <xf numFmtId="10" fontId="12" fillId="3" borderId="81" xfId="0" applyNumberFormat="1" applyFont="1" applyFill="1" applyBorder="1"/>
    <xf numFmtId="178" fontId="7" fillId="0" borderId="0" xfId="0" applyNumberFormat="1" applyFont="1" applyProtection="1">
      <protection locked="0"/>
    </xf>
    <xf numFmtId="166" fontId="0" fillId="0" borderId="5" xfId="0" applyNumberFormat="1" applyBorder="1" applyProtection="1">
      <protection locked="0"/>
    </xf>
    <xf numFmtId="0" fontId="0" fillId="0" borderId="7"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0" fillId="0" borderId="20" xfId="0" applyBorder="1" applyAlignment="1">
      <alignment horizontal="center"/>
    </xf>
    <xf numFmtId="0" fontId="0" fillId="0" borderId="66" xfId="0" applyBorder="1" applyAlignment="1">
      <alignment horizontal="center"/>
    </xf>
    <xf numFmtId="0" fontId="0" fillId="0" borderId="19" xfId="0" applyBorder="1" applyAlignment="1">
      <alignment horizontal="center"/>
    </xf>
    <xf numFmtId="0" fontId="2" fillId="3" borderId="33" xfId="0" applyFont="1" applyFill="1" applyBorder="1" applyAlignment="1">
      <alignment horizontal="left" indent="6"/>
    </xf>
    <xf numFmtId="0" fontId="2" fillId="3" borderId="34" xfId="0" applyFont="1" applyFill="1" applyBorder="1" applyAlignment="1">
      <alignment horizontal="left" indent="6"/>
    </xf>
    <xf numFmtId="0" fontId="2" fillId="3" borderId="35" xfId="0" applyFont="1" applyFill="1" applyBorder="1" applyAlignment="1">
      <alignment horizontal="left" indent="6"/>
    </xf>
    <xf numFmtId="0" fontId="2" fillId="3" borderId="54" xfId="0" applyFont="1" applyFill="1" applyBorder="1" applyAlignment="1">
      <alignment horizontal="left" indent="5"/>
    </xf>
    <xf numFmtId="0" fontId="2" fillId="3" borderId="55" xfId="0" applyFont="1" applyFill="1" applyBorder="1" applyAlignment="1">
      <alignment horizontal="left" indent="5"/>
    </xf>
    <xf numFmtId="0" fontId="2" fillId="3" borderId="56" xfId="0" applyFont="1" applyFill="1" applyBorder="1" applyAlignment="1">
      <alignment horizontal="left" indent="5"/>
    </xf>
    <xf numFmtId="0" fontId="2" fillId="0" borderId="33" xfId="0" applyFont="1" applyBorder="1" applyAlignment="1">
      <alignment horizontal="left" indent="6"/>
    </xf>
    <xf numFmtId="0" fontId="2" fillId="0" borderId="34" xfId="0" applyFont="1" applyBorder="1" applyAlignment="1">
      <alignment horizontal="left" indent="6"/>
    </xf>
    <xf numFmtId="0" fontId="2" fillId="0" borderId="35" xfId="0" applyFont="1" applyBorder="1" applyAlignment="1">
      <alignment horizontal="left" indent="6"/>
    </xf>
    <xf numFmtId="0" fontId="2" fillId="3" borderId="33" xfId="0" applyFont="1" applyFill="1" applyBorder="1"/>
    <xf numFmtId="0" fontId="2" fillId="3" borderId="34" xfId="0" applyFont="1" applyFill="1" applyBorder="1"/>
    <xf numFmtId="0" fontId="2" fillId="3" borderId="35" xfId="0" applyFont="1" applyFill="1" applyBorder="1"/>
    <xf numFmtId="0" fontId="12" fillId="3" borderId="33" xfId="0" applyFont="1" applyFill="1" applyBorder="1"/>
    <xf numFmtId="0" fontId="12" fillId="3" borderId="34" xfId="0" applyFont="1" applyFill="1" applyBorder="1"/>
    <xf numFmtId="0" fontId="12" fillId="3" borderId="35" xfId="0" applyFont="1" applyFill="1" applyBorder="1"/>
    <xf numFmtId="0" fontId="2" fillId="0" borderId="33" xfId="0" applyFont="1" applyBorder="1"/>
    <xf numFmtId="0" fontId="2" fillId="0" borderId="34" xfId="0" applyFont="1" applyBorder="1"/>
    <xf numFmtId="0" fontId="2" fillId="0" borderId="35" xfId="0" applyFont="1" applyBorder="1"/>
    <xf numFmtId="0" fontId="12" fillId="3" borderId="69" xfId="0" applyFont="1" applyFill="1" applyBorder="1"/>
    <xf numFmtId="0" fontId="12" fillId="3" borderId="70" xfId="0" applyFont="1" applyFill="1" applyBorder="1"/>
    <xf numFmtId="0" fontId="12" fillId="3" borderId="71" xfId="0" applyFont="1" applyFill="1" applyBorder="1"/>
    <xf numFmtId="0" fontId="0" fillId="0" borderId="1" xfId="0" applyBorder="1"/>
    <xf numFmtId="171" fontId="37" fillId="3" borderId="20" xfId="0" applyNumberFormat="1" applyFont="1" applyFill="1" applyBorder="1" applyAlignment="1">
      <alignment horizontal="center"/>
    </xf>
    <xf numFmtId="171" fontId="37" fillId="3" borderId="66" xfId="0" applyNumberFormat="1" applyFont="1" applyFill="1" applyBorder="1" applyAlignment="1">
      <alignment horizontal="center"/>
    </xf>
    <xf numFmtId="0" fontId="0" fillId="3" borderId="20" xfId="0" applyFill="1" applyBorder="1" applyAlignment="1">
      <alignment horizontal="right"/>
    </xf>
    <xf numFmtId="0" fontId="0" fillId="3" borderId="66" xfId="0" applyFill="1" applyBorder="1" applyAlignment="1">
      <alignment horizontal="right"/>
    </xf>
    <xf numFmtId="0" fontId="0" fillId="0" borderId="7" xfId="0" applyBorder="1" applyAlignment="1">
      <alignment horizontal="left"/>
    </xf>
    <xf numFmtId="0" fontId="0" fillId="0" borderId="9" xfId="0" applyBorder="1" applyAlignment="1">
      <alignment horizontal="left"/>
    </xf>
    <xf numFmtId="0" fontId="0" fillId="0" borderId="8" xfId="0" applyBorder="1" applyAlignment="1">
      <alignment horizontal="left"/>
    </xf>
    <xf numFmtId="0" fontId="12" fillId="2" borderId="60" xfId="0" applyFont="1" applyFill="1" applyBorder="1" applyAlignment="1">
      <alignment horizontal="center"/>
    </xf>
    <xf numFmtId="0" fontId="0" fillId="0" borderId="7" xfId="0" applyBorder="1" applyAlignment="1">
      <alignment horizontal="center" vertical="center" wrapText="1"/>
    </xf>
    <xf numFmtId="0" fontId="0" fillId="0" borderId="8"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7" xfId="0" applyBorder="1"/>
    <xf numFmtId="0" fontId="0" fillId="0" borderId="9" xfId="0" applyBorder="1"/>
    <xf numFmtId="0" fontId="0" fillId="0" borderId="8" xfId="0" applyBorder="1"/>
    <xf numFmtId="0" fontId="0" fillId="3" borderId="7" xfId="0" applyFill="1" applyBorder="1" applyAlignment="1">
      <alignment horizontal="left" indent="8"/>
    </xf>
    <xf numFmtId="0" fontId="0" fillId="3" borderId="9" xfId="0" applyFill="1" applyBorder="1" applyAlignment="1">
      <alignment horizontal="left" indent="8"/>
    </xf>
    <xf numFmtId="0" fontId="0" fillId="3" borderId="8" xfId="0" applyFill="1" applyBorder="1" applyAlignment="1">
      <alignment horizontal="left" indent="8"/>
    </xf>
    <xf numFmtId="0" fontId="0" fillId="2" borderId="0" xfId="0" applyFill="1" applyAlignment="1">
      <alignment horizontal="right" indent="3"/>
    </xf>
    <xf numFmtId="164" fontId="68" fillId="0" borderId="0" xfId="0" applyNumberFormat="1" applyFont="1" applyAlignment="1">
      <alignment horizontal="right" indent="3"/>
    </xf>
    <xf numFmtId="0" fontId="0" fillId="3" borderId="7" xfId="0" applyFill="1" applyBorder="1" applyAlignment="1">
      <alignment horizontal="center"/>
    </xf>
    <xf numFmtId="0" fontId="0" fillId="3" borderId="9" xfId="0" applyFill="1" applyBorder="1" applyAlignment="1">
      <alignment horizontal="center"/>
    </xf>
    <xf numFmtId="0" fontId="0" fillId="3" borderId="8" xfId="0" applyFill="1" applyBorder="1" applyAlignment="1">
      <alignment horizontal="center"/>
    </xf>
    <xf numFmtId="164" fontId="12" fillId="0" borderId="0" xfId="0" applyNumberFormat="1" applyFont="1" applyAlignment="1">
      <alignment horizontal="right" indent="3"/>
    </xf>
    <xf numFmtId="164" fontId="66" fillId="0" borderId="0" xfId="0" applyNumberFormat="1" applyFont="1" applyAlignment="1">
      <alignment horizontal="right" indent="3"/>
    </xf>
    <xf numFmtId="0" fontId="0" fillId="0" borderId="42"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62" fillId="0" borderId="0" xfId="1" applyFont="1" applyAlignment="1" applyProtection="1">
      <alignment horizontal="center"/>
      <protection locked="0"/>
    </xf>
    <xf numFmtId="0" fontId="13" fillId="0" borderId="0" xfId="0" applyFont="1" applyAlignment="1">
      <alignment horizontal="center" vertical="top"/>
    </xf>
    <xf numFmtId="183" fontId="12" fillId="3" borderId="0" xfId="0" applyNumberFormat="1" applyFont="1" applyFill="1" applyAlignment="1">
      <alignment horizontal="center"/>
    </xf>
    <xf numFmtId="179" fontId="12" fillId="3" borderId="0" xfId="0" applyNumberFormat="1" applyFont="1" applyFill="1" applyAlignment="1">
      <alignment horizontal="center"/>
    </xf>
    <xf numFmtId="181" fontId="12" fillId="3" borderId="0" xfId="0" applyNumberFormat="1" applyFont="1" applyFill="1" applyAlignment="1">
      <alignment horizontal="center"/>
    </xf>
    <xf numFmtId="180" fontId="12" fillId="3" borderId="0" xfId="0" applyNumberFormat="1" applyFont="1" applyFill="1" applyAlignment="1">
      <alignment horizontal="center"/>
    </xf>
    <xf numFmtId="182" fontId="12" fillId="3" borderId="0" xfId="0" applyNumberFormat="1" applyFont="1" applyFill="1" applyAlignment="1">
      <alignment horizontal="center"/>
    </xf>
    <xf numFmtId="0" fontId="13" fillId="0" borderId="0" xfId="0" applyFont="1" applyAlignment="1">
      <alignment vertical="top" wrapText="1"/>
    </xf>
    <xf numFmtId="0" fontId="2" fillId="3" borderId="33" xfId="0" applyFont="1" applyFill="1" applyBorder="1" applyAlignment="1">
      <alignment horizontal="center"/>
    </xf>
    <xf numFmtId="0" fontId="2" fillId="3" borderId="34" xfId="0" applyFont="1" applyFill="1" applyBorder="1" applyAlignment="1">
      <alignment horizontal="center"/>
    </xf>
    <xf numFmtId="0" fontId="2" fillId="3" borderId="35"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35" xfId="0" applyFont="1" applyFill="1" applyBorder="1" applyAlignment="1">
      <alignment horizontal="center"/>
    </xf>
  </cellXfs>
  <cellStyles count="2">
    <cellStyle name="Link" xfId="1" builtinId="8"/>
    <cellStyle name="Standard" xfId="0" builtinId="0"/>
  </cellStyles>
  <dxfs count="292">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ill>
        <patternFill>
          <bgColor rgb="FFFBFFFB"/>
        </patternFill>
      </fill>
    </dxf>
    <dxf>
      <font>
        <color auto="1"/>
      </font>
      <fill>
        <patternFill>
          <bgColor rgb="FFF4FFFB"/>
        </patternFill>
      </fill>
    </dxf>
    <dxf>
      <fill>
        <patternFill patternType="none">
          <fgColor indexed="64"/>
          <bgColor auto="1"/>
        </patternFill>
      </fill>
      <border diagonalUp="0" diagonalDown="0">
        <left style="thin">
          <color theme="0" tint="-0.14996795556505021"/>
        </left>
        <right/>
        <top style="thin">
          <color theme="0" tint="-0.14996795556505021"/>
        </top>
        <bottom style="thin">
          <color theme="0" tint="-0.14996795556505021"/>
        </bottom>
      </border>
      <protection locked="0" hidden="0"/>
    </dxf>
    <dxf>
      <fill>
        <patternFill patternType="none">
          <fgColor indexed="64"/>
          <bgColor auto="1"/>
        </patternFill>
      </fill>
      <border diagonalUp="0" diagonalDown="0">
        <left style="thin">
          <color theme="0" tint="-0.499984740745262"/>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11"/>
        <color theme="0"/>
        <name val="Calibri"/>
        <family val="2"/>
        <scheme val="minor"/>
      </font>
      <fill>
        <patternFill patternType="none">
          <fgColor indexed="64"/>
          <bgColor auto="1"/>
        </patternFill>
      </fill>
      <border diagonalUp="0" diagonalDown="0">
        <left style="thin">
          <color theme="0" tint="-0.499984740745262"/>
        </left>
        <right style="thin">
          <color theme="0" tint="-0.14996795556505021"/>
        </right>
        <top style="thin">
          <color theme="0" tint="-0.14996795556505021"/>
        </top>
        <bottom style="thin">
          <color theme="0" tint="-0.14996795556505021"/>
        </bottom>
      </border>
      <protection locked="0" hidden="0"/>
    </dxf>
    <dxf>
      <fill>
        <patternFill patternType="none">
          <fgColor indexed="64"/>
          <bgColor auto="1"/>
        </patternFill>
      </fill>
      <border diagonalUp="0" diagonalDown="0">
        <left/>
        <right style="thin">
          <color theme="0" tint="-0.14996795556505021"/>
        </right>
        <top style="thin">
          <color theme="0" tint="-0.14996795556505021"/>
        </top>
        <bottom style="thin">
          <color theme="0" tint="-0.14996795556505021"/>
        </bottom>
      </border>
      <protection locked="0" hidden="0"/>
    </dxf>
    <dxf>
      <border>
        <top style="thin">
          <color theme="0" tint="-0.14996795556505021"/>
        </top>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ill>
        <patternFill patternType="none">
          <fgColor indexed="64"/>
          <bgColor auto="1"/>
        </patternFill>
      </fill>
      <protection locked="0" hidden="0"/>
    </dxf>
    <dxf>
      <border>
        <bottom style="thin">
          <color theme="0" tint="-0.14996795556505021"/>
        </bottom>
      </border>
    </dxf>
    <dxf>
      <fill>
        <patternFill patternType="solid">
          <fgColor indexed="64"/>
          <bgColor theme="0" tint="-4.9989318521683403E-2"/>
        </patternFill>
      </fill>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protection locked="0" hidden="0"/>
    </dxf>
    <dxf>
      <alignment horizontal="right" vertical="bottom" textRotation="0" wrapText="0" indent="0" justifyLastLine="0" shrinkToFit="0" readingOrder="0"/>
      <border diagonalUp="0" diagonalDown="0">
        <left style="thin">
          <color theme="0" tint="-0.14996795556505021"/>
        </left>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alignment horizontal="right" vertical="bottom" textRotation="0" wrapText="0" indent="1" justifyLastLine="0" shrinkToFit="0" readingOrder="0"/>
      <border diagonalUp="0" diagonalDown="0">
        <left style="thin">
          <color auto="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numFmt numFmtId="167" formatCode="[=1]0\ &quot;Tag&quot;;[&lt;&gt;1]0\ &quot;Tage&quot;"/>
      <border diagonalUp="0" diagonalDown="0">
        <left style="thin">
          <color theme="0" tint="-0.14996795556505021"/>
        </left>
        <right style="thin">
          <color auto="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numFmt numFmtId="31" formatCode="[h]:mm:ss"/>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numFmt numFmtId="31" formatCode="[h]:mm:ss"/>
      <border diagonalUp="0" diagonalDown="0">
        <left style="thin">
          <color auto="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numFmt numFmtId="167" formatCode="[=1]0\ &quot;Tag&quot;;[&lt;&gt;1]0\ &quot;Tage&quot;"/>
      <alignment horizontal="right" vertical="bottom" textRotation="0" wrapText="0" indent="0" justifyLastLine="0" shrinkToFit="0" readingOrder="0"/>
      <border diagonalUp="0" diagonalDown="0">
        <left style="thin">
          <color theme="0" tint="-0.14996795556505021"/>
        </left>
        <right style="thin">
          <color auto="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numFmt numFmtId="31" formatCode="[h]:mm:ss"/>
      <alignment horizontal="right" vertical="bottom" textRotation="0" wrapText="0" indent="0" justifyLastLine="0" shrinkToFit="0" readingOrder="0"/>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border diagonalUp="0" diagonalDown="0">
        <left style="thin">
          <color auto="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protection locked="0" hidden="0"/>
    </dxf>
    <dxf>
      <font>
        <strike val="0"/>
        <outline val="0"/>
        <shadow val="0"/>
        <u val="none"/>
        <vertAlign val="baseline"/>
        <sz val="11"/>
        <color theme="1"/>
        <name val="Calibri"/>
        <family val="2"/>
        <scheme val="minor"/>
      </font>
      <border diagonalUp="0" diagonalDown="0" outline="0">
        <left style="thin">
          <color theme="0" tint="-0.14996795556505021"/>
        </left>
        <right style="thin">
          <color auto="1"/>
        </right>
        <top style="thin">
          <color theme="0" tint="-0.14996795556505021"/>
        </top>
        <bottom style="thin">
          <color theme="0" tint="-0.14996795556505021"/>
        </bottom>
      </border>
      <protection locked="0" hidden="0"/>
    </dxf>
    <dxf>
      <border diagonalUp="0" diagonalDown="0" outline="0">
        <left/>
        <right style="thin">
          <color theme="0" tint="-0.14996795556505021"/>
        </right>
        <top style="thin">
          <color theme="0" tint="-0.14996795556505021"/>
        </top>
        <bottom style="thin">
          <color theme="0" tint="-0.14996795556505021"/>
        </bottom>
      </border>
      <protection locked="0" hidden="0"/>
    </dxf>
    <dxf>
      <border diagonalUp="0" diagonalDown="0">
        <left style="thin">
          <color auto="1"/>
        </left>
        <right style="thin">
          <color auto="1"/>
        </right>
        <top/>
      </border>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theme="1"/>
        <name val="Calibri"/>
        <scheme val="minor"/>
      </font>
      <numFmt numFmtId="164" formatCode="[$-407]d/\ mmmm\ yyyy;@"/>
      <protection locked="0" hidden="0"/>
    </dxf>
    <dxf>
      <font>
        <strike val="0"/>
        <outline val="0"/>
        <shadow val="0"/>
        <u val="none"/>
        <vertAlign val="baseline"/>
        <sz val="11"/>
        <color theme="1"/>
        <name val="Calibri"/>
        <scheme val="minor"/>
      </font>
      <numFmt numFmtId="165" formatCode="000"/>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19" formatCode="dd/mm/yyyy"/>
    </dxf>
    <dxf>
      <numFmt numFmtId="165" formatCode="000"/>
      <protection locked="0" hidden="0"/>
    </dxf>
    <dxf>
      <protection locked="0" hidden="0"/>
    </dxf>
    <dxf>
      <protection locked="0" hidden="0"/>
    </dxf>
    <dxf>
      <border outline="0">
        <left style="thin">
          <color auto="1"/>
        </left>
        <right style="thin">
          <color auto="1"/>
        </right>
      </border>
    </dxf>
    <dxf>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6795556505021"/>
        </left>
        <right/>
        <top style="thin">
          <color theme="0" tint="-0.14996795556505021"/>
        </top>
        <bottom style="thin">
          <color theme="0" tint="-0.14996795556505021"/>
        </bottom>
      </border>
      <protection locked="0" hidden="0"/>
    </dxf>
    <dxf>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ont>
        <strike val="0"/>
        <outline val="0"/>
        <shadow val="0"/>
        <u val="none"/>
        <vertAlign val="baseline"/>
        <sz val="8"/>
        <color theme="1"/>
        <name val="Calibri"/>
        <family val="2"/>
        <scheme val="minor"/>
      </font>
      <numFmt numFmtId="189" formatCode="[$-407]mmm/\ yy;@"/>
      <fill>
        <patternFill patternType="none">
          <fgColor indexed="64"/>
          <bgColor auto="1"/>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numFmt numFmtId="165"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ill>
        <patternFill patternType="none">
          <fgColor indexed="64"/>
          <bgColor auto="1"/>
        </patternFill>
      </fill>
      <border diagonalUp="0" diagonalDown="0" outline="0">
        <left/>
        <right style="thin">
          <color theme="0" tint="-0.14996795556505021"/>
        </right>
        <top style="thin">
          <color theme="0" tint="-0.14996795556505021"/>
        </top>
        <bottom style="thin">
          <color theme="0" tint="-0.14996795556505021"/>
        </bottom>
      </border>
      <protection locked="0" hidden="0"/>
    </dxf>
    <dxf>
      <border outline="0">
        <top style="thin">
          <color auto="1"/>
        </top>
      </border>
    </dxf>
    <dxf>
      <border diagonalUp="0" diagonalDown="0">
        <left style="thin">
          <color auto="1"/>
        </left>
        <right style="thin">
          <color auto="1"/>
        </right>
        <top style="thin">
          <color auto="1"/>
        </top>
        <bottom style="thin">
          <color auto="1"/>
        </bottom>
      </border>
    </dxf>
    <dxf>
      <fill>
        <patternFill patternType="none">
          <fgColor indexed="64"/>
          <bgColor auto="1"/>
        </patternFill>
      </fill>
      <protection locked="0" hidden="0"/>
    </dxf>
    <dxf>
      <border>
        <bottom style="thin">
          <color auto="1"/>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165" formatCode="000"/>
      <protection locked="0" hidden="0"/>
    </dxf>
    <dxf>
      <protection locked="0" hidden="0"/>
    </dxf>
    <dxf>
      <protection locked="0" hidden="0"/>
    </dxf>
    <dxf>
      <border outline="0">
        <left style="thin">
          <color auto="1"/>
        </left>
        <right style="thin">
          <color auto="1"/>
        </right>
      </border>
    </dxf>
    <dxf>
      <numFmt numFmtId="165" formatCode="000"/>
      <protection locked="0" hidden="0"/>
    </dxf>
    <dxf>
      <protection locked="0" hidden="0"/>
    </dxf>
    <dxf>
      <protection locked="0" hidden="0"/>
    </dxf>
    <dxf>
      <border outline="0">
        <left style="thin">
          <color auto="1"/>
        </left>
        <right style="thin">
          <color auto="1"/>
        </right>
      </border>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family val="2"/>
        <scheme val="minor"/>
      </font>
      <numFmt numFmtId="31" formatCode="[h]:mm:ss"/>
      <protection locked="0" hidden="0"/>
    </dxf>
    <dxf>
      <font>
        <b val="0"/>
        <i val="0"/>
        <strike val="0"/>
        <condense val="0"/>
        <extend val="0"/>
        <outline val="0"/>
        <shadow val="0"/>
        <u val="none"/>
        <vertAlign val="baseline"/>
        <sz val="11"/>
        <color theme="1"/>
        <name val="Calibri"/>
        <family val="2"/>
        <scheme val="minor"/>
      </font>
      <numFmt numFmtId="164" formatCode="[$-407]d/\ mmmm\ yyyy;@"/>
      <protection locked="0" hidden="0"/>
    </dxf>
    <dxf>
      <font>
        <strike val="0"/>
        <outline val="0"/>
        <shadow val="0"/>
        <u val="none"/>
        <vertAlign val="baseline"/>
        <sz val="11"/>
        <color theme="1"/>
        <name val="Calibri"/>
        <family val="2"/>
        <scheme val="minor"/>
      </font>
      <numFmt numFmtId="30" formatCode="@"/>
      <alignment horizontal="right" vertical="bottom" textRotation="0" wrapText="0" indent="0" justifyLastLine="0" shrinkToFit="0" readingOrder="0"/>
      <protection locked="0" hidden="0"/>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family val="2"/>
        <scheme val="minor"/>
      </font>
      <numFmt numFmtId="31" formatCode="[h]:mm:ss"/>
      <border diagonalUp="0" diagonalDown="0">
        <left/>
        <right style="thin">
          <color auto="1"/>
        </right>
        <top/>
        <bottom/>
      </border>
      <protection locked="0" hidden="0"/>
    </dxf>
    <dxf>
      <font>
        <b val="0"/>
        <i val="0"/>
        <strike val="0"/>
        <condense val="0"/>
        <extend val="0"/>
        <outline val="0"/>
        <shadow val="0"/>
        <u val="none"/>
        <vertAlign val="baseline"/>
        <sz val="11"/>
        <color theme="1"/>
        <name val="Calibri"/>
        <family val="2"/>
        <scheme val="minor"/>
      </font>
      <numFmt numFmtId="164" formatCode="[$-407]d/\ mmmm\ yyyy;@"/>
      <protection locked="0" hidden="0"/>
    </dxf>
    <dxf>
      <font>
        <strike val="0"/>
        <outline val="0"/>
        <shadow val="0"/>
        <u val="none"/>
        <vertAlign val="baseline"/>
        <color theme="1"/>
        <name val="Calibri"/>
        <family val="2"/>
        <scheme val="minor"/>
      </font>
      <numFmt numFmtId="30" formatCode="@"/>
      <alignment horizontal="right" vertical="bottom" textRotation="0" wrapText="0" indent="0" justifyLastLine="0" shrinkToFit="0" readingOrder="0"/>
      <protection locked="0" hidden="0"/>
    </dxf>
    <dxf>
      <font>
        <strike val="0"/>
        <outline val="0"/>
        <shadow val="0"/>
        <u val="none"/>
        <vertAlign val="baseline"/>
        <color theme="1"/>
        <name val="Calibri"/>
        <family val="2"/>
        <scheme val="minor"/>
      </font>
      <protection locked="0" hidden="0"/>
    </dxf>
    <dxf>
      <font>
        <strike val="0"/>
        <outline val="0"/>
        <shadow val="0"/>
        <u val="none"/>
        <vertAlign val="baseline"/>
        <color theme="1"/>
        <name val="Calibri"/>
        <family val="2"/>
        <scheme val="minor"/>
      </font>
      <protection locked="0" hidden="0"/>
    </dxf>
    <dxf>
      <font>
        <strike val="0"/>
        <outline val="0"/>
        <shadow val="0"/>
        <u val="none"/>
        <vertAlign val="baseline"/>
        <color theme="1"/>
        <name val="Calibri"/>
        <family val="2"/>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rgb="FF000000"/>
        <name val="Calibri"/>
        <scheme val="minor"/>
      </font>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30" formatCode="@"/>
      <alignment horizontal="right" vertical="bottom" textRotation="0" wrapText="0" indent="0" justifyLastLine="0" shrinkToFit="0" readingOrder="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30" formatCode="@"/>
      <alignment horizontal="right" vertical="bottom" textRotation="0" wrapText="0" indent="0" justifyLastLine="0" shrinkToFit="0" readingOrder="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scheme val="minor"/>
      </font>
      <numFmt numFmtId="31" formatCode="[h]:mm:ss"/>
      <border diagonalUp="0" diagonalDown="0">
        <left/>
        <right style="thin">
          <color auto="1"/>
        </right>
        <top/>
        <bottom/>
        <vertical/>
        <horizontal/>
      </border>
      <protection locked="0" hidden="0"/>
    </dxf>
    <dxf>
      <font>
        <b val="0"/>
        <i val="0"/>
        <strike val="0"/>
        <condense val="0"/>
        <extend val="0"/>
        <outline val="0"/>
        <shadow val="0"/>
        <u val="none"/>
        <vertAlign val="baseline"/>
        <sz val="11"/>
        <color theme="1"/>
        <name val="Calibri"/>
        <scheme val="minor"/>
      </font>
      <numFmt numFmtId="164" formatCode="[$-407]d/\ mmmm\ yyyy;@"/>
      <protection locked="0" hidden="0"/>
    </dxf>
    <dxf>
      <font>
        <strike val="0"/>
        <outline val="0"/>
        <shadow val="0"/>
        <u val="none"/>
        <vertAlign val="baseline"/>
        <sz val="11"/>
        <color theme="1"/>
        <name val="Calibri"/>
        <scheme val="minor"/>
      </font>
      <numFmt numFmtId="165" formatCode="000"/>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scheme val="minor"/>
      </font>
      <numFmt numFmtId="31" formatCode="[h]:mm:ss"/>
      <protection locked="0" hidden="0"/>
    </dxf>
    <dxf>
      <font>
        <b val="0"/>
        <i val="0"/>
        <strike val="0"/>
        <condense val="0"/>
        <extend val="0"/>
        <outline val="0"/>
        <shadow val="0"/>
        <u val="none"/>
        <vertAlign val="baseline"/>
        <sz val="11"/>
        <color theme="1"/>
        <name val="Calibri"/>
        <scheme val="minor"/>
      </font>
      <numFmt numFmtId="164" formatCode="[$-407]d/\ mmmm\ yyyy;@"/>
      <protection locked="0" hidden="0"/>
    </dxf>
    <dxf>
      <font>
        <strike val="0"/>
        <outline val="0"/>
        <shadow val="0"/>
        <u val="none"/>
        <vertAlign val="baseline"/>
        <sz val="11"/>
        <color theme="1"/>
        <name val="Calibri"/>
        <scheme val="minor"/>
      </font>
      <numFmt numFmtId="165" formatCode="000"/>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theme="1"/>
        <name val="Calibri"/>
        <scheme val="minor"/>
      </font>
      <numFmt numFmtId="31" formatCode="[h]:mm:ss"/>
      <protection locked="0" hidden="0"/>
    </dxf>
    <dxf>
      <font>
        <b val="0"/>
        <i val="0"/>
        <strike val="0"/>
        <condense val="0"/>
        <extend val="0"/>
        <outline val="0"/>
        <shadow val="0"/>
        <u val="none"/>
        <vertAlign val="baseline"/>
        <sz val="11"/>
        <color theme="1"/>
        <name val="Calibri"/>
        <scheme val="minor"/>
      </font>
      <numFmt numFmtId="164" formatCode="[$-407]d/\ mmmm\ yyyy;@"/>
      <protection locked="0" hidden="0"/>
    </dxf>
    <dxf>
      <font>
        <strike val="0"/>
        <outline val="0"/>
        <shadow val="0"/>
        <u val="none"/>
        <vertAlign val="baseline"/>
        <sz val="11"/>
        <color theme="1"/>
        <name val="Calibri"/>
        <scheme val="minor"/>
      </font>
      <numFmt numFmtId="165" formatCode="000"/>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ont>
        <strike val="0"/>
        <outline val="0"/>
        <shadow val="0"/>
        <u val="none"/>
        <vertAlign val="baseline"/>
        <sz val="11"/>
        <color theme="1"/>
        <name val="Calibri"/>
        <scheme val="minor"/>
      </font>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font>
        <b val="0"/>
        <i val="0"/>
        <strike val="0"/>
        <condense val="0"/>
        <extend val="0"/>
        <outline val="0"/>
        <shadow val="0"/>
        <u val="none"/>
        <vertAlign val="baseline"/>
        <sz val="11"/>
        <color rgb="FF000000"/>
        <name val="Calibri"/>
        <scheme val="minor"/>
      </font>
      <numFmt numFmtId="31" formatCode="[h]:mm:ss"/>
      <protection locked="0" hidden="0"/>
    </dxf>
    <dxf>
      <font>
        <b val="0"/>
        <i val="0"/>
        <strike val="0"/>
        <condense val="0"/>
        <extend val="0"/>
        <outline val="0"/>
        <shadow val="0"/>
        <u val="none"/>
        <vertAlign val="baseline"/>
        <sz val="11"/>
        <color rgb="FF000000"/>
        <name val="Calibri"/>
        <scheme val="minor"/>
      </font>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78" formatCode="ddd/\,\ dd/\ 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alignment horizontal="right" vertical="bottom" textRotation="0" wrapText="0" indent="0" justifyLastLine="0" shrinkToFit="0" readingOrder="0"/>
      <protection locked="0" hidden="0"/>
    </dxf>
    <dxf>
      <protection locked="0" hidden="0"/>
    </dxf>
    <dxf>
      <protection locked="0" hidden="0"/>
    </dxf>
    <dxf>
      <protection locked="0" hidden="0"/>
    </dxf>
    <dxf>
      <font>
        <strike val="0"/>
        <outline val="0"/>
        <shadow val="0"/>
        <u val="none"/>
        <vertAlign val="baseline"/>
        <sz val="11"/>
        <color theme="1"/>
        <name val="Calibri"/>
        <family val="2"/>
        <scheme val="minor"/>
      </font>
      <numFmt numFmtId="31" formatCode="[h]:mm:ss"/>
      <protection locked="0" hidden="0"/>
    </dxf>
    <dxf>
      <font>
        <strike val="0"/>
        <outline val="0"/>
        <shadow val="0"/>
        <u val="none"/>
        <vertAlign val="baseline"/>
        <sz val="11"/>
        <color theme="1"/>
        <name val="Calibri"/>
        <family val="2"/>
        <scheme val="minor"/>
      </font>
      <numFmt numFmtId="164" formatCode="[$-407]d/\ mmmm\ yyyy;@"/>
      <protection locked="0" hidden="0"/>
    </dxf>
    <dxf>
      <font>
        <strike val="0"/>
        <outline val="0"/>
        <shadow val="0"/>
        <u val="none"/>
        <vertAlign val="baseline"/>
        <sz val="11"/>
        <color theme="1"/>
        <name val="Calibri"/>
        <family val="2"/>
        <scheme val="minor"/>
      </font>
      <numFmt numFmtId="165" formatCode="000"/>
      <protection locked="0" hidden="0"/>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protection locked="0" hidden="0"/>
    </dxf>
    <dxf>
      <font>
        <b val="0"/>
        <i val="0"/>
        <strike val="0"/>
        <condense val="0"/>
        <extend val="0"/>
        <outline val="0"/>
        <shadow val="0"/>
        <u val="none"/>
        <vertAlign val="baseline"/>
        <sz val="11"/>
        <color auto="1"/>
        <name val="Calibri"/>
        <family val="2"/>
        <scheme val="minor"/>
      </font>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protection locked="0" hidden="0"/>
    </dxf>
    <dxf>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protection locked="0" hidden="0"/>
    </dxf>
    <dxf>
      <font>
        <b val="0"/>
        <i val="0"/>
        <strike val="0"/>
        <condense val="0"/>
        <extend val="0"/>
        <outline val="0"/>
        <shadow val="0"/>
        <u val="none"/>
        <vertAlign val="baseline"/>
        <sz val="11"/>
        <color auto="1"/>
        <name val="Calibri"/>
        <scheme val="minor"/>
      </font>
      <protection locked="0" hidden="0"/>
    </dxf>
    <dxf>
      <protection locked="0" hidden="0"/>
    </dxf>
    <dxf>
      <protection locked="0" hidden="0"/>
    </dxf>
    <dxf>
      <fill>
        <patternFill patternType="solid">
          <fgColor indexed="64"/>
          <bgColor theme="0" tint="-4.9989318521683403E-2"/>
        </patternFill>
      </fill>
      <protection locked="0" hidden="0"/>
    </dxf>
    <dxf>
      <protection locked="0" hidden="0"/>
    </dxf>
    <dxf>
      <numFmt numFmtId="165" formatCode="000"/>
      <protection locked="0" hidden="0"/>
    </dxf>
    <dxf>
      <protection locked="0" hidden="0"/>
    </dxf>
    <dxf>
      <protection locked="0" hidden="0"/>
    </dxf>
    <dxf>
      <font>
        <strike val="0"/>
        <outline val="0"/>
        <shadow val="0"/>
        <u val="none"/>
        <vertAlign val="baseline"/>
        <sz val="8"/>
        <color theme="1"/>
        <name val="Calibri"/>
        <scheme val="minor"/>
      </font>
      <protection locked="0" hidden="0"/>
    </dxf>
    <dxf>
      <border diagonalUp="0" diagonalDown="0">
        <left style="thin">
          <color auto="1"/>
        </left>
        <right/>
        <top style="thin">
          <color auto="1"/>
        </top>
        <bottom style="thin">
          <color auto="1"/>
        </bottom>
      </border>
    </dxf>
    <dxf>
      <protection locked="0" hidden="0"/>
    </dxf>
    <dxf>
      <fill>
        <patternFill patternType="solid">
          <fgColor indexed="64"/>
          <bgColor theme="0" tint="-4.9989318521683403E-2"/>
        </patternFill>
      </fill>
      <border diagonalUp="0" diagonalDown="0">
        <left/>
        <right/>
        <top/>
        <bottom/>
        <vertical/>
        <horizontal/>
      </border>
      <protection locked="0" hidden="0"/>
    </dxf>
    <dxf>
      <font>
        <u val="none"/>
        <color auto="1"/>
      </font>
      <numFmt numFmtId="31" formatCode="[h]:mm:ss"/>
      <protection locked="0" hidden="0"/>
    </dxf>
    <dxf>
      <font>
        <u val="none"/>
        <color auto="1"/>
      </font>
      <numFmt numFmtId="164" formatCode="[$-407]d/\ mmmm\ yyyy;@"/>
      <protection locked="0" hidden="0"/>
    </dxf>
    <dxf>
      <numFmt numFmtId="165" formatCode="000"/>
      <protection locked="0" hidden="0"/>
    </dxf>
    <dxf>
      <font>
        <b val="0"/>
        <i val="0"/>
        <strike val="0"/>
        <condense val="0"/>
        <extend val="0"/>
        <outline val="0"/>
        <shadow val="0"/>
        <u val="none"/>
        <vertAlign val="baseline"/>
        <sz val="11"/>
        <color auto="1"/>
        <name val="Calibri"/>
        <scheme val="minor"/>
      </font>
      <protection locked="0" hidden="0"/>
    </dxf>
    <dxf>
      <protection locked="0" hidden="0"/>
    </dxf>
    <dxf>
      <protection locked="0" hidden="0"/>
    </dxf>
    <dxf>
      <fill>
        <patternFill patternType="solid">
          <fgColor indexed="64"/>
          <bgColor theme="0" tint="-4.9989318521683403E-2"/>
        </patternFill>
      </fill>
      <protection locked="0" hidden="0"/>
    </dxf>
    <dxf>
      <numFmt numFmtId="31" formatCode="[h]:mm:ss"/>
      <protection locked="0" hidden="0"/>
    </dxf>
    <dxf>
      <numFmt numFmtId="164" formatCode="[$-407]d/\ mmmm\ yyyy;@"/>
      <protection locked="0" hidden="0"/>
    </dxf>
    <dxf>
      <numFmt numFmtId="165" formatCode="000"/>
      <protection locked="0" hidden="0"/>
    </dxf>
    <dxf>
      <font>
        <b val="0"/>
        <i val="0"/>
        <strike val="0"/>
        <condense val="0"/>
        <extend val="0"/>
        <outline val="0"/>
        <shadow val="0"/>
        <u val="none"/>
        <vertAlign val="baseline"/>
        <sz val="11"/>
        <color auto="1"/>
        <name val="Calibri"/>
        <scheme val="minor"/>
      </font>
      <protection locked="0" hidden="0"/>
    </dxf>
    <dxf>
      <protection locked="0" hidden="0"/>
    </dxf>
    <dxf>
      <protection locked="0" hidden="0"/>
    </dxf>
    <dxf>
      <fill>
        <patternFill patternType="solid">
          <fgColor indexed="64"/>
          <bgColor theme="0" tint="-4.9989318521683403E-2"/>
        </patternFill>
      </fill>
      <protection locked="0" hidden="0"/>
    </dxf>
    <dxf>
      <font>
        <strike val="0"/>
        <outline val="0"/>
        <shadow val="0"/>
        <u val="none"/>
        <vertAlign val="baseline"/>
        <sz val="11"/>
        <color theme="1"/>
        <name val="Calibri"/>
        <family val="2"/>
        <scheme val="minor"/>
      </font>
      <numFmt numFmtId="31" formatCode="[h]:mm:ss"/>
      <protection locked="0" hidden="0"/>
    </dxf>
    <dxf>
      <numFmt numFmtId="164" formatCode="[$-407]d/\ mmmm\ yyyy;@"/>
      <protection locked="0" hidden="0"/>
    </dxf>
    <dxf>
      <font>
        <strike val="0"/>
        <outline val="0"/>
        <shadow val="0"/>
        <u val="none"/>
        <vertAlign val="baseline"/>
        <sz val="11"/>
        <color theme="1"/>
        <name val="Calibri"/>
        <family val="2"/>
        <scheme val="minor"/>
      </font>
      <numFmt numFmtId="165" formatCode="000"/>
      <protection locked="0" hidden="0"/>
    </dxf>
    <dxf>
      <font>
        <strike val="0"/>
        <outline val="0"/>
        <shadow val="0"/>
        <u/>
        <vertAlign val="baseline"/>
        <sz val="11"/>
        <color theme="1"/>
        <name val="Calibri"/>
        <family val="2"/>
        <scheme val="minor"/>
      </font>
      <protection locked="0" hidden="0"/>
    </dxf>
    <dxf>
      <protection locked="0" hidden="0"/>
    </dxf>
    <dxf>
      <border diagonalUp="0" diagonalDown="0">
        <left style="thin">
          <color auto="1"/>
        </left>
        <right style="thin">
          <color auto="1"/>
        </right>
        <top/>
        <bottom/>
      </border>
    </dxf>
    <dxf>
      <protection locked="0" hidden="0"/>
    </dxf>
    <dxf>
      <protection locked="0" hidden="0"/>
    </dxf>
    <dxf>
      <numFmt numFmtId="31" formatCode="[h]:mm:ss"/>
      <protection locked="0" hidden="0"/>
    </dxf>
    <dxf>
      <numFmt numFmtId="164" formatCode="[$-407]d/\ mmmm\ yyyy;@"/>
      <protection locked="0" hidden="0"/>
    </dxf>
    <dxf>
      <numFmt numFmtId="165" formatCode="000"/>
      <protection locked="0" hidden="0"/>
    </dxf>
    <dxf>
      <protection locked="0" hidden="0"/>
    </dxf>
    <dxf>
      <protection locked="0" hidden="0"/>
    </dxf>
    <dxf>
      <protection locked="0" hidden="0"/>
    </dxf>
    <dxf>
      <font>
        <strike val="0"/>
        <outline val="0"/>
        <shadow val="0"/>
        <u val="none"/>
        <vertAlign val="baseline"/>
        <sz val="11"/>
        <color auto="1"/>
        <name val="Calibri"/>
        <scheme val="minor"/>
      </font>
      <fill>
        <patternFill patternType="solid">
          <fgColor indexed="64"/>
          <bgColor theme="0" tint="-4.9989318521683403E-2"/>
        </patternFill>
      </fill>
      <protection locked="0" hidden="0"/>
    </dxf>
  </dxfs>
  <tableStyles count="0" defaultTableStyle="TableStyleMedium2" defaultPivotStyle="PivotStyleLight16"/>
  <colors>
    <mruColors>
      <color rgb="FF0563C1"/>
      <color rgb="FFE0FFE0"/>
      <color rgb="FF0000FF"/>
      <color rgb="FF5F7530"/>
      <color rgb="FF772C2A"/>
      <color rgb="FF2C4D75"/>
      <color rgb="FFF79646"/>
      <color rgb="FF4BACC6"/>
      <color rgb="FF8064A2"/>
      <color rgb="FF9BBB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image" Target="../media/image55.jpg"/><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0085793482594E-2"/>
          <c:y val="4.6698310671174373E-2"/>
          <c:w val="0.71764113576711996"/>
          <c:h val="0.74020273561165684"/>
        </c:manualLayout>
      </c:layout>
      <c:lineChart>
        <c:grouping val="standard"/>
        <c:varyColors val="0"/>
        <c:ser>
          <c:idx val="21"/>
          <c:order val="0"/>
          <c:tx>
            <c:strRef>
              <c:f>Synopsis!$E$320</c:f>
              <c:strCache>
                <c:ptCount val="1"/>
                <c:pt idx="0">
                  <c:v>???od</c:v>
                </c:pt>
              </c:strCache>
            </c:strRef>
          </c:tx>
          <c:spPr>
            <a:ln>
              <a:solidFill>
                <a:srgbClr val="A6CEE3"/>
              </a:solidFill>
            </a:ln>
          </c:spPr>
          <c:marker>
            <c:symbol val="none"/>
          </c:marker>
          <c:val>
            <c:numRef>
              <c:f>Synopsis!$E$321:$E$367</c:f>
              <c:numCache>
                <c:formatCode>General</c:formatCode>
                <c:ptCount val="47"/>
                <c:pt idx="1">
                  <c:v>0</c:v>
                </c:pt>
                <c:pt idx="2">
                  <c:v>3</c:v>
                </c:pt>
                <c:pt idx="3">
                  <c:v>7</c:v>
                </c:pt>
                <c:pt idx="4">
                  <c:v>12</c:v>
                </c:pt>
                <c:pt idx="5">
                  <c:v>13</c:v>
                </c:pt>
                <c:pt idx="6">
                  <c:v>14</c:v>
                </c:pt>
                <c:pt idx="7">
                  <c:v>16</c:v>
                </c:pt>
                <c:pt idx="8">
                  <c:v>18</c:v>
                </c:pt>
                <c:pt idx="9">
                  <c:v>22</c:v>
                </c:pt>
                <c:pt idx="10">
                  <c:v>25</c:v>
                </c:pt>
                <c:pt idx="11">
                  <c:v>26</c:v>
                </c:pt>
                <c:pt idx="12">
                  <c:v>26</c:v>
                </c:pt>
                <c:pt idx="13">
                  <c:v>26</c:v>
                </c:pt>
                <c:pt idx="14">
                  <c:v>26</c:v>
                </c:pt>
                <c:pt idx="15">
                  <c:v>26</c:v>
                </c:pt>
                <c:pt idx="16">
                  <c:v>26</c:v>
                </c:pt>
                <c:pt idx="17">
                  <c:v>28</c:v>
                </c:pt>
                <c:pt idx="18">
                  <c:v>29</c:v>
                </c:pt>
                <c:pt idx="19">
                  <c:v>30</c:v>
                </c:pt>
                <c:pt idx="20">
                  <c:v>32</c:v>
                </c:pt>
                <c:pt idx="21">
                  <c:v>33</c:v>
                </c:pt>
                <c:pt idx="22">
                  <c:v>33</c:v>
                </c:pt>
                <c:pt idx="23">
                  <c:v>33</c:v>
                </c:pt>
                <c:pt idx="24">
                  <c:v>33</c:v>
                </c:pt>
                <c:pt idx="25">
                  <c:v>35</c:v>
                </c:pt>
                <c:pt idx="26">
                  <c:v>38</c:v>
                </c:pt>
                <c:pt idx="27">
                  <c:v>38</c:v>
                </c:pt>
                <c:pt idx="28">
                  <c:v>38</c:v>
                </c:pt>
                <c:pt idx="29">
                  <c:v>39</c:v>
                </c:pt>
                <c:pt idx="30">
                  <c:v>42</c:v>
                </c:pt>
                <c:pt idx="31">
                  <c:v>42</c:v>
                </c:pt>
                <c:pt idx="32">
                  <c:v>42</c:v>
                </c:pt>
                <c:pt idx="33">
                  <c:v>42</c:v>
                </c:pt>
                <c:pt idx="34">
                  <c:v>42</c:v>
                </c:pt>
                <c:pt idx="35">
                  <c:v>42</c:v>
                </c:pt>
                <c:pt idx="36">
                  <c:v>42</c:v>
                </c:pt>
                <c:pt idx="37">
                  <c:v>42</c:v>
                </c:pt>
                <c:pt idx="38">
                  <c:v>42</c:v>
                </c:pt>
                <c:pt idx="39">
                  <c:v>43</c:v>
                </c:pt>
                <c:pt idx="40">
                  <c:v>43</c:v>
                </c:pt>
                <c:pt idx="41">
                  <c:v>43</c:v>
                </c:pt>
                <c:pt idx="42">
                  <c:v>43</c:v>
                </c:pt>
                <c:pt idx="43">
                  <c:v>44</c:v>
                </c:pt>
                <c:pt idx="44">
                  <c:v>44</c:v>
                </c:pt>
                <c:pt idx="45">
                  <c:v>44</c:v>
                </c:pt>
                <c:pt idx="46">
                  <c:v>44</c:v>
                </c:pt>
              </c:numCache>
            </c:numRef>
          </c:val>
          <c:smooth val="0"/>
          <c:extLst>
            <c:ext xmlns:c16="http://schemas.microsoft.com/office/drawing/2014/chart" uri="{C3380CC4-5D6E-409C-BE32-E72D297353CC}">
              <c16:uniqueId val="{00000001-B1A6-4C72-B45D-B85BE4FF7731}"/>
            </c:ext>
          </c:extLst>
        </c:ser>
        <c:ser>
          <c:idx val="3"/>
          <c:order val="1"/>
          <c:tx>
            <c:strRef>
              <c:f>Synopsis!$F$320</c:f>
              <c:strCache>
                <c:ptCount val="1"/>
                <c:pt idx="0">
                  <c:v>Ohr</c:v>
                </c:pt>
              </c:strCache>
            </c:strRef>
          </c:tx>
          <c:spPr>
            <a:ln>
              <a:solidFill>
                <a:srgbClr val="1F78B4"/>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Synopsis!$F$321:$F$367</c:f>
              <c:numCache>
                <c:formatCode>General</c:formatCode>
                <c:ptCount val="47"/>
                <c:pt idx="1">
                  <c:v>0</c:v>
                </c:pt>
                <c:pt idx="2">
                  <c:v>1</c:v>
                </c:pt>
                <c:pt idx="3">
                  <c:v>3</c:v>
                </c:pt>
                <c:pt idx="4">
                  <c:v>5</c:v>
                </c:pt>
                <c:pt idx="5">
                  <c:v>7</c:v>
                </c:pt>
                <c:pt idx="6">
                  <c:v>8</c:v>
                </c:pt>
                <c:pt idx="7">
                  <c:v>10</c:v>
                </c:pt>
                <c:pt idx="8">
                  <c:v>11</c:v>
                </c:pt>
                <c:pt idx="9">
                  <c:v>13</c:v>
                </c:pt>
                <c:pt idx="10">
                  <c:v>16</c:v>
                </c:pt>
                <c:pt idx="11">
                  <c:v>18</c:v>
                </c:pt>
                <c:pt idx="12">
                  <c:v>19</c:v>
                </c:pt>
                <c:pt idx="13">
                  <c:v>20</c:v>
                </c:pt>
                <c:pt idx="14">
                  <c:v>23</c:v>
                </c:pt>
                <c:pt idx="15">
                  <c:v>24</c:v>
                </c:pt>
                <c:pt idx="16">
                  <c:v>26</c:v>
                </c:pt>
                <c:pt idx="17">
                  <c:v>27</c:v>
                </c:pt>
                <c:pt idx="18">
                  <c:v>28</c:v>
                </c:pt>
                <c:pt idx="19">
                  <c:v>30</c:v>
                </c:pt>
                <c:pt idx="20">
                  <c:v>32</c:v>
                </c:pt>
                <c:pt idx="21">
                  <c:v>33</c:v>
                </c:pt>
                <c:pt idx="22">
                  <c:v>34</c:v>
                </c:pt>
                <c:pt idx="23">
                  <c:v>36</c:v>
                </c:pt>
                <c:pt idx="24">
                  <c:v>37</c:v>
                </c:pt>
                <c:pt idx="25">
                  <c:v>39</c:v>
                </c:pt>
                <c:pt idx="26">
                  <c:v>40</c:v>
                </c:pt>
                <c:pt idx="27">
                  <c:v>42</c:v>
                </c:pt>
                <c:pt idx="28">
                  <c:v>44</c:v>
                </c:pt>
                <c:pt idx="29">
                  <c:v>45</c:v>
                </c:pt>
                <c:pt idx="30">
                  <c:v>46</c:v>
                </c:pt>
                <c:pt idx="31">
                  <c:v>48</c:v>
                </c:pt>
                <c:pt idx="32">
                  <c:v>50</c:v>
                </c:pt>
                <c:pt idx="33">
                  <c:v>50</c:v>
                </c:pt>
                <c:pt idx="34">
                  <c:v>52</c:v>
                </c:pt>
                <c:pt idx="35">
                  <c:v>54</c:v>
                </c:pt>
                <c:pt idx="36">
                  <c:v>55</c:v>
                </c:pt>
                <c:pt idx="37">
                  <c:v>57</c:v>
                </c:pt>
                <c:pt idx="38">
                  <c:v>58</c:v>
                </c:pt>
                <c:pt idx="39">
                  <c:v>59</c:v>
                </c:pt>
                <c:pt idx="40">
                  <c:v>60</c:v>
                </c:pt>
                <c:pt idx="41">
                  <c:v>62</c:v>
                </c:pt>
                <c:pt idx="42">
                  <c:v>64</c:v>
                </c:pt>
                <c:pt idx="43">
                  <c:v>65</c:v>
                </c:pt>
                <c:pt idx="44">
                  <c:v>66</c:v>
                </c:pt>
                <c:pt idx="45">
                  <c:v>68</c:v>
                </c:pt>
                <c:pt idx="46">
                  <c:v>70</c:v>
                </c:pt>
              </c:numCache>
            </c:numRef>
          </c:val>
          <c:smooth val="0"/>
          <c:extLst>
            <c:ext xmlns:c16="http://schemas.microsoft.com/office/drawing/2014/chart" uri="{C3380CC4-5D6E-409C-BE32-E72D297353CC}">
              <c16:uniqueId val="{00000001-C09E-49BD-B4E8-994CF38D85B8}"/>
            </c:ext>
          </c:extLst>
        </c:ser>
        <c:ser>
          <c:idx val="4"/>
          <c:order val="2"/>
          <c:tx>
            <c:strRef>
              <c:f>Synopsis!$G$320</c:f>
              <c:strCache>
                <c:ptCount val="1"/>
                <c:pt idx="0">
                  <c:v>Talker</c:v>
                </c:pt>
              </c:strCache>
            </c:strRef>
          </c:tx>
          <c:spPr>
            <a:ln>
              <a:solidFill>
                <a:srgbClr val="B2DF8A"/>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Synopsis!$G$321:$G$367</c:f>
              <c:numCache>
                <c:formatCode>General</c:formatCode>
                <c:ptCount val="47"/>
                <c:pt idx="2">
                  <c:v>0</c:v>
                </c:pt>
                <c:pt idx="3">
                  <c:v>3</c:v>
                </c:pt>
                <c:pt idx="4">
                  <c:v>6</c:v>
                </c:pt>
                <c:pt idx="5">
                  <c:v>9</c:v>
                </c:pt>
                <c:pt idx="6">
                  <c:v>14</c:v>
                </c:pt>
                <c:pt idx="7">
                  <c:v>14</c:v>
                </c:pt>
                <c:pt idx="8">
                  <c:v>14</c:v>
                </c:pt>
                <c:pt idx="9">
                  <c:v>15</c:v>
                </c:pt>
                <c:pt idx="10">
                  <c:v>16</c:v>
                </c:pt>
                <c:pt idx="11">
                  <c:v>18</c:v>
                </c:pt>
                <c:pt idx="12">
                  <c:v>18</c:v>
                </c:pt>
                <c:pt idx="13">
                  <c:v>19</c:v>
                </c:pt>
                <c:pt idx="14">
                  <c:v>20</c:v>
                </c:pt>
                <c:pt idx="15">
                  <c:v>21</c:v>
                </c:pt>
                <c:pt idx="16">
                  <c:v>21</c:v>
                </c:pt>
                <c:pt idx="17">
                  <c:v>22</c:v>
                </c:pt>
                <c:pt idx="18">
                  <c:v>23</c:v>
                </c:pt>
                <c:pt idx="19">
                  <c:v>24</c:v>
                </c:pt>
                <c:pt idx="20">
                  <c:v>25</c:v>
                </c:pt>
                <c:pt idx="21">
                  <c:v>26</c:v>
                </c:pt>
                <c:pt idx="22">
                  <c:v>27</c:v>
                </c:pt>
                <c:pt idx="23">
                  <c:v>29</c:v>
                </c:pt>
                <c:pt idx="24">
                  <c:v>29</c:v>
                </c:pt>
                <c:pt idx="25">
                  <c:v>30</c:v>
                </c:pt>
                <c:pt idx="26">
                  <c:v>30</c:v>
                </c:pt>
                <c:pt idx="27">
                  <c:v>30</c:v>
                </c:pt>
                <c:pt idx="28">
                  <c:v>31</c:v>
                </c:pt>
                <c:pt idx="29">
                  <c:v>31</c:v>
                </c:pt>
                <c:pt idx="30">
                  <c:v>32</c:v>
                </c:pt>
                <c:pt idx="31">
                  <c:v>33</c:v>
                </c:pt>
                <c:pt idx="32">
                  <c:v>33</c:v>
                </c:pt>
                <c:pt idx="33">
                  <c:v>34</c:v>
                </c:pt>
                <c:pt idx="34">
                  <c:v>34</c:v>
                </c:pt>
                <c:pt idx="35">
                  <c:v>35</c:v>
                </c:pt>
                <c:pt idx="36">
                  <c:v>35</c:v>
                </c:pt>
                <c:pt idx="37">
                  <c:v>35</c:v>
                </c:pt>
                <c:pt idx="38">
                  <c:v>36</c:v>
                </c:pt>
                <c:pt idx="39">
                  <c:v>36</c:v>
                </c:pt>
                <c:pt idx="40">
                  <c:v>36</c:v>
                </c:pt>
                <c:pt idx="41">
                  <c:v>36</c:v>
                </c:pt>
                <c:pt idx="42">
                  <c:v>37</c:v>
                </c:pt>
                <c:pt idx="43">
                  <c:v>37</c:v>
                </c:pt>
                <c:pt idx="44">
                  <c:v>37</c:v>
                </c:pt>
                <c:pt idx="45">
                  <c:v>37</c:v>
                </c:pt>
                <c:pt idx="46">
                  <c:v>37</c:v>
                </c:pt>
              </c:numCache>
            </c:numRef>
          </c:val>
          <c:smooth val="0"/>
          <c:extLst>
            <c:ext xmlns:c16="http://schemas.microsoft.com/office/drawing/2014/chart" uri="{C3380CC4-5D6E-409C-BE32-E72D297353CC}">
              <c16:uniqueId val="{00000002-C09E-49BD-B4E8-994CF38D85B8}"/>
            </c:ext>
          </c:extLst>
        </c:ser>
        <c:ser>
          <c:idx val="5"/>
          <c:order val="3"/>
          <c:tx>
            <c:strRef>
              <c:f>Synopsis!$H$320</c:f>
              <c:strCache>
                <c:ptCount val="1"/>
                <c:pt idx="0">
                  <c:v>Fürst</c:v>
                </c:pt>
              </c:strCache>
            </c:strRef>
          </c:tx>
          <c:spPr>
            <a:ln>
              <a:solidFill>
                <a:srgbClr val="33A02C"/>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Synopsis!$H$321:$H$367</c:f>
              <c:numCache>
                <c:formatCode>General</c:formatCode>
                <c:ptCount val="47"/>
                <c:pt idx="11">
                  <c:v>0</c:v>
                </c:pt>
                <c:pt idx="12">
                  <c:v>41</c:v>
                </c:pt>
                <c:pt idx="13">
                  <c:v>65</c:v>
                </c:pt>
                <c:pt idx="14">
                  <c:v>103</c:v>
                </c:pt>
                <c:pt idx="15">
                  <c:v>128</c:v>
                </c:pt>
                <c:pt idx="16">
                  <c:v>135</c:v>
                </c:pt>
                <c:pt idx="17">
                  <c:v>135</c:v>
                </c:pt>
                <c:pt idx="18">
                  <c:v>135</c:v>
                </c:pt>
                <c:pt idx="19">
                  <c:v>135</c:v>
                </c:pt>
                <c:pt idx="20">
                  <c:v>135</c:v>
                </c:pt>
                <c:pt idx="21">
                  <c:v>135</c:v>
                </c:pt>
                <c:pt idx="22">
                  <c:v>135</c:v>
                </c:pt>
                <c:pt idx="23">
                  <c:v>135</c:v>
                </c:pt>
                <c:pt idx="24">
                  <c:v>135</c:v>
                </c:pt>
                <c:pt idx="25">
                  <c:v>135</c:v>
                </c:pt>
                <c:pt idx="26">
                  <c:v>135</c:v>
                </c:pt>
                <c:pt idx="27">
                  <c:v>135</c:v>
                </c:pt>
                <c:pt idx="28">
                  <c:v>135</c:v>
                </c:pt>
                <c:pt idx="29">
                  <c:v>135</c:v>
                </c:pt>
                <c:pt idx="30">
                  <c:v>135</c:v>
                </c:pt>
                <c:pt idx="31">
                  <c:v>135</c:v>
                </c:pt>
                <c:pt idx="32">
                  <c:v>135</c:v>
                </c:pt>
                <c:pt idx="33">
                  <c:v>135</c:v>
                </c:pt>
                <c:pt idx="34">
                  <c:v>135</c:v>
                </c:pt>
                <c:pt idx="35">
                  <c:v>135</c:v>
                </c:pt>
                <c:pt idx="36">
                  <c:v>135</c:v>
                </c:pt>
                <c:pt idx="37">
                  <c:v>135</c:v>
                </c:pt>
                <c:pt idx="38">
                  <c:v>135</c:v>
                </c:pt>
                <c:pt idx="39">
                  <c:v>135</c:v>
                </c:pt>
                <c:pt idx="40">
                  <c:v>135</c:v>
                </c:pt>
                <c:pt idx="41">
                  <c:v>135</c:v>
                </c:pt>
                <c:pt idx="42">
                  <c:v>135</c:v>
                </c:pt>
                <c:pt idx="43">
                  <c:v>135</c:v>
                </c:pt>
                <c:pt idx="44">
                  <c:v>135</c:v>
                </c:pt>
                <c:pt idx="45">
                  <c:v>135</c:v>
                </c:pt>
                <c:pt idx="46">
                  <c:v>135</c:v>
                </c:pt>
              </c:numCache>
            </c:numRef>
          </c:val>
          <c:smooth val="0"/>
          <c:extLst>
            <c:ext xmlns:c16="http://schemas.microsoft.com/office/drawing/2014/chart" uri="{C3380CC4-5D6E-409C-BE32-E72D297353CC}">
              <c16:uniqueId val="{00000003-C09E-49BD-B4E8-994CF38D85B8}"/>
            </c:ext>
          </c:extLst>
        </c:ser>
        <c:ser>
          <c:idx val="6"/>
          <c:order val="4"/>
          <c:tx>
            <c:strRef>
              <c:f>Synopsis!$I$320</c:f>
              <c:strCache>
                <c:ptCount val="1"/>
                <c:pt idx="0">
                  <c:v>Hoerst</c:v>
                </c:pt>
              </c:strCache>
            </c:strRef>
          </c:tx>
          <c:spPr>
            <a:ln>
              <a:solidFill>
                <a:srgbClr val="FB9A99"/>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Synopsis!$I$321:$I$367</c:f>
              <c:numCache>
                <c:formatCode>General</c:formatCode>
                <c:ptCount val="47"/>
                <c:pt idx="20">
                  <c:v>0</c:v>
                </c:pt>
                <c:pt idx="21">
                  <c:v>1</c:v>
                </c:pt>
                <c:pt idx="22">
                  <c:v>1</c:v>
                </c:pt>
                <c:pt idx="23">
                  <c:v>1</c:v>
                </c:pt>
                <c:pt idx="24">
                  <c:v>2</c:v>
                </c:pt>
                <c:pt idx="25">
                  <c:v>2</c:v>
                </c:pt>
                <c:pt idx="26">
                  <c:v>2</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numCache>
            </c:numRef>
          </c:val>
          <c:smooth val="0"/>
          <c:extLst>
            <c:ext xmlns:c16="http://schemas.microsoft.com/office/drawing/2014/chart" uri="{C3380CC4-5D6E-409C-BE32-E72D297353CC}">
              <c16:uniqueId val="{00000004-C09E-49BD-B4E8-994CF38D85B8}"/>
            </c:ext>
          </c:extLst>
        </c:ser>
        <c:ser>
          <c:idx val="7"/>
          <c:order val="5"/>
          <c:tx>
            <c:strRef>
              <c:f>Synopsis!$J$320</c:f>
              <c:strCache>
                <c:ptCount val="1"/>
                <c:pt idx="0">
                  <c:v>Schrott</c:v>
                </c:pt>
              </c:strCache>
            </c:strRef>
          </c:tx>
          <c:spPr>
            <a:ln>
              <a:solidFill>
                <a:srgbClr val="E31A1C"/>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Synopsis!$J$321:$J$367</c:f>
              <c:numCache>
                <c:formatCode>General</c:formatCode>
                <c:ptCount val="47"/>
                <c:pt idx="21">
                  <c:v>0</c:v>
                </c:pt>
                <c:pt idx="22">
                  <c:v>2</c:v>
                </c:pt>
                <c:pt idx="23">
                  <c:v>4</c:v>
                </c:pt>
                <c:pt idx="24">
                  <c:v>6</c:v>
                </c:pt>
                <c:pt idx="25">
                  <c:v>6</c:v>
                </c:pt>
                <c:pt idx="26">
                  <c:v>7</c:v>
                </c:pt>
                <c:pt idx="27">
                  <c:v>7</c:v>
                </c:pt>
                <c:pt idx="28">
                  <c:v>8</c:v>
                </c:pt>
                <c:pt idx="29">
                  <c:v>11</c:v>
                </c:pt>
                <c:pt idx="30">
                  <c:v>12</c:v>
                </c:pt>
                <c:pt idx="31">
                  <c:v>12</c:v>
                </c:pt>
                <c:pt idx="32">
                  <c:v>13</c:v>
                </c:pt>
                <c:pt idx="33">
                  <c:v>13</c:v>
                </c:pt>
                <c:pt idx="34">
                  <c:v>14</c:v>
                </c:pt>
                <c:pt idx="35">
                  <c:v>15</c:v>
                </c:pt>
                <c:pt idx="36">
                  <c:v>15</c:v>
                </c:pt>
                <c:pt idx="37">
                  <c:v>15</c:v>
                </c:pt>
                <c:pt idx="38">
                  <c:v>15</c:v>
                </c:pt>
                <c:pt idx="39">
                  <c:v>16</c:v>
                </c:pt>
                <c:pt idx="40">
                  <c:v>16</c:v>
                </c:pt>
                <c:pt idx="41">
                  <c:v>16</c:v>
                </c:pt>
                <c:pt idx="42">
                  <c:v>17</c:v>
                </c:pt>
                <c:pt idx="43">
                  <c:v>17</c:v>
                </c:pt>
                <c:pt idx="44">
                  <c:v>18</c:v>
                </c:pt>
                <c:pt idx="45">
                  <c:v>18</c:v>
                </c:pt>
                <c:pt idx="46">
                  <c:v>18</c:v>
                </c:pt>
              </c:numCache>
            </c:numRef>
          </c:val>
          <c:smooth val="0"/>
          <c:extLst>
            <c:ext xmlns:c16="http://schemas.microsoft.com/office/drawing/2014/chart" uri="{C3380CC4-5D6E-409C-BE32-E72D297353CC}">
              <c16:uniqueId val="{00000005-C09E-49BD-B4E8-994CF38D85B8}"/>
            </c:ext>
          </c:extLst>
        </c:ser>
        <c:ser>
          <c:idx val="0"/>
          <c:order val="6"/>
          <c:tx>
            <c:strRef>
              <c:f>Synopsis!$K$320</c:f>
              <c:strCache>
                <c:ptCount val="1"/>
                <c:pt idx="0">
                  <c:v>Keller</c:v>
                </c:pt>
              </c:strCache>
            </c:strRef>
          </c:tx>
          <c:spPr>
            <a:ln>
              <a:solidFill>
                <a:srgbClr val="A6CEE3"/>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Synopsis!$K$321:$K$367</c:f>
              <c:numCache>
                <c:formatCode>General</c:formatCode>
                <c:ptCount val="47"/>
                <c:pt idx="21">
                  <c:v>0</c:v>
                </c:pt>
                <c:pt idx="22">
                  <c:v>1</c:v>
                </c:pt>
                <c:pt idx="23">
                  <c:v>4</c:v>
                </c:pt>
                <c:pt idx="24">
                  <c:v>6</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numCache>
            </c:numRef>
          </c:val>
          <c:smooth val="0"/>
          <c:extLst>
            <c:ext xmlns:c16="http://schemas.microsoft.com/office/drawing/2014/chart" uri="{C3380CC4-5D6E-409C-BE32-E72D297353CC}">
              <c16:uniqueId val="{00000000-C09E-49BD-B4E8-994CF38D85B8}"/>
            </c:ext>
          </c:extLst>
        </c:ser>
        <c:ser>
          <c:idx val="8"/>
          <c:order val="7"/>
          <c:tx>
            <c:strRef>
              <c:f>Synopsis!$L$320</c:f>
              <c:strCache>
                <c:ptCount val="1"/>
                <c:pt idx="0">
                  <c:v>SSP</c:v>
                </c:pt>
              </c:strCache>
            </c:strRef>
          </c:tx>
          <c:spPr>
            <a:ln>
              <a:solidFill>
                <a:srgbClr val="FDBF6F"/>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Synopsis!$L$321:$L$367</c:f>
              <c:numCache>
                <c:formatCode>General</c:formatCode>
                <c:ptCount val="47"/>
                <c:pt idx="23">
                  <c:v>0</c:v>
                </c:pt>
                <c:pt idx="24">
                  <c:v>6</c:v>
                </c:pt>
                <c:pt idx="25">
                  <c:v>10</c:v>
                </c:pt>
                <c:pt idx="26">
                  <c:v>14</c:v>
                </c:pt>
                <c:pt idx="27">
                  <c:v>18</c:v>
                </c:pt>
                <c:pt idx="28">
                  <c:v>23</c:v>
                </c:pt>
                <c:pt idx="29">
                  <c:v>27</c:v>
                </c:pt>
                <c:pt idx="30">
                  <c:v>32</c:v>
                </c:pt>
                <c:pt idx="31">
                  <c:v>36</c:v>
                </c:pt>
                <c:pt idx="32">
                  <c:v>41</c:v>
                </c:pt>
                <c:pt idx="33">
                  <c:v>45</c:v>
                </c:pt>
                <c:pt idx="34">
                  <c:v>50</c:v>
                </c:pt>
                <c:pt idx="35">
                  <c:v>55</c:v>
                </c:pt>
                <c:pt idx="36">
                  <c:v>60</c:v>
                </c:pt>
                <c:pt idx="37">
                  <c:v>67</c:v>
                </c:pt>
                <c:pt idx="38">
                  <c:v>75</c:v>
                </c:pt>
                <c:pt idx="39">
                  <c:v>79</c:v>
                </c:pt>
                <c:pt idx="40">
                  <c:v>83</c:v>
                </c:pt>
                <c:pt idx="41">
                  <c:v>89</c:v>
                </c:pt>
                <c:pt idx="42">
                  <c:v>97</c:v>
                </c:pt>
                <c:pt idx="43">
                  <c:v>102</c:v>
                </c:pt>
                <c:pt idx="44">
                  <c:v>106</c:v>
                </c:pt>
                <c:pt idx="45">
                  <c:v>108</c:v>
                </c:pt>
                <c:pt idx="46">
                  <c:v>112</c:v>
                </c:pt>
              </c:numCache>
            </c:numRef>
          </c:val>
          <c:smooth val="0"/>
          <c:extLst>
            <c:ext xmlns:c16="http://schemas.microsoft.com/office/drawing/2014/chart" uri="{C3380CC4-5D6E-409C-BE32-E72D297353CC}">
              <c16:uniqueId val="{00000006-C09E-49BD-B4E8-994CF38D85B8}"/>
            </c:ext>
          </c:extLst>
        </c:ser>
        <c:ser>
          <c:idx val="9"/>
          <c:order val="8"/>
          <c:tx>
            <c:strRef>
              <c:f>Synopsis!$M$320</c:f>
              <c:strCache>
                <c:ptCount val="1"/>
                <c:pt idx="0">
                  <c:v>R&amp;A</c:v>
                </c:pt>
              </c:strCache>
            </c:strRef>
          </c:tx>
          <c:spPr>
            <a:ln>
              <a:solidFill>
                <a:srgbClr val="FF7F00"/>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Synopsis!$M$321:$M$367</c:f>
              <c:numCache>
                <c:formatCode>General</c:formatCode>
                <c:ptCount val="47"/>
                <c:pt idx="26">
                  <c:v>0</c:v>
                </c:pt>
                <c:pt idx="27">
                  <c:v>2</c:v>
                </c:pt>
                <c:pt idx="28">
                  <c:v>6</c:v>
                </c:pt>
                <c:pt idx="29">
                  <c:v>9</c:v>
                </c:pt>
                <c:pt idx="30">
                  <c:v>13</c:v>
                </c:pt>
                <c:pt idx="31">
                  <c:v>16</c:v>
                </c:pt>
                <c:pt idx="32">
                  <c:v>18</c:v>
                </c:pt>
                <c:pt idx="33">
                  <c:v>21</c:v>
                </c:pt>
                <c:pt idx="34">
                  <c:v>25</c:v>
                </c:pt>
                <c:pt idx="35">
                  <c:v>28</c:v>
                </c:pt>
                <c:pt idx="36">
                  <c:v>30</c:v>
                </c:pt>
                <c:pt idx="37">
                  <c:v>33</c:v>
                </c:pt>
                <c:pt idx="38">
                  <c:v>36</c:v>
                </c:pt>
                <c:pt idx="39">
                  <c:v>39</c:v>
                </c:pt>
                <c:pt idx="40">
                  <c:v>42</c:v>
                </c:pt>
                <c:pt idx="41">
                  <c:v>45</c:v>
                </c:pt>
                <c:pt idx="42">
                  <c:v>47</c:v>
                </c:pt>
                <c:pt idx="43">
                  <c:v>49</c:v>
                </c:pt>
                <c:pt idx="44">
                  <c:v>52</c:v>
                </c:pt>
                <c:pt idx="45">
                  <c:v>55</c:v>
                </c:pt>
                <c:pt idx="46">
                  <c:v>57</c:v>
                </c:pt>
              </c:numCache>
            </c:numRef>
          </c:val>
          <c:smooth val="0"/>
          <c:extLst>
            <c:ext xmlns:c16="http://schemas.microsoft.com/office/drawing/2014/chart" uri="{C3380CC4-5D6E-409C-BE32-E72D297353CC}">
              <c16:uniqueId val="{00000007-C09E-49BD-B4E8-994CF38D85B8}"/>
            </c:ext>
          </c:extLst>
        </c:ser>
        <c:ser>
          <c:idx val="10"/>
          <c:order val="9"/>
          <c:tx>
            <c:v>DiE 2WO*</c:v>
          </c:tx>
          <c:spPr>
            <a:ln>
              <a:solidFill>
                <a:srgbClr val="CAB2D6"/>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Synopsis!$N$321:$N$367</c:f>
              <c:numCache>
                <c:formatCode>General</c:formatCode>
                <c:ptCount val="47"/>
                <c:pt idx="29">
                  <c:v>0</c:v>
                </c:pt>
                <c:pt idx="30">
                  <c:v>6</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numCache>
            </c:numRef>
          </c:val>
          <c:smooth val="0"/>
          <c:extLst>
            <c:ext xmlns:c16="http://schemas.microsoft.com/office/drawing/2014/chart" uri="{C3380CC4-5D6E-409C-BE32-E72D297353CC}">
              <c16:uniqueId val="{00000008-C09E-49BD-B4E8-994CF38D85B8}"/>
            </c:ext>
          </c:extLst>
        </c:ser>
        <c:ser>
          <c:idx val="11"/>
          <c:order val="10"/>
          <c:tx>
            <c:strRef>
              <c:f>Synopsis!$O$320</c:f>
              <c:strCache>
                <c:ptCount val="1"/>
                <c:pt idx="0">
                  <c:v>Zentrale</c:v>
                </c:pt>
              </c:strCache>
            </c:strRef>
          </c:tx>
          <c:spPr>
            <a:ln>
              <a:solidFill>
                <a:srgbClr val="6A3D9A"/>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Synopsis!$O$321:$O$367</c:f>
              <c:numCache>
                <c:formatCode>General</c:formatCode>
                <c:ptCount val="47"/>
                <c:pt idx="30">
                  <c:v>0</c:v>
                </c:pt>
                <c:pt idx="31">
                  <c:v>7</c:v>
                </c:pt>
                <c:pt idx="32">
                  <c:v>12</c:v>
                </c:pt>
                <c:pt idx="33">
                  <c:v>15</c:v>
                </c:pt>
                <c:pt idx="34">
                  <c:v>19</c:v>
                </c:pt>
                <c:pt idx="35">
                  <c:v>22</c:v>
                </c:pt>
                <c:pt idx="36">
                  <c:v>26</c:v>
                </c:pt>
                <c:pt idx="37">
                  <c:v>28</c:v>
                </c:pt>
                <c:pt idx="38">
                  <c:v>30</c:v>
                </c:pt>
                <c:pt idx="39">
                  <c:v>32</c:v>
                </c:pt>
                <c:pt idx="40">
                  <c:v>34</c:v>
                </c:pt>
                <c:pt idx="41">
                  <c:v>36</c:v>
                </c:pt>
                <c:pt idx="42">
                  <c:v>39</c:v>
                </c:pt>
                <c:pt idx="43">
                  <c:v>41</c:v>
                </c:pt>
                <c:pt idx="44">
                  <c:v>45</c:v>
                </c:pt>
                <c:pt idx="45">
                  <c:v>47</c:v>
                </c:pt>
                <c:pt idx="46">
                  <c:v>49</c:v>
                </c:pt>
              </c:numCache>
            </c:numRef>
          </c:val>
          <c:smooth val="0"/>
          <c:extLst>
            <c:ext xmlns:c16="http://schemas.microsoft.com/office/drawing/2014/chart" uri="{C3380CC4-5D6E-409C-BE32-E72D297353CC}">
              <c16:uniqueId val="{00000009-C09E-49BD-B4E8-994CF38D85B8}"/>
            </c:ext>
          </c:extLst>
        </c:ser>
        <c:ser>
          <c:idx val="12"/>
          <c:order val="11"/>
          <c:tx>
            <c:strRef>
              <c:f>Synopsis!$P$320</c:f>
              <c:strCache>
                <c:ptCount val="1"/>
                <c:pt idx="0">
                  <c:v>Gebraucht</c:v>
                </c:pt>
              </c:strCache>
            </c:strRef>
          </c:tx>
          <c:spPr>
            <a:ln>
              <a:solidFill>
                <a:srgbClr val="F9F975"/>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Synopsis!$P$321:$P$367</c:f>
              <c:numCache>
                <c:formatCode>General</c:formatCode>
                <c:ptCount val="47"/>
                <c:pt idx="31">
                  <c:v>0</c:v>
                </c:pt>
                <c:pt idx="32">
                  <c:v>3</c:v>
                </c:pt>
                <c:pt idx="33">
                  <c:v>4</c:v>
                </c:pt>
                <c:pt idx="34">
                  <c:v>4</c:v>
                </c:pt>
                <c:pt idx="35">
                  <c:v>4</c:v>
                </c:pt>
                <c:pt idx="36">
                  <c:v>4</c:v>
                </c:pt>
                <c:pt idx="37">
                  <c:v>4</c:v>
                </c:pt>
                <c:pt idx="38">
                  <c:v>4</c:v>
                </c:pt>
                <c:pt idx="39">
                  <c:v>4</c:v>
                </c:pt>
                <c:pt idx="40">
                  <c:v>4</c:v>
                </c:pt>
                <c:pt idx="41">
                  <c:v>4</c:v>
                </c:pt>
                <c:pt idx="42">
                  <c:v>4</c:v>
                </c:pt>
                <c:pt idx="43">
                  <c:v>4</c:v>
                </c:pt>
                <c:pt idx="44">
                  <c:v>4</c:v>
                </c:pt>
                <c:pt idx="45">
                  <c:v>6</c:v>
                </c:pt>
                <c:pt idx="46">
                  <c:v>7</c:v>
                </c:pt>
              </c:numCache>
            </c:numRef>
          </c:val>
          <c:smooth val="0"/>
          <c:extLst>
            <c:ext xmlns:c16="http://schemas.microsoft.com/office/drawing/2014/chart" uri="{C3380CC4-5D6E-409C-BE32-E72D297353CC}">
              <c16:uniqueId val="{0000000A-C09E-49BD-B4E8-994CF38D85B8}"/>
            </c:ext>
          </c:extLst>
        </c:ser>
        <c:ser>
          <c:idx val="13"/>
          <c:order val="12"/>
          <c:tx>
            <c:strRef>
              <c:f>Synopsis!$Q$320</c:f>
              <c:strCache>
                <c:ptCount val="1"/>
                <c:pt idx="0">
                  <c:v>Retro</c:v>
                </c:pt>
              </c:strCache>
            </c:strRef>
          </c:tx>
          <c:spPr>
            <a:ln>
              <a:solidFill>
                <a:srgbClr val="B15928"/>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Synopsis!$Q$321:$Q$367</c:f>
              <c:numCache>
                <c:formatCode>General</c:formatCode>
                <c:ptCount val="47"/>
                <c:pt idx="31">
                  <c:v>0</c:v>
                </c:pt>
                <c:pt idx="32">
                  <c:v>1</c:v>
                </c:pt>
                <c:pt idx="33">
                  <c:v>2</c:v>
                </c:pt>
                <c:pt idx="34">
                  <c:v>3</c:v>
                </c:pt>
                <c:pt idx="35">
                  <c:v>4</c:v>
                </c:pt>
                <c:pt idx="36">
                  <c:v>5</c:v>
                </c:pt>
                <c:pt idx="37">
                  <c:v>5</c:v>
                </c:pt>
                <c:pt idx="38">
                  <c:v>5</c:v>
                </c:pt>
                <c:pt idx="39">
                  <c:v>5</c:v>
                </c:pt>
                <c:pt idx="40">
                  <c:v>5</c:v>
                </c:pt>
                <c:pt idx="41">
                  <c:v>5</c:v>
                </c:pt>
                <c:pt idx="42">
                  <c:v>5</c:v>
                </c:pt>
                <c:pt idx="43">
                  <c:v>5</c:v>
                </c:pt>
                <c:pt idx="44">
                  <c:v>5</c:v>
                </c:pt>
                <c:pt idx="45">
                  <c:v>5</c:v>
                </c:pt>
                <c:pt idx="46">
                  <c:v>5</c:v>
                </c:pt>
              </c:numCache>
            </c:numRef>
          </c:val>
          <c:smooth val="0"/>
          <c:extLst>
            <c:ext xmlns:c16="http://schemas.microsoft.com/office/drawing/2014/chart" uri="{C3380CC4-5D6E-409C-BE32-E72D297353CC}">
              <c16:uniqueId val="{0000000B-C09E-49BD-B4E8-994CF38D85B8}"/>
            </c:ext>
          </c:extLst>
        </c:ser>
        <c:ser>
          <c:idx val="1"/>
          <c:order val="13"/>
          <c:tx>
            <c:strRef>
              <c:f>Synopsis!$R$320</c:f>
              <c:strCache>
                <c:ptCount val="1"/>
                <c:pt idx="0">
                  <c:v>Platz</c:v>
                </c:pt>
              </c:strCache>
            </c:strRef>
          </c:tx>
          <c:spPr>
            <a:ln>
              <a:solidFill>
                <a:srgbClr val="9FBCC7"/>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Synopsis!$R$321:$R$367</c:f>
              <c:numCache>
                <c:formatCode>General</c:formatCode>
                <c:ptCount val="47"/>
                <c:pt idx="34">
                  <c:v>0</c:v>
                </c:pt>
                <c:pt idx="35">
                  <c:v>1</c:v>
                </c:pt>
                <c:pt idx="36">
                  <c:v>3</c:v>
                </c:pt>
                <c:pt idx="37">
                  <c:v>3</c:v>
                </c:pt>
                <c:pt idx="38">
                  <c:v>4</c:v>
                </c:pt>
                <c:pt idx="39">
                  <c:v>5</c:v>
                </c:pt>
                <c:pt idx="40">
                  <c:v>7</c:v>
                </c:pt>
                <c:pt idx="41">
                  <c:v>7</c:v>
                </c:pt>
                <c:pt idx="42">
                  <c:v>7</c:v>
                </c:pt>
                <c:pt idx="43">
                  <c:v>7</c:v>
                </c:pt>
                <c:pt idx="44">
                  <c:v>7</c:v>
                </c:pt>
                <c:pt idx="45">
                  <c:v>7</c:v>
                </c:pt>
                <c:pt idx="46">
                  <c:v>7</c:v>
                </c:pt>
              </c:numCache>
            </c:numRef>
          </c:val>
          <c:smooth val="0"/>
          <c:extLst>
            <c:ext xmlns:c16="http://schemas.microsoft.com/office/drawing/2014/chart" uri="{C3380CC4-5D6E-409C-BE32-E72D297353CC}">
              <c16:uniqueId val="{0000000C-C09E-49BD-B4E8-994CF38D85B8}"/>
            </c:ext>
          </c:extLst>
        </c:ser>
        <c:ser>
          <c:idx val="22"/>
          <c:order val="14"/>
          <c:tx>
            <c:strRef>
              <c:f>Synopsis!$S$320</c:f>
              <c:strCache>
                <c:ptCount val="1"/>
                <c:pt idx="0">
                  <c:v>Abfahrt</c:v>
                </c:pt>
              </c:strCache>
            </c:strRef>
          </c:tx>
          <c:spPr>
            <a:ln>
              <a:solidFill>
                <a:srgbClr val="FF9933"/>
              </a:solidFill>
            </a:ln>
          </c:spPr>
          <c:marker>
            <c:symbol val="none"/>
          </c:marker>
          <c:val>
            <c:numRef>
              <c:f>Synopsis!$S$321:$S$367</c:f>
              <c:numCache>
                <c:formatCode>General</c:formatCode>
                <c:ptCount val="47"/>
                <c:pt idx="35">
                  <c:v>0</c:v>
                </c:pt>
                <c:pt idx="36">
                  <c:v>2</c:v>
                </c:pt>
                <c:pt idx="37">
                  <c:v>5</c:v>
                </c:pt>
                <c:pt idx="38">
                  <c:v>8</c:v>
                </c:pt>
                <c:pt idx="39">
                  <c:v>11</c:v>
                </c:pt>
                <c:pt idx="40">
                  <c:v>14</c:v>
                </c:pt>
                <c:pt idx="41">
                  <c:v>17</c:v>
                </c:pt>
                <c:pt idx="42">
                  <c:v>20</c:v>
                </c:pt>
                <c:pt idx="43">
                  <c:v>23</c:v>
                </c:pt>
                <c:pt idx="44">
                  <c:v>26</c:v>
                </c:pt>
                <c:pt idx="45">
                  <c:v>29</c:v>
                </c:pt>
                <c:pt idx="46">
                  <c:v>31</c:v>
                </c:pt>
              </c:numCache>
            </c:numRef>
          </c:val>
          <c:smooth val="0"/>
          <c:extLst>
            <c:ext xmlns:c16="http://schemas.microsoft.com/office/drawing/2014/chart" uri="{C3380CC4-5D6E-409C-BE32-E72D297353CC}">
              <c16:uniqueId val="{00000000-FFC3-46ED-A8B3-98E9960C765D}"/>
            </c:ext>
          </c:extLst>
        </c:ser>
        <c:ser>
          <c:idx val="2"/>
          <c:order val="15"/>
          <c:tx>
            <c:strRef>
              <c:f>Synopsis!$T$320</c:f>
              <c:strCache>
                <c:ptCount val="1"/>
                <c:pt idx="0">
                  <c:v>Lampe</c:v>
                </c:pt>
              </c:strCache>
            </c:strRef>
          </c:tx>
          <c:spPr>
            <a:ln>
              <a:solidFill>
                <a:srgbClr val="66CCCC"/>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Synopsis!$T$321:$T$367</c:f>
              <c:numCache>
                <c:formatCode>General</c:formatCode>
                <c:ptCount val="47"/>
                <c:pt idx="36">
                  <c:v>0</c:v>
                </c:pt>
                <c:pt idx="37">
                  <c:v>1</c:v>
                </c:pt>
                <c:pt idx="38">
                  <c:v>3</c:v>
                </c:pt>
                <c:pt idx="39">
                  <c:v>3</c:v>
                </c:pt>
                <c:pt idx="40">
                  <c:v>3</c:v>
                </c:pt>
                <c:pt idx="41">
                  <c:v>3</c:v>
                </c:pt>
                <c:pt idx="42">
                  <c:v>3</c:v>
                </c:pt>
                <c:pt idx="43">
                  <c:v>3</c:v>
                </c:pt>
                <c:pt idx="44">
                  <c:v>3</c:v>
                </c:pt>
                <c:pt idx="45">
                  <c:v>3</c:v>
                </c:pt>
                <c:pt idx="46">
                  <c:v>3</c:v>
                </c:pt>
              </c:numCache>
            </c:numRef>
          </c:val>
          <c:smooth val="0"/>
          <c:extLst>
            <c:ext xmlns:c16="http://schemas.microsoft.com/office/drawing/2014/chart" uri="{C3380CC4-5D6E-409C-BE32-E72D297353CC}">
              <c16:uniqueId val="{0000000D-C09E-49BD-B4E8-994CF38D85B8}"/>
            </c:ext>
          </c:extLst>
        </c:ser>
        <c:ser>
          <c:idx val="14"/>
          <c:order val="16"/>
          <c:tx>
            <c:strRef>
              <c:f>Synopsis!$U$320</c:f>
              <c:strCache>
                <c:ptCount val="1"/>
                <c:pt idx="0">
                  <c:v>Zeichen</c:v>
                </c:pt>
              </c:strCache>
            </c:strRef>
          </c:tx>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Synopsis!$U$321:$U$367</c:f>
              <c:numCache>
                <c:formatCode>General</c:formatCode>
                <c:ptCount val="47"/>
                <c:pt idx="36">
                  <c:v>0</c:v>
                </c:pt>
                <c:pt idx="37">
                  <c:v>2</c:v>
                </c:pt>
                <c:pt idx="38">
                  <c:v>5</c:v>
                </c:pt>
                <c:pt idx="39">
                  <c:v>8</c:v>
                </c:pt>
                <c:pt idx="40">
                  <c:v>11</c:v>
                </c:pt>
                <c:pt idx="41">
                  <c:v>14</c:v>
                </c:pt>
                <c:pt idx="42">
                  <c:v>17</c:v>
                </c:pt>
                <c:pt idx="43">
                  <c:v>20</c:v>
                </c:pt>
                <c:pt idx="44">
                  <c:v>23</c:v>
                </c:pt>
                <c:pt idx="45">
                  <c:v>25</c:v>
                </c:pt>
                <c:pt idx="46">
                  <c:v>26</c:v>
                </c:pt>
              </c:numCache>
            </c:numRef>
          </c:val>
          <c:smooth val="0"/>
          <c:extLst>
            <c:ext xmlns:c16="http://schemas.microsoft.com/office/drawing/2014/chart" uri="{C3380CC4-5D6E-409C-BE32-E72D297353CC}">
              <c16:uniqueId val="{00000001-6157-4758-BD28-ABC16C2253A6}"/>
            </c:ext>
          </c:extLst>
        </c:ser>
        <c:ser>
          <c:idx val="15"/>
          <c:order val="17"/>
          <c:tx>
            <c:strRef>
              <c:f>Synopsis!$V$320</c:f>
              <c:strCache>
                <c:ptCount val="1"/>
                <c:pt idx="0">
                  <c:v>Fan</c:v>
                </c:pt>
              </c:strCache>
            </c:strRef>
          </c:tx>
          <c:spPr>
            <a:ln>
              <a:solidFill>
                <a:srgbClr val="669933"/>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Synopsis!$V$321:$V$367</c:f>
              <c:numCache>
                <c:formatCode>General</c:formatCode>
                <c:ptCount val="47"/>
                <c:pt idx="37">
                  <c:v>0</c:v>
                </c:pt>
                <c:pt idx="38">
                  <c:v>3</c:v>
                </c:pt>
                <c:pt idx="39">
                  <c:v>5</c:v>
                </c:pt>
                <c:pt idx="40">
                  <c:v>8</c:v>
                </c:pt>
                <c:pt idx="41">
                  <c:v>11</c:v>
                </c:pt>
                <c:pt idx="42">
                  <c:v>12</c:v>
                </c:pt>
                <c:pt idx="43">
                  <c:v>13</c:v>
                </c:pt>
                <c:pt idx="44">
                  <c:v>13</c:v>
                </c:pt>
                <c:pt idx="45">
                  <c:v>13</c:v>
                </c:pt>
                <c:pt idx="46">
                  <c:v>13</c:v>
                </c:pt>
              </c:numCache>
            </c:numRef>
          </c:val>
          <c:smooth val="0"/>
          <c:extLst>
            <c:ext xmlns:c16="http://schemas.microsoft.com/office/drawing/2014/chart" uri="{C3380CC4-5D6E-409C-BE32-E72D297353CC}">
              <c16:uniqueId val="{00000002-6157-4758-BD28-ABC16C2253A6}"/>
            </c:ext>
          </c:extLst>
        </c:ser>
        <c:ser>
          <c:idx val="16"/>
          <c:order val="18"/>
          <c:tx>
            <c:strRef>
              <c:f>Synopsis!$W$320</c:f>
              <c:strCache>
                <c:ptCount val="1"/>
                <c:pt idx="0">
                  <c:v>Kaffee</c:v>
                </c:pt>
              </c:strCache>
            </c:strRef>
          </c:tx>
          <c:spPr>
            <a:ln>
              <a:solidFill>
                <a:srgbClr val="816759"/>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Synopsis!$W$321:$W$367</c:f>
              <c:numCache>
                <c:formatCode>General</c:formatCode>
                <c:ptCount val="47"/>
                <c:pt idx="37">
                  <c:v>0</c:v>
                </c:pt>
                <c:pt idx="38">
                  <c:v>6</c:v>
                </c:pt>
                <c:pt idx="39">
                  <c:v>15</c:v>
                </c:pt>
                <c:pt idx="40">
                  <c:v>24</c:v>
                </c:pt>
                <c:pt idx="41">
                  <c:v>28</c:v>
                </c:pt>
                <c:pt idx="42">
                  <c:v>36</c:v>
                </c:pt>
                <c:pt idx="43">
                  <c:v>43</c:v>
                </c:pt>
                <c:pt idx="44">
                  <c:v>47</c:v>
                </c:pt>
                <c:pt idx="45">
                  <c:v>53</c:v>
                </c:pt>
                <c:pt idx="46">
                  <c:v>58</c:v>
                </c:pt>
              </c:numCache>
            </c:numRef>
          </c:val>
          <c:smooth val="0"/>
          <c:extLst>
            <c:ext xmlns:c16="http://schemas.microsoft.com/office/drawing/2014/chart" uri="{C3380CC4-5D6E-409C-BE32-E72D297353CC}">
              <c16:uniqueId val="{00000003-6157-4758-BD28-ABC16C2253A6}"/>
            </c:ext>
          </c:extLst>
        </c:ser>
        <c:ser>
          <c:idx val="17"/>
          <c:order val="19"/>
          <c:tx>
            <c:strRef>
              <c:f>Synopsis!$X$320</c:f>
              <c:strCache>
                <c:ptCount val="1"/>
                <c:pt idx="0">
                  <c:v>Kuchen</c:v>
                </c:pt>
              </c:strCache>
            </c:strRef>
          </c:tx>
          <c:spPr>
            <a:ln>
              <a:solidFill>
                <a:srgbClr val="BC80BD"/>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Synopsis!$X$321:$X$367</c:f>
              <c:numCache>
                <c:formatCode>General</c:formatCode>
                <c:ptCount val="47"/>
                <c:pt idx="37">
                  <c:v>0</c:v>
                </c:pt>
                <c:pt idx="38">
                  <c:v>5</c:v>
                </c:pt>
                <c:pt idx="39">
                  <c:v>17</c:v>
                </c:pt>
                <c:pt idx="40">
                  <c:v>30</c:v>
                </c:pt>
                <c:pt idx="41">
                  <c:v>34</c:v>
                </c:pt>
                <c:pt idx="42">
                  <c:v>40</c:v>
                </c:pt>
                <c:pt idx="43">
                  <c:v>46</c:v>
                </c:pt>
                <c:pt idx="44">
                  <c:v>53</c:v>
                </c:pt>
                <c:pt idx="45">
                  <c:v>59</c:v>
                </c:pt>
                <c:pt idx="46">
                  <c:v>65</c:v>
                </c:pt>
              </c:numCache>
            </c:numRef>
          </c:val>
          <c:smooth val="0"/>
          <c:extLst>
            <c:ext xmlns:c16="http://schemas.microsoft.com/office/drawing/2014/chart" uri="{C3380CC4-5D6E-409C-BE32-E72D297353CC}">
              <c16:uniqueId val="{00000004-6157-4758-BD28-ABC16C2253A6}"/>
            </c:ext>
          </c:extLst>
        </c:ser>
        <c:ser>
          <c:idx val="18"/>
          <c:order val="20"/>
          <c:tx>
            <c:strRef>
              <c:f>Synopsis!$Y$320</c:f>
              <c:strCache>
                <c:ptCount val="1"/>
                <c:pt idx="0">
                  <c:v>Verstärker</c:v>
                </c:pt>
              </c:strCache>
            </c:strRef>
          </c:tx>
          <c:spPr>
            <a:ln>
              <a:solidFill>
                <a:srgbClr val="F4F175"/>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Synopsis!$Y$321:$Y$367</c:f>
              <c:numCache>
                <c:formatCode>General</c:formatCode>
                <c:ptCount val="47"/>
                <c:pt idx="38">
                  <c:v>0</c:v>
                </c:pt>
                <c:pt idx="39">
                  <c:v>3</c:v>
                </c:pt>
                <c:pt idx="40">
                  <c:v>9</c:v>
                </c:pt>
                <c:pt idx="41">
                  <c:v>14</c:v>
                </c:pt>
                <c:pt idx="42">
                  <c:v>20</c:v>
                </c:pt>
                <c:pt idx="43">
                  <c:v>26</c:v>
                </c:pt>
                <c:pt idx="44">
                  <c:v>32</c:v>
                </c:pt>
                <c:pt idx="45">
                  <c:v>38</c:v>
                </c:pt>
                <c:pt idx="46">
                  <c:v>44</c:v>
                </c:pt>
              </c:numCache>
            </c:numRef>
          </c:val>
          <c:smooth val="0"/>
          <c:extLst>
            <c:ext xmlns:c16="http://schemas.microsoft.com/office/drawing/2014/chart" uri="{C3380CC4-5D6E-409C-BE32-E72D297353CC}">
              <c16:uniqueId val="{00000005-6157-4758-BD28-ABC16C2253A6}"/>
            </c:ext>
          </c:extLst>
        </c:ser>
        <c:ser>
          <c:idx val="19"/>
          <c:order val="21"/>
          <c:tx>
            <c:strRef>
              <c:f>Synopsis!$Z$320</c:f>
              <c:strCache>
                <c:ptCount val="1"/>
                <c:pt idx="0">
                  <c:v>Rose</c:v>
                </c:pt>
              </c:strCache>
            </c:strRef>
          </c:tx>
          <c:spPr>
            <a:ln>
              <a:solidFill>
                <a:srgbClr val="FCCDE5"/>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Synopsis!$Z$321:$Z$367</c:f>
              <c:numCache>
                <c:formatCode>General</c:formatCode>
                <c:ptCount val="47"/>
                <c:pt idx="39">
                  <c:v>0</c:v>
                </c:pt>
                <c:pt idx="40">
                  <c:v>1</c:v>
                </c:pt>
                <c:pt idx="41">
                  <c:v>1</c:v>
                </c:pt>
                <c:pt idx="42">
                  <c:v>2</c:v>
                </c:pt>
                <c:pt idx="43">
                  <c:v>3</c:v>
                </c:pt>
                <c:pt idx="44">
                  <c:v>3</c:v>
                </c:pt>
                <c:pt idx="45">
                  <c:v>4</c:v>
                </c:pt>
                <c:pt idx="46">
                  <c:v>5</c:v>
                </c:pt>
              </c:numCache>
            </c:numRef>
          </c:val>
          <c:smooth val="0"/>
          <c:extLst>
            <c:ext xmlns:c16="http://schemas.microsoft.com/office/drawing/2014/chart" uri="{C3380CC4-5D6E-409C-BE32-E72D297353CC}">
              <c16:uniqueId val="{00000002-8C09-4B9A-8878-7C8D73E583FB}"/>
            </c:ext>
          </c:extLst>
        </c:ser>
        <c:ser>
          <c:idx val="20"/>
          <c:order val="22"/>
          <c:tx>
            <c:strRef>
              <c:f>Synopsis!$AA$320</c:f>
              <c:strCache>
                <c:ptCount val="1"/>
                <c:pt idx="0">
                  <c:v>Die Zw3i</c:v>
                </c:pt>
              </c:strCache>
            </c:strRef>
          </c:tx>
          <c:spPr>
            <a:ln>
              <a:solidFill>
                <a:srgbClr val="3399FF"/>
              </a:solidFill>
            </a:ln>
          </c:spPr>
          <c:marker>
            <c:symbol val="none"/>
          </c:marker>
          <c:cat>
            <c:numRef>
              <c:f>Synopsis!$C$321:$C$367</c:f>
              <c:numCache>
                <c:formatCode>m/d/yyyy</c:formatCode>
                <c:ptCount val="47"/>
                <c:pt idx="0">
                  <c:v>40724</c:v>
                </c:pt>
                <c:pt idx="1">
                  <c:v>40816</c:v>
                </c:pt>
                <c:pt idx="2">
                  <c:v>40908</c:v>
                </c:pt>
                <c:pt idx="3">
                  <c:v>40999</c:v>
                </c:pt>
                <c:pt idx="4">
                  <c:v>41090</c:v>
                </c:pt>
                <c:pt idx="5">
                  <c:v>41182</c:v>
                </c:pt>
                <c:pt idx="6">
                  <c:v>41274</c:v>
                </c:pt>
                <c:pt idx="7">
                  <c:v>41364</c:v>
                </c:pt>
                <c:pt idx="8">
                  <c:v>41455</c:v>
                </c:pt>
                <c:pt idx="9">
                  <c:v>41547</c:v>
                </c:pt>
                <c:pt idx="10">
                  <c:v>41639</c:v>
                </c:pt>
                <c:pt idx="11">
                  <c:v>41729</c:v>
                </c:pt>
                <c:pt idx="12">
                  <c:v>41820</c:v>
                </c:pt>
                <c:pt idx="13">
                  <c:v>41912</c:v>
                </c:pt>
                <c:pt idx="14">
                  <c:v>42004</c:v>
                </c:pt>
                <c:pt idx="15">
                  <c:v>42094</c:v>
                </c:pt>
                <c:pt idx="16">
                  <c:v>42185</c:v>
                </c:pt>
                <c:pt idx="17">
                  <c:v>42277</c:v>
                </c:pt>
                <c:pt idx="18">
                  <c:v>42369</c:v>
                </c:pt>
                <c:pt idx="19">
                  <c:v>42460</c:v>
                </c:pt>
                <c:pt idx="20">
                  <c:v>42551</c:v>
                </c:pt>
                <c:pt idx="21">
                  <c:v>42643</c:v>
                </c:pt>
                <c:pt idx="22">
                  <c:v>42735</c:v>
                </c:pt>
                <c:pt idx="23">
                  <c:v>42825</c:v>
                </c:pt>
                <c:pt idx="24">
                  <c:v>42916</c:v>
                </c:pt>
                <c:pt idx="25">
                  <c:v>43008</c:v>
                </c:pt>
                <c:pt idx="26">
                  <c:v>43100</c:v>
                </c:pt>
                <c:pt idx="27">
                  <c:v>43190</c:v>
                </c:pt>
                <c:pt idx="28">
                  <c:v>43281</c:v>
                </c:pt>
                <c:pt idx="29">
                  <c:v>43373</c:v>
                </c:pt>
                <c:pt idx="30">
                  <c:v>43465</c:v>
                </c:pt>
                <c:pt idx="31">
                  <c:v>43555</c:v>
                </c:pt>
                <c:pt idx="32">
                  <c:v>43646</c:v>
                </c:pt>
                <c:pt idx="33">
                  <c:v>43738</c:v>
                </c:pt>
                <c:pt idx="34">
                  <c:v>43830</c:v>
                </c:pt>
                <c:pt idx="35">
                  <c:v>43921</c:v>
                </c:pt>
                <c:pt idx="36">
                  <c:v>44012</c:v>
                </c:pt>
                <c:pt idx="37">
                  <c:v>44104</c:v>
                </c:pt>
                <c:pt idx="38">
                  <c:v>44196</c:v>
                </c:pt>
                <c:pt idx="39">
                  <c:v>44286</c:v>
                </c:pt>
                <c:pt idx="40">
                  <c:v>44377</c:v>
                </c:pt>
                <c:pt idx="41">
                  <c:v>44469</c:v>
                </c:pt>
                <c:pt idx="42">
                  <c:v>44561</c:v>
                </c:pt>
                <c:pt idx="43">
                  <c:v>44651</c:v>
                </c:pt>
                <c:pt idx="44">
                  <c:v>44742</c:v>
                </c:pt>
                <c:pt idx="45">
                  <c:v>44834</c:v>
                </c:pt>
                <c:pt idx="46">
                  <c:v>44926</c:v>
                </c:pt>
              </c:numCache>
            </c:numRef>
          </c:cat>
          <c:val>
            <c:numRef>
              <c:f>Synopsis!$AA$321:$AA$367</c:f>
              <c:numCache>
                <c:formatCode>General</c:formatCode>
                <c:ptCount val="47"/>
                <c:pt idx="40">
                  <c:v>0</c:v>
                </c:pt>
                <c:pt idx="41">
                  <c:v>9</c:v>
                </c:pt>
                <c:pt idx="42">
                  <c:v>14</c:v>
                </c:pt>
                <c:pt idx="43">
                  <c:v>19</c:v>
                </c:pt>
                <c:pt idx="44">
                  <c:v>24</c:v>
                </c:pt>
                <c:pt idx="45">
                  <c:v>27</c:v>
                </c:pt>
                <c:pt idx="46">
                  <c:v>32</c:v>
                </c:pt>
              </c:numCache>
            </c:numRef>
          </c:val>
          <c:smooth val="0"/>
          <c:extLst>
            <c:ext xmlns:c16="http://schemas.microsoft.com/office/drawing/2014/chart" uri="{C3380CC4-5D6E-409C-BE32-E72D297353CC}">
              <c16:uniqueId val="{00000001-B3A1-427E-9E98-F013B87334F5}"/>
            </c:ext>
          </c:extLst>
        </c:ser>
        <c:dLbls>
          <c:showLegendKey val="0"/>
          <c:showVal val="0"/>
          <c:showCatName val="0"/>
          <c:showSerName val="0"/>
          <c:showPercent val="0"/>
          <c:showBubbleSize val="0"/>
        </c:dLbls>
        <c:smooth val="0"/>
        <c:axId val="105707008"/>
        <c:axId val="105708544"/>
      </c:lineChart>
      <c:catAx>
        <c:axId val="105707008"/>
        <c:scaling>
          <c:orientation val="minMax"/>
        </c:scaling>
        <c:delete val="0"/>
        <c:axPos val="b"/>
        <c:numFmt formatCode="m/d/yyyy" sourceLinked="1"/>
        <c:majorTickMark val="out"/>
        <c:minorTickMark val="none"/>
        <c:tickLblPos val="nextTo"/>
        <c:crossAx val="105708544"/>
        <c:crosses val="autoZero"/>
        <c:auto val="0"/>
        <c:lblAlgn val="ctr"/>
        <c:lblOffset val="100"/>
        <c:tickMarkSkip val="2"/>
        <c:noMultiLvlLbl val="0"/>
      </c:catAx>
      <c:valAx>
        <c:axId val="105708544"/>
        <c:scaling>
          <c:orientation val="minMax"/>
          <c:max val="140"/>
        </c:scaling>
        <c:delete val="0"/>
        <c:axPos val="l"/>
        <c:majorGridlines/>
        <c:numFmt formatCode="General" sourceLinked="1"/>
        <c:majorTickMark val="out"/>
        <c:minorTickMark val="none"/>
        <c:tickLblPos val="nextTo"/>
        <c:crossAx val="105707008"/>
        <c:crosses val="autoZero"/>
        <c:crossBetween val="between"/>
        <c:majorUnit val="10"/>
      </c:valAx>
    </c:plotArea>
    <c:legend>
      <c:legendPos val="r"/>
      <c:layout>
        <c:manualLayout>
          <c:xMode val="edge"/>
          <c:yMode val="edge"/>
          <c:x val="0.7849384395132426"/>
          <c:y val="4.5977022590767816E-2"/>
          <c:w val="0.21506156048675734"/>
          <c:h val="0.74795175226503408"/>
        </c:manualLayout>
      </c:layout>
      <c:overlay val="0"/>
      <c:txPr>
        <a:bodyPr/>
        <a:lstStyle/>
        <a:p>
          <a:pPr>
            <a:defRPr sz="1000" kern="1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A6CEE3"/>
              </a:solidFill>
              <a:ln>
                <a:noFill/>
              </a:ln>
              <a:effectLst/>
            </c:spPr>
            <c:extLst>
              <c:ext xmlns:c16="http://schemas.microsoft.com/office/drawing/2014/chart" uri="{C3380CC4-5D6E-409C-BE32-E72D297353CC}">
                <c16:uniqueId val="{00000001-E9E4-4057-8BD8-84CFD802EC30}"/>
              </c:ext>
            </c:extLst>
          </c:dPt>
          <c:dPt>
            <c:idx val="1"/>
            <c:invertIfNegative val="0"/>
            <c:bubble3D val="0"/>
            <c:spPr>
              <a:solidFill>
                <a:srgbClr val="FDBF6F"/>
              </a:solidFill>
              <a:ln>
                <a:noFill/>
              </a:ln>
              <a:effectLst/>
            </c:spPr>
            <c:extLst>
              <c:ext xmlns:c16="http://schemas.microsoft.com/office/drawing/2014/chart" uri="{C3380CC4-5D6E-409C-BE32-E72D297353CC}">
                <c16:uniqueId val="{0000000B-4E3D-4183-BC24-7353390DC462}"/>
              </c:ext>
            </c:extLst>
          </c:dPt>
          <c:dPt>
            <c:idx val="2"/>
            <c:invertIfNegative val="0"/>
            <c:bubble3D val="0"/>
            <c:spPr>
              <a:solidFill>
                <a:srgbClr val="FF7F00"/>
              </a:solidFill>
              <a:ln>
                <a:noFill/>
              </a:ln>
              <a:effectLst/>
            </c:spPr>
            <c:extLst>
              <c:ext xmlns:c16="http://schemas.microsoft.com/office/drawing/2014/chart" uri="{C3380CC4-5D6E-409C-BE32-E72D297353CC}">
                <c16:uniqueId val="{00000027-641C-4973-A50B-69AFCFCCECAE}"/>
              </c:ext>
            </c:extLst>
          </c:dPt>
          <c:dPt>
            <c:idx val="3"/>
            <c:invertIfNegative val="0"/>
            <c:bubble3D val="0"/>
            <c:spPr>
              <a:solidFill>
                <a:srgbClr val="6A3D9A"/>
              </a:solidFill>
              <a:ln>
                <a:noFill/>
              </a:ln>
              <a:effectLst/>
            </c:spPr>
            <c:extLst>
              <c:ext xmlns:c16="http://schemas.microsoft.com/office/drawing/2014/chart" uri="{C3380CC4-5D6E-409C-BE32-E72D297353CC}">
                <c16:uniqueId val="{00000014-4E3D-4183-BC24-7353390DC462}"/>
              </c:ext>
            </c:extLst>
          </c:dPt>
          <c:dPt>
            <c:idx val="4"/>
            <c:invertIfNegative val="0"/>
            <c:bubble3D val="0"/>
            <c:spPr>
              <a:solidFill>
                <a:srgbClr val="A6CEE3"/>
              </a:solidFill>
              <a:ln>
                <a:noFill/>
              </a:ln>
              <a:effectLst/>
            </c:spPr>
            <c:extLst>
              <c:ext xmlns:c16="http://schemas.microsoft.com/office/drawing/2014/chart" uri="{C3380CC4-5D6E-409C-BE32-E72D297353CC}">
                <c16:uniqueId val="{00000002-E9E4-4057-8BD8-84CFD802EC30}"/>
              </c:ext>
            </c:extLst>
          </c:dPt>
          <c:dPt>
            <c:idx val="5"/>
            <c:invertIfNegative val="0"/>
            <c:bubble3D val="0"/>
            <c:spPr>
              <a:solidFill>
                <a:srgbClr val="FDBF6F"/>
              </a:solidFill>
              <a:ln>
                <a:noFill/>
              </a:ln>
              <a:effectLst/>
            </c:spPr>
            <c:extLst>
              <c:ext xmlns:c16="http://schemas.microsoft.com/office/drawing/2014/chart" uri="{C3380CC4-5D6E-409C-BE32-E72D297353CC}">
                <c16:uniqueId val="{0000000F-4E3D-4183-BC24-7353390DC462}"/>
              </c:ext>
            </c:extLst>
          </c:dPt>
          <c:dPt>
            <c:idx val="6"/>
            <c:invertIfNegative val="0"/>
            <c:bubble3D val="0"/>
            <c:spPr>
              <a:solidFill>
                <a:srgbClr val="FF7F00"/>
              </a:solidFill>
              <a:ln>
                <a:noFill/>
              </a:ln>
              <a:effectLst/>
            </c:spPr>
            <c:extLst>
              <c:ext xmlns:c16="http://schemas.microsoft.com/office/drawing/2014/chart" uri="{C3380CC4-5D6E-409C-BE32-E72D297353CC}">
                <c16:uniqueId val="{00000010-4E3D-4183-BC24-7353390DC462}"/>
              </c:ext>
            </c:extLst>
          </c:dPt>
          <c:dPt>
            <c:idx val="7"/>
            <c:invertIfNegative val="0"/>
            <c:bubble3D val="0"/>
            <c:spPr>
              <a:solidFill>
                <a:srgbClr val="6A3D9A"/>
              </a:solidFill>
              <a:ln>
                <a:noFill/>
              </a:ln>
              <a:effectLst/>
            </c:spPr>
            <c:extLst>
              <c:ext xmlns:c16="http://schemas.microsoft.com/office/drawing/2014/chart" uri="{C3380CC4-5D6E-409C-BE32-E72D297353CC}">
                <c16:uniqueId val="{00000015-4E3D-4183-BC24-7353390DC462}"/>
              </c:ext>
            </c:extLst>
          </c:dPt>
          <c:dPt>
            <c:idx val="8"/>
            <c:invertIfNegative val="0"/>
            <c:bubble3D val="0"/>
            <c:spPr>
              <a:solidFill>
                <a:srgbClr val="A6CEE3"/>
              </a:solidFill>
              <a:ln>
                <a:noFill/>
              </a:ln>
              <a:effectLst/>
            </c:spPr>
            <c:extLst>
              <c:ext xmlns:c16="http://schemas.microsoft.com/office/drawing/2014/chart" uri="{C3380CC4-5D6E-409C-BE32-E72D297353CC}">
                <c16:uniqueId val="{00000003-E9E4-4057-8BD8-84CFD802EC30}"/>
              </c:ext>
            </c:extLst>
          </c:dPt>
          <c:dPt>
            <c:idx val="9"/>
            <c:invertIfNegative val="0"/>
            <c:bubble3D val="0"/>
            <c:spPr>
              <a:solidFill>
                <a:srgbClr val="FDBF6F"/>
              </a:solidFill>
              <a:ln>
                <a:noFill/>
              </a:ln>
              <a:effectLst/>
            </c:spPr>
            <c:extLst>
              <c:ext xmlns:c16="http://schemas.microsoft.com/office/drawing/2014/chart" uri="{C3380CC4-5D6E-409C-BE32-E72D297353CC}">
                <c16:uniqueId val="{0000000E-4E3D-4183-BC24-7353390DC462}"/>
              </c:ext>
            </c:extLst>
          </c:dPt>
          <c:dPt>
            <c:idx val="10"/>
            <c:invertIfNegative val="0"/>
            <c:bubble3D val="0"/>
            <c:spPr>
              <a:solidFill>
                <a:srgbClr val="FF7F00"/>
              </a:solidFill>
              <a:ln>
                <a:noFill/>
              </a:ln>
              <a:effectLst/>
            </c:spPr>
            <c:extLst>
              <c:ext xmlns:c16="http://schemas.microsoft.com/office/drawing/2014/chart" uri="{C3380CC4-5D6E-409C-BE32-E72D297353CC}">
                <c16:uniqueId val="{00000011-4E3D-4183-BC24-7353390DC462}"/>
              </c:ext>
            </c:extLst>
          </c:dPt>
          <c:dPt>
            <c:idx val="11"/>
            <c:invertIfNegative val="0"/>
            <c:bubble3D val="0"/>
            <c:spPr>
              <a:solidFill>
                <a:srgbClr val="6A3D9A"/>
              </a:solidFill>
              <a:ln>
                <a:noFill/>
              </a:ln>
              <a:effectLst/>
            </c:spPr>
            <c:extLst>
              <c:ext xmlns:c16="http://schemas.microsoft.com/office/drawing/2014/chart" uri="{C3380CC4-5D6E-409C-BE32-E72D297353CC}">
                <c16:uniqueId val="{00000018-4E3D-4183-BC24-7353390DC462}"/>
              </c:ext>
            </c:extLst>
          </c:dPt>
          <c:dPt>
            <c:idx val="12"/>
            <c:invertIfNegative val="0"/>
            <c:bubble3D val="0"/>
            <c:spPr>
              <a:solidFill>
                <a:srgbClr val="A6CEE3"/>
              </a:solidFill>
              <a:ln>
                <a:noFill/>
              </a:ln>
              <a:effectLst/>
            </c:spPr>
            <c:extLst>
              <c:ext xmlns:c16="http://schemas.microsoft.com/office/drawing/2014/chart" uri="{C3380CC4-5D6E-409C-BE32-E72D297353CC}">
                <c16:uniqueId val="{00000004-E9E4-4057-8BD8-84CFD802EC30}"/>
              </c:ext>
            </c:extLst>
          </c:dPt>
          <c:dPt>
            <c:idx val="13"/>
            <c:invertIfNegative val="0"/>
            <c:bubble3D val="0"/>
            <c:spPr>
              <a:solidFill>
                <a:srgbClr val="FDBF6F"/>
              </a:solidFill>
              <a:ln>
                <a:noFill/>
              </a:ln>
              <a:effectLst/>
            </c:spPr>
            <c:extLst>
              <c:ext xmlns:c16="http://schemas.microsoft.com/office/drawing/2014/chart" uri="{C3380CC4-5D6E-409C-BE32-E72D297353CC}">
                <c16:uniqueId val="{0000000D-4E3D-4183-BC24-7353390DC462}"/>
              </c:ext>
            </c:extLst>
          </c:dPt>
          <c:dPt>
            <c:idx val="14"/>
            <c:invertIfNegative val="0"/>
            <c:bubble3D val="0"/>
            <c:spPr>
              <a:solidFill>
                <a:srgbClr val="FF7F00"/>
              </a:solidFill>
              <a:ln>
                <a:noFill/>
              </a:ln>
              <a:effectLst/>
            </c:spPr>
            <c:extLst>
              <c:ext xmlns:c16="http://schemas.microsoft.com/office/drawing/2014/chart" uri="{C3380CC4-5D6E-409C-BE32-E72D297353CC}">
                <c16:uniqueId val="{00000013-4E3D-4183-BC24-7353390DC462}"/>
              </c:ext>
            </c:extLst>
          </c:dPt>
          <c:dPt>
            <c:idx val="15"/>
            <c:invertIfNegative val="0"/>
            <c:bubble3D val="0"/>
            <c:spPr>
              <a:solidFill>
                <a:srgbClr val="6A3D9A"/>
              </a:solidFill>
              <a:ln>
                <a:noFill/>
              </a:ln>
              <a:effectLst/>
            </c:spPr>
            <c:extLst>
              <c:ext xmlns:c16="http://schemas.microsoft.com/office/drawing/2014/chart" uri="{C3380CC4-5D6E-409C-BE32-E72D297353CC}">
                <c16:uniqueId val="{00000017-4E3D-4183-BC24-7353390DC462}"/>
              </c:ext>
            </c:extLst>
          </c:dPt>
          <c:dPt>
            <c:idx val="16"/>
            <c:invertIfNegative val="0"/>
            <c:bubble3D val="0"/>
            <c:spPr>
              <a:solidFill>
                <a:srgbClr val="A6CEE3"/>
              </a:solidFill>
              <a:ln>
                <a:noFill/>
              </a:ln>
              <a:effectLst/>
            </c:spPr>
            <c:extLst>
              <c:ext xmlns:c16="http://schemas.microsoft.com/office/drawing/2014/chart" uri="{C3380CC4-5D6E-409C-BE32-E72D297353CC}">
                <c16:uniqueId val="{00000005-E9E4-4057-8BD8-84CFD802EC30}"/>
              </c:ext>
            </c:extLst>
          </c:dPt>
          <c:dPt>
            <c:idx val="17"/>
            <c:invertIfNegative val="0"/>
            <c:bubble3D val="0"/>
            <c:spPr>
              <a:solidFill>
                <a:srgbClr val="FDBF6F"/>
              </a:solidFill>
              <a:ln>
                <a:noFill/>
              </a:ln>
              <a:effectLst/>
            </c:spPr>
            <c:extLst>
              <c:ext xmlns:c16="http://schemas.microsoft.com/office/drawing/2014/chart" uri="{C3380CC4-5D6E-409C-BE32-E72D297353CC}">
                <c16:uniqueId val="{0000000C-4E3D-4183-BC24-7353390DC462}"/>
              </c:ext>
            </c:extLst>
          </c:dPt>
          <c:dPt>
            <c:idx val="18"/>
            <c:invertIfNegative val="0"/>
            <c:bubble3D val="0"/>
            <c:spPr>
              <a:solidFill>
                <a:srgbClr val="FF7F00"/>
              </a:solidFill>
              <a:ln>
                <a:noFill/>
              </a:ln>
              <a:effectLst/>
            </c:spPr>
            <c:extLst>
              <c:ext xmlns:c16="http://schemas.microsoft.com/office/drawing/2014/chart" uri="{C3380CC4-5D6E-409C-BE32-E72D297353CC}">
                <c16:uniqueId val="{00000012-4E3D-4183-BC24-7353390DC462}"/>
              </c:ext>
            </c:extLst>
          </c:dPt>
          <c:dPt>
            <c:idx val="19"/>
            <c:invertIfNegative val="0"/>
            <c:bubble3D val="0"/>
            <c:spPr>
              <a:solidFill>
                <a:srgbClr val="6A3D9A"/>
              </a:solidFill>
              <a:ln>
                <a:noFill/>
              </a:ln>
              <a:effectLst/>
            </c:spPr>
            <c:extLst>
              <c:ext xmlns:c16="http://schemas.microsoft.com/office/drawing/2014/chart" uri="{C3380CC4-5D6E-409C-BE32-E72D297353CC}">
                <c16:uniqueId val="{00000016-4E3D-4183-BC24-7353390DC462}"/>
              </c:ext>
            </c:extLst>
          </c:dPt>
          <c:cat>
            <c:multiLvlStrRef>
              <c:f>Synopsis!$AA$9:$AB$28</c:f>
              <c:multiLvlStrCache>
                <c:ptCount val="20"/>
                <c:lvl>
                  <c:pt idx="0">
                    <c:v>???od</c:v>
                  </c:pt>
                  <c:pt idx="1">
                    <c:v>SSP</c:v>
                  </c:pt>
                  <c:pt idx="2">
                    <c:v>R&amp;A</c:v>
                  </c:pt>
                  <c:pt idx="3">
                    <c:v>Zentrale</c:v>
                  </c:pt>
                  <c:pt idx="4">
                    <c:v>???od</c:v>
                  </c:pt>
                  <c:pt idx="5">
                    <c:v>SSP</c:v>
                  </c:pt>
                  <c:pt idx="6">
                    <c:v>R&amp;A</c:v>
                  </c:pt>
                  <c:pt idx="7">
                    <c:v>Zentrale</c:v>
                  </c:pt>
                  <c:pt idx="8">
                    <c:v>???od</c:v>
                  </c:pt>
                  <c:pt idx="9">
                    <c:v>SSP</c:v>
                  </c:pt>
                  <c:pt idx="10">
                    <c:v>R&amp;A</c:v>
                  </c:pt>
                  <c:pt idx="11">
                    <c:v>Zentrale</c:v>
                  </c:pt>
                  <c:pt idx="12">
                    <c:v>???od</c:v>
                  </c:pt>
                  <c:pt idx="13">
                    <c:v>SSP</c:v>
                  </c:pt>
                  <c:pt idx="14">
                    <c:v>R&amp;A</c:v>
                  </c:pt>
                  <c:pt idx="15">
                    <c:v>Zentrale</c:v>
                  </c:pt>
                  <c:pt idx="16">
                    <c:v>???od</c:v>
                  </c:pt>
                  <c:pt idx="17">
                    <c:v>SSP</c:v>
                  </c:pt>
                  <c:pt idx="18">
                    <c:v>R&amp;A</c:v>
                  </c:pt>
                  <c:pt idx="19">
                    <c:v>Zentrale</c:v>
                  </c:pt>
                </c:lvl>
                <c:lvl>
                  <c:pt idx="0">
                    <c:v>1. Platz</c:v>
                  </c:pt>
                  <c:pt idx="4">
                    <c:v>2. Platz</c:v>
                  </c:pt>
                  <c:pt idx="8">
                    <c:v>3. Platz</c:v>
                  </c:pt>
                  <c:pt idx="12">
                    <c:v>4. Platz</c:v>
                  </c:pt>
                  <c:pt idx="16">
                    <c:v>5. Platz</c:v>
                  </c:pt>
                </c:lvl>
              </c:multiLvlStrCache>
            </c:multiLvlStrRef>
          </c:cat>
          <c:val>
            <c:numRef>
              <c:f>Synopsis!$AC$9:$AC$28</c:f>
              <c:numCache>
                <c:formatCode>General</c:formatCode>
                <c:ptCount val="20"/>
                <c:pt idx="0">
                  <c:v>24</c:v>
                </c:pt>
                <c:pt idx="1">
                  <c:v>7</c:v>
                </c:pt>
                <c:pt idx="2">
                  <c:v>1</c:v>
                </c:pt>
                <c:pt idx="3">
                  <c:v>4</c:v>
                </c:pt>
                <c:pt idx="4">
                  <c:v>15</c:v>
                </c:pt>
                <c:pt idx="5">
                  <c:v>47</c:v>
                </c:pt>
                <c:pt idx="6">
                  <c:v>15</c:v>
                </c:pt>
                <c:pt idx="7">
                  <c:v>9</c:v>
                </c:pt>
                <c:pt idx="8">
                  <c:v>7</c:v>
                </c:pt>
                <c:pt idx="9">
                  <c:v>43</c:v>
                </c:pt>
                <c:pt idx="10">
                  <c:v>17</c:v>
                </c:pt>
                <c:pt idx="11">
                  <c:v>15</c:v>
                </c:pt>
                <c:pt idx="12">
                  <c:v>4</c:v>
                </c:pt>
                <c:pt idx="13">
                  <c:v>23</c:v>
                </c:pt>
                <c:pt idx="14">
                  <c:v>12</c:v>
                </c:pt>
                <c:pt idx="15">
                  <c:v>9</c:v>
                </c:pt>
                <c:pt idx="16">
                  <c:v>1</c:v>
                </c:pt>
                <c:pt idx="17">
                  <c:v>4</c:v>
                </c:pt>
                <c:pt idx="18">
                  <c:v>5</c:v>
                </c:pt>
                <c:pt idx="19">
                  <c:v>11</c:v>
                </c:pt>
              </c:numCache>
            </c:numRef>
          </c:val>
          <c:extLst>
            <c:ext xmlns:c16="http://schemas.microsoft.com/office/drawing/2014/chart" uri="{C3380CC4-5D6E-409C-BE32-E72D297353CC}">
              <c16:uniqueId val="{00000000-9F2D-42ED-B101-87D1A80E217E}"/>
            </c:ext>
          </c:extLst>
        </c:ser>
        <c:dLbls>
          <c:showLegendKey val="0"/>
          <c:showVal val="0"/>
          <c:showCatName val="0"/>
          <c:showSerName val="0"/>
          <c:showPercent val="0"/>
          <c:showBubbleSize val="0"/>
        </c:dLbls>
        <c:gapWidth val="219"/>
        <c:overlap val="-27"/>
        <c:axId val="1016289712"/>
        <c:axId val="1016278896"/>
      </c:barChart>
      <c:catAx>
        <c:axId val="101628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16278896"/>
        <c:crosses val="autoZero"/>
        <c:auto val="1"/>
        <c:lblAlgn val="ctr"/>
        <c:lblOffset val="100"/>
        <c:noMultiLvlLbl val="0"/>
      </c:catAx>
      <c:valAx>
        <c:axId val="1016278896"/>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1628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Synopsis!$AP$6</c:f>
              <c:strCache>
                <c:ptCount val="1"/>
                <c:pt idx="0">
                  <c:v>Prozent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D5-4E64-8C8B-F634FD52AFD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D5-4E64-8C8B-F634FD52AFD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D5-4E64-8C8B-F634FD52AFD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7D5-4E64-8C8B-F634FD52AFD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7D5-4E64-8C8B-F634FD52AFD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7D5-4E64-8C8B-F634FD52AFD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D5-4E64-8C8B-F634FD52AFD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7D5-4E64-8C8B-F634FD52AFD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7D5-4E64-8C8B-F634FD52AFD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7D5-4E64-8C8B-F634FD52AFD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7D5-4E64-8C8B-F634FD52AFD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7D5-4E64-8C8B-F634FD52AFD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7D5-4E64-8C8B-F634FD52AFD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7D5-4E64-8C8B-F634FD52AFD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7D5-4E64-8C8B-F634FD52AFD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7D5-4E64-8C8B-F634FD52AFD5}"/>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7D5-4E64-8C8B-F634FD52AFD5}"/>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7D5-4E64-8C8B-F634FD52AFD5}"/>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7D5-4E64-8C8B-F634FD52AFD5}"/>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F5D-4E97-AA67-95BCC47B7443}"/>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D004-44EE-815C-EE7B62CC128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CD77-42C6-A455-7A1672D5A3D6}"/>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3277-416B-9D42-848B0D6CED00}"/>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8B83-417E-A069-E51CEF1830C8}"/>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8B83-417E-A069-E51CEF1830C8}"/>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8388-4903-AC18-ACA5D8E6EF54}"/>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325D-405E-BDF7-82D1B591F0B1}"/>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695D-4D64-9065-2BFC21DADF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Synopsis!$AO$7:$AO$34</c:f>
              <c:strCache>
                <c:ptCount val="28"/>
                <c:pt idx="0">
                  <c:v>SSP</c:v>
                </c:pt>
                <c:pt idx="1">
                  <c:v>Zentrale</c:v>
                </c:pt>
                <c:pt idx="2">
                  <c:v>Kuchen</c:v>
                </c:pt>
                <c:pt idx="3">
                  <c:v>R&amp;A</c:v>
                </c:pt>
                <c:pt idx="4">
                  <c:v>Die Zw3i</c:v>
                </c:pt>
                <c:pt idx="5">
                  <c:v>Zeichen</c:v>
                </c:pt>
                <c:pt idx="6">
                  <c:v>Abfahrt</c:v>
                </c:pt>
                <c:pt idx="7">
                  <c:v>Kaffee</c:v>
                </c:pt>
                <c:pt idx="8">
                  <c:v>???od</c:v>
                </c:pt>
                <c:pt idx="9">
                  <c:v>RBW</c:v>
                </c:pt>
                <c:pt idx="10">
                  <c:v>DGdB</c:v>
                </c:pt>
                <c:pt idx="11">
                  <c:v>Verstärker</c:v>
                </c:pt>
                <c:pt idx="12">
                  <c:v>Schrott</c:v>
                </c:pt>
                <c:pt idx="13">
                  <c:v>Fürst</c:v>
                </c:pt>
                <c:pt idx="14">
                  <c:v>Fan</c:v>
                </c:pt>
                <c:pt idx="15">
                  <c:v>beachcast</c:v>
                </c:pt>
                <c:pt idx="16">
                  <c:v>Talker</c:v>
                </c:pt>
                <c:pt idx="17">
                  <c:v>Retro</c:v>
                </c:pt>
                <c:pt idx="18">
                  <c:v>DiE 2WO</c:v>
                </c:pt>
                <c:pt idx="19">
                  <c:v>Platz</c:v>
                </c:pt>
                <c:pt idx="20">
                  <c:v>Rose</c:v>
                </c:pt>
                <c:pt idx="21">
                  <c:v>Gebraucht</c:v>
                </c:pt>
                <c:pt idx="22">
                  <c:v>:punkt</c:v>
                </c:pt>
                <c:pt idx="23">
                  <c:v>RBP</c:v>
                </c:pt>
                <c:pt idx="24">
                  <c:v>Keller</c:v>
                </c:pt>
                <c:pt idx="25">
                  <c:v>Hoerst</c:v>
                </c:pt>
                <c:pt idx="26">
                  <c:v>Ohr</c:v>
                </c:pt>
                <c:pt idx="27">
                  <c:v>Lampe</c:v>
                </c:pt>
              </c:strCache>
            </c:strRef>
          </c:cat>
          <c:val>
            <c:numRef>
              <c:f>Synopsis!$AP$7:$AP$34</c:f>
              <c:numCache>
                <c:formatCode>0.00%</c:formatCode>
                <c:ptCount val="28"/>
                <c:pt idx="0">
                  <c:v>0.19297224097753338</c:v>
                </c:pt>
                <c:pt idx="1">
                  <c:v>0.13144013802364435</c:v>
                </c:pt>
                <c:pt idx="2">
                  <c:v>9.2471603144020628E-2</c:v>
                </c:pt>
                <c:pt idx="3">
                  <c:v>8.0749165619331556E-2</c:v>
                </c:pt>
                <c:pt idx="4">
                  <c:v>7.6994235368983782E-2</c:v>
                </c:pt>
                <c:pt idx="5">
                  <c:v>5.7093730082548366E-2</c:v>
                </c:pt>
                <c:pt idx="6">
                  <c:v>4.9494215348347269E-2</c:v>
                </c:pt>
                <c:pt idx="7">
                  <c:v>4.3501054462401531E-2</c:v>
                </c:pt>
                <c:pt idx="8">
                  <c:v>4.1203444988054824E-2</c:v>
                </c:pt>
                <c:pt idx="9">
                  <c:v>3.5991584611960857E-2</c:v>
                </c:pt>
                <c:pt idx="10">
                  <c:v>3.4204555020802323E-2</c:v>
                </c:pt>
                <c:pt idx="11">
                  <c:v>2.8309447348842966E-2</c:v>
                </c:pt>
                <c:pt idx="12">
                  <c:v>1.8058394009332308E-2</c:v>
                </c:pt>
                <c:pt idx="13">
                  <c:v>1.789451622739089E-2</c:v>
                </c:pt>
                <c:pt idx="14">
                  <c:v>1.6500480792687806E-2</c:v>
                </c:pt>
                <c:pt idx="15">
                  <c:v>1.468200385600772E-2</c:v>
                </c:pt>
                <c:pt idx="16">
                  <c:v>1.3725692031949104E-2</c:v>
                </c:pt>
                <c:pt idx="17">
                  <c:v>9.2259870705850809E-3</c:v>
                </c:pt>
                <c:pt idx="18">
                  <c:v>8.8056473962848068E-3</c:v>
                </c:pt>
                <c:pt idx="19">
                  <c:v>8.675365536267016E-3</c:v>
                </c:pt>
                <c:pt idx="20">
                  <c:v>7.8186695272145102E-3</c:v>
                </c:pt>
                <c:pt idx="21">
                  <c:v>6.4275639694233652E-3</c:v>
                </c:pt>
                <c:pt idx="22">
                  <c:v>5.6679445487199439E-3</c:v>
                </c:pt>
                <c:pt idx="23">
                  <c:v>4.7266727594759781E-3</c:v>
                </c:pt>
                <c:pt idx="24">
                  <c:v>4.0901081690742167E-3</c:v>
                </c:pt>
                <c:pt idx="25">
                  <c:v>3.7064896187369786E-3</c:v>
                </c:pt>
                <c:pt idx="26">
                  <c:v>3.4779592196053258E-3</c:v>
                </c:pt>
                <c:pt idx="27">
                  <c:v>8.9673766018241307E-4</c:v>
                </c:pt>
              </c:numCache>
            </c:numRef>
          </c:val>
          <c:extLst>
            <c:ext xmlns:c16="http://schemas.microsoft.com/office/drawing/2014/chart" uri="{C3380CC4-5D6E-409C-BE32-E72D297353CC}">
              <c16:uniqueId val="{00000000-71C2-4353-AEA7-2764A36D3CBC}"/>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manualLayout>
          <c:xMode val="edge"/>
          <c:yMode val="edge"/>
          <c:x val="7.8935640857392825E-2"/>
          <c:y val="0.72030169354357243"/>
          <c:w val="0.84212871828521429"/>
          <c:h val="0.2021919880065539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 ???-Podcastfolgen</c:v>
          </c:tx>
          <c:spPr>
            <a:solidFill>
              <a:schemeClr val="accent1"/>
            </a:solidFill>
            <a:ln>
              <a:noFill/>
            </a:ln>
            <a:effectLst/>
          </c:spPr>
          <c:invertIfNegative val="0"/>
          <c:cat>
            <c:numRef>
              <c:f>Synopsis!$C$322:$C$367</c:f>
              <c:numCache>
                <c:formatCode>m/d/yyyy</c:formatCode>
                <c:ptCount val="46"/>
                <c:pt idx="0">
                  <c:v>40816</c:v>
                </c:pt>
                <c:pt idx="1">
                  <c:v>40908</c:v>
                </c:pt>
                <c:pt idx="2">
                  <c:v>40999</c:v>
                </c:pt>
                <c:pt idx="3">
                  <c:v>41090</c:v>
                </c:pt>
                <c:pt idx="4">
                  <c:v>41182</c:v>
                </c:pt>
                <c:pt idx="5">
                  <c:v>41274</c:v>
                </c:pt>
                <c:pt idx="6">
                  <c:v>41364</c:v>
                </c:pt>
                <c:pt idx="7">
                  <c:v>41455</c:v>
                </c:pt>
                <c:pt idx="8">
                  <c:v>41547</c:v>
                </c:pt>
                <c:pt idx="9">
                  <c:v>41639</c:v>
                </c:pt>
                <c:pt idx="10">
                  <c:v>41729</c:v>
                </c:pt>
                <c:pt idx="11">
                  <c:v>41820</c:v>
                </c:pt>
                <c:pt idx="12">
                  <c:v>41912</c:v>
                </c:pt>
                <c:pt idx="13">
                  <c:v>42004</c:v>
                </c:pt>
                <c:pt idx="14">
                  <c:v>42094</c:v>
                </c:pt>
                <c:pt idx="15">
                  <c:v>42185</c:v>
                </c:pt>
                <c:pt idx="16">
                  <c:v>42277</c:v>
                </c:pt>
                <c:pt idx="17">
                  <c:v>42369</c:v>
                </c:pt>
                <c:pt idx="18">
                  <c:v>42460</c:v>
                </c:pt>
                <c:pt idx="19">
                  <c:v>42551</c:v>
                </c:pt>
                <c:pt idx="20">
                  <c:v>42643</c:v>
                </c:pt>
                <c:pt idx="21">
                  <c:v>42735</c:v>
                </c:pt>
                <c:pt idx="22">
                  <c:v>42825</c:v>
                </c:pt>
                <c:pt idx="23">
                  <c:v>42916</c:v>
                </c:pt>
                <c:pt idx="24">
                  <c:v>43008</c:v>
                </c:pt>
                <c:pt idx="25">
                  <c:v>43100</c:v>
                </c:pt>
                <c:pt idx="26">
                  <c:v>43190</c:v>
                </c:pt>
                <c:pt idx="27">
                  <c:v>43281</c:v>
                </c:pt>
                <c:pt idx="28">
                  <c:v>43373</c:v>
                </c:pt>
                <c:pt idx="29">
                  <c:v>43465</c:v>
                </c:pt>
                <c:pt idx="30">
                  <c:v>43555</c:v>
                </c:pt>
                <c:pt idx="31">
                  <c:v>43646</c:v>
                </c:pt>
                <c:pt idx="32">
                  <c:v>43738</c:v>
                </c:pt>
                <c:pt idx="33">
                  <c:v>43830</c:v>
                </c:pt>
                <c:pt idx="34">
                  <c:v>43921</c:v>
                </c:pt>
                <c:pt idx="35">
                  <c:v>44012</c:v>
                </c:pt>
                <c:pt idx="36">
                  <c:v>44104</c:v>
                </c:pt>
                <c:pt idx="37">
                  <c:v>44196</c:v>
                </c:pt>
                <c:pt idx="38">
                  <c:v>44286</c:v>
                </c:pt>
                <c:pt idx="39">
                  <c:v>44377</c:v>
                </c:pt>
                <c:pt idx="40">
                  <c:v>44469</c:v>
                </c:pt>
                <c:pt idx="41">
                  <c:v>44561</c:v>
                </c:pt>
                <c:pt idx="42">
                  <c:v>44651</c:v>
                </c:pt>
                <c:pt idx="43">
                  <c:v>44742</c:v>
                </c:pt>
                <c:pt idx="44">
                  <c:v>44834</c:v>
                </c:pt>
                <c:pt idx="45">
                  <c:v>44926</c:v>
                </c:pt>
              </c:numCache>
            </c:numRef>
          </c:cat>
          <c:val>
            <c:numRef>
              <c:f>Synopsis!$B$322:$B$367</c:f>
              <c:numCache>
                <c:formatCode>General</c:formatCode>
                <c:ptCount val="46"/>
                <c:pt idx="0">
                  <c:v>0</c:v>
                </c:pt>
                <c:pt idx="1">
                  <c:v>4</c:v>
                </c:pt>
                <c:pt idx="2">
                  <c:v>9</c:v>
                </c:pt>
                <c:pt idx="3">
                  <c:v>10</c:v>
                </c:pt>
                <c:pt idx="4">
                  <c:v>6</c:v>
                </c:pt>
                <c:pt idx="5">
                  <c:v>7</c:v>
                </c:pt>
                <c:pt idx="6">
                  <c:v>4</c:v>
                </c:pt>
                <c:pt idx="7">
                  <c:v>3</c:v>
                </c:pt>
                <c:pt idx="8">
                  <c:v>7</c:v>
                </c:pt>
                <c:pt idx="9">
                  <c:v>7</c:v>
                </c:pt>
                <c:pt idx="10">
                  <c:v>5</c:v>
                </c:pt>
                <c:pt idx="11">
                  <c:v>42</c:v>
                </c:pt>
                <c:pt idx="12">
                  <c:v>26</c:v>
                </c:pt>
                <c:pt idx="13">
                  <c:v>42</c:v>
                </c:pt>
                <c:pt idx="14">
                  <c:v>27</c:v>
                </c:pt>
                <c:pt idx="15">
                  <c:v>9</c:v>
                </c:pt>
                <c:pt idx="16">
                  <c:v>4</c:v>
                </c:pt>
                <c:pt idx="17">
                  <c:v>3</c:v>
                </c:pt>
                <c:pt idx="18">
                  <c:v>4</c:v>
                </c:pt>
                <c:pt idx="19">
                  <c:v>5</c:v>
                </c:pt>
                <c:pt idx="20">
                  <c:v>4</c:v>
                </c:pt>
                <c:pt idx="21">
                  <c:v>5</c:v>
                </c:pt>
                <c:pt idx="22">
                  <c:v>9</c:v>
                </c:pt>
                <c:pt idx="23">
                  <c:v>12</c:v>
                </c:pt>
                <c:pt idx="24">
                  <c:v>10</c:v>
                </c:pt>
                <c:pt idx="25">
                  <c:v>9</c:v>
                </c:pt>
                <c:pt idx="26">
                  <c:v>9</c:v>
                </c:pt>
                <c:pt idx="27">
                  <c:v>13</c:v>
                </c:pt>
                <c:pt idx="28">
                  <c:v>12</c:v>
                </c:pt>
                <c:pt idx="29">
                  <c:v>15</c:v>
                </c:pt>
                <c:pt idx="30">
                  <c:v>17</c:v>
                </c:pt>
                <c:pt idx="31">
                  <c:v>19</c:v>
                </c:pt>
                <c:pt idx="32">
                  <c:v>13</c:v>
                </c:pt>
                <c:pt idx="33">
                  <c:v>17</c:v>
                </c:pt>
                <c:pt idx="34">
                  <c:v>17</c:v>
                </c:pt>
                <c:pt idx="35">
                  <c:v>17</c:v>
                </c:pt>
                <c:pt idx="36">
                  <c:v>20</c:v>
                </c:pt>
                <c:pt idx="37">
                  <c:v>38</c:v>
                </c:pt>
                <c:pt idx="38">
                  <c:v>45</c:v>
                </c:pt>
                <c:pt idx="39">
                  <c:v>50</c:v>
                </c:pt>
                <c:pt idx="40">
                  <c:v>44</c:v>
                </c:pt>
                <c:pt idx="41">
                  <c:v>50</c:v>
                </c:pt>
                <c:pt idx="42">
                  <c:v>43</c:v>
                </c:pt>
                <c:pt idx="43">
                  <c:v>41</c:v>
                </c:pt>
                <c:pt idx="44">
                  <c:v>41</c:v>
                </c:pt>
                <c:pt idx="45">
                  <c:v>49</c:v>
                </c:pt>
              </c:numCache>
            </c:numRef>
          </c:val>
          <c:extLst>
            <c:ext xmlns:c16="http://schemas.microsoft.com/office/drawing/2014/chart" uri="{C3380CC4-5D6E-409C-BE32-E72D297353CC}">
              <c16:uniqueId val="{00000000-8670-468A-A9DC-9F96C01B28DE}"/>
            </c:ext>
          </c:extLst>
        </c:ser>
        <c:dLbls>
          <c:showLegendKey val="0"/>
          <c:showVal val="0"/>
          <c:showCatName val="0"/>
          <c:showSerName val="0"/>
          <c:showPercent val="0"/>
          <c:showBubbleSize val="0"/>
        </c:dLbls>
        <c:gapWidth val="180"/>
        <c:overlap val="-27"/>
        <c:axId val="1906910992"/>
        <c:axId val="1906921808"/>
      </c:barChart>
      <c:lineChart>
        <c:grouping val="standard"/>
        <c:varyColors val="0"/>
        <c:ser>
          <c:idx val="1"/>
          <c:order val="1"/>
          <c:tx>
            <c:v> ???-Podcastspielzeit (in Minuten)</c:v>
          </c:tx>
          <c:spPr>
            <a:ln w="28575" cap="rnd">
              <a:solidFill>
                <a:schemeClr val="accent2"/>
              </a:solidFill>
              <a:round/>
            </a:ln>
            <a:effectLst/>
          </c:spPr>
          <c:marker>
            <c:symbol val="none"/>
          </c:marker>
          <c:dLbls>
            <c:dLbl>
              <c:idx val="35"/>
              <c:layout>
                <c:manualLayout>
                  <c:x val="-5.0151975683890578E-2"/>
                  <c:y val="0.10509803921568628"/>
                </c:manualLayout>
              </c:layout>
              <c:tx>
                <c:rich>
                  <a:bodyPr/>
                  <a:lstStyle/>
                  <a:p>
                    <a:r>
                      <a:rPr lang="en-US" sz="500"/>
                      <a:t>Quartals-Peak durch 
"17-Stunden-Podcast"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D3-40AE-B1EE-7D2893560AA9}"/>
                </c:ext>
              </c:extLst>
            </c:dLbl>
            <c:dLbl>
              <c:idx val="43"/>
              <c:layout>
                <c:manualLayout>
                  <c:x val="-5.1671732522796353E-2"/>
                  <c:y val="7.1895424836601302E-2"/>
                </c:manualLayout>
              </c:layout>
              <c:tx>
                <c:rich>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r>
                      <a:rPr lang="en-US" sz="500" b="0" i="0" u="none" strike="noStrike" kern="1200" baseline="0">
                        <a:solidFill>
                          <a:sysClr val="windowText" lastClr="000000">
                            <a:lumMod val="75000"/>
                            <a:lumOff val="25000"/>
                          </a:sysClr>
                        </a:solidFill>
                      </a:rPr>
                      <a:t>Quartals-Peak durch 
"17-Stunden-Podcast"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endParaRPr lang="en-US"/>
                  </a:p>
                </c:rich>
              </c:tx>
              <c:spPr>
                <a:noFill/>
                <a:ln>
                  <a:noFill/>
                </a:ln>
                <a:effectLst/>
              </c:spPr>
              <c:txPr>
                <a:bodyPr rot="0" spcFirstLastPara="1" vertOverflow="ellipsis" vert="horz" wrap="square" lIns="38100" tIns="19050" rIns="38100" bIns="19050" anchor="ctr" anchorCtr="0">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75000"/>
                          <a:lumOff val="25000"/>
                        </a:sysClr>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8.5243161094224917E-2"/>
                      <c:h val="7.6841130152848547E-2"/>
                    </c:manualLayout>
                  </c15:layout>
                  <c15:showDataLabelsRange val="0"/>
                </c:ext>
                <c:ext xmlns:c16="http://schemas.microsoft.com/office/drawing/2014/chart" uri="{C3380CC4-5D6E-409C-BE32-E72D297353CC}">
                  <c16:uniqueId val="{0000000E-F7EC-40BB-A1B9-31A2C20B78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Synopsis!$AH$322:$AH$367</c:f>
              <c:numCache>
                <c:formatCode>General</c:formatCode>
                <c:ptCount val="46"/>
                <c:pt idx="0">
                  <c:v>0</c:v>
                </c:pt>
                <c:pt idx="1">
                  <c:v>135.65</c:v>
                </c:pt>
                <c:pt idx="2">
                  <c:v>287.5333333333333</c:v>
                </c:pt>
                <c:pt idx="3">
                  <c:v>422.73333333333335</c:v>
                </c:pt>
                <c:pt idx="4">
                  <c:v>172.11666666666667</c:v>
                </c:pt>
                <c:pt idx="5">
                  <c:v>198.33333333333331</c:v>
                </c:pt>
                <c:pt idx="6">
                  <c:v>115.44999999999999</c:v>
                </c:pt>
                <c:pt idx="7">
                  <c:v>119.51666666666667</c:v>
                </c:pt>
                <c:pt idx="8">
                  <c:v>276.10000000000002</c:v>
                </c:pt>
                <c:pt idx="9">
                  <c:v>206.00000000000003</c:v>
                </c:pt>
                <c:pt idx="10">
                  <c:v>114.93333333333332</c:v>
                </c:pt>
                <c:pt idx="11">
                  <c:v>280.99999999999989</c:v>
                </c:pt>
                <c:pt idx="12">
                  <c:v>261.91666666666663</c:v>
                </c:pt>
                <c:pt idx="13">
                  <c:v>406.58333333333326</c:v>
                </c:pt>
                <c:pt idx="14">
                  <c:v>491.01666666666677</c:v>
                </c:pt>
                <c:pt idx="15">
                  <c:v>241.70000000000005</c:v>
                </c:pt>
                <c:pt idx="16">
                  <c:v>190.6333333333333</c:v>
                </c:pt>
                <c:pt idx="17">
                  <c:v>128.93333333333334</c:v>
                </c:pt>
                <c:pt idx="18">
                  <c:v>111.96666666666665</c:v>
                </c:pt>
                <c:pt idx="19">
                  <c:v>129.28333333333333</c:v>
                </c:pt>
                <c:pt idx="20">
                  <c:v>164.75</c:v>
                </c:pt>
                <c:pt idx="21">
                  <c:v>215.36666666666667</c:v>
                </c:pt>
                <c:pt idx="22">
                  <c:v>336.79999999999995</c:v>
                </c:pt>
                <c:pt idx="23">
                  <c:v>847.6</c:v>
                </c:pt>
                <c:pt idx="24">
                  <c:v>688.11666666666667</c:v>
                </c:pt>
                <c:pt idx="25">
                  <c:v>764.83333333333326</c:v>
                </c:pt>
                <c:pt idx="26">
                  <c:v>751.23333333333323</c:v>
                </c:pt>
                <c:pt idx="27">
                  <c:v>1051.6166666666668</c:v>
                </c:pt>
                <c:pt idx="28">
                  <c:v>1275.6000000000001</c:v>
                </c:pt>
                <c:pt idx="29">
                  <c:v>1314.2666666666667</c:v>
                </c:pt>
                <c:pt idx="30">
                  <c:v>1573.6</c:v>
                </c:pt>
                <c:pt idx="31">
                  <c:v>1886.5666666666666</c:v>
                </c:pt>
                <c:pt idx="32">
                  <c:v>1711.3166666666664</c:v>
                </c:pt>
                <c:pt idx="33">
                  <c:v>1743.6</c:v>
                </c:pt>
                <c:pt idx="34">
                  <c:v>1756.8500000000001</c:v>
                </c:pt>
                <c:pt idx="35">
                  <c:v>2749.0833333333339</c:v>
                </c:pt>
                <c:pt idx="36">
                  <c:v>2069.5166666666669</c:v>
                </c:pt>
                <c:pt idx="37">
                  <c:v>3754.1833333333334</c:v>
                </c:pt>
                <c:pt idx="38">
                  <c:v>3740.55</c:v>
                </c:pt>
                <c:pt idx="39">
                  <c:v>4119.4166666666661</c:v>
                </c:pt>
                <c:pt idx="40">
                  <c:v>3695.2333333333327</c:v>
                </c:pt>
                <c:pt idx="41">
                  <c:v>4249.5666666666657</c:v>
                </c:pt>
                <c:pt idx="42">
                  <c:v>3904.25</c:v>
                </c:pt>
                <c:pt idx="43">
                  <c:v>4672.6499999999996</c:v>
                </c:pt>
                <c:pt idx="44">
                  <c:v>3517.7000000000003</c:v>
                </c:pt>
                <c:pt idx="45">
                  <c:v>4396.0499999999993</c:v>
                </c:pt>
              </c:numCache>
            </c:numRef>
          </c:val>
          <c:smooth val="0"/>
          <c:extLst>
            <c:ext xmlns:c16="http://schemas.microsoft.com/office/drawing/2014/chart" uri="{C3380CC4-5D6E-409C-BE32-E72D297353CC}">
              <c16:uniqueId val="{00000001-6C7D-4431-92D8-432F6858F246}"/>
            </c:ext>
          </c:extLst>
        </c:ser>
        <c:dLbls>
          <c:showLegendKey val="0"/>
          <c:showVal val="0"/>
          <c:showCatName val="0"/>
          <c:showSerName val="0"/>
          <c:showPercent val="0"/>
          <c:showBubbleSize val="0"/>
        </c:dLbls>
        <c:marker val="1"/>
        <c:smooth val="0"/>
        <c:axId val="1091047680"/>
        <c:axId val="1091042272"/>
      </c:lineChart>
      <c:catAx>
        <c:axId val="1906910992"/>
        <c:scaling>
          <c:orientation val="minMax"/>
        </c:scaling>
        <c:delete val="0"/>
        <c:axPos val="b"/>
        <c:numFmt formatCode="m/d/yyyy" sourceLinked="1"/>
        <c:majorTickMark val="in"/>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06921808"/>
        <c:crosses val="autoZero"/>
        <c:auto val="0"/>
        <c:lblAlgn val="ctr"/>
        <c:lblOffset val="100"/>
        <c:tickMarkSkip val="2"/>
        <c:noMultiLvlLbl val="0"/>
      </c:catAx>
      <c:valAx>
        <c:axId val="1906921808"/>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06910992"/>
        <c:crosses val="autoZero"/>
        <c:crossBetween val="between"/>
      </c:valAx>
      <c:valAx>
        <c:axId val="1091042272"/>
        <c:scaling>
          <c:orientation val="minMax"/>
          <c:max val="48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91047680"/>
        <c:crosses val="max"/>
        <c:crossBetween val="between"/>
        <c:majorUnit val="600"/>
      </c:valAx>
      <c:catAx>
        <c:axId val="1091047680"/>
        <c:scaling>
          <c:orientation val="minMax"/>
        </c:scaling>
        <c:delete val="1"/>
        <c:axPos val="b"/>
        <c:majorTickMark val="out"/>
        <c:minorTickMark val="none"/>
        <c:tickLblPos val="nextTo"/>
        <c:crossAx val="1091042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44723189796739E-2"/>
          <c:y val="0.1219443853302121"/>
          <c:w val="0.95349597297018662"/>
          <c:h val="0.78048095339433921"/>
        </c:manualLayout>
      </c:layout>
      <c:barChart>
        <c:barDir val="col"/>
        <c:grouping val="stacked"/>
        <c:varyColors val="0"/>
        <c:ser>
          <c:idx val="0"/>
          <c:order val="0"/>
          <c:tx>
            <c:strRef>
              <c:f>Synopsis!$C$385</c:f>
              <c:strCache>
                <c:ptCount val="1"/>
                <c:pt idx="0">
                  <c:v>2011</c:v>
                </c:pt>
              </c:strCache>
            </c:strRef>
          </c:tx>
          <c:spPr>
            <a:solidFill>
              <a:srgbClr val="336699"/>
            </a:solidFill>
            <a:ln>
              <a:noFill/>
            </a:ln>
            <a:effectLst/>
          </c:spPr>
          <c:invertIfNegative val="0"/>
          <c:val>
            <c:numRef>
              <c:f>Synopsis!$E$374:$HZ$374</c:f>
              <c:numCache>
                <c:formatCode>General</c:formatCode>
                <c:ptCount val="2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1</c:v>
                </c:pt>
                <c:pt idx="149">
                  <c:v>1</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0-840A-4F74-BEBB-7AC0FF02A5C8}"/>
            </c:ext>
          </c:extLst>
        </c:ser>
        <c:ser>
          <c:idx val="1"/>
          <c:order val="1"/>
          <c:tx>
            <c:strRef>
              <c:f>Synopsis!$C$384</c:f>
              <c:strCache>
                <c:ptCount val="1"/>
                <c:pt idx="0">
                  <c:v>2012</c:v>
                </c:pt>
              </c:strCache>
            </c:strRef>
          </c:tx>
          <c:spPr>
            <a:solidFill>
              <a:srgbClr val="6699CC"/>
            </a:solidFill>
            <a:ln>
              <a:noFill/>
            </a:ln>
            <a:effectLst/>
          </c:spPr>
          <c:invertIfNegative val="0"/>
          <c:val>
            <c:numRef>
              <c:f>Synopsis!$E$375:$HZ$375</c:f>
              <c:numCache>
                <c:formatCode>General</c:formatCode>
                <c:ptCount val="230"/>
                <c:pt idx="0">
                  <c:v>1</c:v>
                </c:pt>
                <c:pt idx="1">
                  <c:v>1</c:v>
                </c:pt>
                <c:pt idx="2">
                  <c:v>1</c:v>
                </c:pt>
                <c:pt idx="3">
                  <c:v>0</c:v>
                </c:pt>
                <c:pt idx="4">
                  <c:v>0</c:v>
                </c:pt>
                <c:pt idx="5">
                  <c:v>0</c:v>
                </c:pt>
                <c:pt idx="6">
                  <c:v>0</c:v>
                </c:pt>
                <c:pt idx="7">
                  <c:v>1</c:v>
                </c:pt>
                <c:pt idx="8">
                  <c:v>0</c:v>
                </c:pt>
                <c:pt idx="9">
                  <c:v>0</c:v>
                </c:pt>
                <c:pt idx="10">
                  <c:v>0</c:v>
                </c:pt>
                <c:pt idx="11">
                  <c:v>0</c:v>
                </c:pt>
                <c:pt idx="12">
                  <c:v>0</c:v>
                </c:pt>
                <c:pt idx="13">
                  <c:v>0</c:v>
                </c:pt>
                <c:pt idx="14">
                  <c:v>1</c:v>
                </c:pt>
                <c:pt idx="15">
                  <c:v>0</c:v>
                </c:pt>
                <c:pt idx="16">
                  <c:v>0</c:v>
                </c:pt>
                <c:pt idx="17">
                  <c:v>0</c:v>
                </c:pt>
                <c:pt idx="18">
                  <c:v>0</c:v>
                </c:pt>
                <c:pt idx="19">
                  <c:v>0</c:v>
                </c:pt>
                <c:pt idx="20">
                  <c:v>1</c:v>
                </c:pt>
                <c:pt idx="21">
                  <c:v>0</c:v>
                </c:pt>
                <c:pt idx="22">
                  <c:v>0</c:v>
                </c:pt>
                <c:pt idx="23">
                  <c:v>0</c:v>
                </c:pt>
                <c:pt idx="24">
                  <c:v>0</c:v>
                </c:pt>
                <c:pt idx="25">
                  <c:v>0</c:v>
                </c:pt>
                <c:pt idx="26">
                  <c:v>0</c:v>
                </c:pt>
                <c:pt idx="27">
                  <c:v>1</c:v>
                </c:pt>
                <c:pt idx="28">
                  <c:v>0</c:v>
                </c:pt>
                <c:pt idx="29">
                  <c:v>0</c:v>
                </c:pt>
                <c:pt idx="30">
                  <c:v>0</c:v>
                </c:pt>
                <c:pt idx="31">
                  <c:v>0</c:v>
                </c:pt>
                <c:pt idx="32">
                  <c:v>1</c:v>
                </c:pt>
                <c:pt idx="33">
                  <c:v>0</c:v>
                </c:pt>
                <c:pt idx="34">
                  <c:v>0</c:v>
                </c:pt>
                <c:pt idx="35">
                  <c:v>0</c:v>
                </c:pt>
                <c:pt idx="36">
                  <c:v>0</c:v>
                </c:pt>
                <c:pt idx="37">
                  <c:v>0</c:v>
                </c:pt>
                <c:pt idx="38">
                  <c:v>0</c:v>
                </c:pt>
                <c:pt idx="39">
                  <c:v>0</c:v>
                </c:pt>
                <c:pt idx="40">
                  <c:v>0</c:v>
                </c:pt>
                <c:pt idx="41">
                  <c:v>0</c:v>
                </c:pt>
                <c:pt idx="42">
                  <c:v>0</c:v>
                </c:pt>
                <c:pt idx="43">
                  <c:v>0</c:v>
                </c:pt>
                <c:pt idx="44">
                  <c:v>1</c:v>
                </c:pt>
                <c:pt idx="45">
                  <c:v>0</c:v>
                </c:pt>
                <c:pt idx="46">
                  <c:v>1</c:v>
                </c:pt>
                <c:pt idx="47">
                  <c:v>0</c:v>
                </c:pt>
                <c:pt idx="48">
                  <c:v>1</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c:v>
                </c:pt>
                <c:pt idx="90">
                  <c:v>0</c:v>
                </c:pt>
                <c:pt idx="91">
                  <c:v>1</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1</c:v>
                </c:pt>
                <c:pt idx="111">
                  <c:v>0</c:v>
                </c:pt>
                <c:pt idx="112">
                  <c:v>0</c:v>
                </c:pt>
                <c:pt idx="113">
                  <c:v>0</c:v>
                </c:pt>
                <c:pt idx="114">
                  <c:v>0</c:v>
                </c:pt>
                <c:pt idx="115">
                  <c:v>1</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c:v>
                </c:pt>
                <c:pt idx="151">
                  <c:v>2</c:v>
                </c:pt>
                <c:pt idx="152">
                  <c:v>2</c:v>
                </c:pt>
                <c:pt idx="153">
                  <c:v>3</c:v>
                </c:pt>
                <c:pt idx="154">
                  <c:v>3</c:v>
                </c:pt>
                <c:pt idx="155">
                  <c:v>2</c:v>
                </c:pt>
                <c:pt idx="156">
                  <c:v>2</c:v>
                </c:pt>
                <c:pt idx="157">
                  <c:v>1</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1-840A-4F74-BEBB-7AC0FF02A5C8}"/>
            </c:ext>
          </c:extLst>
        </c:ser>
        <c:ser>
          <c:idx val="2"/>
          <c:order val="2"/>
          <c:tx>
            <c:strRef>
              <c:f>Synopsis!$C$383</c:f>
              <c:strCache>
                <c:ptCount val="1"/>
                <c:pt idx="0">
                  <c:v>2013</c:v>
                </c:pt>
              </c:strCache>
            </c:strRef>
          </c:tx>
          <c:spPr>
            <a:solidFill>
              <a:srgbClr val="993333"/>
            </a:solidFill>
            <a:ln>
              <a:noFill/>
            </a:ln>
            <a:effectLst/>
          </c:spPr>
          <c:invertIfNegative val="0"/>
          <c:val>
            <c:numRef>
              <c:f>Synopsis!$E$376:$HZ$376</c:f>
              <c:numCache>
                <c:formatCode>General</c:formatCode>
                <c:ptCount val="230"/>
                <c:pt idx="0">
                  <c:v>0</c:v>
                </c:pt>
                <c:pt idx="1">
                  <c:v>0</c:v>
                </c:pt>
                <c:pt idx="2">
                  <c:v>1</c:v>
                </c:pt>
                <c:pt idx="3">
                  <c:v>1</c:v>
                </c:pt>
                <c:pt idx="4">
                  <c:v>0</c:v>
                </c:pt>
                <c:pt idx="5">
                  <c:v>0</c:v>
                </c:pt>
                <c:pt idx="6">
                  <c:v>0</c:v>
                </c:pt>
                <c:pt idx="7">
                  <c:v>0</c:v>
                </c:pt>
                <c:pt idx="8">
                  <c:v>0</c:v>
                </c:pt>
                <c:pt idx="9">
                  <c:v>1</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1</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1</c:v>
                </c:pt>
                <c:pt idx="158">
                  <c:v>2</c:v>
                </c:pt>
                <c:pt idx="159">
                  <c:v>1</c:v>
                </c:pt>
                <c:pt idx="160">
                  <c:v>1</c:v>
                </c:pt>
                <c:pt idx="161">
                  <c:v>2</c:v>
                </c:pt>
                <c:pt idx="162">
                  <c:v>2</c:v>
                </c:pt>
                <c:pt idx="163">
                  <c:v>2</c:v>
                </c:pt>
                <c:pt idx="164">
                  <c:v>2</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2-840A-4F74-BEBB-7AC0FF02A5C8}"/>
            </c:ext>
          </c:extLst>
        </c:ser>
        <c:ser>
          <c:idx val="3"/>
          <c:order val="3"/>
          <c:tx>
            <c:strRef>
              <c:f>Synopsis!$C$382</c:f>
              <c:strCache>
                <c:ptCount val="1"/>
                <c:pt idx="0">
                  <c:v>2014</c:v>
                </c:pt>
              </c:strCache>
            </c:strRef>
          </c:tx>
          <c:spPr>
            <a:solidFill>
              <a:srgbClr val="CC6666"/>
            </a:solidFill>
            <a:ln>
              <a:noFill/>
            </a:ln>
            <a:effectLst/>
          </c:spPr>
          <c:invertIfNegative val="0"/>
          <c:val>
            <c:numRef>
              <c:f>Synopsis!$E$377:$HZ$377</c:f>
              <c:numCache>
                <c:formatCode>General</c:formatCode>
                <c:ptCount val="230"/>
                <c:pt idx="0">
                  <c:v>1</c:v>
                </c:pt>
                <c:pt idx="1">
                  <c:v>0</c:v>
                </c:pt>
                <c:pt idx="2">
                  <c:v>0</c:v>
                </c:pt>
                <c:pt idx="3">
                  <c:v>1</c:v>
                </c:pt>
                <c:pt idx="4">
                  <c:v>2</c:v>
                </c:pt>
                <c:pt idx="5">
                  <c:v>2</c:v>
                </c:pt>
                <c:pt idx="6">
                  <c:v>0</c:v>
                </c:pt>
                <c:pt idx="7">
                  <c:v>0</c:v>
                </c:pt>
                <c:pt idx="8">
                  <c:v>1</c:v>
                </c:pt>
                <c:pt idx="9">
                  <c:v>1</c:v>
                </c:pt>
                <c:pt idx="10">
                  <c:v>1</c:v>
                </c:pt>
                <c:pt idx="11">
                  <c:v>1</c:v>
                </c:pt>
                <c:pt idx="12">
                  <c:v>1</c:v>
                </c:pt>
                <c:pt idx="13">
                  <c:v>1</c:v>
                </c:pt>
                <c:pt idx="14">
                  <c:v>0</c:v>
                </c:pt>
                <c:pt idx="15">
                  <c:v>1</c:v>
                </c:pt>
                <c:pt idx="16">
                  <c:v>0</c:v>
                </c:pt>
                <c:pt idx="17">
                  <c:v>0</c:v>
                </c:pt>
                <c:pt idx="18">
                  <c:v>1</c:v>
                </c:pt>
                <c:pt idx="19">
                  <c:v>1</c:v>
                </c:pt>
                <c:pt idx="20">
                  <c:v>0</c:v>
                </c:pt>
                <c:pt idx="21">
                  <c:v>1</c:v>
                </c:pt>
                <c:pt idx="22">
                  <c:v>1</c:v>
                </c:pt>
                <c:pt idx="23">
                  <c:v>2</c:v>
                </c:pt>
                <c:pt idx="24">
                  <c:v>0</c:v>
                </c:pt>
                <c:pt idx="25">
                  <c:v>0</c:v>
                </c:pt>
                <c:pt idx="26">
                  <c:v>1</c:v>
                </c:pt>
                <c:pt idx="27">
                  <c:v>1</c:v>
                </c:pt>
                <c:pt idx="28">
                  <c:v>1</c:v>
                </c:pt>
                <c:pt idx="29">
                  <c:v>1</c:v>
                </c:pt>
                <c:pt idx="30">
                  <c:v>1</c:v>
                </c:pt>
                <c:pt idx="31">
                  <c:v>0</c:v>
                </c:pt>
                <c:pt idx="32">
                  <c:v>1</c:v>
                </c:pt>
                <c:pt idx="33">
                  <c:v>1</c:v>
                </c:pt>
                <c:pt idx="34">
                  <c:v>0</c:v>
                </c:pt>
                <c:pt idx="35">
                  <c:v>1</c:v>
                </c:pt>
                <c:pt idx="36">
                  <c:v>0</c:v>
                </c:pt>
                <c:pt idx="37">
                  <c:v>1</c:v>
                </c:pt>
                <c:pt idx="38">
                  <c:v>1</c:v>
                </c:pt>
                <c:pt idx="39">
                  <c:v>1</c:v>
                </c:pt>
                <c:pt idx="40">
                  <c:v>0</c:v>
                </c:pt>
                <c:pt idx="41">
                  <c:v>1</c:v>
                </c:pt>
                <c:pt idx="42">
                  <c:v>1</c:v>
                </c:pt>
                <c:pt idx="43">
                  <c:v>1</c:v>
                </c:pt>
                <c:pt idx="44">
                  <c:v>0</c:v>
                </c:pt>
                <c:pt idx="45">
                  <c:v>1</c:v>
                </c:pt>
                <c:pt idx="46">
                  <c:v>0</c:v>
                </c:pt>
                <c:pt idx="47">
                  <c:v>1</c:v>
                </c:pt>
                <c:pt idx="48">
                  <c:v>1</c:v>
                </c:pt>
                <c:pt idx="49">
                  <c:v>1</c:v>
                </c:pt>
                <c:pt idx="50">
                  <c:v>1</c:v>
                </c:pt>
                <c:pt idx="51">
                  <c:v>1</c:v>
                </c:pt>
                <c:pt idx="52">
                  <c:v>1</c:v>
                </c:pt>
                <c:pt idx="53">
                  <c:v>0</c:v>
                </c:pt>
                <c:pt idx="54">
                  <c:v>1</c:v>
                </c:pt>
                <c:pt idx="55">
                  <c:v>0</c:v>
                </c:pt>
                <c:pt idx="56">
                  <c:v>1</c:v>
                </c:pt>
                <c:pt idx="57">
                  <c:v>1</c:v>
                </c:pt>
                <c:pt idx="58">
                  <c:v>1</c:v>
                </c:pt>
                <c:pt idx="59">
                  <c:v>1</c:v>
                </c:pt>
                <c:pt idx="60">
                  <c:v>0</c:v>
                </c:pt>
                <c:pt idx="61">
                  <c:v>0</c:v>
                </c:pt>
                <c:pt idx="62">
                  <c:v>0</c:v>
                </c:pt>
                <c:pt idx="63">
                  <c:v>1</c:v>
                </c:pt>
                <c:pt idx="64">
                  <c:v>1</c:v>
                </c:pt>
                <c:pt idx="65">
                  <c:v>1</c:v>
                </c:pt>
                <c:pt idx="66">
                  <c:v>0</c:v>
                </c:pt>
                <c:pt idx="67">
                  <c:v>1</c:v>
                </c:pt>
                <c:pt idx="68">
                  <c:v>1</c:v>
                </c:pt>
                <c:pt idx="69">
                  <c:v>1</c:v>
                </c:pt>
                <c:pt idx="70">
                  <c:v>1</c:v>
                </c:pt>
                <c:pt idx="71">
                  <c:v>1</c:v>
                </c:pt>
                <c:pt idx="72">
                  <c:v>0</c:v>
                </c:pt>
                <c:pt idx="73">
                  <c:v>0</c:v>
                </c:pt>
                <c:pt idx="74">
                  <c:v>1</c:v>
                </c:pt>
                <c:pt idx="75">
                  <c:v>0</c:v>
                </c:pt>
                <c:pt idx="76">
                  <c:v>1</c:v>
                </c:pt>
                <c:pt idx="77">
                  <c:v>1</c:v>
                </c:pt>
                <c:pt idx="78">
                  <c:v>1</c:v>
                </c:pt>
                <c:pt idx="79">
                  <c:v>1</c:v>
                </c:pt>
                <c:pt idx="80">
                  <c:v>1</c:v>
                </c:pt>
                <c:pt idx="81">
                  <c:v>1</c:v>
                </c:pt>
                <c:pt idx="82">
                  <c:v>1</c:v>
                </c:pt>
                <c:pt idx="83">
                  <c:v>1</c:v>
                </c:pt>
                <c:pt idx="84">
                  <c:v>0</c:v>
                </c:pt>
                <c:pt idx="85">
                  <c:v>1</c:v>
                </c:pt>
                <c:pt idx="86">
                  <c:v>1</c:v>
                </c:pt>
                <c:pt idx="87">
                  <c:v>1</c:v>
                </c:pt>
                <c:pt idx="88">
                  <c:v>1</c:v>
                </c:pt>
                <c:pt idx="89">
                  <c:v>1</c:v>
                </c:pt>
                <c:pt idx="90">
                  <c:v>1</c:v>
                </c:pt>
                <c:pt idx="91">
                  <c:v>1</c:v>
                </c:pt>
                <c:pt idx="92">
                  <c:v>1</c:v>
                </c:pt>
                <c:pt idx="93">
                  <c:v>1</c:v>
                </c:pt>
                <c:pt idx="94">
                  <c:v>0</c:v>
                </c:pt>
                <c:pt idx="95">
                  <c:v>1</c:v>
                </c:pt>
                <c:pt idx="96">
                  <c:v>0</c:v>
                </c:pt>
                <c:pt idx="97">
                  <c:v>1</c:v>
                </c:pt>
                <c:pt idx="98">
                  <c:v>0</c:v>
                </c:pt>
                <c:pt idx="99">
                  <c:v>0</c:v>
                </c:pt>
                <c:pt idx="100">
                  <c:v>1</c:v>
                </c:pt>
                <c:pt idx="101">
                  <c:v>0</c:v>
                </c:pt>
                <c:pt idx="102">
                  <c:v>1</c:v>
                </c:pt>
                <c:pt idx="103">
                  <c:v>1</c:v>
                </c:pt>
                <c:pt idx="104">
                  <c:v>0</c:v>
                </c:pt>
                <c:pt idx="105">
                  <c:v>1</c:v>
                </c:pt>
                <c:pt idx="106">
                  <c:v>1</c:v>
                </c:pt>
                <c:pt idx="107">
                  <c:v>1</c:v>
                </c:pt>
                <c:pt idx="108">
                  <c:v>1</c:v>
                </c:pt>
                <c:pt idx="109">
                  <c:v>1</c:v>
                </c:pt>
                <c:pt idx="110">
                  <c:v>0</c:v>
                </c:pt>
                <c:pt idx="111">
                  <c:v>1</c:v>
                </c:pt>
                <c:pt idx="112">
                  <c:v>1</c:v>
                </c:pt>
                <c:pt idx="113">
                  <c:v>0</c:v>
                </c:pt>
                <c:pt idx="114">
                  <c:v>0</c:v>
                </c:pt>
                <c:pt idx="115">
                  <c:v>0</c:v>
                </c:pt>
                <c:pt idx="116">
                  <c:v>0</c:v>
                </c:pt>
                <c:pt idx="117">
                  <c:v>0</c:v>
                </c:pt>
                <c:pt idx="118">
                  <c:v>1</c:v>
                </c:pt>
                <c:pt idx="119">
                  <c:v>0</c:v>
                </c:pt>
                <c:pt idx="120">
                  <c:v>1</c:v>
                </c:pt>
                <c:pt idx="121">
                  <c:v>1</c:v>
                </c:pt>
                <c:pt idx="122">
                  <c:v>1</c:v>
                </c:pt>
                <c:pt idx="123">
                  <c:v>1</c:v>
                </c:pt>
                <c:pt idx="124">
                  <c:v>1</c:v>
                </c:pt>
                <c:pt idx="125">
                  <c:v>1</c:v>
                </c:pt>
                <c:pt idx="126">
                  <c:v>0</c:v>
                </c:pt>
                <c:pt idx="127">
                  <c:v>0</c:v>
                </c:pt>
                <c:pt idx="128">
                  <c:v>1</c:v>
                </c:pt>
                <c:pt idx="129">
                  <c:v>0</c:v>
                </c:pt>
                <c:pt idx="130">
                  <c:v>1</c:v>
                </c:pt>
                <c:pt idx="131">
                  <c:v>0</c:v>
                </c:pt>
                <c:pt idx="132">
                  <c:v>0</c:v>
                </c:pt>
                <c:pt idx="133">
                  <c:v>0</c:v>
                </c:pt>
                <c:pt idx="134">
                  <c:v>0</c:v>
                </c:pt>
                <c:pt idx="135">
                  <c:v>1</c:v>
                </c:pt>
                <c:pt idx="136">
                  <c:v>1</c:v>
                </c:pt>
                <c:pt idx="137">
                  <c:v>1</c:v>
                </c:pt>
                <c:pt idx="138">
                  <c:v>0</c:v>
                </c:pt>
                <c:pt idx="139">
                  <c:v>1</c:v>
                </c:pt>
                <c:pt idx="140">
                  <c:v>0</c:v>
                </c:pt>
                <c:pt idx="141">
                  <c:v>0</c:v>
                </c:pt>
                <c:pt idx="142">
                  <c:v>0</c:v>
                </c:pt>
                <c:pt idx="143">
                  <c:v>0</c:v>
                </c:pt>
                <c:pt idx="144">
                  <c:v>1</c:v>
                </c:pt>
                <c:pt idx="145">
                  <c:v>1</c:v>
                </c:pt>
                <c:pt idx="146">
                  <c:v>0</c:v>
                </c:pt>
                <c:pt idx="147">
                  <c:v>1</c:v>
                </c:pt>
                <c:pt idx="148">
                  <c:v>0</c:v>
                </c:pt>
                <c:pt idx="149">
                  <c:v>1</c:v>
                </c:pt>
                <c:pt idx="150">
                  <c:v>0</c:v>
                </c:pt>
                <c:pt idx="151">
                  <c:v>0</c:v>
                </c:pt>
                <c:pt idx="152">
                  <c:v>0</c:v>
                </c:pt>
                <c:pt idx="153">
                  <c:v>1</c:v>
                </c:pt>
                <c:pt idx="154">
                  <c:v>1</c:v>
                </c:pt>
                <c:pt idx="155">
                  <c:v>0</c:v>
                </c:pt>
                <c:pt idx="156">
                  <c:v>1</c:v>
                </c:pt>
                <c:pt idx="157">
                  <c:v>0</c:v>
                </c:pt>
                <c:pt idx="158">
                  <c:v>0</c:v>
                </c:pt>
                <c:pt idx="159">
                  <c:v>0</c:v>
                </c:pt>
                <c:pt idx="160">
                  <c:v>0</c:v>
                </c:pt>
                <c:pt idx="161">
                  <c:v>1</c:v>
                </c:pt>
                <c:pt idx="162">
                  <c:v>1</c:v>
                </c:pt>
                <c:pt idx="163">
                  <c:v>2</c:v>
                </c:pt>
                <c:pt idx="164">
                  <c:v>1</c:v>
                </c:pt>
                <c:pt idx="165">
                  <c:v>1</c:v>
                </c:pt>
                <c:pt idx="166">
                  <c:v>1</c:v>
                </c:pt>
                <c:pt idx="167">
                  <c:v>1</c:v>
                </c:pt>
                <c:pt idx="168">
                  <c:v>1</c:v>
                </c:pt>
                <c:pt idx="169">
                  <c:v>1</c:v>
                </c:pt>
                <c:pt idx="170">
                  <c:v>1</c:v>
                </c:pt>
                <c:pt idx="171">
                  <c:v>1</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3-840A-4F74-BEBB-7AC0FF02A5C8}"/>
            </c:ext>
          </c:extLst>
        </c:ser>
        <c:ser>
          <c:idx val="4"/>
          <c:order val="4"/>
          <c:tx>
            <c:strRef>
              <c:f>Synopsis!$C$381</c:f>
              <c:strCache>
                <c:ptCount val="1"/>
                <c:pt idx="0">
                  <c:v>2015</c:v>
                </c:pt>
              </c:strCache>
            </c:strRef>
          </c:tx>
          <c:spPr>
            <a:solidFill>
              <a:srgbClr val="669933"/>
            </a:solidFill>
            <a:ln>
              <a:noFill/>
            </a:ln>
            <a:effectLst/>
          </c:spPr>
          <c:invertIfNegative val="0"/>
          <c:val>
            <c:numRef>
              <c:f>Synopsis!$E$378:$HZ$378</c:f>
              <c:numCache>
                <c:formatCode>General</c:formatCode>
                <c:ptCount val="230"/>
                <c:pt idx="0">
                  <c:v>0</c:v>
                </c:pt>
                <c:pt idx="1">
                  <c:v>1</c:v>
                </c:pt>
                <c:pt idx="2">
                  <c:v>1</c:v>
                </c:pt>
                <c:pt idx="3">
                  <c:v>1</c:v>
                </c:pt>
                <c:pt idx="4">
                  <c:v>0</c:v>
                </c:pt>
                <c:pt idx="5">
                  <c:v>0</c:v>
                </c:pt>
                <c:pt idx="6">
                  <c:v>2</c:v>
                </c:pt>
                <c:pt idx="7">
                  <c:v>1</c:v>
                </c:pt>
                <c:pt idx="8">
                  <c:v>0</c:v>
                </c:pt>
                <c:pt idx="9">
                  <c:v>0</c:v>
                </c:pt>
                <c:pt idx="10">
                  <c:v>0</c:v>
                </c:pt>
                <c:pt idx="11">
                  <c:v>0</c:v>
                </c:pt>
                <c:pt idx="12">
                  <c:v>0</c:v>
                </c:pt>
                <c:pt idx="13">
                  <c:v>0</c:v>
                </c:pt>
                <c:pt idx="14">
                  <c:v>1</c:v>
                </c:pt>
                <c:pt idx="15">
                  <c:v>0</c:v>
                </c:pt>
                <c:pt idx="16">
                  <c:v>1</c:v>
                </c:pt>
                <c:pt idx="17">
                  <c:v>1</c:v>
                </c:pt>
                <c:pt idx="18">
                  <c:v>0</c:v>
                </c:pt>
                <c:pt idx="19">
                  <c:v>0</c:v>
                </c:pt>
                <c:pt idx="20">
                  <c:v>1</c:v>
                </c:pt>
                <c:pt idx="21">
                  <c:v>0</c:v>
                </c:pt>
                <c:pt idx="22">
                  <c:v>0</c:v>
                </c:pt>
                <c:pt idx="23">
                  <c:v>0</c:v>
                </c:pt>
                <c:pt idx="24">
                  <c:v>1</c:v>
                </c:pt>
                <c:pt idx="25">
                  <c:v>1</c:v>
                </c:pt>
                <c:pt idx="26">
                  <c:v>0</c:v>
                </c:pt>
                <c:pt idx="27">
                  <c:v>0</c:v>
                </c:pt>
                <c:pt idx="28">
                  <c:v>0</c:v>
                </c:pt>
                <c:pt idx="29">
                  <c:v>0</c:v>
                </c:pt>
                <c:pt idx="30">
                  <c:v>0</c:v>
                </c:pt>
                <c:pt idx="31">
                  <c:v>1</c:v>
                </c:pt>
                <c:pt idx="32">
                  <c:v>0</c:v>
                </c:pt>
                <c:pt idx="33">
                  <c:v>0</c:v>
                </c:pt>
                <c:pt idx="34">
                  <c:v>1</c:v>
                </c:pt>
                <c:pt idx="35">
                  <c:v>0</c:v>
                </c:pt>
                <c:pt idx="36">
                  <c:v>1</c:v>
                </c:pt>
                <c:pt idx="37">
                  <c:v>0</c:v>
                </c:pt>
                <c:pt idx="38">
                  <c:v>0</c:v>
                </c:pt>
                <c:pt idx="39">
                  <c:v>0</c:v>
                </c:pt>
                <c:pt idx="40">
                  <c:v>1</c:v>
                </c:pt>
                <c:pt idx="41">
                  <c:v>0</c:v>
                </c:pt>
                <c:pt idx="42">
                  <c:v>0</c:v>
                </c:pt>
                <c:pt idx="43">
                  <c:v>0</c:v>
                </c:pt>
                <c:pt idx="44">
                  <c:v>1</c:v>
                </c:pt>
                <c:pt idx="45">
                  <c:v>0</c:v>
                </c:pt>
                <c:pt idx="46">
                  <c:v>1</c:v>
                </c:pt>
                <c:pt idx="47">
                  <c:v>0</c:v>
                </c:pt>
                <c:pt idx="48">
                  <c:v>0</c:v>
                </c:pt>
                <c:pt idx="49">
                  <c:v>0</c:v>
                </c:pt>
                <c:pt idx="50">
                  <c:v>0</c:v>
                </c:pt>
                <c:pt idx="51">
                  <c:v>0</c:v>
                </c:pt>
                <c:pt idx="52">
                  <c:v>0</c:v>
                </c:pt>
                <c:pt idx="53">
                  <c:v>1</c:v>
                </c:pt>
                <c:pt idx="54">
                  <c:v>0</c:v>
                </c:pt>
                <c:pt idx="55">
                  <c:v>1</c:v>
                </c:pt>
                <c:pt idx="56">
                  <c:v>0</c:v>
                </c:pt>
                <c:pt idx="57">
                  <c:v>0</c:v>
                </c:pt>
                <c:pt idx="58">
                  <c:v>0</c:v>
                </c:pt>
                <c:pt idx="59">
                  <c:v>0</c:v>
                </c:pt>
                <c:pt idx="60">
                  <c:v>1</c:v>
                </c:pt>
                <c:pt idx="61">
                  <c:v>1</c:v>
                </c:pt>
                <c:pt idx="62">
                  <c:v>1</c:v>
                </c:pt>
                <c:pt idx="63">
                  <c:v>0</c:v>
                </c:pt>
                <c:pt idx="64">
                  <c:v>0</c:v>
                </c:pt>
                <c:pt idx="65">
                  <c:v>0</c:v>
                </c:pt>
                <c:pt idx="66">
                  <c:v>1</c:v>
                </c:pt>
                <c:pt idx="67">
                  <c:v>0</c:v>
                </c:pt>
                <c:pt idx="68">
                  <c:v>0</c:v>
                </c:pt>
                <c:pt idx="69">
                  <c:v>0</c:v>
                </c:pt>
                <c:pt idx="70">
                  <c:v>0</c:v>
                </c:pt>
                <c:pt idx="71">
                  <c:v>0</c:v>
                </c:pt>
                <c:pt idx="72">
                  <c:v>1</c:v>
                </c:pt>
                <c:pt idx="73">
                  <c:v>1</c:v>
                </c:pt>
                <c:pt idx="74">
                  <c:v>0</c:v>
                </c:pt>
                <c:pt idx="75">
                  <c:v>1</c:v>
                </c:pt>
                <c:pt idx="76">
                  <c:v>0</c:v>
                </c:pt>
                <c:pt idx="77">
                  <c:v>0</c:v>
                </c:pt>
                <c:pt idx="78">
                  <c:v>0</c:v>
                </c:pt>
                <c:pt idx="79">
                  <c:v>0</c:v>
                </c:pt>
                <c:pt idx="80">
                  <c:v>0</c:v>
                </c:pt>
                <c:pt idx="81">
                  <c:v>0</c:v>
                </c:pt>
                <c:pt idx="82">
                  <c:v>0</c:v>
                </c:pt>
                <c:pt idx="83">
                  <c:v>0</c:v>
                </c:pt>
                <c:pt idx="84">
                  <c:v>1</c:v>
                </c:pt>
                <c:pt idx="85">
                  <c:v>0</c:v>
                </c:pt>
                <c:pt idx="86">
                  <c:v>0</c:v>
                </c:pt>
                <c:pt idx="87">
                  <c:v>0</c:v>
                </c:pt>
                <c:pt idx="88">
                  <c:v>0</c:v>
                </c:pt>
                <c:pt idx="89">
                  <c:v>0</c:v>
                </c:pt>
                <c:pt idx="90">
                  <c:v>0</c:v>
                </c:pt>
                <c:pt idx="91">
                  <c:v>0</c:v>
                </c:pt>
                <c:pt idx="92">
                  <c:v>0</c:v>
                </c:pt>
                <c:pt idx="93">
                  <c:v>0</c:v>
                </c:pt>
                <c:pt idx="94">
                  <c:v>0</c:v>
                </c:pt>
                <c:pt idx="95">
                  <c:v>0</c:v>
                </c:pt>
                <c:pt idx="96">
                  <c:v>1</c:v>
                </c:pt>
                <c:pt idx="97">
                  <c:v>0</c:v>
                </c:pt>
                <c:pt idx="98">
                  <c:v>1</c:v>
                </c:pt>
                <c:pt idx="99">
                  <c:v>1</c:v>
                </c:pt>
                <c:pt idx="100">
                  <c:v>0</c:v>
                </c:pt>
                <c:pt idx="101">
                  <c:v>0</c:v>
                </c:pt>
                <c:pt idx="102">
                  <c:v>0</c:v>
                </c:pt>
                <c:pt idx="103">
                  <c:v>0</c:v>
                </c:pt>
                <c:pt idx="104">
                  <c:v>1</c:v>
                </c:pt>
                <c:pt idx="105">
                  <c:v>0</c:v>
                </c:pt>
                <c:pt idx="106">
                  <c:v>0</c:v>
                </c:pt>
                <c:pt idx="107">
                  <c:v>0</c:v>
                </c:pt>
                <c:pt idx="108">
                  <c:v>0</c:v>
                </c:pt>
                <c:pt idx="109">
                  <c:v>0</c:v>
                </c:pt>
                <c:pt idx="110">
                  <c:v>1</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c:v>
                </c:pt>
                <c:pt idx="166">
                  <c:v>0</c:v>
                </c:pt>
                <c:pt idx="167">
                  <c:v>0</c:v>
                </c:pt>
                <c:pt idx="168">
                  <c:v>0</c:v>
                </c:pt>
                <c:pt idx="169">
                  <c:v>1</c:v>
                </c:pt>
                <c:pt idx="170">
                  <c:v>0</c:v>
                </c:pt>
                <c:pt idx="171">
                  <c:v>0</c:v>
                </c:pt>
                <c:pt idx="172">
                  <c:v>1</c:v>
                </c:pt>
                <c:pt idx="173">
                  <c:v>1</c:v>
                </c:pt>
                <c:pt idx="174">
                  <c:v>2</c:v>
                </c:pt>
                <c:pt idx="175">
                  <c:v>2</c:v>
                </c:pt>
                <c:pt idx="176">
                  <c:v>1</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4-840A-4F74-BEBB-7AC0FF02A5C8}"/>
            </c:ext>
          </c:extLst>
        </c:ser>
        <c:ser>
          <c:idx val="5"/>
          <c:order val="5"/>
          <c:tx>
            <c:strRef>
              <c:f>Synopsis!$C$380</c:f>
              <c:strCache>
                <c:ptCount val="1"/>
                <c:pt idx="0">
                  <c:v>2016</c:v>
                </c:pt>
              </c:strCache>
            </c:strRef>
          </c:tx>
          <c:spPr>
            <a:solidFill>
              <a:srgbClr val="99CC66"/>
            </a:solidFill>
            <a:ln>
              <a:noFill/>
            </a:ln>
            <a:effectLst/>
          </c:spPr>
          <c:invertIfNegative val="0"/>
          <c:val>
            <c:numRef>
              <c:f>Synopsis!$E$379:$HZ$379</c:f>
              <c:numCache>
                <c:formatCode>General</c:formatCode>
                <c:ptCount val="230"/>
                <c:pt idx="0">
                  <c:v>1</c:v>
                </c:pt>
                <c:pt idx="1">
                  <c:v>0</c:v>
                </c:pt>
                <c:pt idx="2">
                  <c:v>0</c:v>
                </c:pt>
                <c:pt idx="3">
                  <c:v>0</c:v>
                </c:pt>
                <c:pt idx="4">
                  <c:v>0</c:v>
                </c:pt>
                <c:pt idx="5">
                  <c:v>0</c:v>
                </c:pt>
                <c:pt idx="6">
                  <c:v>0</c:v>
                </c:pt>
                <c:pt idx="7">
                  <c:v>1</c:v>
                </c:pt>
                <c:pt idx="8">
                  <c:v>1</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1</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1</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1</c:v>
                </c:pt>
                <c:pt idx="175">
                  <c:v>0</c:v>
                </c:pt>
                <c:pt idx="176">
                  <c:v>0</c:v>
                </c:pt>
                <c:pt idx="177">
                  <c:v>1</c:v>
                </c:pt>
                <c:pt idx="178">
                  <c:v>2</c:v>
                </c:pt>
                <c:pt idx="179">
                  <c:v>2</c:v>
                </c:pt>
                <c:pt idx="180">
                  <c:v>1</c:v>
                </c:pt>
                <c:pt idx="181">
                  <c:v>1</c:v>
                </c:pt>
                <c:pt idx="182">
                  <c:v>2</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5-840A-4F74-BEBB-7AC0FF02A5C8}"/>
            </c:ext>
          </c:extLst>
        </c:ser>
        <c:ser>
          <c:idx val="6"/>
          <c:order val="6"/>
          <c:tx>
            <c:strRef>
              <c:f>Synopsis!$C$379</c:f>
              <c:strCache>
                <c:ptCount val="1"/>
                <c:pt idx="0">
                  <c:v>2017</c:v>
                </c:pt>
              </c:strCache>
            </c:strRef>
          </c:tx>
          <c:spPr>
            <a:solidFill>
              <a:srgbClr val="666699"/>
            </a:solidFill>
            <a:ln>
              <a:noFill/>
            </a:ln>
            <a:effectLst/>
          </c:spPr>
          <c:invertIfNegative val="0"/>
          <c:val>
            <c:numRef>
              <c:f>Synopsis!$E$380:$HZ$380</c:f>
              <c:numCache>
                <c:formatCode>General</c:formatCode>
                <c:ptCount val="230"/>
                <c:pt idx="0">
                  <c:v>1</c:v>
                </c:pt>
                <c:pt idx="1">
                  <c:v>1</c:v>
                </c:pt>
                <c:pt idx="2">
                  <c:v>1</c:v>
                </c:pt>
                <c:pt idx="3">
                  <c:v>1</c:v>
                </c:pt>
                <c:pt idx="4">
                  <c:v>0</c:v>
                </c:pt>
                <c:pt idx="5">
                  <c:v>0</c:v>
                </c:pt>
                <c:pt idx="6">
                  <c:v>0</c:v>
                </c:pt>
                <c:pt idx="7">
                  <c:v>1</c:v>
                </c:pt>
                <c:pt idx="8">
                  <c:v>0</c:v>
                </c:pt>
                <c:pt idx="9">
                  <c:v>2</c:v>
                </c:pt>
                <c:pt idx="10">
                  <c:v>0</c:v>
                </c:pt>
                <c:pt idx="11">
                  <c:v>0</c:v>
                </c:pt>
                <c:pt idx="12">
                  <c:v>0</c:v>
                </c:pt>
                <c:pt idx="13">
                  <c:v>0</c:v>
                </c:pt>
                <c:pt idx="14">
                  <c:v>0</c:v>
                </c:pt>
                <c:pt idx="15">
                  <c:v>0</c:v>
                </c:pt>
                <c:pt idx="16">
                  <c:v>1</c:v>
                </c:pt>
                <c:pt idx="17">
                  <c:v>0</c:v>
                </c:pt>
                <c:pt idx="18">
                  <c:v>0</c:v>
                </c:pt>
                <c:pt idx="19">
                  <c:v>0</c:v>
                </c:pt>
                <c:pt idx="20">
                  <c:v>0</c:v>
                </c:pt>
                <c:pt idx="21">
                  <c:v>0</c:v>
                </c:pt>
                <c:pt idx="22">
                  <c:v>0</c:v>
                </c:pt>
                <c:pt idx="23">
                  <c:v>1</c:v>
                </c:pt>
                <c:pt idx="24">
                  <c:v>0</c:v>
                </c:pt>
                <c:pt idx="25">
                  <c:v>0</c:v>
                </c:pt>
                <c:pt idx="26">
                  <c:v>0</c:v>
                </c:pt>
                <c:pt idx="27">
                  <c:v>0</c:v>
                </c:pt>
                <c:pt idx="28">
                  <c:v>0</c:v>
                </c:pt>
                <c:pt idx="29">
                  <c:v>1</c:v>
                </c:pt>
                <c:pt idx="30">
                  <c:v>0</c:v>
                </c:pt>
                <c:pt idx="31">
                  <c:v>1</c:v>
                </c:pt>
                <c:pt idx="32">
                  <c:v>0</c:v>
                </c:pt>
                <c:pt idx="33">
                  <c:v>0</c:v>
                </c:pt>
                <c:pt idx="34">
                  <c:v>0</c:v>
                </c:pt>
                <c:pt idx="35">
                  <c:v>0</c:v>
                </c:pt>
                <c:pt idx="36">
                  <c:v>0</c:v>
                </c:pt>
                <c:pt idx="37">
                  <c:v>1</c:v>
                </c:pt>
                <c:pt idx="38">
                  <c:v>0</c:v>
                </c:pt>
                <c:pt idx="39">
                  <c:v>0</c:v>
                </c:pt>
                <c:pt idx="40">
                  <c:v>0</c:v>
                </c:pt>
                <c:pt idx="41">
                  <c:v>0</c:v>
                </c:pt>
                <c:pt idx="42">
                  <c:v>0</c:v>
                </c:pt>
                <c:pt idx="43">
                  <c:v>0</c:v>
                </c:pt>
                <c:pt idx="44">
                  <c:v>0</c:v>
                </c:pt>
                <c:pt idx="45">
                  <c:v>0</c:v>
                </c:pt>
                <c:pt idx="46">
                  <c:v>0</c:v>
                </c:pt>
                <c:pt idx="47">
                  <c:v>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1</c:v>
                </c:pt>
                <c:pt idx="68">
                  <c:v>0</c:v>
                </c:pt>
                <c:pt idx="69">
                  <c:v>0</c:v>
                </c:pt>
                <c:pt idx="70">
                  <c:v>0</c:v>
                </c:pt>
                <c:pt idx="71">
                  <c:v>0</c:v>
                </c:pt>
                <c:pt idx="72">
                  <c:v>0</c:v>
                </c:pt>
                <c:pt idx="73">
                  <c:v>0</c:v>
                </c:pt>
                <c:pt idx="74">
                  <c:v>0</c:v>
                </c:pt>
                <c:pt idx="75">
                  <c:v>1</c:v>
                </c:pt>
                <c:pt idx="76">
                  <c:v>0</c:v>
                </c:pt>
                <c:pt idx="77">
                  <c:v>0</c:v>
                </c:pt>
                <c:pt idx="78">
                  <c:v>0</c:v>
                </c:pt>
                <c:pt idx="79">
                  <c:v>0</c:v>
                </c:pt>
                <c:pt idx="80">
                  <c:v>0</c:v>
                </c:pt>
                <c:pt idx="81">
                  <c:v>0</c:v>
                </c:pt>
                <c:pt idx="82">
                  <c:v>0</c:v>
                </c:pt>
                <c:pt idx="83">
                  <c:v>1</c:v>
                </c:pt>
                <c:pt idx="84">
                  <c:v>1</c:v>
                </c:pt>
                <c:pt idx="85">
                  <c:v>1</c:v>
                </c:pt>
                <c:pt idx="86">
                  <c:v>0</c:v>
                </c:pt>
                <c:pt idx="87">
                  <c:v>1</c:v>
                </c:pt>
                <c:pt idx="88">
                  <c:v>0</c:v>
                </c:pt>
                <c:pt idx="89">
                  <c:v>0</c:v>
                </c:pt>
                <c:pt idx="90">
                  <c:v>1</c:v>
                </c:pt>
                <c:pt idx="91">
                  <c:v>2</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c:v>
                </c:pt>
                <c:pt idx="106">
                  <c:v>0</c:v>
                </c:pt>
                <c:pt idx="107">
                  <c:v>1</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2</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2</c:v>
                </c:pt>
                <c:pt idx="184">
                  <c:v>2</c:v>
                </c:pt>
                <c:pt idx="185">
                  <c:v>2</c:v>
                </c:pt>
                <c:pt idx="186">
                  <c:v>2</c:v>
                </c:pt>
                <c:pt idx="187">
                  <c:v>2</c:v>
                </c:pt>
                <c:pt idx="188">
                  <c:v>3</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6-840A-4F74-BEBB-7AC0FF02A5C8}"/>
            </c:ext>
          </c:extLst>
        </c:ser>
        <c:ser>
          <c:idx val="7"/>
          <c:order val="7"/>
          <c:tx>
            <c:strRef>
              <c:f>Synopsis!$C$378</c:f>
              <c:strCache>
                <c:ptCount val="1"/>
                <c:pt idx="0">
                  <c:v>2018</c:v>
                </c:pt>
              </c:strCache>
            </c:strRef>
          </c:tx>
          <c:spPr>
            <a:solidFill>
              <a:srgbClr val="996699"/>
            </a:solidFill>
            <a:ln>
              <a:noFill/>
            </a:ln>
            <a:effectLst/>
          </c:spPr>
          <c:invertIfNegative val="0"/>
          <c:val>
            <c:numRef>
              <c:f>Synopsis!$E$381:$HZ$381</c:f>
              <c:numCache>
                <c:formatCode>General</c:formatCode>
                <c:ptCount val="230"/>
                <c:pt idx="0">
                  <c:v>1</c:v>
                </c:pt>
                <c:pt idx="1">
                  <c:v>1</c:v>
                </c:pt>
                <c:pt idx="2">
                  <c:v>0</c:v>
                </c:pt>
                <c:pt idx="3">
                  <c:v>0</c:v>
                </c:pt>
                <c:pt idx="4">
                  <c:v>3</c:v>
                </c:pt>
                <c:pt idx="5">
                  <c:v>2</c:v>
                </c:pt>
                <c:pt idx="6">
                  <c:v>0</c:v>
                </c:pt>
                <c:pt idx="7">
                  <c:v>0</c:v>
                </c:pt>
                <c:pt idx="8">
                  <c:v>0</c:v>
                </c:pt>
                <c:pt idx="9">
                  <c:v>0</c:v>
                </c:pt>
                <c:pt idx="10">
                  <c:v>0</c:v>
                </c:pt>
                <c:pt idx="11">
                  <c:v>1</c:v>
                </c:pt>
                <c:pt idx="12">
                  <c:v>0</c:v>
                </c:pt>
                <c:pt idx="13">
                  <c:v>1</c:v>
                </c:pt>
                <c:pt idx="14">
                  <c:v>0</c:v>
                </c:pt>
                <c:pt idx="15">
                  <c:v>0</c:v>
                </c:pt>
                <c:pt idx="16">
                  <c:v>0</c:v>
                </c:pt>
                <c:pt idx="17">
                  <c:v>1</c:v>
                </c:pt>
                <c:pt idx="18">
                  <c:v>0</c:v>
                </c:pt>
                <c:pt idx="19">
                  <c:v>0</c:v>
                </c:pt>
                <c:pt idx="20">
                  <c:v>1</c:v>
                </c:pt>
                <c:pt idx="21">
                  <c:v>0</c:v>
                </c:pt>
                <c:pt idx="22">
                  <c:v>0</c:v>
                </c:pt>
                <c:pt idx="23">
                  <c:v>0</c:v>
                </c:pt>
                <c:pt idx="24">
                  <c:v>1</c:v>
                </c:pt>
                <c:pt idx="25">
                  <c:v>0</c:v>
                </c:pt>
                <c:pt idx="26">
                  <c:v>1</c:v>
                </c:pt>
                <c:pt idx="27">
                  <c:v>0</c:v>
                </c:pt>
                <c:pt idx="28">
                  <c:v>0</c:v>
                </c:pt>
                <c:pt idx="29">
                  <c:v>0</c:v>
                </c:pt>
                <c:pt idx="30">
                  <c:v>0</c:v>
                </c:pt>
                <c:pt idx="31">
                  <c:v>0</c:v>
                </c:pt>
                <c:pt idx="32">
                  <c:v>0</c:v>
                </c:pt>
                <c:pt idx="33">
                  <c:v>0</c:v>
                </c:pt>
                <c:pt idx="34">
                  <c:v>0</c:v>
                </c:pt>
                <c:pt idx="35">
                  <c:v>0</c:v>
                </c:pt>
                <c:pt idx="36">
                  <c:v>1</c:v>
                </c:pt>
                <c:pt idx="37">
                  <c:v>0</c:v>
                </c:pt>
                <c:pt idx="38">
                  <c:v>1</c:v>
                </c:pt>
                <c:pt idx="39">
                  <c:v>0</c:v>
                </c:pt>
                <c:pt idx="40">
                  <c:v>0</c:v>
                </c:pt>
                <c:pt idx="41">
                  <c:v>0</c:v>
                </c:pt>
                <c:pt idx="42">
                  <c:v>0</c:v>
                </c:pt>
                <c:pt idx="43">
                  <c:v>0</c:v>
                </c:pt>
                <c:pt idx="44">
                  <c:v>0</c:v>
                </c:pt>
                <c:pt idx="45">
                  <c:v>0</c:v>
                </c:pt>
                <c:pt idx="46">
                  <c:v>1</c:v>
                </c:pt>
                <c:pt idx="47">
                  <c:v>0</c:v>
                </c:pt>
                <c:pt idx="48">
                  <c:v>1</c:v>
                </c:pt>
                <c:pt idx="49">
                  <c:v>0</c:v>
                </c:pt>
                <c:pt idx="50">
                  <c:v>0</c:v>
                </c:pt>
                <c:pt idx="51">
                  <c:v>1</c:v>
                </c:pt>
                <c:pt idx="52">
                  <c:v>0</c:v>
                </c:pt>
                <c:pt idx="53">
                  <c:v>1</c:v>
                </c:pt>
                <c:pt idx="54">
                  <c:v>0</c:v>
                </c:pt>
                <c:pt idx="55">
                  <c:v>0</c:v>
                </c:pt>
                <c:pt idx="56">
                  <c:v>0</c:v>
                </c:pt>
                <c:pt idx="57">
                  <c:v>0</c:v>
                </c:pt>
                <c:pt idx="58">
                  <c:v>0</c:v>
                </c:pt>
                <c:pt idx="59">
                  <c:v>0</c:v>
                </c:pt>
                <c:pt idx="60">
                  <c:v>0</c:v>
                </c:pt>
                <c:pt idx="61">
                  <c:v>0</c:v>
                </c:pt>
                <c:pt idx="62">
                  <c:v>1</c:v>
                </c:pt>
                <c:pt idx="63">
                  <c:v>1</c:v>
                </c:pt>
                <c:pt idx="64">
                  <c:v>0</c:v>
                </c:pt>
                <c:pt idx="65">
                  <c:v>0</c:v>
                </c:pt>
                <c:pt idx="66">
                  <c:v>0</c:v>
                </c:pt>
                <c:pt idx="67">
                  <c:v>0</c:v>
                </c:pt>
                <c:pt idx="68">
                  <c:v>0</c:v>
                </c:pt>
                <c:pt idx="69">
                  <c:v>0</c:v>
                </c:pt>
                <c:pt idx="70">
                  <c:v>0</c:v>
                </c:pt>
                <c:pt idx="71">
                  <c:v>0</c:v>
                </c:pt>
                <c:pt idx="72">
                  <c:v>0</c:v>
                </c:pt>
                <c:pt idx="73">
                  <c:v>0</c:v>
                </c:pt>
                <c:pt idx="74">
                  <c:v>0</c:v>
                </c:pt>
                <c:pt idx="75">
                  <c:v>1</c:v>
                </c:pt>
                <c:pt idx="76">
                  <c:v>0</c:v>
                </c:pt>
                <c:pt idx="77">
                  <c:v>0</c:v>
                </c:pt>
                <c:pt idx="78">
                  <c:v>0</c:v>
                </c:pt>
                <c:pt idx="79">
                  <c:v>2</c:v>
                </c:pt>
                <c:pt idx="80">
                  <c:v>0</c:v>
                </c:pt>
                <c:pt idx="81">
                  <c:v>0</c:v>
                </c:pt>
                <c:pt idx="82">
                  <c:v>0</c:v>
                </c:pt>
                <c:pt idx="83">
                  <c:v>0</c:v>
                </c:pt>
                <c:pt idx="84">
                  <c:v>0</c:v>
                </c:pt>
                <c:pt idx="85">
                  <c:v>0</c:v>
                </c:pt>
                <c:pt idx="86">
                  <c:v>0</c:v>
                </c:pt>
                <c:pt idx="87">
                  <c:v>1</c:v>
                </c:pt>
                <c:pt idx="88">
                  <c:v>0</c:v>
                </c:pt>
                <c:pt idx="89">
                  <c:v>0</c:v>
                </c:pt>
                <c:pt idx="90">
                  <c:v>0</c:v>
                </c:pt>
                <c:pt idx="91">
                  <c:v>0</c:v>
                </c:pt>
                <c:pt idx="92">
                  <c:v>0</c:v>
                </c:pt>
                <c:pt idx="93">
                  <c:v>0</c:v>
                </c:pt>
                <c:pt idx="94">
                  <c:v>0</c:v>
                </c:pt>
                <c:pt idx="95">
                  <c:v>1</c:v>
                </c:pt>
                <c:pt idx="96">
                  <c:v>0</c:v>
                </c:pt>
                <c:pt idx="97">
                  <c:v>1</c:v>
                </c:pt>
                <c:pt idx="98">
                  <c:v>1</c:v>
                </c:pt>
                <c:pt idx="99">
                  <c:v>1</c:v>
                </c:pt>
                <c:pt idx="100">
                  <c:v>0</c:v>
                </c:pt>
                <c:pt idx="101">
                  <c:v>0</c:v>
                </c:pt>
                <c:pt idx="102">
                  <c:v>3</c:v>
                </c:pt>
                <c:pt idx="103">
                  <c:v>0</c:v>
                </c:pt>
                <c:pt idx="104">
                  <c:v>1</c:v>
                </c:pt>
                <c:pt idx="105">
                  <c:v>0</c:v>
                </c:pt>
                <c:pt idx="106">
                  <c:v>0</c:v>
                </c:pt>
                <c:pt idx="107">
                  <c:v>0</c:v>
                </c:pt>
                <c:pt idx="108">
                  <c:v>2</c:v>
                </c:pt>
                <c:pt idx="109">
                  <c:v>0</c:v>
                </c:pt>
                <c:pt idx="110">
                  <c:v>0</c:v>
                </c:pt>
                <c:pt idx="111">
                  <c:v>0</c:v>
                </c:pt>
                <c:pt idx="112">
                  <c:v>0</c:v>
                </c:pt>
                <c:pt idx="113">
                  <c:v>0</c:v>
                </c:pt>
                <c:pt idx="114">
                  <c:v>0</c:v>
                </c:pt>
                <c:pt idx="115">
                  <c:v>0</c:v>
                </c:pt>
                <c:pt idx="116">
                  <c:v>0</c:v>
                </c:pt>
                <c:pt idx="117">
                  <c:v>0</c:v>
                </c:pt>
                <c:pt idx="118">
                  <c:v>0</c:v>
                </c:pt>
                <c:pt idx="119">
                  <c:v>1</c:v>
                </c:pt>
                <c:pt idx="120">
                  <c:v>0</c:v>
                </c:pt>
                <c:pt idx="121">
                  <c:v>0</c:v>
                </c:pt>
                <c:pt idx="122">
                  <c:v>0</c:v>
                </c:pt>
                <c:pt idx="123">
                  <c:v>0</c:v>
                </c:pt>
                <c:pt idx="124">
                  <c:v>0</c:v>
                </c:pt>
                <c:pt idx="125">
                  <c:v>0</c:v>
                </c:pt>
                <c:pt idx="126">
                  <c:v>0</c:v>
                </c:pt>
                <c:pt idx="127">
                  <c:v>0</c:v>
                </c:pt>
                <c:pt idx="128">
                  <c:v>0</c:v>
                </c:pt>
                <c:pt idx="129">
                  <c:v>0</c:v>
                </c:pt>
                <c:pt idx="130">
                  <c:v>1</c:v>
                </c:pt>
                <c:pt idx="131">
                  <c:v>0</c:v>
                </c:pt>
                <c:pt idx="132">
                  <c:v>0</c:v>
                </c:pt>
                <c:pt idx="133">
                  <c:v>0</c:v>
                </c:pt>
                <c:pt idx="134">
                  <c:v>0</c:v>
                </c:pt>
                <c:pt idx="135">
                  <c:v>0</c:v>
                </c:pt>
                <c:pt idx="136">
                  <c:v>0</c:v>
                </c:pt>
                <c:pt idx="137">
                  <c:v>0</c:v>
                </c:pt>
                <c:pt idx="138">
                  <c:v>0</c:v>
                </c:pt>
                <c:pt idx="139">
                  <c:v>1</c:v>
                </c:pt>
                <c:pt idx="140">
                  <c:v>0</c:v>
                </c:pt>
                <c:pt idx="141">
                  <c:v>1</c:v>
                </c:pt>
                <c:pt idx="142">
                  <c:v>0</c:v>
                </c:pt>
                <c:pt idx="143">
                  <c:v>0</c:v>
                </c:pt>
                <c:pt idx="144">
                  <c:v>0</c:v>
                </c:pt>
                <c:pt idx="145">
                  <c:v>0</c:v>
                </c:pt>
                <c:pt idx="146">
                  <c:v>0</c:v>
                </c:pt>
                <c:pt idx="147">
                  <c:v>0</c:v>
                </c:pt>
                <c:pt idx="148">
                  <c:v>1</c:v>
                </c:pt>
                <c:pt idx="149">
                  <c:v>0</c:v>
                </c:pt>
                <c:pt idx="150">
                  <c:v>0</c:v>
                </c:pt>
                <c:pt idx="151">
                  <c:v>1</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1</c:v>
                </c:pt>
                <c:pt idx="190">
                  <c:v>2</c:v>
                </c:pt>
                <c:pt idx="191">
                  <c:v>2</c:v>
                </c:pt>
                <c:pt idx="192">
                  <c:v>1</c:v>
                </c:pt>
                <c:pt idx="193">
                  <c:v>2</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7-840A-4F74-BEBB-7AC0FF02A5C8}"/>
            </c:ext>
          </c:extLst>
        </c:ser>
        <c:ser>
          <c:idx val="8"/>
          <c:order val="8"/>
          <c:tx>
            <c:strRef>
              <c:f>Synopsis!$C$377</c:f>
              <c:strCache>
                <c:ptCount val="1"/>
                <c:pt idx="0">
                  <c:v>2019</c:v>
                </c:pt>
              </c:strCache>
            </c:strRef>
          </c:tx>
          <c:spPr>
            <a:solidFill>
              <a:srgbClr val="339999"/>
            </a:solidFill>
            <a:ln>
              <a:noFill/>
            </a:ln>
            <a:effectLst/>
          </c:spPr>
          <c:invertIfNegative val="0"/>
          <c:val>
            <c:numRef>
              <c:f>Synopsis!$E$382:$HZ$382</c:f>
              <c:numCache>
                <c:formatCode>General</c:formatCode>
                <c:ptCount val="230"/>
                <c:pt idx="0">
                  <c:v>0</c:v>
                </c:pt>
                <c:pt idx="1">
                  <c:v>1</c:v>
                </c:pt>
                <c:pt idx="2">
                  <c:v>0</c:v>
                </c:pt>
                <c:pt idx="3">
                  <c:v>1</c:v>
                </c:pt>
                <c:pt idx="4">
                  <c:v>3</c:v>
                </c:pt>
                <c:pt idx="5">
                  <c:v>2</c:v>
                </c:pt>
                <c:pt idx="6">
                  <c:v>2</c:v>
                </c:pt>
                <c:pt idx="7">
                  <c:v>0</c:v>
                </c:pt>
                <c:pt idx="8">
                  <c:v>0</c:v>
                </c:pt>
                <c:pt idx="9">
                  <c:v>0</c:v>
                </c:pt>
                <c:pt idx="10">
                  <c:v>1</c:v>
                </c:pt>
                <c:pt idx="11">
                  <c:v>0</c:v>
                </c:pt>
                <c:pt idx="12">
                  <c:v>1</c:v>
                </c:pt>
                <c:pt idx="13">
                  <c:v>1</c:v>
                </c:pt>
                <c:pt idx="14">
                  <c:v>0</c:v>
                </c:pt>
                <c:pt idx="15">
                  <c:v>0</c:v>
                </c:pt>
                <c:pt idx="16">
                  <c:v>0</c:v>
                </c:pt>
                <c:pt idx="17">
                  <c:v>0</c:v>
                </c:pt>
                <c:pt idx="18">
                  <c:v>0</c:v>
                </c:pt>
                <c:pt idx="19">
                  <c:v>0</c:v>
                </c:pt>
                <c:pt idx="20">
                  <c:v>1</c:v>
                </c:pt>
                <c:pt idx="21">
                  <c:v>1</c:v>
                </c:pt>
                <c:pt idx="22">
                  <c:v>0</c:v>
                </c:pt>
                <c:pt idx="23">
                  <c:v>0</c:v>
                </c:pt>
                <c:pt idx="24">
                  <c:v>0</c:v>
                </c:pt>
                <c:pt idx="25">
                  <c:v>0</c:v>
                </c:pt>
                <c:pt idx="26">
                  <c:v>0</c:v>
                </c:pt>
                <c:pt idx="27">
                  <c:v>0</c:v>
                </c:pt>
                <c:pt idx="28">
                  <c:v>0</c:v>
                </c:pt>
                <c:pt idx="29">
                  <c:v>0</c:v>
                </c:pt>
                <c:pt idx="30">
                  <c:v>0</c:v>
                </c:pt>
                <c:pt idx="31">
                  <c:v>2</c:v>
                </c:pt>
                <c:pt idx="32">
                  <c:v>1</c:v>
                </c:pt>
                <c:pt idx="33">
                  <c:v>0</c:v>
                </c:pt>
                <c:pt idx="34">
                  <c:v>1</c:v>
                </c:pt>
                <c:pt idx="35">
                  <c:v>0</c:v>
                </c:pt>
                <c:pt idx="36">
                  <c:v>0</c:v>
                </c:pt>
                <c:pt idx="37">
                  <c:v>0</c:v>
                </c:pt>
                <c:pt idx="38">
                  <c:v>0</c:v>
                </c:pt>
                <c:pt idx="39">
                  <c:v>0</c:v>
                </c:pt>
                <c:pt idx="40">
                  <c:v>0</c:v>
                </c:pt>
                <c:pt idx="41">
                  <c:v>0</c:v>
                </c:pt>
                <c:pt idx="42">
                  <c:v>0</c:v>
                </c:pt>
                <c:pt idx="43">
                  <c:v>0</c:v>
                </c:pt>
                <c:pt idx="44">
                  <c:v>0</c:v>
                </c:pt>
                <c:pt idx="45">
                  <c:v>0</c:v>
                </c:pt>
                <c:pt idx="46">
                  <c:v>1</c:v>
                </c:pt>
                <c:pt idx="47">
                  <c:v>1</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1</c:v>
                </c:pt>
                <c:pt idx="63">
                  <c:v>0</c:v>
                </c:pt>
                <c:pt idx="64">
                  <c:v>0</c:v>
                </c:pt>
                <c:pt idx="65">
                  <c:v>0</c:v>
                </c:pt>
                <c:pt idx="66">
                  <c:v>0</c:v>
                </c:pt>
                <c:pt idx="67">
                  <c:v>0</c:v>
                </c:pt>
                <c:pt idx="68">
                  <c:v>0</c:v>
                </c:pt>
                <c:pt idx="69">
                  <c:v>0</c:v>
                </c:pt>
                <c:pt idx="70">
                  <c:v>0</c:v>
                </c:pt>
                <c:pt idx="71">
                  <c:v>2</c:v>
                </c:pt>
                <c:pt idx="72">
                  <c:v>1</c:v>
                </c:pt>
                <c:pt idx="73">
                  <c:v>1</c:v>
                </c:pt>
                <c:pt idx="74">
                  <c:v>0</c:v>
                </c:pt>
                <c:pt idx="75">
                  <c:v>0</c:v>
                </c:pt>
                <c:pt idx="76">
                  <c:v>0</c:v>
                </c:pt>
                <c:pt idx="77">
                  <c:v>0</c:v>
                </c:pt>
                <c:pt idx="78">
                  <c:v>0</c:v>
                </c:pt>
                <c:pt idx="79">
                  <c:v>0</c:v>
                </c:pt>
                <c:pt idx="80">
                  <c:v>0</c:v>
                </c:pt>
                <c:pt idx="81">
                  <c:v>0</c:v>
                </c:pt>
                <c:pt idx="82">
                  <c:v>0</c:v>
                </c:pt>
                <c:pt idx="83">
                  <c:v>3</c:v>
                </c:pt>
                <c:pt idx="84">
                  <c:v>0</c:v>
                </c:pt>
                <c:pt idx="85">
                  <c:v>1</c:v>
                </c:pt>
                <c:pt idx="86">
                  <c:v>0</c:v>
                </c:pt>
                <c:pt idx="87">
                  <c:v>0</c:v>
                </c:pt>
                <c:pt idx="88">
                  <c:v>1</c:v>
                </c:pt>
                <c:pt idx="89">
                  <c:v>1</c:v>
                </c:pt>
                <c:pt idx="90">
                  <c:v>0</c:v>
                </c:pt>
                <c:pt idx="91">
                  <c:v>2</c:v>
                </c:pt>
                <c:pt idx="92">
                  <c:v>0</c:v>
                </c:pt>
                <c:pt idx="93">
                  <c:v>0</c:v>
                </c:pt>
                <c:pt idx="94">
                  <c:v>1</c:v>
                </c:pt>
                <c:pt idx="95">
                  <c:v>0</c:v>
                </c:pt>
                <c:pt idx="96">
                  <c:v>0</c:v>
                </c:pt>
                <c:pt idx="97">
                  <c:v>0</c:v>
                </c:pt>
                <c:pt idx="98">
                  <c:v>0</c:v>
                </c:pt>
                <c:pt idx="99">
                  <c:v>0</c:v>
                </c:pt>
                <c:pt idx="100">
                  <c:v>0</c:v>
                </c:pt>
                <c:pt idx="101">
                  <c:v>0</c:v>
                </c:pt>
                <c:pt idx="102">
                  <c:v>0</c:v>
                </c:pt>
                <c:pt idx="103">
                  <c:v>0</c:v>
                </c:pt>
                <c:pt idx="104">
                  <c:v>2</c:v>
                </c:pt>
                <c:pt idx="105">
                  <c:v>0</c:v>
                </c:pt>
                <c:pt idx="106">
                  <c:v>1</c:v>
                </c:pt>
                <c:pt idx="107">
                  <c:v>0</c:v>
                </c:pt>
                <c:pt idx="108">
                  <c:v>0</c:v>
                </c:pt>
                <c:pt idx="109">
                  <c:v>1</c:v>
                </c:pt>
                <c:pt idx="110">
                  <c:v>0</c:v>
                </c:pt>
                <c:pt idx="111">
                  <c:v>1</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c:v>
                </c:pt>
                <c:pt idx="129">
                  <c:v>0</c:v>
                </c:pt>
                <c:pt idx="130">
                  <c:v>0</c:v>
                </c:pt>
                <c:pt idx="131">
                  <c:v>1</c:v>
                </c:pt>
                <c:pt idx="132">
                  <c:v>0</c:v>
                </c:pt>
                <c:pt idx="133">
                  <c:v>0</c:v>
                </c:pt>
                <c:pt idx="134">
                  <c:v>0</c:v>
                </c:pt>
                <c:pt idx="135">
                  <c:v>2</c:v>
                </c:pt>
                <c:pt idx="136">
                  <c:v>0</c:v>
                </c:pt>
                <c:pt idx="137">
                  <c:v>0</c:v>
                </c:pt>
                <c:pt idx="138">
                  <c:v>0</c:v>
                </c:pt>
                <c:pt idx="139">
                  <c:v>0</c:v>
                </c:pt>
                <c:pt idx="140">
                  <c:v>0</c:v>
                </c:pt>
                <c:pt idx="141">
                  <c:v>0</c:v>
                </c:pt>
                <c:pt idx="142">
                  <c:v>0</c:v>
                </c:pt>
                <c:pt idx="143">
                  <c:v>0</c:v>
                </c:pt>
                <c:pt idx="144">
                  <c:v>0</c:v>
                </c:pt>
                <c:pt idx="145">
                  <c:v>0</c:v>
                </c:pt>
                <c:pt idx="146">
                  <c:v>1</c:v>
                </c:pt>
                <c:pt idx="147">
                  <c:v>0</c:v>
                </c:pt>
                <c:pt idx="148">
                  <c:v>0</c:v>
                </c:pt>
                <c:pt idx="149">
                  <c:v>0</c:v>
                </c:pt>
                <c:pt idx="150">
                  <c:v>0</c:v>
                </c:pt>
                <c:pt idx="151">
                  <c:v>0</c:v>
                </c:pt>
                <c:pt idx="152">
                  <c:v>0</c:v>
                </c:pt>
                <c:pt idx="153">
                  <c:v>0</c:v>
                </c:pt>
                <c:pt idx="154">
                  <c:v>0</c:v>
                </c:pt>
                <c:pt idx="155">
                  <c:v>0</c:v>
                </c:pt>
                <c:pt idx="156">
                  <c:v>0</c:v>
                </c:pt>
                <c:pt idx="157">
                  <c:v>0</c:v>
                </c:pt>
                <c:pt idx="158">
                  <c:v>0</c:v>
                </c:pt>
                <c:pt idx="159">
                  <c:v>1</c:v>
                </c:pt>
                <c:pt idx="160">
                  <c:v>0</c:v>
                </c:pt>
                <c:pt idx="161">
                  <c:v>0</c:v>
                </c:pt>
                <c:pt idx="162">
                  <c:v>0</c:v>
                </c:pt>
                <c:pt idx="163">
                  <c:v>0</c:v>
                </c:pt>
                <c:pt idx="164">
                  <c:v>0</c:v>
                </c:pt>
                <c:pt idx="165">
                  <c:v>0</c:v>
                </c:pt>
                <c:pt idx="166">
                  <c:v>0</c:v>
                </c:pt>
                <c:pt idx="167">
                  <c:v>0</c:v>
                </c:pt>
                <c:pt idx="168">
                  <c:v>1</c:v>
                </c:pt>
                <c:pt idx="169">
                  <c:v>0</c:v>
                </c:pt>
                <c:pt idx="170">
                  <c:v>0</c:v>
                </c:pt>
                <c:pt idx="171">
                  <c:v>0</c:v>
                </c:pt>
                <c:pt idx="172">
                  <c:v>0</c:v>
                </c:pt>
                <c:pt idx="173">
                  <c:v>0</c:v>
                </c:pt>
                <c:pt idx="174">
                  <c:v>0</c:v>
                </c:pt>
                <c:pt idx="175">
                  <c:v>0</c:v>
                </c:pt>
                <c:pt idx="176">
                  <c:v>0</c:v>
                </c:pt>
                <c:pt idx="177">
                  <c:v>0</c:v>
                </c:pt>
                <c:pt idx="178">
                  <c:v>0</c:v>
                </c:pt>
                <c:pt idx="179">
                  <c:v>1</c:v>
                </c:pt>
                <c:pt idx="180">
                  <c:v>0</c:v>
                </c:pt>
                <c:pt idx="181">
                  <c:v>0</c:v>
                </c:pt>
                <c:pt idx="182">
                  <c:v>1</c:v>
                </c:pt>
                <c:pt idx="183">
                  <c:v>0</c:v>
                </c:pt>
                <c:pt idx="184">
                  <c:v>1</c:v>
                </c:pt>
                <c:pt idx="185">
                  <c:v>2</c:v>
                </c:pt>
                <c:pt idx="186">
                  <c:v>0</c:v>
                </c:pt>
                <c:pt idx="187">
                  <c:v>1</c:v>
                </c:pt>
                <c:pt idx="188">
                  <c:v>0</c:v>
                </c:pt>
                <c:pt idx="189">
                  <c:v>0</c:v>
                </c:pt>
                <c:pt idx="190">
                  <c:v>0</c:v>
                </c:pt>
                <c:pt idx="191">
                  <c:v>0</c:v>
                </c:pt>
                <c:pt idx="192">
                  <c:v>0</c:v>
                </c:pt>
                <c:pt idx="193">
                  <c:v>1</c:v>
                </c:pt>
                <c:pt idx="194">
                  <c:v>0</c:v>
                </c:pt>
                <c:pt idx="195">
                  <c:v>2</c:v>
                </c:pt>
                <c:pt idx="196">
                  <c:v>2</c:v>
                </c:pt>
                <c:pt idx="197">
                  <c:v>2</c:v>
                </c:pt>
                <c:pt idx="198">
                  <c:v>2</c:v>
                </c:pt>
                <c:pt idx="199">
                  <c:v>3</c:v>
                </c:pt>
                <c:pt idx="200">
                  <c:v>1</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8-840A-4F74-BEBB-7AC0FF02A5C8}"/>
            </c:ext>
          </c:extLst>
        </c:ser>
        <c:ser>
          <c:idx val="9"/>
          <c:order val="9"/>
          <c:tx>
            <c:strRef>
              <c:f>Synopsis!$C$376</c:f>
              <c:strCache>
                <c:ptCount val="1"/>
                <c:pt idx="0">
                  <c:v>2020</c:v>
                </c:pt>
              </c:strCache>
            </c:strRef>
          </c:tx>
          <c:spPr>
            <a:solidFill>
              <a:srgbClr val="3399CC"/>
            </a:solidFill>
            <a:ln>
              <a:noFill/>
            </a:ln>
            <a:effectLst/>
          </c:spPr>
          <c:invertIfNegative val="0"/>
          <c:val>
            <c:numRef>
              <c:f>Synopsis!$E$383:$HZ$383</c:f>
              <c:numCache>
                <c:formatCode>General</c:formatCode>
                <c:ptCount val="230"/>
                <c:pt idx="0">
                  <c:v>5</c:v>
                </c:pt>
                <c:pt idx="1">
                  <c:v>4</c:v>
                </c:pt>
                <c:pt idx="2">
                  <c:v>3</c:v>
                </c:pt>
                <c:pt idx="3">
                  <c:v>2</c:v>
                </c:pt>
                <c:pt idx="4">
                  <c:v>3</c:v>
                </c:pt>
                <c:pt idx="5">
                  <c:v>1</c:v>
                </c:pt>
                <c:pt idx="6">
                  <c:v>1</c:v>
                </c:pt>
                <c:pt idx="7">
                  <c:v>2</c:v>
                </c:pt>
                <c:pt idx="8">
                  <c:v>1</c:v>
                </c:pt>
                <c:pt idx="9">
                  <c:v>2</c:v>
                </c:pt>
                <c:pt idx="10">
                  <c:v>3</c:v>
                </c:pt>
                <c:pt idx="11">
                  <c:v>1</c:v>
                </c:pt>
                <c:pt idx="12">
                  <c:v>0</c:v>
                </c:pt>
                <c:pt idx="13">
                  <c:v>1</c:v>
                </c:pt>
                <c:pt idx="14">
                  <c:v>0</c:v>
                </c:pt>
                <c:pt idx="15">
                  <c:v>2</c:v>
                </c:pt>
                <c:pt idx="16">
                  <c:v>0</c:v>
                </c:pt>
                <c:pt idx="17">
                  <c:v>2</c:v>
                </c:pt>
                <c:pt idx="18">
                  <c:v>0</c:v>
                </c:pt>
                <c:pt idx="19">
                  <c:v>0</c:v>
                </c:pt>
                <c:pt idx="20">
                  <c:v>0</c:v>
                </c:pt>
                <c:pt idx="21">
                  <c:v>0</c:v>
                </c:pt>
                <c:pt idx="22">
                  <c:v>0</c:v>
                </c:pt>
                <c:pt idx="23">
                  <c:v>1</c:v>
                </c:pt>
                <c:pt idx="24">
                  <c:v>1</c:v>
                </c:pt>
                <c:pt idx="25">
                  <c:v>1</c:v>
                </c:pt>
                <c:pt idx="26">
                  <c:v>0</c:v>
                </c:pt>
                <c:pt idx="27">
                  <c:v>0</c:v>
                </c:pt>
                <c:pt idx="28">
                  <c:v>1</c:v>
                </c:pt>
                <c:pt idx="29">
                  <c:v>0</c:v>
                </c:pt>
                <c:pt idx="30">
                  <c:v>2</c:v>
                </c:pt>
                <c:pt idx="31">
                  <c:v>0</c:v>
                </c:pt>
                <c:pt idx="32">
                  <c:v>1</c:v>
                </c:pt>
                <c:pt idx="33">
                  <c:v>0</c:v>
                </c:pt>
                <c:pt idx="34">
                  <c:v>1</c:v>
                </c:pt>
                <c:pt idx="35">
                  <c:v>1</c:v>
                </c:pt>
                <c:pt idx="36">
                  <c:v>0</c:v>
                </c:pt>
                <c:pt idx="37">
                  <c:v>0</c:v>
                </c:pt>
                <c:pt idx="38">
                  <c:v>0</c:v>
                </c:pt>
                <c:pt idx="39">
                  <c:v>0</c:v>
                </c:pt>
                <c:pt idx="40">
                  <c:v>1</c:v>
                </c:pt>
                <c:pt idx="41">
                  <c:v>0</c:v>
                </c:pt>
                <c:pt idx="42">
                  <c:v>1</c:v>
                </c:pt>
                <c:pt idx="43">
                  <c:v>2</c:v>
                </c:pt>
                <c:pt idx="44">
                  <c:v>2</c:v>
                </c:pt>
                <c:pt idx="45">
                  <c:v>0</c:v>
                </c:pt>
                <c:pt idx="46">
                  <c:v>1</c:v>
                </c:pt>
                <c:pt idx="47">
                  <c:v>0</c:v>
                </c:pt>
                <c:pt idx="48">
                  <c:v>0</c:v>
                </c:pt>
                <c:pt idx="49">
                  <c:v>1</c:v>
                </c:pt>
                <c:pt idx="50">
                  <c:v>0</c:v>
                </c:pt>
                <c:pt idx="51">
                  <c:v>1</c:v>
                </c:pt>
                <c:pt idx="52">
                  <c:v>0</c:v>
                </c:pt>
                <c:pt idx="53">
                  <c:v>0</c:v>
                </c:pt>
                <c:pt idx="54">
                  <c:v>0</c:v>
                </c:pt>
                <c:pt idx="55">
                  <c:v>1</c:v>
                </c:pt>
                <c:pt idx="56">
                  <c:v>0</c:v>
                </c:pt>
                <c:pt idx="57">
                  <c:v>0</c:v>
                </c:pt>
                <c:pt idx="58">
                  <c:v>1</c:v>
                </c:pt>
                <c:pt idx="59">
                  <c:v>0</c:v>
                </c:pt>
                <c:pt idx="60">
                  <c:v>0</c:v>
                </c:pt>
                <c:pt idx="61">
                  <c:v>0</c:v>
                </c:pt>
                <c:pt idx="62">
                  <c:v>0</c:v>
                </c:pt>
                <c:pt idx="63">
                  <c:v>0</c:v>
                </c:pt>
                <c:pt idx="64">
                  <c:v>0</c:v>
                </c:pt>
                <c:pt idx="65">
                  <c:v>0</c:v>
                </c:pt>
                <c:pt idx="66">
                  <c:v>0</c:v>
                </c:pt>
                <c:pt idx="67">
                  <c:v>0</c:v>
                </c:pt>
                <c:pt idx="68">
                  <c:v>1</c:v>
                </c:pt>
                <c:pt idx="69">
                  <c:v>0</c:v>
                </c:pt>
                <c:pt idx="70">
                  <c:v>0</c:v>
                </c:pt>
                <c:pt idx="71">
                  <c:v>0</c:v>
                </c:pt>
                <c:pt idx="72">
                  <c:v>1</c:v>
                </c:pt>
                <c:pt idx="73">
                  <c:v>0</c:v>
                </c:pt>
                <c:pt idx="74">
                  <c:v>0</c:v>
                </c:pt>
                <c:pt idx="75">
                  <c:v>1</c:v>
                </c:pt>
                <c:pt idx="76">
                  <c:v>0</c:v>
                </c:pt>
                <c:pt idx="77">
                  <c:v>1</c:v>
                </c:pt>
                <c:pt idx="78">
                  <c:v>0</c:v>
                </c:pt>
                <c:pt idx="79">
                  <c:v>1</c:v>
                </c:pt>
                <c:pt idx="80">
                  <c:v>0</c:v>
                </c:pt>
                <c:pt idx="81">
                  <c:v>0</c:v>
                </c:pt>
                <c:pt idx="82">
                  <c:v>0</c:v>
                </c:pt>
                <c:pt idx="83">
                  <c:v>1</c:v>
                </c:pt>
                <c:pt idx="84">
                  <c:v>1</c:v>
                </c:pt>
                <c:pt idx="85">
                  <c:v>0</c:v>
                </c:pt>
                <c:pt idx="86">
                  <c:v>0</c:v>
                </c:pt>
                <c:pt idx="87">
                  <c:v>0</c:v>
                </c:pt>
                <c:pt idx="88">
                  <c:v>0</c:v>
                </c:pt>
                <c:pt idx="89">
                  <c:v>0</c:v>
                </c:pt>
                <c:pt idx="90">
                  <c:v>0</c:v>
                </c:pt>
                <c:pt idx="91">
                  <c:v>0</c:v>
                </c:pt>
                <c:pt idx="92">
                  <c:v>0</c:v>
                </c:pt>
                <c:pt idx="93">
                  <c:v>0</c:v>
                </c:pt>
                <c:pt idx="94">
                  <c:v>0</c:v>
                </c:pt>
                <c:pt idx="95">
                  <c:v>0</c:v>
                </c:pt>
                <c:pt idx="96">
                  <c:v>1</c:v>
                </c:pt>
                <c:pt idx="97">
                  <c:v>0</c:v>
                </c:pt>
                <c:pt idx="98">
                  <c:v>0</c:v>
                </c:pt>
                <c:pt idx="99">
                  <c:v>0</c:v>
                </c:pt>
                <c:pt idx="100">
                  <c:v>3</c:v>
                </c:pt>
                <c:pt idx="101">
                  <c:v>0</c:v>
                </c:pt>
                <c:pt idx="102">
                  <c:v>0</c:v>
                </c:pt>
                <c:pt idx="103">
                  <c:v>1</c:v>
                </c:pt>
                <c:pt idx="104">
                  <c:v>0</c:v>
                </c:pt>
                <c:pt idx="105">
                  <c:v>1</c:v>
                </c:pt>
                <c:pt idx="106">
                  <c:v>0</c:v>
                </c:pt>
                <c:pt idx="107">
                  <c:v>0</c:v>
                </c:pt>
                <c:pt idx="108">
                  <c:v>0</c:v>
                </c:pt>
                <c:pt idx="109">
                  <c:v>1</c:v>
                </c:pt>
                <c:pt idx="110">
                  <c:v>0</c:v>
                </c:pt>
                <c:pt idx="111">
                  <c:v>0</c:v>
                </c:pt>
                <c:pt idx="112">
                  <c:v>1</c:v>
                </c:pt>
                <c:pt idx="113">
                  <c:v>2</c:v>
                </c:pt>
                <c:pt idx="114">
                  <c:v>0</c:v>
                </c:pt>
                <c:pt idx="115">
                  <c:v>0</c:v>
                </c:pt>
                <c:pt idx="116">
                  <c:v>0</c:v>
                </c:pt>
                <c:pt idx="117">
                  <c:v>0</c:v>
                </c:pt>
                <c:pt idx="118">
                  <c:v>1</c:v>
                </c:pt>
                <c:pt idx="119">
                  <c:v>1</c:v>
                </c:pt>
                <c:pt idx="120">
                  <c:v>1</c:v>
                </c:pt>
                <c:pt idx="121">
                  <c:v>0</c:v>
                </c:pt>
                <c:pt idx="122">
                  <c:v>1</c:v>
                </c:pt>
                <c:pt idx="123">
                  <c:v>1</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1</c:v>
                </c:pt>
                <c:pt idx="138">
                  <c:v>0</c:v>
                </c:pt>
                <c:pt idx="139">
                  <c:v>0</c:v>
                </c:pt>
                <c:pt idx="140">
                  <c:v>1</c:v>
                </c:pt>
                <c:pt idx="141">
                  <c:v>0</c:v>
                </c:pt>
                <c:pt idx="142">
                  <c:v>0</c:v>
                </c:pt>
                <c:pt idx="143">
                  <c:v>0</c:v>
                </c:pt>
                <c:pt idx="144">
                  <c:v>0</c:v>
                </c:pt>
                <c:pt idx="145">
                  <c:v>0</c:v>
                </c:pt>
                <c:pt idx="146">
                  <c:v>0</c:v>
                </c:pt>
                <c:pt idx="147">
                  <c:v>0</c:v>
                </c:pt>
                <c:pt idx="148">
                  <c:v>1</c:v>
                </c:pt>
                <c:pt idx="149">
                  <c:v>1</c:v>
                </c:pt>
                <c:pt idx="150">
                  <c:v>1</c:v>
                </c:pt>
                <c:pt idx="151">
                  <c:v>2</c:v>
                </c:pt>
                <c:pt idx="152">
                  <c:v>1</c:v>
                </c:pt>
                <c:pt idx="153">
                  <c:v>0</c:v>
                </c:pt>
                <c:pt idx="154">
                  <c:v>0</c:v>
                </c:pt>
                <c:pt idx="155">
                  <c:v>0</c:v>
                </c:pt>
                <c:pt idx="156">
                  <c:v>0</c:v>
                </c:pt>
                <c:pt idx="157">
                  <c:v>0</c:v>
                </c:pt>
                <c:pt idx="158">
                  <c:v>0</c:v>
                </c:pt>
                <c:pt idx="159">
                  <c:v>0</c:v>
                </c:pt>
                <c:pt idx="160">
                  <c:v>1</c:v>
                </c:pt>
                <c:pt idx="161">
                  <c:v>1</c:v>
                </c:pt>
                <c:pt idx="162">
                  <c:v>0</c:v>
                </c:pt>
                <c:pt idx="163">
                  <c:v>0</c:v>
                </c:pt>
                <c:pt idx="164">
                  <c:v>0</c:v>
                </c:pt>
                <c:pt idx="165">
                  <c:v>1</c:v>
                </c:pt>
                <c:pt idx="166">
                  <c:v>1</c:v>
                </c:pt>
                <c:pt idx="167">
                  <c:v>0</c:v>
                </c:pt>
                <c:pt idx="168">
                  <c:v>0</c:v>
                </c:pt>
                <c:pt idx="169">
                  <c:v>2</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1</c:v>
                </c:pt>
                <c:pt idx="184">
                  <c:v>0</c:v>
                </c:pt>
                <c:pt idx="185">
                  <c:v>0</c:v>
                </c:pt>
                <c:pt idx="186">
                  <c:v>0</c:v>
                </c:pt>
                <c:pt idx="187">
                  <c:v>1</c:v>
                </c:pt>
                <c:pt idx="188">
                  <c:v>1</c:v>
                </c:pt>
                <c:pt idx="189">
                  <c:v>1</c:v>
                </c:pt>
                <c:pt idx="190">
                  <c:v>0</c:v>
                </c:pt>
                <c:pt idx="191">
                  <c:v>1</c:v>
                </c:pt>
                <c:pt idx="192">
                  <c:v>0</c:v>
                </c:pt>
                <c:pt idx="193">
                  <c:v>0</c:v>
                </c:pt>
                <c:pt idx="194">
                  <c:v>0</c:v>
                </c:pt>
                <c:pt idx="195">
                  <c:v>0</c:v>
                </c:pt>
                <c:pt idx="196">
                  <c:v>0</c:v>
                </c:pt>
                <c:pt idx="197">
                  <c:v>0</c:v>
                </c:pt>
                <c:pt idx="198">
                  <c:v>0</c:v>
                </c:pt>
                <c:pt idx="199">
                  <c:v>1</c:v>
                </c:pt>
                <c:pt idx="200">
                  <c:v>1</c:v>
                </c:pt>
                <c:pt idx="201">
                  <c:v>2</c:v>
                </c:pt>
                <c:pt idx="202">
                  <c:v>1</c:v>
                </c:pt>
                <c:pt idx="203">
                  <c:v>1</c:v>
                </c:pt>
                <c:pt idx="204">
                  <c:v>3</c:v>
                </c:pt>
                <c:pt idx="205">
                  <c:v>2</c:v>
                </c:pt>
                <c:pt idx="206">
                  <c:v>3</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9-840A-4F74-BEBB-7AC0FF02A5C8}"/>
            </c:ext>
          </c:extLst>
        </c:ser>
        <c:ser>
          <c:idx val="10"/>
          <c:order val="10"/>
          <c:tx>
            <c:strRef>
              <c:f>Synopsis!$C$375</c:f>
              <c:strCache>
                <c:ptCount val="1"/>
                <c:pt idx="0">
                  <c:v>2021</c:v>
                </c:pt>
              </c:strCache>
            </c:strRef>
          </c:tx>
          <c:spPr>
            <a:solidFill>
              <a:srgbClr val="CC6633"/>
            </a:solidFill>
            <a:ln>
              <a:noFill/>
            </a:ln>
            <a:effectLst/>
          </c:spPr>
          <c:invertIfNegative val="0"/>
          <c:val>
            <c:numRef>
              <c:f>Synopsis!$E$384:$HZ$384</c:f>
              <c:numCache>
                <c:formatCode>General</c:formatCode>
                <c:ptCount val="230"/>
                <c:pt idx="0">
                  <c:v>2</c:v>
                </c:pt>
                <c:pt idx="1">
                  <c:v>3</c:v>
                </c:pt>
                <c:pt idx="2">
                  <c:v>2</c:v>
                </c:pt>
                <c:pt idx="3">
                  <c:v>3</c:v>
                </c:pt>
                <c:pt idx="4">
                  <c:v>1</c:v>
                </c:pt>
                <c:pt idx="5">
                  <c:v>2</c:v>
                </c:pt>
                <c:pt idx="6">
                  <c:v>2</c:v>
                </c:pt>
                <c:pt idx="7">
                  <c:v>2</c:v>
                </c:pt>
                <c:pt idx="8">
                  <c:v>3</c:v>
                </c:pt>
                <c:pt idx="9">
                  <c:v>3</c:v>
                </c:pt>
                <c:pt idx="10">
                  <c:v>2</c:v>
                </c:pt>
                <c:pt idx="11">
                  <c:v>1</c:v>
                </c:pt>
                <c:pt idx="12">
                  <c:v>1</c:v>
                </c:pt>
                <c:pt idx="13">
                  <c:v>3</c:v>
                </c:pt>
                <c:pt idx="14">
                  <c:v>1</c:v>
                </c:pt>
                <c:pt idx="15">
                  <c:v>1</c:v>
                </c:pt>
                <c:pt idx="16">
                  <c:v>3</c:v>
                </c:pt>
                <c:pt idx="17">
                  <c:v>2</c:v>
                </c:pt>
                <c:pt idx="18">
                  <c:v>2</c:v>
                </c:pt>
                <c:pt idx="19">
                  <c:v>3</c:v>
                </c:pt>
                <c:pt idx="20">
                  <c:v>2</c:v>
                </c:pt>
                <c:pt idx="21">
                  <c:v>1</c:v>
                </c:pt>
                <c:pt idx="22">
                  <c:v>2</c:v>
                </c:pt>
                <c:pt idx="23">
                  <c:v>1</c:v>
                </c:pt>
                <c:pt idx="24">
                  <c:v>1</c:v>
                </c:pt>
                <c:pt idx="25">
                  <c:v>1</c:v>
                </c:pt>
                <c:pt idx="26">
                  <c:v>1</c:v>
                </c:pt>
                <c:pt idx="27">
                  <c:v>1</c:v>
                </c:pt>
                <c:pt idx="28">
                  <c:v>0</c:v>
                </c:pt>
                <c:pt idx="29">
                  <c:v>1</c:v>
                </c:pt>
                <c:pt idx="30">
                  <c:v>0</c:v>
                </c:pt>
                <c:pt idx="31">
                  <c:v>1</c:v>
                </c:pt>
                <c:pt idx="32">
                  <c:v>0</c:v>
                </c:pt>
                <c:pt idx="33">
                  <c:v>0</c:v>
                </c:pt>
                <c:pt idx="34">
                  <c:v>1</c:v>
                </c:pt>
                <c:pt idx="35">
                  <c:v>0</c:v>
                </c:pt>
                <c:pt idx="36">
                  <c:v>0</c:v>
                </c:pt>
                <c:pt idx="37">
                  <c:v>0</c:v>
                </c:pt>
                <c:pt idx="38">
                  <c:v>1</c:v>
                </c:pt>
                <c:pt idx="39">
                  <c:v>0</c:v>
                </c:pt>
                <c:pt idx="40">
                  <c:v>1</c:v>
                </c:pt>
                <c:pt idx="41">
                  <c:v>1</c:v>
                </c:pt>
                <c:pt idx="42">
                  <c:v>0</c:v>
                </c:pt>
                <c:pt idx="43">
                  <c:v>0</c:v>
                </c:pt>
                <c:pt idx="44">
                  <c:v>0</c:v>
                </c:pt>
                <c:pt idx="45">
                  <c:v>1</c:v>
                </c:pt>
                <c:pt idx="46">
                  <c:v>0</c:v>
                </c:pt>
                <c:pt idx="47">
                  <c:v>1</c:v>
                </c:pt>
                <c:pt idx="48">
                  <c:v>1</c:v>
                </c:pt>
                <c:pt idx="49">
                  <c:v>1</c:v>
                </c:pt>
                <c:pt idx="50">
                  <c:v>0</c:v>
                </c:pt>
                <c:pt idx="51">
                  <c:v>1</c:v>
                </c:pt>
                <c:pt idx="52">
                  <c:v>0</c:v>
                </c:pt>
                <c:pt idx="53">
                  <c:v>2</c:v>
                </c:pt>
                <c:pt idx="54">
                  <c:v>0</c:v>
                </c:pt>
                <c:pt idx="55">
                  <c:v>1</c:v>
                </c:pt>
                <c:pt idx="56">
                  <c:v>0</c:v>
                </c:pt>
                <c:pt idx="57">
                  <c:v>0</c:v>
                </c:pt>
                <c:pt idx="58">
                  <c:v>1</c:v>
                </c:pt>
                <c:pt idx="59">
                  <c:v>0</c:v>
                </c:pt>
                <c:pt idx="60">
                  <c:v>0</c:v>
                </c:pt>
                <c:pt idx="61">
                  <c:v>2</c:v>
                </c:pt>
                <c:pt idx="62">
                  <c:v>2</c:v>
                </c:pt>
                <c:pt idx="63">
                  <c:v>0</c:v>
                </c:pt>
                <c:pt idx="64">
                  <c:v>1</c:v>
                </c:pt>
                <c:pt idx="65">
                  <c:v>2</c:v>
                </c:pt>
                <c:pt idx="66">
                  <c:v>1</c:v>
                </c:pt>
                <c:pt idx="67">
                  <c:v>0</c:v>
                </c:pt>
                <c:pt idx="68">
                  <c:v>1</c:v>
                </c:pt>
                <c:pt idx="69">
                  <c:v>0</c:v>
                </c:pt>
                <c:pt idx="70">
                  <c:v>1</c:v>
                </c:pt>
                <c:pt idx="71">
                  <c:v>0</c:v>
                </c:pt>
                <c:pt idx="72">
                  <c:v>3</c:v>
                </c:pt>
                <c:pt idx="73">
                  <c:v>1</c:v>
                </c:pt>
                <c:pt idx="74">
                  <c:v>1</c:v>
                </c:pt>
                <c:pt idx="75">
                  <c:v>3</c:v>
                </c:pt>
                <c:pt idx="76">
                  <c:v>0</c:v>
                </c:pt>
                <c:pt idx="77">
                  <c:v>1</c:v>
                </c:pt>
                <c:pt idx="78">
                  <c:v>1</c:v>
                </c:pt>
                <c:pt idx="79">
                  <c:v>0</c:v>
                </c:pt>
                <c:pt idx="80">
                  <c:v>0</c:v>
                </c:pt>
                <c:pt idx="81">
                  <c:v>1</c:v>
                </c:pt>
                <c:pt idx="82">
                  <c:v>1</c:v>
                </c:pt>
                <c:pt idx="83">
                  <c:v>1</c:v>
                </c:pt>
                <c:pt idx="84">
                  <c:v>1</c:v>
                </c:pt>
                <c:pt idx="85">
                  <c:v>3</c:v>
                </c:pt>
                <c:pt idx="86">
                  <c:v>2</c:v>
                </c:pt>
                <c:pt idx="87">
                  <c:v>3</c:v>
                </c:pt>
                <c:pt idx="88">
                  <c:v>3</c:v>
                </c:pt>
                <c:pt idx="89">
                  <c:v>0</c:v>
                </c:pt>
                <c:pt idx="90">
                  <c:v>0</c:v>
                </c:pt>
                <c:pt idx="91">
                  <c:v>0</c:v>
                </c:pt>
                <c:pt idx="92">
                  <c:v>1</c:v>
                </c:pt>
                <c:pt idx="93">
                  <c:v>0</c:v>
                </c:pt>
                <c:pt idx="94">
                  <c:v>0</c:v>
                </c:pt>
                <c:pt idx="95">
                  <c:v>0</c:v>
                </c:pt>
                <c:pt idx="96">
                  <c:v>2</c:v>
                </c:pt>
                <c:pt idx="97">
                  <c:v>0</c:v>
                </c:pt>
                <c:pt idx="98">
                  <c:v>2</c:v>
                </c:pt>
                <c:pt idx="99">
                  <c:v>0</c:v>
                </c:pt>
                <c:pt idx="100">
                  <c:v>0</c:v>
                </c:pt>
                <c:pt idx="101">
                  <c:v>0</c:v>
                </c:pt>
                <c:pt idx="102">
                  <c:v>4</c:v>
                </c:pt>
                <c:pt idx="103">
                  <c:v>0</c:v>
                </c:pt>
                <c:pt idx="104">
                  <c:v>0</c:v>
                </c:pt>
                <c:pt idx="105">
                  <c:v>2</c:v>
                </c:pt>
                <c:pt idx="106">
                  <c:v>1</c:v>
                </c:pt>
                <c:pt idx="107">
                  <c:v>0</c:v>
                </c:pt>
                <c:pt idx="108">
                  <c:v>0</c:v>
                </c:pt>
                <c:pt idx="109">
                  <c:v>1</c:v>
                </c:pt>
                <c:pt idx="110">
                  <c:v>2</c:v>
                </c:pt>
                <c:pt idx="111">
                  <c:v>0</c:v>
                </c:pt>
                <c:pt idx="112">
                  <c:v>1</c:v>
                </c:pt>
                <c:pt idx="113">
                  <c:v>1</c:v>
                </c:pt>
                <c:pt idx="114">
                  <c:v>0</c:v>
                </c:pt>
                <c:pt idx="115">
                  <c:v>0</c:v>
                </c:pt>
                <c:pt idx="116">
                  <c:v>0</c:v>
                </c:pt>
                <c:pt idx="117">
                  <c:v>0</c:v>
                </c:pt>
                <c:pt idx="118">
                  <c:v>0</c:v>
                </c:pt>
                <c:pt idx="119">
                  <c:v>0</c:v>
                </c:pt>
                <c:pt idx="120">
                  <c:v>1</c:v>
                </c:pt>
                <c:pt idx="121">
                  <c:v>1</c:v>
                </c:pt>
                <c:pt idx="122">
                  <c:v>0</c:v>
                </c:pt>
                <c:pt idx="123">
                  <c:v>1</c:v>
                </c:pt>
                <c:pt idx="124">
                  <c:v>2</c:v>
                </c:pt>
                <c:pt idx="125">
                  <c:v>0</c:v>
                </c:pt>
                <c:pt idx="126">
                  <c:v>1</c:v>
                </c:pt>
                <c:pt idx="127">
                  <c:v>1</c:v>
                </c:pt>
                <c:pt idx="128">
                  <c:v>1</c:v>
                </c:pt>
                <c:pt idx="129">
                  <c:v>2</c:v>
                </c:pt>
                <c:pt idx="130">
                  <c:v>2</c:v>
                </c:pt>
                <c:pt idx="131">
                  <c:v>0</c:v>
                </c:pt>
                <c:pt idx="132">
                  <c:v>0</c:v>
                </c:pt>
                <c:pt idx="133">
                  <c:v>0</c:v>
                </c:pt>
                <c:pt idx="134">
                  <c:v>0</c:v>
                </c:pt>
                <c:pt idx="135">
                  <c:v>2</c:v>
                </c:pt>
                <c:pt idx="136">
                  <c:v>0</c:v>
                </c:pt>
                <c:pt idx="137">
                  <c:v>1</c:v>
                </c:pt>
                <c:pt idx="138">
                  <c:v>0</c:v>
                </c:pt>
                <c:pt idx="139">
                  <c:v>0</c:v>
                </c:pt>
                <c:pt idx="140">
                  <c:v>0</c:v>
                </c:pt>
                <c:pt idx="141">
                  <c:v>0</c:v>
                </c:pt>
                <c:pt idx="142">
                  <c:v>2</c:v>
                </c:pt>
                <c:pt idx="143">
                  <c:v>0</c:v>
                </c:pt>
                <c:pt idx="144">
                  <c:v>0</c:v>
                </c:pt>
                <c:pt idx="145">
                  <c:v>1</c:v>
                </c:pt>
                <c:pt idx="146">
                  <c:v>1</c:v>
                </c:pt>
                <c:pt idx="147">
                  <c:v>1</c:v>
                </c:pt>
                <c:pt idx="148">
                  <c:v>1</c:v>
                </c:pt>
                <c:pt idx="149">
                  <c:v>0</c:v>
                </c:pt>
                <c:pt idx="150">
                  <c:v>1</c:v>
                </c:pt>
                <c:pt idx="151">
                  <c:v>0</c:v>
                </c:pt>
                <c:pt idx="152">
                  <c:v>1</c:v>
                </c:pt>
                <c:pt idx="153">
                  <c:v>0</c:v>
                </c:pt>
                <c:pt idx="154">
                  <c:v>1</c:v>
                </c:pt>
                <c:pt idx="155">
                  <c:v>0</c:v>
                </c:pt>
                <c:pt idx="156">
                  <c:v>0</c:v>
                </c:pt>
                <c:pt idx="157">
                  <c:v>0</c:v>
                </c:pt>
                <c:pt idx="158">
                  <c:v>2</c:v>
                </c:pt>
                <c:pt idx="159">
                  <c:v>0</c:v>
                </c:pt>
                <c:pt idx="160">
                  <c:v>0</c:v>
                </c:pt>
                <c:pt idx="161">
                  <c:v>0</c:v>
                </c:pt>
                <c:pt idx="162">
                  <c:v>1</c:v>
                </c:pt>
                <c:pt idx="163">
                  <c:v>0</c:v>
                </c:pt>
                <c:pt idx="164">
                  <c:v>2</c:v>
                </c:pt>
                <c:pt idx="165">
                  <c:v>0</c:v>
                </c:pt>
                <c:pt idx="166">
                  <c:v>1</c:v>
                </c:pt>
                <c:pt idx="167">
                  <c:v>0</c:v>
                </c:pt>
                <c:pt idx="168">
                  <c:v>1</c:v>
                </c:pt>
                <c:pt idx="169">
                  <c:v>1</c:v>
                </c:pt>
                <c:pt idx="170">
                  <c:v>1</c:v>
                </c:pt>
                <c:pt idx="171">
                  <c:v>1</c:v>
                </c:pt>
                <c:pt idx="172">
                  <c:v>1</c:v>
                </c:pt>
                <c:pt idx="173">
                  <c:v>1</c:v>
                </c:pt>
                <c:pt idx="174">
                  <c:v>1</c:v>
                </c:pt>
                <c:pt idx="175">
                  <c:v>0</c:v>
                </c:pt>
                <c:pt idx="176">
                  <c:v>1</c:v>
                </c:pt>
                <c:pt idx="177">
                  <c:v>0</c:v>
                </c:pt>
                <c:pt idx="178">
                  <c:v>1</c:v>
                </c:pt>
                <c:pt idx="179">
                  <c:v>2</c:v>
                </c:pt>
                <c:pt idx="180">
                  <c:v>0</c:v>
                </c:pt>
                <c:pt idx="181">
                  <c:v>0</c:v>
                </c:pt>
                <c:pt idx="182">
                  <c:v>1</c:v>
                </c:pt>
                <c:pt idx="183">
                  <c:v>2</c:v>
                </c:pt>
                <c:pt idx="184">
                  <c:v>0</c:v>
                </c:pt>
                <c:pt idx="185">
                  <c:v>1</c:v>
                </c:pt>
                <c:pt idx="186">
                  <c:v>1</c:v>
                </c:pt>
                <c:pt idx="187">
                  <c:v>2</c:v>
                </c:pt>
                <c:pt idx="188">
                  <c:v>0</c:v>
                </c:pt>
                <c:pt idx="189">
                  <c:v>0</c:v>
                </c:pt>
                <c:pt idx="190">
                  <c:v>1</c:v>
                </c:pt>
                <c:pt idx="191">
                  <c:v>0</c:v>
                </c:pt>
                <c:pt idx="192">
                  <c:v>0</c:v>
                </c:pt>
                <c:pt idx="193">
                  <c:v>2</c:v>
                </c:pt>
                <c:pt idx="194">
                  <c:v>1</c:v>
                </c:pt>
                <c:pt idx="195">
                  <c:v>0</c:v>
                </c:pt>
                <c:pt idx="196">
                  <c:v>0</c:v>
                </c:pt>
                <c:pt idx="197">
                  <c:v>1</c:v>
                </c:pt>
                <c:pt idx="198">
                  <c:v>1</c:v>
                </c:pt>
                <c:pt idx="199">
                  <c:v>2</c:v>
                </c:pt>
                <c:pt idx="200">
                  <c:v>0</c:v>
                </c:pt>
                <c:pt idx="201">
                  <c:v>2</c:v>
                </c:pt>
                <c:pt idx="202">
                  <c:v>1</c:v>
                </c:pt>
                <c:pt idx="203">
                  <c:v>0</c:v>
                </c:pt>
                <c:pt idx="204">
                  <c:v>0</c:v>
                </c:pt>
                <c:pt idx="205">
                  <c:v>1</c:v>
                </c:pt>
                <c:pt idx="206">
                  <c:v>0</c:v>
                </c:pt>
                <c:pt idx="207">
                  <c:v>2</c:v>
                </c:pt>
                <c:pt idx="208">
                  <c:v>2</c:v>
                </c:pt>
                <c:pt idx="209">
                  <c:v>3</c:v>
                </c:pt>
                <c:pt idx="210">
                  <c:v>3</c:v>
                </c:pt>
                <c:pt idx="211">
                  <c:v>3</c:v>
                </c:pt>
                <c:pt idx="212">
                  <c:v>2</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A-840A-4F74-BEBB-7AC0FF02A5C8}"/>
            </c:ext>
          </c:extLst>
        </c:ser>
        <c:ser>
          <c:idx val="11"/>
          <c:order val="11"/>
          <c:tx>
            <c:strRef>
              <c:f>Synopsis!$C$374</c:f>
              <c:strCache>
                <c:ptCount val="1"/>
                <c:pt idx="0">
                  <c:v>2022</c:v>
                </c:pt>
              </c:strCache>
            </c:strRef>
          </c:tx>
          <c:spPr>
            <a:solidFill>
              <a:srgbClr val="FF9933"/>
            </a:solidFill>
            <a:ln>
              <a:noFill/>
            </a:ln>
            <a:effectLst/>
          </c:spPr>
          <c:invertIfNegative val="0"/>
          <c:val>
            <c:numRef>
              <c:f>Synopsis!$E$385:$HZ$385</c:f>
              <c:numCache>
                <c:formatCode>General</c:formatCode>
                <c:ptCount val="230"/>
                <c:pt idx="0">
                  <c:v>4</c:v>
                </c:pt>
                <c:pt idx="1">
                  <c:v>3</c:v>
                </c:pt>
                <c:pt idx="2">
                  <c:v>3</c:v>
                </c:pt>
                <c:pt idx="3">
                  <c:v>2</c:v>
                </c:pt>
                <c:pt idx="4">
                  <c:v>2</c:v>
                </c:pt>
                <c:pt idx="5">
                  <c:v>2</c:v>
                </c:pt>
                <c:pt idx="6">
                  <c:v>2</c:v>
                </c:pt>
                <c:pt idx="7">
                  <c:v>2</c:v>
                </c:pt>
                <c:pt idx="8">
                  <c:v>2</c:v>
                </c:pt>
                <c:pt idx="9">
                  <c:v>1</c:v>
                </c:pt>
                <c:pt idx="10">
                  <c:v>5</c:v>
                </c:pt>
                <c:pt idx="11">
                  <c:v>5</c:v>
                </c:pt>
                <c:pt idx="12">
                  <c:v>4</c:v>
                </c:pt>
                <c:pt idx="13">
                  <c:v>3</c:v>
                </c:pt>
                <c:pt idx="14">
                  <c:v>3</c:v>
                </c:pt>
                <c:pt idx="15">
                  <c:v>6</c:v>
                </c:pt>
                <c:pt idx="16">
                  <c:v>3</c:v>
                </c:pt>
                <c:pt idx="17">
                  <c:v>2</c:v>
                </c:pt>
                <c:pt idx="18">
                  <c:v>1</c:v>
                </c:pt>
                <c:pt idx="19">
                  <c:v>1</c:v>
                </c:pt>
                <c:pt idx="20">
                  <c:v>2</c:v>
                </c:pt>
                <c:pt idx="21">
                  <c:v>2</c:v>
                </c:pt>
                <c:pt idx="22">
                  <c:v>2</c:v>
                </c:pt>
                <c:pt idx="23">
                  <c:v>1</c:v>
                </c:pt>
                <c:pt idx="24">
                  <c:v>4</c:v>
                </c:pt>
                <c:pt idx="25">
                  <c:v>1</c:v>
                </c:pt>
                <c:pt idx="26">
                  <c:v>1</c:v>
                </c:pt>
                <c:pt idx="27">
                  <c:v>2</c:v>
                </c:pt>
                <c:pt idx="28">
                  <c:v>1</c:v>
                </c:pt>
                <c:pt idx="29">
                  <c:v>3</c:v>
                </c:pt>
                <c:pt idx="30">
                  <c:v>1</c:v>
                </c:pt>
                <c:pt idx="31">
                  <c:v>1</c:v>
                </c:pt>
                <c:pt idx="32">
                  <c:v>1</c:v>
                </c:pt>
                <c:pt idx="33">
                  <c:v>0</c:v>
                </c:pt>
                <c:pt idx="34">
                  <c:v>1</c:v>
                </c:pt>
                <c:pt idx="35">
                  <c:v>0</c:v>
                </c:pt>
                <c:pt idx="36">
                  <c:v>2</c:v>
                </c:pt>
                <c:pt idx="37">
                  <c:v>0</c:v>
                </c:pt>
                <c:pt idx="38">
                  <c:v>0</c:v>
                </c:pt>
                <c:pt idx="39">
                  <c:v>0</c:v>
                </c:pt>
                <c:pt idx="40">
                  <c:v>0</c:v>
                </c:pt>
                <c:pt idx="41">
                  <c:v>2</c:v>
                </c:pt>
                <c:pt idx="42">
                  <c:v>0</c:v>
                </c:pt>
                <c:pt idx="43">
                  <c:v>0</c:v>
                </c:pt>
                <c:pt idx="44">
                  <c:v>0</c:v>
                </c:pt>
                <c:pt idx="45">
                  <c:v>0</c:v>
                </c:pt>
                <c:pt idx="46">
                  <c:v>1</c:v>
                </c:pt>
                <c:pt idx="47">
                  <c:v>0</c:v>
                </c:pt>
                <c:pt idx="48">
                  <c:v>0</c:v>
                </c:pt>
                <c:pt idx="49">
                  <c:v>0</c:v>
                </c:pt>
                <c:pt idx="50">
                  <c:v>1</c:v>
                </c:pt>
                <c:pt idx="51">
                  <c:v>0</c:v>
                </c:pt>
                <c:pt idx="52">
                  <c:v>1</c:v>
                </c:pt>
                <c:pt idx="53">
                  <c:v>0</c:v>
                </c:pt>
                <c:pt idx="54">
                  <c:v>0</c:v>
                </c:pt>
                <c:pt idx="55">
                  <c:v>0</c:v>
                </c:pt>
                <c:pt idx="56">
                  <c:v>1</c:v>
                </c:pt>
                <c:pt idx="57">
                  <c:v>0</c:v>
                </c:pt>
                <c:pt idx="58">
                  <c:v>0</c:v>
                </c:pt>
                <c:pt idx="59">
                  <c:v>0</c:v>
                </c:pt>
                <c:pt idx="60">
                  <c:v>2</c:v>
                </c:pt>
                <c:pt idx="61">
                  <c:v>1</c:v>
                </c:pt>
                <c:pt idx="62">
                  <c:v>0</c:v>
                </c:pt>
                <c:pt idx="63">
                  <c:v>0</c:v>
                </c:pt>
                <c:pt idx="64">
                  <c:v>1</c:v>
                </c:pt>
                <c:pt idx="65">
                  <c:v>0</c:v>
                </c:pt>
                <c:pt idx="66">
                  <c:v>2</c:v>
                </c:pt>
                <c:pt idx="67">
                  <c:v>1</c:v>
                </c:pt>
                <c:pt idx="68">
                  <c:v>0</c:v>
                </c:pt>
                <c:pt idx="69">
                  <c:v>1</c:v>
                </c:pt>
                <c:pt idx="70">
                  <c:v>0</c:v>
                </c:pt>
                <c:pt idx="71">
                  <c:v>1</c:v>
                </c:pt>
                <c:pt idx="72">
                  <c:v>1</c:v>
                </c:pt>
                <c:pt idx="73">
                  <c:v>0</c:v>
                </c:pt>
                <c:pt idx="74">
                  <c:v>1</c:v>
                </c:pt>
                <c:pt idx="75">
                  <c:v>2</c:v>
                </c:pt>
                <c:pt idx="76">
                  <c:v>3</c:v>
                </c:pt>
                <c:pt idx="77">
                  <c:v>1</c:v>
                </c:pt>
                <c:pt idx="78">
                  <c:v>2</c:v>
                </c:pt>
                <c:pt idx="79">
                  <c:v>0</c:v>
                </c:pt>
                <c:pt idx="80">
                  <c:v>2</c:v>
                </c:pt>
                <c:pt idx="81">
                  <c:v>1</c:v>
                </c:pt>
                <c:pt idx="82">
                  <c:v>0</c:v>
                </c:pt>
                <c:pt idx="83">
                  <c:v>2</c:v>
                </c:pt>
                <c:pt idx="84">
                  <c:v>0</c:v>
                </c:pt>
                <c:pt idx="85">
                  <c:v>1</c:v>
                </c:pt>
                <c:pt idx="86">
                  <c:v>1</c:v>
                </c:pt>
                <c:pt idx="87">
                  <c:v>0</c:v>
                </c:pt>
                <c:pt idx="88">
                  <c:v>2</c:v>
                </c:pt>
                <c:pt idx="89">
                  <c:v>3</c:v>
                </c:pt>
                <c:pt idx="90">
                  <c:v>2</c:v>
                </c:pt>
                <c:pt idx="91">
                  <c:v>2</c:v>
                </c:pt>
                <c:pt idx="92">
                  <c:v>0</c:v>
                </c:pt>
                <c:pt idx="93">
                  <c:v>2</c:v>
                </c:pt>
                <c:pt idx="94">
                  <c:v>0</c:v>
                </c:pt>
                <c:pt idx="95">
                  <c:v>0</c:v>
                </c:pt>
                <c:pt idx="96">
                  <c:v>0</c:v>
                </c:pt>
                <c:pt idx="97">
                  <c:v>0</c:v>
                </c:pt>
                <c:pt idx="98">
                  <c:v>0</c:v>
                </c:pt>
                <c:pt idx="99">
                  <c:v>1</c:v>
                </c:pt>
                <c:pt idx="100">
                  <c:v>1</c:v>
                </c:pt>
                <c:pt idx="101">
                  <c:v>1</c:v>
                </c:pt>
                <c:pt idx="102">
                  <c:v>1</c:v>
                </c:pt>
                <c:pt idx="103">
                  <c:v>1</c:v>
                </c:pt>
                <c:pt idx="104">
                  <c:v>1</c:v>
                </c:pt>
                <c:pt idx="105">
                  <c:v>1</c:v>
                </c:pt>
                <c:pt idx="106">
                  <c:v>2</c:v>
                </c:pt>
                <c:pt idx="107">
                  <c:v>0</c:v>
                </c:pt>
                <c:pt idx="108">
                  <c:v>0</c:v>
                </c:pt>
                <c:pt idx="109">
                  <c:v>1</c:v>
                </c:pt>
                <c:pt idx="110">
                  <c:v>1</c:v>
                </c:pt>
                <c:pt idx="111">
                  <c:v>0</c:v>
                </c:pt>
                <c:pt idx="112">
                  <c:v>1</c:v>
                </c:pt>
                <c:pt idx="113">
                  <c:v>0</c:v>
                </c:pt>
                <c:pt idx="114">
                  <c:v>0</c:v>
                </c:pt>
                <c:pt idx="115">
                  <c:v>0</c:v>
                </c:pt>
                <c:pt idx="116">
                  <c:v>0</c:v>
                </c:pt>
                <c:pt idx="117">
                  <c:v>0</c:v>
                </c:pt>
                <c:pt idx="118">
                  <c:v>0</c:v>
                </c:pt>
                <c:pt idx="119">
                  <c:v>0</c:v>
                </c:pt>
                <c:pt idx="120">
                  <c:v>0</c:v>
                </c:pt>
                <c:pt idx="121">
                  <c:v>0</c:v>
                </c:pt>
                <c:pt idx="122">
                  <c:v>0</c:v>
                </c:pt>
                <c:pt idx="123">
                  <c:v>0</c:v>
                </c:pt>
                <c:pt idx="124">
                  <c:v>1</c:v>
                </c:pt>
                <c:pt idx="125">
                  <c:v>3</c:v>
                </c:pt>
                <c:pt idx="126">
                  <c:v>2</c:v>
                </c:pt>
                <c:pt idx="127">
                  <c:v>2</c:v>
                </c:pt>
                <c:pt idx="128">
                  <c:v>0</c:v>
                </c:pt>
                <c:pt idx="129">
                  <c:v>0</c:v>
                </c:pt>
                <c:pt idx="130">
                  <c:v>0</c:v>
                </c:pt>
                <c:pt idx="131">
                  <c:v>0</c:v>
                </c:pt>
                <c:pt idx="132">
                  <c:v>1</c:v>
                </c:pt>
                <c:pt idx="133">
                  <c:v>0</c:v>
                </c:pt>
                <c:pt idx="134">
                  <c:v>0</c:v>
                </c:pt>
                <c:pt idx="135">
                  <c:v>1</c:v>
                </c:pt>
                <c:pt idx="136">
                  <c:v>0</c:v>
                </c:pt>
                <c:pt idx="137">
                  <c:v>0</c:v>
                </c:pt>
                <c:pt idx="138">
                  <c:v>1</c:v>
                </c:pt>
                <c:pt idx="139">
                  <c:v>0</c:v>
                </c:pt>
                <c:pt idx="140">
                  <c:v>0</c:v>
                </c:pt>
                <c:pt idx="141">
                  <c:v>1</c:v>
                </c:pt>
                <c:pt idx="142">
                  <c:v>0</c:v>
                </c:pt>
                <c:pt idx="143">
                  <c:v>1</c:v>
                </c:pt>
                <c:pt idx="144">
                  <c:v>0</c:v>
                </c:pt>
                <c:pt idx="145">
                  <c:v>0</c:v>
                </c:pt>
                <c:pt idx="146">
                  <c:v>3</c:v>
                </c:pt>
                <c:pt idx="147">
                  <c:v>0</c:v>
                </c:pt>
                <c:pt idx="148">
                  <c:v>0</c:v>
                </c:pt>
                <c:pt idx="149">
                  <c:v>0</c:v>
                </c:pt>
                <c:pt idx="150">
                  <c:v>0</c:v>
                </c:pt>
                <c:pt idx="151">
                  <c:v>0</c:v>
                </c:pt>
                <c:pt idx="152">
                  <c:v>0</c:v>
                </c:pt>
                <c:pt idx="153">
                  <c:v>2</c:v>
                </c:pt>
                <c:pt idx="154">
                  <c:v>0</c:v>
                </c:pt>
                <c:pt idx="155">
                  <c:v>2</c:v>
                </c:pt>
                <c:pt idx="156">
                  <c:v>1</c:v>
                </c:pt>
                <c:pt idx="157">
                  <c:v>0</c:v>
                </c:pt>
                <c:pt idx="158">
                  <c:v>0</c:v>
                </c:pt>
                <c:pt idx="159">
                  <c:v>0</c:v>
                </c:pt>
                <c:pt idx="160">
                  <c:v>1</c:v>
                </c:pt>
                <c:pt idx="161">
                  <c:v>0</c:v>
                </c:pt>
                <c:pt idx="162">
                  <c:v>0</c:v>
                </c:pt>
                <c:pt idx="163">
                  <c:v>0</c:v>
                </c:pt>
                <c:pt idx="164">
                  <c:v>1</c:v>
                </c:pt>
                <c:pt idx="165">
                  <c:v>0</c:v>
                </c:pt>
                <c:pt idx="166">
                  <c:v>2</c:v>
                </c:pt>
                <c:pt idx="167">
                  <c:v>1</c:v>
                </c:pt>
                <c:pt idx="168">
                  <c:v>1</c:v>
                </c:pt>
                <c:pt idx="169">
                  <c:v>0</c:v>
                </c:pt>
                <c:pt idx="170">
                  <c:v>1</c:v>
                </c:pt>
                <c:pt idx="171">
                  <c:v>1</c:v>
                </c:pt>
                <c:pt idx="172">
                  <c:v>0</c:v>
                </c:pt>
                <c:pt idx="173">
                  <c:v>1</c:v>
                </c:pt>
                <c:pt idx="174">
                  <c:v>0</c:v>
                </c:pt>
                <c:pt idx="175">
                  <c:v>0</c:v>
                </c:pt>
                <c:pt idx="176">
                  <c:v>1</c:v>
                </c:pt>
                <c:pt idx="177">
                  <c:v>0</c:v>
                </c:pt>
                <c:pt idx="178">
                  <c:v>0</c:v>
                </c:pt>
                <c:pt idx="179">
                  <c:v>0</c:v>
                </c:pt>
                <c:pt idx="180">
                  <c:v>2</c:v>
                </c:pt>
                <c:pt idx="181">
                  <c:v>0</c:v>
                </c:pt>
                <c:pt idx="182">
                  <c:v>1</c:v>
                </c:pt>
                <c:pt idx="183">
                  <c:v>0</c:v>
                </c:pt>
                <c:pt idx="184">
                  <c:v>1</c:v>
                </c:pt>
                <c:pt idx="185">
                  <c:v>0</c:v>
                </c:pt>
                <c:pt idx="186">
                  <c:v>0</c:v>
                </c:pt>
                <c:pt idx="187">
                  <c:v>0</c:v>
                </c:pt>
                <c:pt idx="188">
                  <c:v>0</c:v>
                </c:pt>
                <c:pt idx="189">
                  <c:v>0</c:v>
                </c:pt>
                <c:pt idx="190">
                  <c:v>0</c:v>
                </c:pt>
                <c:pt idx="191">
                  <c:v>1</c:v>
                </c:pt>
                <c:pt idx="192">
                  <c:v>0</c:v>
                </c:pt>
                <c:pt idx="193">
                  <c:v>0</c:v>
                </c:pt>
                <c:pt idx="194">
                  <c:v>0</c:v>
                </c:pt>
                <c:pt idx="195">
                  <c:v>0</c:v>
                </c:pt>
                <c:pt idx="196">
                  <c:v>1</c:v>
                </c:pt>
                <c:pt idx="197">
                  <c:v>0</c:v>
                </c:pt>
                <c:pt idx="198">
                  <c:v>0</c:v>
                </c:pt>
                <c:pt idx="199">
                  <c:v>0</c:v>
                </c:pt>
                <c:pt idx="200">
                  <c:v>1</c:v>
                </c:pt>
                <c:pt idx="201">
                  <c:v>1</c:v>
                </c:pt>
                <c:pt idx="202">
                  <c:v>1</c:v>
                </c:pt>
                <c:pt idx="203">
                  <c:v>0</c:v>
                </c:pt>
                <c:pt idx="204">
                  <c:v>0</c:v>
                </c:pt>
                <c:pt idx="205">
                  <c:v>0</c:v>
                </c:pt>
                <c:pt idx="206">
                  <c:v>1</c:v>
                </c:pt>
                <c:pt idx="207">
                  <c:v>0</c:v>
                </c:pt>
                <c:pt idx="208">
                  <c:v>4</c:v>
                </c:pt>
                <c:pt idx="209">
                  <c:v>1</c:v>
                </c:pt>
                <c:pt idx="210">
                  <c:v>1</c:v>
                </c:pt>
                <c:pt idx="211">
                  <c:v>0</c:v>
                </c:pt>
                <c:pt idx="212">
                  <c:v>0</c:v>
                </c:pt>
                <c:pt idx="213">
                  <c:v>4</c:v>
                </c:pt>
                <c:pt idx="214">
                  <c:v>2</c:v>
                </c:pt>
                <c:pt idx="215">
                  <c:v>5</c:v>
                </c:pt>
                <c:pt idx="216">
                  <c:v>3</c:v>
                </c:pt>
                <c:pt idx="217">
                  <c:v>2</c:v>
                </c:pt>
                <c:pt idx="218">
                  <c:v>2</c:v>
                </c:pt>
                <c:pt idx="219">
                  <c:v>0</c:v>
                </c:pt>
                <c:pt idx="220">
                  <c:v>0</c:v>
                </c:pt>
                <c:pt idx="221">
                  <c:v>0</c:v>
                </c:pt>
                <c:pt idx="222">
                  <c:v>0</c:v>
                </c:pt>
                <c:pt idx="223">
                  <c:v>0</c:v>
                </c:pt>
                <c:pt idx="224">
                  <c:v>0</c:v>
                </c:pt>
                <c:pt idx="225">
                  <c:v>0</c:v>
                </c:pt>
                <c:pt idx="226">
                  <c:v>0</c:v>
                </c:pt>
                <c:pt idx="227">
                  <c:v>0</c:v>
                </c:pt>
                <c:pt idx="228">
                  <c:v>0</c:v>
                </c:pt>
                <c:pt idx="229">
                  <c:v>0</c:v>
                </c:pt>
              </c:numCache>
            </c:numRef>
          </c:val>
          <c:extLst>
            <c:ext xmlns:c16="http://schemas.microsoft.com/office/drawing/2014/chart" uri="{C3380CC4-5D6E-409C-BE32-E72D297353CC}">
              <c16:uniqueId val="{0000000B-840A-4F74-BEBB-7AC0FF02A5C8}"/>
            </c:ext>
          </c:extLst>
        </c:ser>
        <c:dLbls>
          <c:showLegendKey val="0"/>
          <c:showVal val="0"/>
          <c:showCatName val="0"/>
          <c:showSerName val="0"/>
          <c:showPercent val="0"/>
          <c:showBubbleSize val="0"/>
        </c:dLbls>
        <c:gapWidth val="150"/>
        <c:overlap val="100"/>
        <c:axId val="145288639"/>
        <c:axId val="145278239"/>
      </c:barChart>
      <c:catAx>
        <c:axId val="14528863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278239"/>
        <c:crosses val="autoZero"/>
        <c:auto val="1"/>
        <c:lblAlgn val="ctr"/>
        <c:lblOffset val="100"/>
        <c:noMultiLvlLbl val="0"/>
      </c:catAx>
      <c:valAx>
        <c:axId val="145278239"/>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5288639"/>
        <c:crosses val="autoZero"/>
        <c:crossBetween val="between"/>
        <c:majorUnit val="1"/>
      </c:valAx>
      <c:spPr>
        <a:noFill/>
        <a:ln>
          <a:noFill/>
        </a:ln>
        <a:effectLst/>
      </c:spPr>
    </c:plotArea>
    <c:legend>
      <c:legendPos val="l"/>
      <c:layout>
        <c:manualLayout>
          <c:xMode val="edge"/>
          <c:yMode val="edge"/>
          <c:x val="2.2535211267605635E-3"/>
          <c:y val="0.1671481206358639"/>
          <c:w val="3.2124009577172756E-2"/>
          <c:h val="0.722646857822017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DBF6F"/>
              </a:solidFill>
              <a:round/>
            </a:ln>
            <a:effectLst/>
          </c:spPr>
          <c:marker>
            <c:symbol val="none"/>
          </c:marker>
          <c:cat>
            <c:strRef>
              <c:f>'SSP-Abstimmungen'!$AE$7:$AE$32</c:f>
              <c:strCache>
                <c:ptCount val="26"/>
                <c:pt idx="0">
                  <c:v>0-1 Woche</c:v>
                </c:pt>
                <c:pt idx="1">
                  <c:v>1-2 Wochen</c:v>
                </c:pt>
                <c:pt idx="2">
                  <c:v>2-3 Wochen</c:v>
                </c:pt>
                <c:pt idx="3">
                  <c:v>3-4 Wochen</c:v>
                </c:pt>
                <c:pt idx="4">
                  <c:v>4-5 Wochen</c:v>
                </c:pt>
                <c:pt idx="5">
                  <c:v>5-6 Wochen</c:v>
                </c:pt>
                <c:pt idx="6">
                  <c:v>6-7 Wochen</c:v>
                </c:pt>
                <c:pt idx="7">
                  <c:v>7-8 Wochen</c:v>
                </c:pt>
                <c:pt idx="8">
                  <c:v>8-9 Wochen</c:v>
                </c:pt>
                <c:pt idx="9">
                  <c:v>9-10 Wochen</c:v>
                </c:pt>
                <c:pt idx="10">
                  <c:v>10-11 Wochen</c:v>
                </c:pt>
                <c:pt idx="11">
                  <c:v>11-12 Wochen</c:v>
                </c:pt>
                <c:pt idx="12">
                  <c:v>12-13 Wochen</c:v>
                </c:pt>
                <c:pt idx="13">
                  <c:v>13-14 Wochen</c:v>
                </c:pt>
                <c:pt idx="14">
                  <c:v>14-15 Wochen</c:v>
                </c:pt>
                <c:pt idx="15">
                  <c:v>15-16 Wochen</c:v>
                </c:pt>
                <c:pt idx="16">
                  <c:v>16-17 Wochen</c:v>
                </c:pt>
                <c:pt idx="17">
                  <c:v>17-18 Wochen</c:v>
                </c:pt>
                <c:pt idx="18">
                  <c:v>18-19 Wochen</c:v>
                </c:pt>
                <c:pt idx="19">
                  <c:v>19-20 Wochen</c:v>
                </c:pt>
                <c:pt idx="20">
                  <c:v>20-21 Wochen</c:v>
                </c:pt>
                <c:pt idx="21">
                  <c:v>21-22 Wochen</c:v>
                </c:pt>
                <c:pt idx="22">
                  <c:v>22-23 Wochen</c:v>
                </c:pt>
                <c:pt idx="23">
                  <c:v>23-24 Wochen</c:v>
                </c:pt>
                <c:pt idx="24">
                  <c:v>24-25 Wochen</c:v>
                </c:pt>
                <c:pt idx="25">
                  <c:v>25-26 Wochen</c:v>
                </c:pt>
              </c:strCache>
            </c:strRef>
          </c:cat>
          <c:val>
            <c:numRef>
              <c:f>'SSP-Abstimmungen'!$AF$7:$AF$32</c:f>
              <c:numCache>
                <c:formatCode>#"-mal"</c:formatCode>
                <c:ptCount val="26"/>
                <c:pt idx="0">
                  <c:v>0</c:v>
                </c:pt>
                <c:pt idx="1">
                  <c:v>0</c:v>
                </c:pt>
                <c:pt idx="2">
                  <c:v>5</c:v>
                </c:pt>
                <c:pt idx="3">
                  <c:v>5</c:v>
                </c:pt>
                <c:pt idx="4">
                  <c:v>3</c:v>
                </c:pt>
                <c:pt idx="5">
                  <c:v>3</c:v>
                </c:pt>
                <c:pt idx="6">
                  <c:v>1</c:v>
                </c:pt>
                <c:pt idx="7">
                  <c:v>4</c:v>
                </c:pt>
                <c:pt idx="8">
                  <c:v>4</c:v>
                </c:pt>
                <c:pt idx="9">
                  <c:v>3</c:v>
                </c:pt>
                <c:pt idx="10">
                  <c:v>1</c:v>
                </c:pt>
                <c:pt idx="11">
                  <c:v>0</c:v>
                </c:pt>
                <c:pt idx="12">
                  <c:v>0</c:v>
                </c:pt>
                <c:pt idx="13">
                  <c:v>1</c:v>
                </c:pt>
                <c:pt idx="14">
                  <c:v>1</c:v>
                </c:pt>
                <c:pt idx="15">
                  <c:v>0</c:v>
                </c:pt>
                <c:pt idx="16">
                  <c:v>1</c:v>
                </c:pt>
                <c:pt idx="17">
                  <c:v>0</c:v>
                </c:pt>
                <c:pt idx="18">
                  <c:v>0</c:v>
                </c:pt>
                <c:pt idx="19">
                  <c:v>0</c:v>
                </c:pt>
                <c:pt idx="20">
                  <c:v>0</c:v>
                </c:pt>
                <c:pt idx="21">
                  <c:v>1</c:v>
                </c:pt>
                <c:pt idx="22">
                  <c:v>0</c:v>
                </c:pt>
                <c:pt idx="23">
                  <c:v>0</c:v>
                </c:pt>
                <c:pt idx="24">
                  <c:v>0</c:v>
                </c:pt>
                <c:pt idx="25">
                  <c:v>0</c:v>
                </c:pt>
              </c:numCache>
            </c:numRef>
          </c:val>
          <c:smooth val="0"/>
          <c:extLst>
            <c:ext xmlns:c16="http://schemas.microsoft.com/office/drawing/2014/chart" uri="{C3380CC4-5D6E-409C-BE32-E72D297353CC}">
              <c16:uniqueId val="{00000000-45B0-441C-89C2-6FBFA188B8A5}"/>
            </c:ext>
          </c:extLst>
        </c:ser>
        <c:dLbls>
          <c:showLegendKey val="0"/>
          <c:showVal val="0"/>
          <c:showCatName val="0"/>
          <c:showSerName val="0"/>
          <c:showPercent val="0"/>
          <c:showBubbleSize val="0"/>
        </c:dLbls>
        <c:smooth val="0"/>
        <c:axId val="201835152"/>
        <c:axId val="201840976"/>
      </c:lineChart>
      <c:catAx>
        <c:axId val="20183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1840976"/>
        <c:crosses val="autoZero"/>
        <c:auto val="0"/>
        <c:lblAlgn val="ctr"/>
        <c:lblOffset val="100"/>
        <c:noMultiLvlLbl val="0"/>
      </c:catAx>
      <c:valAx>
        <c:axId val="201840976"/>
        <c:scaling>
          <c:orientation val="minMax"/>
        </c:scaling>
        <c:delete val="0"/>
        <c:axPos val="l"/>
        <c:majorGridlines>
          <c:spPr>
            <a:ln w="9525" cap="flat" cmpd="sng" algn="ctr">
              <a:solidFill>
                <a:schemeClr val="tx1">
                  <a:lumMod val="15000"/>
                  <a:lumOff val="85000"/>
                </a:schemeClr>
              </a:solidFill>
              <a:round/>
            </a:ln>
            <a:effectLst/>
          </c:spPr>
        </c:majorGridlines>
        <c:numFmt formatCode="#&quot;-mal&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183515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4F81BD"/>
              </a:solidFill>
              <a:round/>
            </a:ln>
            <a:effectLst/>
          </c:spPr>
          <c:marker>
            <c:symbol val="none"/>
          </c:marker>
          <c:cat>
            <c:numRef>
              <c:f>'SSP-Abstimmungen'!$Q$7:$Q$38</c:f>
              <c:numCache>
                <c:formatCode>m/d/yyyy</c:formatCode>
                <c:ptCount val="32"/>
                <c:pt idx="0">
                  <c:v>42821</c:v>
                </c:pt>
                <c:pt idx="1">
                  <c:v>42890</c:v>
                </c:pt>
                <c:pt idx="2">
                  <c:v>42906</c:v>
                </c:pt>
                <c:pt idx="3">
                  <c:v>42926</c:v>
                </c:pt>
                <c:pt idx="4">
                  <c:v>42964</c:v>
                </c:pt>
                <c:pt idx="5">
                  <c:v>42981</c:v>
                </c:pt>
                <c:pt idx="6">
                  <c:v>43002</c:v>
                </c:pt>
                <c:pt idx="7">
                  <c:v>43030</c:v>
                </c:pt>
                <c:pt idx="8">
                  <c:v>43052</c:v>
                </c:pt>
                <c:pt idx="9">
                  <c:v>43116</c:v>
                </c:pt>
                <c:pt idx="10">
                  <c:v>43152</c:v>
                </c:pt>
                <c:pt idx="11">
                  <c:v>43226</c:v>
                </c:pt>
                <c:pt idx="12">
                  <c:v>43244</c:v>
                </c:pt>
                <c:pt idx="13">
                  <c:v>43278</c:v>
                </c:pt>
                <c:pt idx="14">
                  <c:v>43289</c:v>
                </c:pt>
                <c:pt idx="15">
                  <c:v>43321</c:v>
                </c:pt>
                <c:pt idx="16">
                  <c:v>43404</c:v>
                </c:pt>
                <c:pt idx="17">
                  <c:v>43510</c:v>
                </c:pt>
                <c:pt idx="18">
                  <c:v>43592</c:v>
                </c:pt>
                <c:pt idx="19">
                  <c:v>43657</c:v>
                </c:pt>
                <c:pt idx="20">
                  <c:v>43715</c:v>
                </c:pt>
                <c:pt idx="21">
                  <c:v>43875</c:v>
                </c:pt>
                <c:pt idx="22">
                  <c:v>43948</c:v>
                </c:pt>
                <c:pt idx="23">
                  <c:v>43986</c:v>
                </c:pt>
                <c:pt idx="24">
                  <c:v>44053</c:v>
                </c:pt>
                <c:pt idx="25">
                  <c:v>44085</c:v>
                </c:pt>
                <c:pt idx="26">
                  <c:v>44200</c:v>
                </c:pt>
                <c:pt idx="27">
                  <c:v>44270</c:v>
                </c:pt>
                <c:pt idx="28">
                  <c:v>44332</c:v>
                </c:pt>
                <c:pt idx="29">
                  <c:v>44431</c:v>
                </c:pt>
                <c:pt idx="30">
                  <c:v>44580</c:v>
                </c:pt>
                <c:pt idx="31">
                  <c:v>44680</c:v>
                </c:pt>
              </c:numCache>
            </c:numRef>
          </c:cat>
          <c:val>
            <c:numRef>
              <c:f>'SSP-Abstimmungen'!$R$7:$R$38</c:f>
              <c:numCache>
                <c:formatCode>General</c:formatCode>
                <c:ptCount val="32"/>
                <c:pt idx="0">
                  <c:v>67</c:v>
                </c:pt>
                <c:pt idx="1">
                  <c:v>87</c:v>
                </c:pt>
                <c:pt idx="2">
                  <c:v>94</c:v>
                </c:pt>
                <c:pt idx="3">
                  <c:v>90</c:v>
                </c:pt>
                <c:pt idx="4">
                  <c:v>130</c:v>
                </c:pt>
                <c:pt idx="5">
                  <c:v>107</c:v>
                </c:pt>
                <c:pt idx="6">
                  <c:v>189</c:v>
                </c:pt>
                <c:pt idx="7">
                  <c:v>200</c:v>
                </c:pt>
                <c:pt idx="8">
                  <c:v>194</c:v>
                </c:pt>
                <c:pt idx="9">
                  <c:v>184</c:v>
                </c:pt>
                <c:pt idx="10">
                  <c:v>238</c:v>
                </c:pt>
                <c:pt idx="11">
                  <c:v>232</c:v>
                </c:pt>
                <c:pt idx="12">
                  <c:v>179</c:v>
                </c:pt>
                <c:pt idx="13">
                  <c:v>180</c:v>
                </c:pt>
                <c:pt idx="14">
                  <c:v>235</c:v>
                </c:pt>
                <c:pt idx="15">
                  <c:v>243</c:v>
                </c:pt>
                <c:pt idx="16">
                  <c:v>258</c:v>
                </c:pt>
                <c:pt idx="17">
                  <c:v>361</c:v>
                </c:pt>
                <c:pt idx="18">
                  <c:v>478</c:v>
                </c:pt>
                <c:pt idx="19">
                  <c:v>341</c:v>
                </c:pt>
                <c:pt idx="20">
                  <c:v>314</c:v>
                </c:pt>
                <c:pt idx="21">
                  <c:v>413</c:v>
                </c:pt>
                <c:pt idx="22">
                  <c:v>444</c:v>
                </c:pt>
                <c:pt idx="23">
                  <c:v>352</c:v>
                </c:pt>
                <c:pt idx="24">
                  <c:v>338</c:v>
                </c:pt>
                <c:pt idx="25">
                  <c:v>248</c:v>
                </c:pt>
                <c:pt idx="26">
                  <c:v>460</c:v>
                </c:pt>
                <c:pt idx="27">
                  <c:v>446</c:v>
                </c:pt>
                <c:pt idx="28">
                  <c:v>509</c:v>
                </c:pt>
                <c:pt idx="29">
                  <c:v>263</c:v>
                </c:pt>
                <c:pt idx="30">
                  <c:v>367</c:v>
                </c:pt>
                <c:pt idx="31">
                  <c:v>310</c:v>
                </c:pt>
              </c:numCache>
            </c:numRef>
          </c:val>
          <c:smooth val="0"/>
          <c:extLst>
            <c:ext xmlns:c16="http://schemas.microsoft.com/office/drawing/2014/chart" uri="{C3380CC4-5D6E-409C-BE32-E72D297353CC}">
              <c16:uniqueId val="{00000000-B63A-44DF-9AB2-44796716D438}"/>
            </c:ext>
          </c:extLst>
        </c:ser>
        <c:dLbls>
          <c:showLegendKey val="0"/>
          <c:showVal val="0"/>
          <c:showCatName val="0"/>
          <c:showSerName val="0"/>
          <c:showPercent val="0"/>
          <c:showBubbleSize val="0"/>
        </c:dLbls>
        <c:smooth val="0"/>
        <c:axId val="1669833711"/>
        <c:axId val="1669839951"/>
      </c:lineChart>
      <c:dateAx>
        <c:axId val="16698337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69839951"/>
        <c:crosses val="autoZero"/>
        <c:auto val="0"/>
        <c:lblOffset val="100"/>
        <c:baseTimeUnit val="days"/>
      </c:dateAx>
      <c:valAx>
        <c:axId val="1669839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669833711"/>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Tabelle</c:v>
          </c:tx>
          <c:spPr>
            <a:ln w="28575" cap="rnd">
              <a:noFill/>
              <a:round/>
            </a:ln>
            <a:effectLst/>
          </c:spPr>
          <c:marker>
            <c:symbol val="circle"/>
            <c:size val="5"/>
            <c:spPr>
              <a:solidFill>
                <a:srgbClr val="FF9933">
                  <a:alpha val="70000"/>
                </a:srgbClr>
              </a:solidFill>
              <a:ln w="9525">
                <a:solidFill>
                  <a:schemeClr val="accent1"/>
                </a:solidFill>
              </a:ln>
              <a:effectLst/>
            </c:spPr>
          </c:marker>
          <c:xVal>
            <c:numRef>
              <c:f>'SSP-Abstimmungen'!$BC$6:$BC$333</c:f>
              <c:numCache>
                <c:formatCode>\—</c:formatCode>
                <c:ptCount val="328"/>
                <c:pt idx="0">
                  <c:v>0</c:v>
                </c:pt>
                <c:pt idx="1">
                  <c:v>0</c:v>
                </c:pt>
                <c:pt idx="2" formatCode="0.0">
                  <c:v>54.7</c:v>
                </c:pt>
                <c:pt idx="3">
                  <c:v>0</c:v>
                </c:pt>
                <c:pt idx="4" formatCode="0.0">
                  <c:v>53.6</c:v>
                </c:pt>
                <c:pt idx="5" formatCode="0.0">
                  <c:v>82.9</c:v>
                </c:pt>
                <c:pt idx="6" formatCode="0.0">
                  <c:v>53.6</c:v>
                </c:pt>
                <c:pt idx="7" formatCode="0.0">
                  <c:v>37.6</c:v>
                </c:pt>
                <c:pt idx="8" formatCode="0.0">
                  <c:v>37.1</c:v>
                </c:pt>
                <c:pt idx="9" formatCode="0.0">
                  <c:v>91.2</c:v>
                </c:pt>
                <c:pt idx="10" formatCode="0.0">
                  <c:v>75.400000000000006</c:v>
                </c:pt>
                <c:pt idx="11" formatCode="0.0">
                  <c:v>75.400000000000006</c:v>
                </c:pt>
                <c:pt idx="12" formatCode="0.0">
                  <c:v>75.400000000000006</c:v>
                </c:pt>
                <c:pt idx="13" formatCode="0.0">
                  <c:v>82.6</c:v>
                </c:pt>
                <c:pt idx="14" formatCode="0.0">
                  <c:v>80.8</c:v>
                </c:pt>
                <c:pt idx="15" formatCode="0.0">
                  <c:v>86.7</c:v>
                </c:pt>
                <c:pt idx="16" formatCode="0.0">
                  <c:v>67.099999999999994</c:v>
                </c:pt>
                <c:pt idx="17" formatCode="0.0">
                  <c:v>58.3</c:v>
                </c:pt>
                <c:pt idx="18" formatCode="0.0">
                  <c:v>57.5</c:v>
                </c:pt>
                <c:pt idx="19" formatCode="0.0">
                  <c:v>19.600000000000001</c:v>
                </c:pt>
                <c:pt idx="20" formatCode="0.0">
                  <c:v>37</c:v>
                </c:pt>
                <c:pt idx="21" formatCode="0.0">
                  <c:v>35.299999999999997</c:v>
                </c:pt>
                <c:pt idx="22" formatCode="0.0">
                  <c:v>35.299999999999997</c:v>
                </c:pt>
                <c:pt idx="23" formatCode="0.0">
                  <c:v>69</c:v>
                </c:pt>
                <c:pt idx="24" formatCode="0.0">
                  <c:v>65.8</c:v>
                </c:pt>
                <c:pt idx="25" formatCode="0.0">
                  <c:v>33.5</c:v>
                </c:pt>
                <c:pt idx="26" formatCode="0.0">
                  <c:v>31.2</c:v>
                </c:pt>
                <c:pt idx="27" formatCode="0.0">
                  <c:v>88</c:v>
                </c:pt>
                <c:pt idx="28" formatCode="0.0">
                  <c:v>25.8</c:v>
                </c:pt>
                <c:pt idx="29" formatCode="0.0">
                  <c:v>82.9</c:v>
                </c:pt>
                <c:pt idx="30" formatCode="0.0">
                  <c:v>63.5</c:v>
                </c:pt>
                <c:pt idx="31" formatCode="0.0">
                  <c:v>28.7</c:v>
                </c:pt>
                <c:pt idx="32" formatCode="0.0">
                  <c:v>82.9</c:v>
                </c:pt>
                <c:pt idx="33" formatCode="0.0">
                  <c:v>82.9</c:v>
                </c:pt>
                <c:pt idx="34" formatCode="0.0">
                  <c:v>21.4</c:v>
                </c:pt>
                <c:pt idx="35" formatCode="0.0">
                  <c:v>36.299999999999997</c:v>
                </c:pt>
                <c:pt idx="36" formatCode="0.0">
                  <c:v>76.7</c:v>
                </c:pt>
                <c:pt idx="37" formatCode="0.0">
                  <c:v>76.8</c:v>
                </c:pt>
                <c:pt idx="38" formatCode="0.0">
                  <c:v>55.9</c:v>
                </c:pt>
                <c:pt idx="39" formatCode="0.0">
                  <c:v>55.9</c:v>
                </c:pt>
                <c:pt idx="40" formatCode="0.0">
                  <c:v>23.1</c:v>
                </c:pt>
                <c:pt idx="41" formatCode="0.0">
                  <c:v>94.5</c:v>
                </c:pt>
                <c:pt idx="42" formatCode="0.0">
                  <c:v>59.8</c:v>
                </c:pt>
                <c:pt idx="43" formatCode="0.0">
                  <c:v>86.4</c:v>
                </c:pt>
                <c:pt idx="44" formatCode="0.0">
                  <c:v>7.3</c:v>
                </c:pt>
                <c:pt idx="45" formatCode="0.0">
                  <c:v>30.6</c:v>
                </c:pt>
                <c:pt idx="46" formatCode="0.0">
                  <c:v>7.5</c:v>
                </c:pt>
                <c:pt idx="47" formatCode="0.0">
                  <c:v>2.4</c:v>
                </c:pt>
                <c:pt idx="48" formatCode="0.0">
                  <c:v>2.4</c:v>
                </c:pt>
                <c:pt idx="49" formatCode="0.0">
                  <c:v>53.8</c:v>
                </c:pt>
                <c:pt idx="50" formatCode="0.0">
                  <c:v>26.9</c:v>
                </c:pt>
                <c:pt idx="51" formatCode="0.0">
                  <c:v>29.6</c:v>
                </c:pt>
                <c:pt idx="52" formatCode="0.0">
                  <c:v>89.7</c:v>
                </c:pt>
                <c:pt idx="53" formatCode="0.0">
                  <c:v>43.3</c:v>
                </c:pt>
                <c:pt idx="54" formatCode="0.0">
                  <c:v>93.9</c:v>
                </c:pt>
                <c:pt idx="55" formatCode="0.0">
                  <c:v>71.7</c:v>
                </c:pt>
                <c:pt idx="56" formatCode="0.0">
                  <c:v>71.7</c:v>
                </c:pt>
                <c:pt idx="57" formatCode="0.0">
                  <c:v>25.6</c:v>
                </c:pt>
                <c:pt idx="58" formatCode="0.0">
                  <c:v>71.599999999999994</c:v>
                </c:pt>
                <c:pt idx="59" formatCode="0.0">
                  <c:v>48.7</c:v>
                </c:pt>
                <c:pt idx="60" formatCode="0.0">
                  <c:v>93.3</c:v>
                </c:pt>
                <c:pt idx="61" formatCode="0.0">
                  <c:v>2.9</c:v>
                </c:pt>
                <c:pt idx="62" formatCode="0.0">
                  <c:v>53.1</c:v>
                </c:pt>
                <c:pt idx="63" formatCode="0.0">
                  <c:v>98.7</c:v>
                </c:pt>
                <c:pt idx="64" formatCode="0.0">
                  <c:v>76.7</c:v>
                </c:pt>
                <c:pt idx="65" formatCode="0.0">
                  <c:v>29.5</c:v>
                </c:pt>
                <c:pt idx="66" formatCode="0.0">
                  <c:v>13.2</c:v>
                </c:pt>
                <c:pt idx="67" formatCode="0.0">
                  <c:v>60.3</c:v>
                </c:pt>
                <c:pt idx="68" formatCode="0.0">
                  <c:v>50.4</c:v>
                </c:pt>
                <c:pt idx="69" formatCode="0.0">
                  <c:v>76.7</c:v>
                </c:pt>
                <c:pt idx="70" formatCode="0.0">
                  <c:v>52.5</c:v>
                </c:pt>
                <c:pt idx="71" formatCode="0.0">
                  <c:v>5.2</c:v>
                </c:pt>
                <c:pt idx="72" formatCode="0.0">
                  <c:v>29.6</c:v>
                </c:pt>
                <c:pt idx="73" formatCode="0.0">
                  <c:v>57.3</c:v>
                </c:pt>
                <c:pt idx="74" formatCode="0.0">
                  <c:v>57.3</c:v>
                </c:pt>
                <c:pt idx="75" formatCode="0.0">
                  <c:v>8.1</c:v>
                </c:pt>
                <c:pt idx="76" formatCode="0.0">
                  <c:v>88.6</c:v>
                </c:pt>
                <c:pt idx="77" formatCode="0.0">
                  <c:v>75</c:v>
                </c:pt>
                <c:pt idx="78" formatCode="0.0">
                  <c:v>29.6</c:v>
                </c:pt>
                <c:pt idx="79" formatCode="0.0">
                  <c:v>34.6</c:v>
                </c:pt>
                <c:pt idx="80">
                  <c:v>0</c:v>
                </c:pt>
                <c:pt idx="81" formatCode="0.0">
                  <c:v>50.4</c:v>
                </c:pt>
                <c:pt idx="82" formatCode="0.0">
                  <c:v>4.7</c:v>
                </c:pt>
                <c:pt idx="83" formatCode="0.0">
                  <c:v>14.2</c:v>
                </c:pt>
                <c:pt idx="84" formatCode="0.0">
                  <c:v>32.5</c:v>
                </c:pt>
                <c:pt idx="85" formatCode="0.0">
                  <c:v>42.8</c:v>
                </c:pt>
                <c:pt idx="86" formatCode="0.0">
                  <c:v>7</c:v>
                </c:pt>
                <c:pt idx="87" formatCode="0.0">
                  <c:v>93.7</c:v>
                </c:pt>
                <c:pt idx="88" formatCode="0.0">
                  <c:v>21.8</c:v>
                </c:pt>
                <c:pt idx="89" formatCode="0.0">
                  <c:v>21.8</c:v>
                </c:pt>
                <c:pt idx="90" formatCode="0.0">
                  <c:v>95.1</c:v>
                </c:pt>
                <c:pt idx="91" formatCode="0.0">
                  <c:v>25.9</c:v>
                </c:pt>
                <c:pt idx="92" formatCode="0.0">
                  <c:v>97.6</c:v>
                </c:pt>
                <c:pt idx="93" formatCode="0.0">
                  <c:v>90.7</c:v>
                </c:pt>
                <c:pt idx="94" formatCode="0.0">
                  <c:v>94.4</c:v>
                </c:pt>
                <c:pt idx="95" formatCode="0.0">
                  <c:v>32.200000000000003</c:v>
                </c:pt>
                <c:pt idx="96" formatCode="0.0">
                  <c:v>73.2</c:v>
                </c:pt>
                <c:pt idx="97" formatCode="0.0">
                  <c:v>31.8</c:v>
                </c:pt>
                <c:pt idx="98" formatCode="0.0">
                  <c:v>91.2</c:v>
                </c:pt>
                <c:pt idx="99" formatCode="0.0">
                  <c:v>98</c:v>
                </c:pt>
                <c:pt idx="100" formatCode="0.0">
                  <c:v>6</c:v>
                </c:pt>
                <c:pt idx="101" formatCode="0.0">
                  <c:v>6</c:v>
                </c:pt>
                <c:pt idx="102" formatCode="0.0">
                  <c:v>41.1</c:v>
                </c:pt>
                <c:pt idx="103" formatCode="0.0">
                  <c:v>40.200000000000003</c:v>
                </c:pt>
                <c:pt idx="104" formatCode="0.0">
                  <c:v>97.7</c:v>
                </c:pt>
                <c:pt idx="105" formatCode="0.0">
                  <c:v>91.4</c:v>
                </c:pt>
                <c:pt idx="106" formatCode="0.0">
                  <c:v>88.3</c:v>
                </c:pt>
                <c:pt idx="107" formatCode="0.0">
                  <c:v>6</c:v>
                </c:pt>
                <c:pt idx="108" formatCode="0.0">
                  <c:v>19.5</c:v>
                </c:pt>
                <c:pt idx="109" formatCode="0.0">
                  <c:v>18.899999999999999</c:v>
                </c:pt>
                <c:pt idx="110" formatCode="0.0">
                  <c:v>55.1</c:v>
                </c:pt>
                <c:pt idx="111" formatCode="0.0">
                  <c:v>91.3</c:v>
                </c:pt>
                <c:pt idx="112" formatCode="0.0">
                  <c:v>80.400000000000006</c:v>
                </c:pt>
                <c:pt idx="113" formatCode="0.0">
                  <c:v>42.8</c:v>
                </c:pt>
                <c:pt idx="114" formatCode="0.0">
                  <c:v>91.3</c:v>
                </c:pt>
                <c:pt idx="115" formatCode="0.0">
                  <c:v>79.5</c:v>
                </c:pt>
                <c:pt idx="116" formatCode="0.0">
                  <c:v>39.200000000000003</c:v>
                </c:pt>
                <c:pt idx="117" formatCode="0.0">
                  <c:v>1.8</c:v>
                </c:pt>
                <c:pt idx="118" formatCode="0.0">
                  <c:v>85.5</c:v>
                </c:pt>
                <c:pt idx="119" formatCode="0.0">
                  <c:v>85.5</c:v>
                </c:pt>
                <c:pt idx="120" formatCode="0.0">
                  <c:v>46.6</c:v>
                </c:pt>
                <c:pt idx="121" formatCode="0.0">
                  <c:v>72</c:v>
                </c:pt>
                <c:pt idx="122" formatCode="0.0">
                  <c:v>51.7</c:v>
                </c:pt>
                <c:pt idx="123" formatCode="0.0">
                  <c:v>67.400000000000006</c:v>
                </c:pt>
                <c:pt idx="124" formatCode="0.0">
                  <c:v>70.5</c:v>
                </c:pt>
                <c:pt idx="125" formatCode="0.0">
                  <c:v>7.1</c:v>
                </c:pt>
                <c:pt idx="126" formatCode="0.0">
                  <c:v>51.7</c:v>
                </c:pt>
                <c:pt idx="127" formatCode="0.0">
                  <c:v>66.400000000000006</c:v>
                </c:pt>
                <c:pt idx="128" formatCode="0.0">
                  <c:v>68.900000000000006</c:v>
                </c:pt>
                <c:pt idx="129" formatCode="0.0">
                  <c:v>80.7</c:v>
                </c:pt>
                <c:pt idx="130" formatCode="0.0">
                  <c:v>86.4</c:v>
                </c:pt>
                <c:pt idx="131" formatCode="0.0">
                  <c:v>69</c:v>
                </c:pt>
                <c:pt idx="132" formatCode="0.0">
                  <c:v>49.1</c:v>
                </c:pt>
                <c:pt idx="133" formatCode="0.0">
                  <c:v>12.1</c:v>
                </c:pt>
                <c:pt idx="134" formatCode="0.0">
                  <c:v>2.7</c:v>
                </c:pt>
                <c:pt idx="135" formatCode="0.0">
                  <c:v>2.1</c:v>
                </c:pt>
                <c:pt idx="136" formatCode="0.0">
                  <c:v>23</c:v>
                </c:pt>
                <c:pt idx="137" formatCode="0.0">
                  <c:v>67.3</c:v>
                </c:pt>
                <c:pt idx="138" formatCode="0.0">
                  <c:v>12.6</c:v>
                </c:pt>
                <c:pt idx="139" formatCode="0.0">
                  <c:v>42.2</c:v>
                </c:pt>
                <c:pt idx="140" formatCode="0.0">
                  <c:v>28.6</c:v>
                </c:pt>
                <c:pt idx="141" formatCode="0.0">
                  <c:v>98.6</c:v>
                </c:pt>
                <c:pt idx="142" formatCode="0.0">
                  <c:v>57.2</c:v>
                </c:pt>
                <c:pt idx="143" formatCode="0.0">
                  <c:v>21.6</c:v>
                </c:pt>
                <c:pt idx="144" formatCode="0.0">
                  <c:v>84.5</c:v>
                </c:pt>
                <c:pt idx="145" formatCode="0.0">
                  <c:v>95.9</c:v>
                </c:pt>
                <c:pt idx="146" formatCode="0.0">
                  <c:v>98.8</c:v>
                </c:pt>
                <c:pt idx="147" formatCode="0.0">
                  <c:v>95.8</c:v>
                </c:pt>
                <c:pt idx="148">
                  <c:v>0</c:v>
                </c:pt>
                <c:pt idx="149" formatCode="0.0">
                  <c:v>2.9</c:v>
                </c:pt>
                <c:pt idx="150" formatCode="0.0">
                  <c:v>80.7</c:v>
                </c:pt>
                <c:pt idx="151" formatCode="0.0">
                  <c:v>60.2</c:v>
                </c:pt>
                <c:pt idx="152" formatCode="0.0">
                  <c:v>68</c:v>
                </c:pt>
                <c:pt idx="153" formatCode="0.0">
                  <c:v>80.7</c:v>
                </c:pt>
                <c:pt idx="154" formatCode="0.0">
                  <c:v>60.7</c:v>
                </c:pt>
                <c:pt idx="155" formatCode="0.0">
                  <c:v>89</c:v>
                </c:pt>
                <c:pt idx="156" formatCode="0.0">
                  <c:v>51.2</c:v>
                </c:pt>
                <c:pt idx="157" formatCode="0.0">
                  <c:v>40.200000000000003</c:v>
                </c:pt>
                <c:pt idx="158" formatCode="0.0">
                  <c:v>25.1</c:v>
                </c:pt>
                <c:pt idx="159" formatCode="0.0">
                  <c:v>59.2</c:v>
                </c:pt>
                <c:pt idx="160" formatCode="0.0">
                  <c:v>60.5</c:v>
                </c:pt>
                <c:pt idx="161" formatCode="0.0">
                  <c:v>52.5</c:v>
                </c:pt>
                <c:pt idx="162" formatCode="0.0">
                  <c:v>27.7</c:v>
                </c:pt>
                <c:pt idx="163" formatCode="0.0">
                  <c:v>93.8</c:v>
                </c:pt>
                <c:pt idx="164" formatCode="0.0">
                  <c:v>22.2</c:v>
                </c:pt>
                <c:pt idx="165">
                  <c:v>0</c:v>
                </c:pt>
                <c:pt idx="166">
                  <c:v>0</c:v>
                </c:pt>
                <c:pt idx="167" formatCode="0.0">
                  <c:v>53.6</c:v>
                </c:pt>
                <c:pt idx="168" formatCode="0.0">
                  <c:v>83.6</c:v>
                </c:pt>
                <c:pt idx="169" formatCode="0.0">
                  <c:v>18.2</c:v>
                </c:pt>
                <c:pt idx="170" formatCode="0.0">
                  <c:v>43.4</c:v>
                </c:pt>
                <c:pt idx="171" formatCode="0.0">
                  <c:v>71.599999999999994</c:v>
                </c:pt>
                <c:pt idx="172" formatCode="0.0">
                  <c:v>98.7</c:v>
                </c:pt>
                <c:pt idx="173">
                  <c:v>0</c:v>
                </c:pt>
                <c:pt idx="174" formatCode="0.0">
                  <c:v>98</c:v>
                </c:pt>
                <c:pt idx="175" formatCode="0.0">
                  <c:v>20.6</c:v>
                </c:pt>
                <c:pt idx="176" formatCode="0.0">
                  <c:v>4.5999999999999996</c:v>
                </c:pt>
                <c:pt idx="177" formatCode="0.0">
                  <c:v>93.7</c:v>
                </c:pt>
                <c:pt idx="178" formatCode="0.0">
                  <c:v>4.0999999999999996</c:v>
                </c:pt>
                <c:pt idx="179" formatCode="0.0">
                  <c:v>2.5</c:v>
                </c:pt>
                <c:pt idx="180" formatCode="0.0">
                  <c:v>3.7</c:v>
                </c:pt>
                <c:pt idx="181" formatCode="0.0">
                  <c:v>82.8</c:v>
                </c:pt>
                <c:pt idx="182" formatCode="0.0">
                  <c:v>90.9</c:v>
                </c:pt>
                <c:pt idx="183" formatCode="0.0">
                  <c:v>62.3</c:v>
                </c:pt>
                <c:pt idx="184" formatCode="0.0">
                  <c:v>94.3</c:v>
                </c:pt>
                <c:pt idx="185" formatCode="General">
                  <c:v>32.5</c:v>
                </c:pt>
                <c:pt idx="186" formatCode="General">
                  <c:v>4.5</c:v>
                </c:pt>
                <c:pt idx="187" formatCode="General">
                  <c:v>73.400000000000006</c:v>
                </c:pt>
                <c:pt idx="188" formatCode="0.0">
                  <c:v>7.5</c:v>
                </c:pt>
                <c:pt idx="189" formatCode="0.0">
                  <c:v>93.5</c:v>
                </c:pt>
                <c:pt idx="190" formatCode="0.0">
                  <c:v>88.6</c:v>
                </c:pt>
                <c:pt idx="191" formatCode="0.0">
                  <c:v>42.8</c:v>
                </c:pt>
                <c:pt idx="192" formatCode="0.0">
                  <c:v>88.3</c:v>
                </c:pt>
                <c:pt idx="193" formatCode="0.0">
                  <c:v>86.2</c:v>
                </c:pt>
                <c:pt idx="194" formatCode="0.0">
                  <c:v>29.6</c:v>
                </c:pt>
                <c:pt idx="195">
                  <c:v>0</c:v>
                </c:pt>
                <c:pt idx="196">
                  <c:v>0</c:v>
                </c:pt>
                <c:pt idx="197" formatCode="0.0">
                  <c:v>52.4</c:v>
                </c:pt>
                <c:pt idx="198">
                  <c:v>0</c:v>
                </c:pt>
                <c:pt idx="199" formatCode="0.0">
                  <c:v>33.5</c:v>
                </c:pt>
                <c:pt idx="200" formatCode="0.0">
                  <c:v>33.5</c:v>
                </c:pt>
                <c:pt idx="201" formatCode="0.0">
                  <c:v>31.1</c:v>
                </c:pt>
                <c:pt idx="202" formatCode="0.0">
                  <c:v>31.1</c:v>
                </c:pt>
                <c:pt idx="203" formatCode="0.0">
                  <c:v>95.9</c:v>
                </c:pt>
                <c:pt idx="204" formatCode="0.0">
                  <c:v>89.7</c:v>
                </c:pt>
                <c:pt idx="205" formatCode="0.0">
                  <c:v>56.8</c:v>
                </c:pt>
                <c:pt idx="206" formatCode="0.0">
                  <c:v>64.5</c:v>
                </c:pt>
                <c:pt idx="207" formatCode="0.0">
                  <c:v>89.7</c:v>
                </c:pt>
                <c:pt idx="208" formatCode="0.0">
                  <c:v>89.7</c:v>
                </c:pt>
                <c:pt idx="209" formatCode="0.0">
                  <c:v>89.7</c:v>
                </c:pt>
                <c:pt idx="210" formatCode="0.0">
                  <c:v>89.7</c:v>
                </c:pt>
                <c:pt idx="211" formatCode="0.0">
                  <c:v>36.200000000000003</c:v>
                </c:pt>
                <c:pt idx="212" formatCode="0.0">
                  <c:v>29.6</c:v>
                </c:pt>
                <c:pt idx="213" formatCode="0.0">
                  <c:v>89.7</c:v>
                </c:pt>
                <c:pt idx="214" formatCode="0.0">
                  <c:v>89.7</c:v>
                </c:pt>
                <c:pt idx="215" formatCode="0.0">
                  <c:v>11.1</c:v>
                </c:pt>
                <c:pt idx="216" formatCode="0.0">
                  <c:v>23.3</c:v>
                </c:pt>
                <c:pt idx="217" formatCode="0.0">
                  <c:v>45.7</c:v>
                </c:pt>
                <c:pt idx="218" formatCode="0.0">
                  <c:v>36.200000000000003</c:v>
                </c:pt>
                <c:pt idx="219" formatCode="0.0">
                  <c:v>36.200000000000003</c:v>
                </c:pt>
                <c:pt idx="220" formatCode="0.0">
                  <c:v>47</c:v>
                </c:pt>
                <c:pt idx="221" formatCode="0.0">
                  <c:v>36.200000000000003</c:v>
                </c:pt>
                <c:pt idx="222" formatCode="0.0">
                  <c:v>9.3000000000000007</c:v>
                </c:pt>
                <c:pt idx="223" formatCode="0.0">
                  <c:v>36.200000000000003</c:v>
                </c:pt>
                <c:pt idx="224" formatCode="0.0">
                  <c:v>89.7</c:v>
                </c:pt>
                <c:pt idx="225" formatCode="0.0">
                  <c:v>89.7</c:v>
                </c:pt>
                <c:pt idx="226" formatCode="0.0">
                  <c:v>89.7</c:v>
                </c:pt>
                <c:pt idx="227" formatCode="0.0">
                  <c:v>88.6</c:v>
                </c:pt>
                <c:pt idx="228" formatCode="0.0">
                  <c:v>68.900000000000006</c:v>
                </c:pt>
                <c:pt idx="229" formatCode="0.0">
                  <c:v>73.099999999999994</c:v>
                </c:pt>
                <c:pt idx="230" formatCode="0.0">
                  <c:v>31.7</c:v>
                </c:pt>
                <c:pt idx="231" formatCode="0.0">
                  <c:v>31.7</c:v>
                </c:pt>
                <c:pt idx="232" formatCode="0.0">
                  <c:v>31.7</c:v>
                </c:pt>
                <c:pt idx="233" formatCode="0.0">
                  <c:v>10.199999999999999</c:v>
                </c:pt>
                <c:pt idx="234" formatCode="0.0">
                  <c:v>80.900000000000006</c:v>
                </c:pt>
                <c:pt idx="235" formatCode="0.0">
                  <c:v>75</c:v>
                </c:pt>
                <c:pt idx="236" formatCode="0.0">
                  <c:v>20.6</c:v>
                </c:pt>
                <c:pt idx="237" formatCode="0.0">
                  <c:v>71.8</c:v>
                </c:pt>
                <c:pt idx="238" formatCode="0.0">
                  <c:v>19.3</c:v>
                </c:pt>
                <c:pt idx="239" formatCode="0.0">
                  <c:v>34.299999999999997</c:v>
                </c:pt>
                <c:pt idx="240" formatCode="0.0">
                  <c:v>34.299999999999997</c:v>
                </c:pt>
                <c:pt idx="241" formatCode="0.0">
                  <c:v>73.2</c:v>
                </c:pt>
                <c:pt idx="242" formatCode="0.0">
                  <c:v>32.299999999999997</c:v>
                </c:pt>
                <c:pt idx="243" formatCode="0.0">
                  <c:v>46.6</c:v>
                </c:pt>
                <c:pt idx="244" formatCode="0.0">
                  <c:v>28.8</c:v>
                </c:pt>
                <c:pt idx="245" formatCode="0.0">
                  <c:v>75.599999999999994</c:v>
                </c:pt>
                <c:pt idx="246" formatCode="0.0">
                  <c:v>83</c:v>
                </c:pt>
                <c:pt idx="247" formatCode="0.0">
                  <c:v>52.6</c:v>
                </c:pt>
                <c:pt idx="248" formatCode="0.0">
                  <c:v>8.6</c:v>
                </c:pt>
                <c:pt idx="249" formatCode="0.0">
                  <c:v>29.6</c:v>
                </c:pt>
                <c:pt idx="250">
                  <c:v>0</c:v>
                </c:pt>
                <c:pt idx="251" formatCode="0.0">
                  <c:v>88.3</c:v>
                </c:pt>
                <c:pt idx="252" formatCode="0.0">
                  <c:v>46.3</c:v>
                </c:pt>
                <c:pt idx="253" formatCode="0.0">
                  <c:v>91.1</c:v>
                </c:pt>
                <c:pt idx="254" formatCode="0.0">
                  <c:v>22.2</c:v>
                </c:pt>
                <c:pt idx="255" formatCode="0.0">
                  <c:v>93.8</c:v>
                </c:pt>
                <c:pt idx="256" formatCode="0.0">
                  <c:v>36</c:v>
                </c:pt>
                <c:pt idx="257" formatCode="0.0">
                  <c:v>12.2</c:v>
                </c:pt>
                <c:pt idx="258" formatCode="0.0">
                  <c:v>3.2</c:v>
                </c:pt>
                <c:pt idx="259" formatCode="0.0">
                  <c:v>3.2</c:v>
                </c:pt>
                <c:pt idx="260" formatCode="0.0">
                  <c:v>6</c:v>
                </c:pt>
                <c:pt idx="261" formatCode="0.0">
                  <c:v>93.2</c:v>
                </c:pt>
                <c:pt idx="262" formatCode="0.0">
                  <c:v>3.7</c:v>
                </c:pt>
                <c:pt idx="263" formatCode="0.0">
                  <c:v>71.5</c:v>
                </c:pt>
                <c:pt idx="264" formatCode="0.0">
                  <c:v>25.7</c:v>
                </c:pt>
                <c:pt idx="265" formatCode="0.0">
                  <c:v>86.2</c:v>
                </c:pt>
                <c:pt idx="266" formatCode="0.0">
                  <c:v>41.7</c:v>
                </c:pt>
                <c:pt idx="267" formatCode="0.0">
                  <c:v>46.9</c:v>
                </c:pt>
                <c:pt idx="268" formatCode="0.0">
                  <c:v>25.8</c:v>
                </c:pt>
                <c:pt idx="269" formatCode="0.0">
                  <c:v>86.2</c:v>
                </c:pt>
                <c:pt idx="270" formatCode="0.0">
                  <c:v>97.7</c:v>
                </c:pt>
                <c:pt idx="271" formatCode="0.0">
                  <c:v>75.599999999999994</c:v>
                </c:pt>
                <c:pt idx="272" formatCode="0.0">
                  <c:v>35.5</c:v>
                </c:pt>
                <c:pt idx="273" formatCode="0.0">
                  <c:v>82.2</c:v>
                </c:pt>
                <c:pt idx="274" formatCode="0.0">
                  <c:v>19.5</c:v>
                </c:pt>
                <c:pt idx="275" formatCode="0.0">
                  <c:v>18.899999999999999</c:v>
                </c:pt>
                <c:pt idx="276" formatCode="0.0">
                  <c:v>55.1</c:v>
                </c:pt>
                <c:pt idx="277" formatCode="0.0">
                  <c:v>95.4</c:v>
                </c:pt>
                <c:pt idx="278" formatCode="0.0">
                  <c:v>83.5</c:v>
                </c:pt>
                <c:pt idx="279" formatCode="0.0">
                  <c:v>14.9</c:v>
                </c:pt>
                <c:pt idx="280" formatCode="0.0">
                  <c:v>96.9</c:v>
                </c:pt>
                <c:pt idx="281" formatCode="0.0">
                  <c:v>96.9</c:v>
                </c:pt>
                <c:pt idx="282" formatCode="0.0">
                  <c:v>67.3</c:v>
                </c:pt>
                <c:pt idx="283" formatCode="0.0">
                  <c:v>67.3</c:v>
                </c:pt>
                <c:pt idx="284" formatCode="0.0">
                  <c:v>94.3</c:v>
                </c:pt>
                <c:pt idx="285" formatCode="0.0">
                  <c:v>23.8</c:v>
                </c:pt>
                <c:pt idx="286" formatCode="0.0">
                  <c:v>12.6</c:v>
                </c:pt>
                <c:pt idx="287" formatCode="0.0">
                  <c:v>82.5</c:v>
                </c:pt>
                <c:pt idx="288" formatCode="0.0">
                  <c:v>50.3</c:v>
                </c:pt>
                <c:pt idx="289" formatCode="0.0">
                  <c:v>22.2</c:v>
                </c:pt>
                <c:pt idx="290" formatCode="0.0">
                  <c:v>83.8</c:v>
                </c:pt>
                <c:pt idx="291" formatCode="0.0">
                  <c:v>2.4</c:v>
                </c:pt>
                <c:pt idx="292" formatCode="0.0">
                  <c:v>47.8</c:v>
                </c:pt>
                <c:pt idx="293" formatCode="0.0">
                  <c:v>42.2</c:v>
                </c:pt>
                <c:pt idx="294" formatCode="0.0">
                  <c:v>58.6</c:v>
                </c:pt>
                <c:pt idx="295" formatCode="0.0">
                  <c:v>94.8</c:v>
                </c:pt>
                <c:pt idx="296" formatCode="0.0">
                  <c:v>29.6</c:v>
                </c:pt>
                <c:pt idx="297" formatCode="0.0">
                  <c:v>87.6</c:v>
                </c:pt>
                <c:pt idx="298" formatCode="0.0">
                  <c:v>15.1</c:v>
                </c:pt>
                <c:pt idx="299" formatCode="0.0">
                  <c:v>28.6</c:v>
                </c:pt>
                <c:pt idx="300" formatCode="0.0">
                  <c:v>28.6</c:v>
                </c:pt>
                <c:pt idx="301" formatCode="0.0">
                  <c:v>98.6</c:v>
                </c:pt>
                <c:pt idx="302" formatCode="0.0">
                  <c:v>57.2</c:v>
                </c:pt>
                <c:pt idx="303" formatCode="0.0">
                  <c:v>21.6</c:v>
                </c:pt>
                <c:pt idx="304" formatCode="0.0">
                  <c:v>52.2</c:v>
                </c:pt>
                <c:pt idx="305" formatCode="0.0">
                  <c:v>4.5</c:v>
                </c:pt>
                <c:pt idx="306" formatCode="0.0">
                  <c:v>29.1</c:v>
                </c:pt>
                <c:pt idx="307" formatCode="0.0">
                  <c:v>4.5</c:v>
                </c:pt>
                <c:pt idx="308" formatCode="0.0">
                  <c:v>19.600000000000001</c:v>
                </c:pt>
                <c:pt idx="309" formatCode="0.0">
                  <c:v>26.8</c:v>
                </c:pt>
                <c:pt idx="310" formatCode="0.0">
                  <c:v>50.9</c:v>
                </c:pt>
                <c:pt idx="311" formatCode="0.0">
                  <c:v>64.900000000000006</c:v>
                </c:pt>
                <c:pt idx="312" formatCode="0.0">
                  <c:v>93.8</c:v>
                </c:pt>
                <c:pt idx="313" formatCode="0.0">
                  <c:v>93.8</c:v>
                </c:pt>
                <c:pt idx="314" formatCode="0.0">
                  <c:v>94.3</c:v>
                </c:pt>
                <c:pt idx="315" formatCode="0.0">
                  <c:v>96.9</c:v>
                </c:pt>
                <c:pt idx="316" formatCode="0.0">
                  <c:v>10.3</c:v>
                </c:pt>
                <c:pt idx="317" formatCode="0.0">
                  <c:v>80.400000000000006</c:v>
                </c:pt>
                <c:pt idx="318" formatCode="0.0">
                  <c:v>50.6</c:v>
                </c:pt>
                <c:pt idx="319" formatCode="0.0">
                  <c:v>50.6</c:v>
                </c:pt>
                <c:pt idx="320" formatCode="0.0">
                  <c:v>73.400000000000006</c:v>
                </c:pt>
                <c:pt idx="321" formatCode="0.0">
                  <c:v>20.6</c:v>
                </c:pt>
                <c:pt idx="322" formatCode="0.0">
                  <c:v>9.9</c:v>
                </c:pt>
                <c:pt idx="323" formatCode="0.0">
                  <c:v>31.6</c:v>
                </c:pt>
                <c:pt idx="324" formatCode="0.0">
                  <c:v>94.3</c:v>
                </c:pt>
                <c:pt idx="325" formatCode="0.0">
                  <c:v>64.400000000000006</c:v>
                </c:pt>
                <c:pt idx="326" formatCode="0.0">
                  <c:v>97.6</c:v>
                </c:pt>
                <c:pt idx="327" formatCode="0.0">
                  <c:v>22.2</c:v>
                </c:pt>
              </c:numCache>
            </c:numRef>
          </c:xVal>
          <c:yVal>
            <c:numRef>
              <c:f>'SSP-Abstimmungen'!$BD$6:$BD$333</c:f>
              <c:numCache>
                <c:formatCode>\—</c:formatCode>
                <c:ptCount val="328"/>
                <c:pt idx="0">
                  <c:v>0</c:v>
                </c:pt>
                <c:pt idx="1">
                  <c:v>0</c:v>
                </c:pt>
                <c:pt idx="2" formatCode="0.0">
                  <c:v>61.9</c:v>
                </c:pt>
                <c:pt idx="3">
                  <c:v>0</c:v>
                </c:pt>
                <c:pt idx="4" formatCode="0.0">
                  <c:v>39.799999999999997</c:v>
                </c:pt>
                <c:pt idx="5" formatCode="0.0">
                  <c:v>33.099999999999994</c:v>
                </c:pt>
                <c:pt idx="6" formatCode="0.0">
                  <c:v>39.700000000000003</c:v>
                </c:pt>
                <c:pt idx="7" formatCode="0.0">
                  <c:v>80.599999999999994</c:v>
                </c:pt>
                <c:pt idx="8" formatCode="0.0">
                  <c:v>80.7</c:v>
                </c:pt>
                <c:pt idx="9" formatCode="0.0">
                  <c:v>70.5</c:v>
                </c:pt>
                <c:pt idx="10" formatCode="0.0">
                  <c:v>34.200000000000003</c:v>
                </c:pt>
                <c:pt idx="11" formatCode="0.0">
                  <c:v>34.200000000000003</c:v>
                </c:pt>
                <c:pt idx="12" formatCode="0.0">
                  <c:v>34.200000000000003</c:v>
                </c:pt>
                <c:pt idx="13" formatCode="0.0">
                  <c:v>53.6</c:v>
                </c:pt>
                <c:pt idx="14" formatCode="0.0">
                  <c:v>53.3</c:v>
                </c:pt>
                <c:pt idx="15" formatCode="0.0">
                  <c:v>66.400000000000006</c:v>
                </c:pt>
                <c:pt idx="16" formatCode="0.0">
                  <c:v>62.5</c:v>
                </c:pt>
                <c:pt idx="17" formatCode="0.0">
                  <c:v>63.3</c:v>
                </c:pt>
                <c:pt idx="18" formatCode="0.0">
                  <c:v>62.9</c:v>
                </c:pt>
                <c:pt idx="19" formatCode="0.0">
                  <c:v>32.299999999999997</c:v>
                </c:pt>
                <c:pt idx="20" formatCode="0.0">
                  <c:v>73</c:v>
                </c:pt>
                <c:pt idx="21" formatCode="0.0">
                  <c:v>66.900000000000006</c:v>
                </c:pt>
                <c:pt idx="22" formatCode="0.0">
                  <c:v>66.900000000000006</c:v>
                </c:pt>
                <c:pt idx="23" formatCode="0.0">
                  <c:v>65.900000000000006</c:v>
                </c:pt>
                <c:pt idx="24" formatCode="0.0">
                  <c:v>42.4</c:v>
                </c:pt>
                <c:pt idx="25" formatCode="0.0">
                  <c:v>65.599999999999994</c:v>
                </c:pt>
                <c:pt idx="26" formatCode="0.0">
                  <c:v>74.400000000000006</c:v>
                </c:pt>
                <c:pt idx="27" formatCode="0.0">
                  <c:v>26.299999999999997</c:v>
                </c:pt>
                <c:pt idx="28" formatCode="0.0">
                  <c:v>50.6</c:v>
                </c:pt>
                <c:pt idx="29" formatCode="0.0">
                  <c:v>28.900000000000006</c:v>
                </c:pt>
                <c:pt idx="30" formatCode="0.0">
                  <c:v>84.6</c:v>
                </c:pt>
                <c:pt idx="31" formatCode="0.0">
                  <c:v>54.6</c:v>
                </c:pt>
                <c:pt idx="32" formatCode="0.0">
                  <c:v>28.900000000000006</c:v>
                </c:pt>
                <c:pt idx="33" formatCode="0.0">
                  <c:v>48.3</c:v>
                </c:pt>
                <c:pt idx="34" formatCode="0.0">
                  <c:v>48.5</c:v>
                </c:pt>
                <c:pt idx="35" formatCode="0.0">
                  <c:v>87.3</c:v>
                </c:pt>
                <c:pt idx="36" formatCode="0.0">
                  <c:v>37.6</c:v>
                </c:pt>
                <c:pt idx="37" formatCode="0.0">
                  <c:v>36.5</c:v>
                </c:pt>
                <c:pt idx="38" formatCode="0.0">
                  <c:v>58</c:v>
                </c:pt>
                <c:pt idx="39" formatCode="0.0">
                  <c:v>58</c:v>
                </c:pt>
                <c:pt idx="40" formatCode="0.0">
                  <c:v>37</c:v>
                </c:pt>
                <c:pt idx="41" formatCode="0.0">
                  <c:v>34.5</c:v>
                </c:pt>
                <c:pt idx="42" formatCode="0.0">
                  <c:v>68.599999999999994</c:v>
                </c:pt>
                <c:pt idx="43" formatCode="0.0">
                  <c:v>50.8</c:v>
                </c:pt>
                <c:pt idx="44" formatCode="0.0">
                  <c:v>44.2</c:v>
                </c:pt>
                <c:pt idx="45" formatCode="0.0">
                  <c:v>66.900000000000006</c:v>
                </c:pt>
                <c:pt idx="46" formatCode="0.0">
                  <c:v>64.599999999999994</c:v>
                </c:pt>
                <c:pt idx="47" formatCode="0.0">
                  <c:v>22.700000000000003</c:v>
                </c:pt>
                <c:pt idx="48" formatCode="0.0">
                  <c:v>22.700000000000003</c:v>
                </c:pt>
                <c:pt idx="49" formatCode="0.0">
                  <c:v>86</c:v>
                </c:pt>
                <c:pt idx="50" formatCode="0.0">
                  <c:v>43</c:v>
                </c:pt>
                <c:pt idx="51" formatCode="0.0">
                  <c:v>67.7</c:v>
                </c:pt>
                <c:pt idx="52" formatCode="0.0">
                  <c:v>41.5</c:v>
                </c:pt>
                <c:pt idx="53" formatCode="0.0">
                  <c:v>38.9</c:v>
                </c:pt>
                <c:pt idx="54" formatCode="0.0">
                  <c:v>27</c:v>
                </c:pt>
                <c:pt idx="55" formatCode="0.0">
                  <c:v>30.299999999999997</c:v>
                </c:pt>
                <c:pt idx="56" formatCode="0.0">
                  <c:v>30.299999999999997</c:v>
                </c:pt>
                <c:pt idx="57" formatCode="0.0">
                  <c:v>90.7</c:v>
                </c:pt>
                <c:pt idx="58" formatCode="0.0">
                  <c:v>30.299999999999997</c:v>
                </c:pt>
                <c:pt idx="59" formatCode="0.0">
                  <c:v>50.2</c:v>
                </c:pt>
                <c:pt idx="60" formatCode="0.0">
                  <c:v>57.9</c:v>
                </c:pt>
                <c:pt idx="61" formatCode="0.0">
                  <c:v>42.7</c:v>
                </c:pt>
                <c:pt idx="62" formatCode="0.0">
                  <c:v>95.8</c:v>
                </c:pt>
                <c:pt idx="63" formatCode="0.0">
                  <c:v>8.2000000000000028</c:v>
                </c:pt>
                <c:pt idx="64" formatCode="0.0">
                  <c:v>53.1</c:v>
                </c:pt>
                <c:pt idx="65" formatCode="0.0">
                  <c:v>48.3</c:v>
                </c:pt>
                <c:pt idx="66" formatCode="0.0">
                  <c:v>43.4</c:v>
                </c:pt>
                <c:pt idx="67" formatCode="0.0">
                  <c:v>45.6</c:v>
                </c:pt>
                <c:pt idx="68" formatCode="0.0">
                  <c:v>38.799999999999997</c:v>
                </c:pt>
                <c:pt idx="69" formatCode="0.0">
                  <c:v>53.2</c:v>
                </c:pt>
                <c:pt idx="70" formatCode="0.0">
                  <c:v>96.9</c:v>
                </c:pt>
                <c:pt idx="71" formatCode="0.0">
                  <c:v>33</c:v>
                </c:pt>
                <c:pt idx="72" formatCode="0.0">
                  <c:v>43.4</c:v>
                </c:pt>
                <c:pt idx="73" formatCode="0.0">
                  <c:v>80.2</c:v>
                </c:pt>
                <c:pt idx="74" formatCode="0.0">
                  <c:v>80.099999999999994</c:v>
                </c:pt>
                <c:pt idx="75" formatCode="0.0">
                  <c:v>78.8</c:v>
                </c:pt>
                <c:pt idx="76" formatCode="0.0">
                  <c:v>18.3</c:v>
                </c:pt>
                <c:pt idx="77" formatCode="0.0">
                  <c:v>61.5</c:v>
                </c:pt>
                <c:pt idx="78" formatCode="0.0">
                  <c:v>34.099999999999994</c:v>
                </c:pt>
                <c:pt idx="79" formatCode="0.0">
                  <c:v>57.1</c:v>
                </c:pt>
                <c:pt idx="80">
                  <c:v>0</c:v>
                </c:pt>
                <c:pt idx="81" formatCode="0.0">
                  <c:v>92.4</c:v>
                </c:pt>
                <c:pt idx="82" formatCode="0.0">
                  <c:v>96.3</c:v>
                </c:pt>
                <c:pt idx="83" formatCode="0.0">
                  <c:v>64.2</c:v>
                </c:pt>
                <c:pt idx="84" formatCode="0.0">
                  <c:v>30.700000000000003</c:v>
                </c:pt>
                <c:pt idx="85" formatCode="0.0">
                  <c:v>79.599999999999994</c:v>
                </c:pt>
                <c:pt idx="86" formatCode="0.0">
                  <c:v>43.1</c:v>
                </c:pt>
                <c:pt idx="87" formatCode="0.0">
                  <c:v>62.9</c:v>
                </c:pt>
                <c:pt idx="88" formatCode="0.0">
                  <c:v>35.599999999999994</c:v>
                </c:pt>
                <c:pt idx="89" formatCode="0.0">
                  <c:v>35.599999999999994</c:v>
                </c:pt>
                <c:pt idx="90" formatCode="0.0">
                  <c:v>69.099999999999994</c:v>
                </c:pt>
                <c:pt idx="91" formatCode="0.0">
                  <c:v>45.8</c:v>
                </c:pt>
                <c:pt idx="92" formatCode="0.0">
                  <c:v>32.5</c:v>
                </c:pt>
                <c:pt idx="93" formatCode="0.0">
                  <c:v>30.599999999999994</c:v>
                </c:pt>
                <c:pt idx="94" formatCode="0.0">
                  <c:v>74.5</c:v>
                </c:pt>
                <c:pt idx="95" formatCode="0.0">
                  <c:v>74.900000000000006</c:v>
                </c:pt>
                <c:pt idx="96" formatCode="0.0">
                  <c:v>65.2</c:v>
                </c:pt>
                <c:pt idx="97" formatCode="0.0">
                  <c:v>28.299999999999997</c:v>
                </c:pt>
                <c:pt idx="98" formatCode="0.0">
                  <c:v>40.9</c:v>
                </c:pt>
                <c:pt idx="99" formatCode="0.0">
                  <c:v>78.099999999999994</c:v>
                </c:pt>
                <c:pt idx="100" formatCode="0.0">
                  <c:v>28.200000000000003</c:v>
                </c:pt>
                <c:pt idx="101" formatCode="0.0">
                  <c:v>28.200000000000003</c:v>
                </c:pt>
                <c:pt idx="102" formatCode="0.0">
                  <c:v>1.4</c:v>
                </c:pt>
                <c:pt idx="103" formatCode="0.0">
                  <c:v>73.2</c:v>
                </c:pt>
                <c:pt idx="104" formatCode="0.0">
                  <c:v>77.7</c:v>
                </c:pt>
                <c:pt idx="105" formatCode="0.0">
                  <c:v>40.700000000000003</c:v>
                </c:pt>
                <c:pt idx="106" formatCode="0.0">
                  <c:v>56.1</c:v>
                </c:pt>
                <c:pt idx="107" formatCode="0.0">
                  <c:v>35.599999999999994</c:v>
                </c:pt>
                <c:pt idx="108" formatCode="0.0">
                  <c:v>42.7</c:v>
                </c:pt>
                <c:pt idx="109" formatCode="0.0">
                  <c:v>64</c:v>
                </c:pt>
                <c:pt idx="110" formatCode="0.0">
                  <c:v>54.3</c:v>
                </c:pt>
                <c:pt idx="111" formatCode="0.0">
                  <c:v>40.700000000000003</c:v>
                </c:pt>
                <c:pt idx="112" formatCode="0.0">
                  <c:v>98.6</c:v>
                </c:pt>
                <c:pt idx="113" formatCode="0.0">
                  <c:v>91.7</c:v>
                </c:pt>
                <c:pt idx="114" formatCode="0.0">
                  <c:v>40.799999999999997</c:v>
                </c:pt>
                <c:pt idx="115" formatCode="0.0">
                  <c:v>50.3</c:v>
                </c:pt>
                <c:pt idx="116" formatCode="0.0">
                  <c:v>43</c:v>
                </c:pt>
                <c:pt idx="117" formatCode="0.0">
                  <c:v>55.1</c:v>
                </c:pt>
                <c:pt idx="118" formatCode="0.0">
                  <c:v>59.6</c:v>
                </c:pt>
                <c:pt idx="119" formatCode="0.0">
                  <c:v>59.6</c:v>
                </c:pt>
                <c:pt idx="120" formatCode="0.0">
                  <c:v>65.900000000000006</c:v>
                </c:pt>
                <c:pt idx="121" formatCode="0.0">
                  <c:v>93.2</c:v>
                </c:pt>
                <c:pt idx="122" formatCode="0.0">
                  <c:v>35.599999999999994</c:v>
                </c:pt>
                <c:pt idx="123" formatCode="0.0">
                  <c:v>80.3</c:v>
                </c:pt>
                <c:pt idx="124" formatCode="0.0">
                  <c:v>44.6</c:v>
                </c:pt>
                <c:pt idx="125" formatCode="0.0">
                  <c:v>96.1</c:v>
                </c:pt>
                <c:pt idx="126" formatCode="0.0">
                  <c:v>35.799999999999997</c:v>
                </c:pt>
                <c:pt idx="127" formatCode="0.0">
                  <c:v>63.7</c:v>
                </c:pt>
                <c:pt idx="128" formatCode="0.0">
                  <c:v>43.7</c:v>
                </c:pt>
                <c:pt idx="129" formatCode="0.0">
                  <c:v>46.6</c:v>
                </c:pt>
                <c:pt idx="130" formatCode="0.0">
                  <c:v>52.8</c:v>
                </c:pt>
                <c:pt idx="131" formatCode="0.0">
                  <c:v>43.9</c:v>
                </c:pt>
                <c:pt idx="132" formatCode="0.0">
                  <c:v>54</c:v>
                </c:pt>
                <c:pt idx="133" formatCode="0.0">
                  <c:v>32.9</c:v>
                </c:pt>
                <c:pt idx="134" formatCode="0.0">
                  <c:v>2.8</c:v>
                </c:pt>
                <c:pt idx="135" formatCode="0.0">
                  <c:v>15.9</c:v>
                </c:pt>
                <c:pt idx="136" formatCode="0.0">
                  <c:v>41.3</c:v>
                </c:pt>
                <c:pt idx="137" formatCode="0.0">
                  <c:v>32.700000000000003</c:v>
                </c:pt>
                <c:pt idx="138" formatCode="0.0">
                  <c:v>62.4</c:v>
                </c:pt>
                <c:pt idx="139" formatCode="0.0">
                  <c:v>76.5</c:v>
                </c:pt>
                <c:pt idx="140" formatCode="0.0">
                  <c:v>54.2</c:v>
                </c:pt>
                <c:pt idx="141" formatCode="0.0">
                  <c:v>32</c:v>
                </c:pt>
                <c:pt idx="142" formatCode="0.0">
                  <c:v>38.799999999999997</c:v>
                </c:pt>
                <c:pt idx="143" formatCode="0.0">
                  <c:v>50</c:v>
                </c:pt>
                <c:pt idx="144" formatCode="0.0">
                  <c:v>59.4</c:v>
                </c:pt>
                <c:pt idx="145" formatCode="0.0">
                  <c:v>33.599999999999994</c:v>
                </c:pt>
                <c:pt idx="146" formatCode="0.0">
                  <c:v>12.400000000000006</c:v>
                </c:pt>
                <c:pt idx="147" formatCode="0.0">
                  <c:v>33.099999999999994</c:v>
                </c:pt>
                <c:pt idx="148">
                  <c:v>0</c:v>
                </c:pt>
                <c:pt idx="149" formatCode="0.0">
                  <c:v>26.900000000000006</c:v>
                </c:pt>
                <c:pt idx="150" formatCode="0.0">
                  <c:v>30.099999999999994</c:v>
                </c:pt>
                <c:pt idx="151" formatCode="0.0">
                  <c:v>98.6</c:v>
                </c:pt>
                <c:pt idx="152" formatCode="0.0">
                  <c:v>33.700000000000003</c:v>
                </c:pt>
                <c:pt idx="153" formatCode="0.0">
                  <c:v>30.099999999999994</c:v>
                </c:pt>
                <c:pt idx="154" formatCode="0.0">
                  <c:v>62.3</c:v>
                </c:pt>
                <c:pt idx="155" formatCode="0.0">
                  <c:v>54.5</c:v>
                </c:pt>
                <c:pt idx="156" formatCode="0.0">
                  <c:v>57.4</c:v>
                </c:pt>
                <c:pt idx="157" formatCode="0.0">
                  <c:v>82.5</c:v>
                </c:pt>
                <c:pt idx="158" formatCode="0.0">
                  <c:v>37.799999999999997</c:v>
                </c:pt>
                <c:pt idx="159" formatCode="0.0">
                  <c:v>73.900000000000006</c:v>
                </c:pt>
                <c:pt idx="160" formatCode="0.0">
                  <c:v>45.8</c:v>
                </c:pt>
                <c:pt idx="161" formatCode="0.0">
                  <c:v>98.1</c:v>
                </c:pt>
                <c:pt idx="162" formatCode="0.0">
                  <c:v>36.4</c:v>
                </c:pt>
                <c:pt idx="163" formatCode="0.0">
                  <c:v>77.7</c:v>
                </c:pt>
                <c:pt idx="164" formatCode="0.0">
                  <c:v>95.8</c:v>
                </c:pt>
                <c:pt idx="165">
                  <c:v>0</c:v>
                </c:pt>
                <c:pt idx="166">
                  <c:v>0</c:v>
                </c:pt>
                <c:pt idx="167" formatCode="0.0">
                  <c:v>68.599999999999994</c:v>
                </c:pt>
                <c:pt idx="168" formatCode="0.0">
                  <c:v>54.5</c:v>
                </c:pt>
                <c:pt idx="169" formatCode="0.0">
                  <c:v>84.2</c:v>
                </c:pt>
                <c:pt idx="170" formatCode="0.0">
                  <c:v>34.200000000000003</c:v>
                </c:pt>
                <c:pt idx="171" formatCode="0.0">
                  <c:v>30.400000000000006</c:v>
                </c:pt>
                <c:pt idx="172" formatCode="0.0">
                  <c:v>8.2000000000000028</c:v>
                </c:pt>
                <c:pt idx="173">
                  <c:v>0</c:v>
                </c:pt>
                <c:pt idx="174" formatCode="0.0">
                  <c:v>13</c:v>
                </c:pt>
                <c:pt idx="175" formatCode="0.0">
                  <c:v>34.799999999999997</c:v>
                </c:pt>
                <c:pt idx="176" formatCode="0.0">
                  <c:v>96.3</c:v>
                </c:pt>
                <c:pt idx="177" formatCode="0.0">
                  <c:v>62.8</c:v>
                </c:pt>
                <c:pt idx="178" formatCode="0.0">
                  <c:v>86.4</c:v>
                </c:pt>
                <c:pt idx="179" formatCode="0.0">
                  <c:v>66.400000000000006</c:v>
                </c:pt>
                <c:pt idx="180" formatCode="0.0">
                  <c:v>31.700000000000003</c:v>
                </c:pt>
                <c:pt idx="181" formatCode="0.0">
                  <c:v>61.9</c:v>
                </c:pt>
                <c:pt idx="182" formatCode="0.0">
                  <c:v>29.400000000000006</c:v>
                </c:pt>
                <c:pt idx="183" formatCode="0.0">
                  <c:v>67.099999999999994</c:v>
                </c:pt>
                <c:pt idx="184" formatCode="0.0">
                  <c:v>58</c:v>
                </c:pt>
                <c:pt idx="185" formatCode="General">
                  <c:v>30.299999999999997</c:v>
                </c:pt>
                <c:pt idx="186" formatCode="General">
                  <c:v>37.9</c:v>
                </c:pt>
                <c:pt idx="187" formatCode="General">
                  <c:v>79.599999999999994</c:v>
                </c:pt>
                <c:pt idx="188" formatCode="0.0">
                  <c:v>64.599999999999994</c:v>
                </c:pt>
                <c:pt idx="189" formatCode="0.0">
                  <c:v>54.9</c:v>
                </c:pt>
                <c:pt idx="190" formatCode="0.0">
                  <c:v>18.3</c:v>
                </c:pt>
                <c:pt idx="191" formatCode="0.0">
                  <c:v>93.7</c:v>
                </c:pt>
                <c:pt idx="192" formatCode="0.0">
                  <c:v>56.1</c:v>
                </c:pt>
                <c:pt idx="193" formatCode="0.0">
                  <c:v>88.5</c:v>
                </c:pt>
                <c:pt idx="194" formatCode="0.0">
                  <c:v>41.4</c:v>
                </c:pt>
                <c:pt idx="195">
                  <c:v>0</c:v>
                </c:pt>
                <c:pt idx="196">
                  <c:v>0</c:v>
                </c:pt>
                <c:pt idx="197" formatCode="0.0">
                  <c:v>31.3</c:v>
                </c:pt>
                <c:pt idx="198">
                  <c:v>0</c:v>
                </c:pt>
                <c:pt idx="199" formatCode="0.0">
                  <c:v>65.599999999999994</c:v>
                </c:pt>
                <c:pt idx="200" formatCode="0.0">
                  <c:v>65.599999999999994</c:v>
                </c:pt>
                <c:pt idx="201" formatCode="0.0">
                  <c:v>74.3</c:v>
                </c:pt>
                <c:pt idx="202" formatCode="0.0">
                  <c:v>74.3</c:v>
                </c:pt>
                <c:pt idx="203" formatCode="0.0">
                  <c:v>66.599999999999994</c:v>
                </c:pt>
                <c:pt idx="204" formatCode="0.0">
                  <c:v>42.2</c:v>
                </c:pt>
                <c:pt idx="205" formatCode="0.0">
                  <c:v>75.7</c:v>
                </c:pt>
                <c:pt idx="206" formatCode="0.0">
                  <c:v>83.3</c:v>
                </c:pt>
                <c:pt idx="207" formatCode="0.0">
                  <c:v>42.2</c:v>
                </c:pt>
                <c:pt idx="208" formatCode="0.0">
                  <c:v>42.2</c:v>
                </c:pt>
                <c:pt idx="209" formatCode="0.0">
                  <c:v>42.2</c:v>
                </c:pt>
                <c:pt idx="210" formatCode="0.0">
                  <c:v>42.2</c:v>
                </c:pt>
                <c:pt idx="211" formatCode="0.0">
                  <c:v>37</c:v>
                </c:pt>
                <c:pt idx="212" formatCode="0.0">
                  <c:v>67.7</c:v>
                </c:pt>
                <c:pt idx="213" formatCode="0.0">
                  <c:v>42.2</c:v>
                </c:pt>
                <c:pt idx="214" formatCode="0.0">
                  <c:v>42.2</c:v>
                </c:pt>
                <c:pt idx="215" formatCode="0.0">
                  <c:v>71.5</c:v>
                </c:pt>
                <c:pt idx="216" formatCode="0.0">
                  <c:v>89.5</c:v>
                </c:pt>
                <c:pt idx="217" formatCode="0.0">
                  <c:v>67.099999999999994</c:v>
                </c:pt>
                <c:pt idx="218" formatCode="0.0">
                  <c:v>37</c:v>
                </c:pt>
                <c:pt idx="219" formatCode="0.0">
                  <c:v>37</c:v>
                </c:pt>
                <c:pt idx="220" formatCode="0.0">
                  <c:v>73</c:v>
                </c:pt>
                <c:pt idx="221" formatCode="0.0">
                  <c:v>37</c:v>
                </c:pt>
                <c:pt idx="222" formatCode="0.0">
                  <c:v>83.9</c:v>
                </c:pt>
                <c:pt idx="223" formatCode="0.0">
                  <c:v>37</c:v>
                </c:pt>
                <c:pt idx="224" formatCode="0.0">
                  <c:v>41.5</c:v>
                </c:pt>
                <c:pt idx="225" formatCode="0.0">
                  <c:v>42.2</c:v>
                </c:pt>
                <c:pt idx="226" formatCode="0.0">
                  <c:v>41.5</c:v>
                </c:pt>
                <c:pt idx="227" formatCode="0.0">
                  <c:v>18.3</c:v>
                </c:pt>
                <c:pt idx="228" formatCode="0.0">
                  <c:v>39</c:v>
                </c:pt>
                <c:pt idx="229" formatCode="0.0">
                  <c:v>59.3</c:v>
                </c:pt>
                <c:pt idx="230" formatCode="0.0">
                  <c:v>39.6</c:v>
                </c:pt>
                <c:pt idx="231" formatCode="0.0">
                  <c:v>39.6</c:v>
                </c:pt>
                <c:pt idx="232" formatCode="0.0">
                  <c:v>39.6</c:v>
                </c:pt>
                <c:pt idx="233" formatCode="0.0">
                  <c:v>52.6</c:v>
                </c:pt>
                <c:pt idx="234" formatCode="0.0">
                  <c:v>82.7</c:v>
                </c:pt>
                <c:pt idx="235" formatCode="0.0">
                  <c:v>61.5</c:v>
                </c:pt>
                <c:pt idx="236" formatCode="0.0">
                  <c:v>34.799999999999997</c:v>
                </c:pt>
                <c:pt idx="237" formatCode="0.0">
                  <c:v>38.5</c:v>
                </c:pt>
                <c:pt idx="238" formatCode="0.0">
                  <c:v>63.4</c:v>
                </c:pt>
                <c:pt idx="239" formatCode="0.0">
                  <c:v>86.3</c:v>
                </c:pt>
                <c:pt idx="240" formatCode="0.0">
                  <c:v>86.3</c:v>
                </c:pt>
                <c:pt idx="241" formatCode="0.0">
                  <c:v>47.6</c:v>
                </c:pt>
                <c:pt idx="242" formatCode="0.0">
                  <c:v>68.5</c:v>
                </c:pt>
                <c:pt idx="243" formatCode="0.0">
                  <c:v>54.4</c:v>
                </c:pt>
                <c:pt idx="244" formatCode="0.0">
                  <c:v>38.200000000000003</c:v>
                </c:pt>
                <c:pt idx="245" formatCode="0.0">
                  <c:v>79.599999999999994</c:v>
                </c:pt>
                <c:pt idx="246" formatCode="0.0">
                  <c:v>43.2</c:v>
                </c:pt>
                <c:pt idx="247" formatCode="0.0">
                  <c:v>44.4</c:v>
                </c:pt>
                <c:pt idx="248" formatCode="0.0">
                  <c:v>46.6</c:v>
                </c:pt>
                <c:pt idx="249" formatCode="0.0">
                  <c:v>34.099999999999994</c:v>
                </c:pt>
                <c:pt idx="250">
                  <c:v>0</c:v>
                </c:pt>
                <c:pt idx="251" formatCode="0.0">
                  <c:v>56.1</c:v>
                </c:pt>
                <c:pt idx="252" formatCode="0.0">
                  <c:v>88.1</c:v>
                </c:pt>
                <c:pt idx="253" formatCode="0.0">
                  <c:v>57.4</c:v>
                </c:pt>
                <c:pt idx="254" formatCode="0.0">
                  <c:v>36.200000000000003</c:v>
                </c:pt>
                <c:pt idx="255" formatCode="0.0">
                  <c:v>54.7</c:v>
                </c:pt>
                <c:pt idx="256" formatCode="0.0">
                  <c:v>48.6</c:v>
                </c:pt>
                <c:pt idx="257" formatCode="0.0">
                  <c:v>75.7</c:v>
                </c:pt>
                <c:pt idx="258" formatCode="0.0">
                  <c:v>39.799999999999997</c:v>
                </c:pt>
                <c:pt idx="259" formatCode="0.0">
                  <c:v>39.799999999999997</c:v>
                </c:pt>
                <c:pt idx="260" formatCode="0.0">
                  <c:v>35.599999999999994</c:v>
                </c:pt>
                <c:pt idx="261" formatCode="0.0">
                  <c:v>68.5</c:v>
                </c:pt>
                <c:pt idx="262" formatCode="0.0">
                  <c:v>31.799999999999997</c:v>
                </c:pt>
                <c:pt idx="263" formatCode="0.0">
                  <c:v>47.4</c:v>
                </c:pt>
                <c:pt idx="264" formatCode="0.0">
                  <c:v>29.900000000000006</c:v>
                </c:pt>
                <c:pt idx="265" formatCode="0.0">
                  <c:v>88.5</c:v>
                </c:pt>
                <c:pt idx="266" formatCode="0.0">
                  <c:v>52.1</c:v>
                </c:pt>
                <c:pt idx="267" formatCode="0.0">
                  <c:v>59.1</c:v>
                </c:pt>
                <c:pt idx="268" formatCode="0.0">
                  <c:v>29.799999999999997</c:v>
                </c:pt>
                <c:pt idx="269" formatCode="0.0">
                  <c:v>88.5</c:v>
                </c:pt>
                <c:pt idx="270" formatCode="0.0">
                  <c:v>92.6</c:v>
                </c:pt>
                <c:pt idx="271" formatCode="0.0">
                  <c:v>44.2</c:v>
                </c:pt>
                <c:pt idx="272" formatCode="0.0">
                  <c:v>35.400000000000006</c:v>
                </c:pt>
                <c:pt idx="273" formatCode="0.0">
                  <c:v>58.7</c:v>
                </c:pt>
                <c:pt idx="274" formatCode="0.0">
                  <c:v>42.7</c:v>
                </c:pt>
                <c:pt idx="275" formatCode="0.0">
                  <c:v>64</c:v>
                </c:pt>
                <c:pt idx="276" formatCode="0.0">
                  <c:v>54.3</c:v>
                </c:pt>
                <c:pt idx="277" formatCode="0.0">
                  <c:v>82.4</c:v>
                </c:pt>
                <c:pt idx="278" formatCode="0.0">
                  <c:v>97</c:v>
                </c:pt>
                <c:pt idx="279" formatCode="0.0">
                  <c:v>31.9</c:v>
                </c:pt>
                <c:pt idx="280" formatCode="0.0">
                  <c:v>30.9</c:v>
                </c:pt>
                <c:pt idx="281" formatCode="0.0">
                  <c:v>30.9</c:v>
                </c:pt>
                <c:pt idx="282" formatCode="0.0">
                  <c:v>32.700000000000003</c:v>
                </c:pt>
                <c:pt idx="283" formatCode="0.0">
                  <c:v>32.700000000000003</c:v>
                </c:pt>
                <c:pt idx="284" formatCode="0.0">
                  <c:v>58</c:v>
                </c:pt>
                <c:pt idx="285" formatCode="0.0">
                  <c:v>45.2</c:v>
                </c:pt>
                <c:pt idx="286" formatCode="0.0">
                  <c:v>62.4</c:v>
                </c:pt>
                <c:pt idx="287" formatCode="0.0">
                  <c:v>33.799999999999997</c:v>
                </c:pt>
                <c:pt idx="288" formatCode="0.0">
                  <c:v>60.1</c:v>
                </c:pt>
                <c:pt idx="289" formatCode="0.0">
                  <c:v>31.8</c:v>
                </c:pt>
                <c:pt idx="290" formatCode="0.0">
                  <c:v>44.2</c:v>
                </c:pt>
                <c:pt idx="291" formatCode="0.0">
                  <c:v>7.8</c:v>
                </c:pt>
                <c:pt idx="292" formatCode="0.0">
                  <c:v>91.2</c:v>
                </c:pt>
                <c:pt idx="293" formatCode="0.0">
                  <c:v>76.5</c:v>
                </c:pt>
                <c:pt idx="294" formatCode="0.0">
                  <c:v>42</c:v>
                </c:pt>
                <c:pt idx="295" formatCode="0.0">
                  <c:v>70.099999999999994</c:v>
                </c:pt>
                <c:pt idx="296" formatCode="0.0">
                  <c:v>41.4</c:v>
                </c:pt>
                <c:pt idx="297" formatCode="0.0">
                  <c:v>96.4</c:v>
                </c:pt>
                <c:pt idx="298" formatCode="0.0">
                  <c:v>41.4</c:v>
                </c:pt>
                <c:pt idx="299" formatCode="0.0">
                  <c:v>54.2</c:v>
                </c:pt>
                <c:pt idx="300" formatCode="0.0">
                  <c:v>54.2</c:v>
                </c:pt>
                <c:pt idx="301" formatCode="0.0">
                  <c:v>32</c:v>
                </c:pt>
                <c:pt idx="302" formatCode="0.0">
                  <c:v>38.799999999999997</c:v>
                </c:pt>
                <c:pt idx="303" formatCode="0.0">
                  <c:v>50</c:v>
                </c:pt>
                <c:pt idx="304" formatCode="0.0">
                  <c:v>41.7</c:v>
                </c:pt>
                <c:pt idx="305" formatCode="0.0">
                  <c:v>37.9</c:v>
                </c:pt>
                <c:pt idx="306" formatCode="0.0">
                  <c:v>42.4</c:v>
                </c:pt>
                <c:pt idx="307" formatCode="0.0">
                  <c:v>37.9</c:v>
                </c:pt>
                <c:pt idx="308" formatCode="0.0">
                  <c:v>48.6</c:v>
                </c:pt>
                <c:pt idx="309" formatCode="0.0">
                  <c:v>52.9</c:v>
                </c:pt>
                <c:pt idx="310" formatCode="0.0">
                  <c:v>45.7</c:v>
                </c:pt>
                <c:pt idx="311" formatCode="0.0">
                  <c:v>45.7</c:v>
                </c:pt>
                <c:pt idx="312" formatCode="0.0">
                  <c:v>77.7</c:v>
                </c:pt>
                <c:pt idx="313" formatCode="0.0">
                  <c:v>77.7</c:v>
                </c:pt>
                <c:pt idx="314" formatCode="0.0">
                  <c:v>84.5</c:v>
                </c:pt>
                <c:pt idx="315" formatCode="0.0">
                  <c:v>27.299999999999997</c:v>
                </c:pt>
                <c:pt idx="316" formatCode="0.0">
                  <c:v>37</c:v>
                </c:pt>
                <c:pt idx="317" formatCode="0.0">
                  <c:v>68.599999999999994</c:v>
                </c:pt>
                <c:pt idx="318" formatCode="0.0">
                  <c:v>29.900000000000006</c:v>
                </c:pt>
                <c:pt idx="319" formatCode="0.0">
                  <c:v>29.900000000000006</c:v>
                </c:pt>
                <c:pt idx="320" formatCode="0.0">
                  <c:v>79.599999999999994</c:v>
                </c:pt>
                <c:pt idx="321" formatCode="0.0">
                  <c:v>93.9</c:v>
                </c:pt>
                <c:pt idx="322" formatCode="0.0">
                  <c:v>43.6</c:v>
                </c:pt>
                <c:pt idx="323" formatCode="0.0">
                  <c:v>74.2</c:v>
                </c:pt>
                <c:pt idx="324" formatCode="0.0">
                  <c:v>84.5</c:v>
                </c:pt>
                <c:pt idx="325" formatCode="0.0">
                  <c:v>55.8</c:v>
                </c:pt>
                <c:pt idx="326" formatCode="0.0">
                  <c:v>51.5</c:v>
                </c:pt>
                <c:pt idx="327" formatCode="0.0">
                  <c:v>95.8</c:v>
                </c:pt>
              </c:numCache>
            </c:numRef>
          </c:yVal>
          <c:smooth val="0"/>
          <c:extLst>
            <c:ext xmlns:c16="http://schemas.microsoft.com/office/drawing/2014/chart" uri="{C3380CC4-5D6E-409C-BE32-E72D297353CC}">
              <c16:uniqueId val="{00000000-5236-4565-A835-8ED2F24736A5}"/>
            </c:ext>
          </c:extLst>
        </c:ser>
        <c:ser>
          <c:idx val="1"/>
          <c:order val="1"/>
          <c:tx>
            <c:v>Dropdown</c:v>
          </c:tx>
          <c:spPr>
            <a:ln w="25400" cap="rnd">
              <a:noFill/>
              <a:round/>
            </a:ln>
            <a:effectLst/>
          </c:spPr>
          <c:marker>
            <c:symbol val="circle"/>
            <c:size val="5"/>
            <c:spPr>
              <a:solidFill>
                <a:srgbClr val="FF0000"/>
              </a:solidFill>
              <a:ln w="9525">
                <a:solidFill>
                  <a:schemeClr val="accent2"/>
                </a:solidFill>
              </a:ln>
              <a:effectLst/>
            </c:spPr>
          </c:marker>
          <c:errBars>
            <c:errDir val="x"/>
            <c:errBarType val="minus"/>
            <c:errValType val="percentage"/>
            <c:noEndCap val="0"/>
            <c:val val="100"/>
            <c:spPr>
              <a:noFill/>
              <a:ln w="9525" cap="flat" cmpd="sng" algn="ctr">
                <a:solidFill>
                  <a:schemeClr val="accent3"/>
                </a:solidFill>
                <a:prstDash val="lgDash"/>
                <a:round/>
              </a:ln>
              <a:effectLst/>
            </c:spPr>
          </c:errBars>
          <c:errBars>
            <c:errDir val="y"/>
            <c:errBarType val="minus"/>
            <c:errValType val="percentage"/>
            <c:noEndCap val="0"/>
            <c:val val="100"/>
            <c:spPr>
              <a:noFill/>
              <a:ln w="9525" cap="flat" cmpd="sng" algn="ctr">
                <a:solidFill>
                  <a:schemeClr val="accent3"/>
                </a:solidFill>
                <a:prstDash val="lgDash"/>
                <a:round/>
              </a:ln>
              <a:effectLst/>
            </c:spPr>
          </c:errBars>
          <c:xVal>
            <c:numRef>
              <c:f>'SSP-Abstimmungen'!$BG$5</c:f>
              <c:numCache>
                <c:formatCode>"x-Wert:"\ ##\ "%"</c:formatCode>
                <c:ptCount val="1"/>
                <c:pt idx="0">
                  <c:v>#N/A</c:v>
                </c:pt>
              </c:numCache>
            </c:numRef>
          </c:xVal>
          <c:yVal>
            <c:numRef>
              <c:f>'SSP-Abstimmungen'!$BH$5</c:f>
              <c:numCache>
                <c:formatCode>"y-Wert:"\ ##\ "%"</c:formatCode>
                <c:ptCount val="1"/>
                <c:pt idx="0">
                  <c:v>#N/A</c:v>
                </c:pt>
              </c:numCache>
            </c:numRef>
          </c:yVal>
          <c:smooth val="0"/>
          <c:extLst>
            <c:ext xmlns:c16="http://schemas.microsoft.com/office/drawing/2014/chart" uri="{C3380CC4-5D6E-409C-BE32-E72D297353CC}">
              <c16:uniqueId val="{00000003-5236-4565-A835-8ED2F24736A5}"/>
            </c:ext>
          </c:extLst>
        </c:ser>
        <c:dLbls>
          <c:showLegendKey val="0"/>
          <c:showVal val="0"/>
          <c:showCatName val="0"/>
          <c:showSerName val="0"/>
          <c:showPercent val="0"/>
          <c:showBubbleSize val="0"/>
        </c:dLbls>
        <c:axId val="2142539071"/>
        <c:axId val="2142539903"/>
      </c:scatterChart>
      <c:valAx>
        <c:axId val="2142539071"/>
        <c:scaling>
          <c:orientation val="minMax"/>
          <c:max val="100"/>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42539903"/>
        <c:crosses val="autoZero"/>
        <c:crossBetween val="midCat"/>
        <c:majorUnit val="33.332999999999998"/>
      </c:valAx>
      <c:valAx>
        <c:axId val="2142539903"/>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42539071"/>
        <c:crosses val="autoZero"/>
        <c:crossBetween val="midCat"/>
        <c:majorUnit val="33.332999999999998"/>
      </c:valAx>
      <c:spPr>
        <a:blipFill>
          <a:blip xmlns:r="http://schemas.openxmlformats.org/officeDocument/2006/relationships" r:embed="rId3"/>
          <a:stretch>
            <a:fillRect/>
          </a:stretch>
        </a:blip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hyperlink" Target="http://open.spotify.com/show/2uhVIgFrYaGFgsp3QBhVml" TargetMode="External"/><Relationship Id="rId21" Type="http://schemas.openxmlformats.org/officeDocument/2006/relationships/image" Target="../media/image13.jpg"/><Relationship Id="rId42" Type="http://schemas.openxmlformats.org/officeDocument/2006/relationships/image" Target="../media/image25.jpg"/><Relationship Id="rId47" Type="http://schemas.openxmlformats.org/officeDocument/2006/relationships/hyperlink" Target="https://www.hoerspieltipps.net/ohrcast/ohrcast.xml" TargetMode="External"/><Relationship Id="rId63" Type="http://schemas.openxmlformats.org/officeDocument/2006/relationships/hyperlink" Target="https://anchor.fm/s/40bb56e4/podcast/rss" TargetMode="External"/><Relationship Id="rId68" Type="http://schemas.openxmlformats.org/officeDocument/2006/relationships/hyperlink" Target="http://www.gebrauchtwarenpodcast.de/" TargetMode="External"/><Relationship Id="rId84" Type="http://schemas.openxmlformats.org/officeDocument/2006/relationships/image" Target="../media/image36.jpg"/><Relationship Id="rId89" Type="http://schemas.openxmlformats.org/officeDocument/2006/relationships/image" Target="../media/image38.jpg"/><Relationship Id="rId16" Type="http://schemas.openxmlformats.org/officeDocument/2006/relationships/image" Target="../media/image10.jpg"/><Relationship Id="rId11" Type="http://schemas.openxmlformats.org/officeDocument/2006/relationships/hyperlink" Target="http://talker-lounge.de/tag/die-drei-fragezeichen/" TargetMode="External"/><Relationship Id="rId32" Type="http://schemas.openxmlformats.org/officeDocument/2006/relationships/hyperlink" Target="http://www.instagram.com/kaffeeklatsch_vom_gwc/" TargetMode="External"/><Relationship Id="rId37" Type="http://schemas.openxmlformats.org/officeDocument/2006/relationships/hyperlink" Target="http://anchor.fm/diezw3i" TargetMode="External"/><Relationship Id="rId53" Type="http://schemas.openxmlformats.org/officeDocument/2006/relationships/hyperlink" Target="https://rescherschen-und-arschiv.podigee.io/feed/mp3" TargetMode="External"/><Relationship Id="rId58" Type="http://schemas.openxmlformats.org/officeDocument/2006/relationships/hyperlink" Target="https://schrottplatz.podcaster.de/schrottplatz-podcast.rss" TargetMode="External"/><Relationship Id="rId74" Type="http://schemas.openxmlformats.org/officeDocument/2006/relationships/hyperlink" Target="view-source:https://feeds.acast.com/public/shows/haschimitenfurst-der-bobcast" TargetMode="External"/><Relationship Id="rId79" Type="http://schemas.openxmlformats.org/officeDocument/2006/relationships/image" Target="../media/image33.jpg"/><Relationship Id="rId102" Type="http://schemas.openxmlformats.org/officeDocument/2006/relationships/image" Target="../media/image44.jpg"/><Relationship Id="rId5" Type="http://schemas.openxmlformats.org/officeDocument/2006/relationships/image" Target="../media/image4.gif"/><Relationship Id="rId90" Type="http://schemas.openxmlformats.org/officeDocument/2006/relationships/hyperlink" Target="http://podcasters.spotify.com/pod/show/beachcast/" TargetMode="External"/><Relationship Id="rId95" Type="http://schemas.openxmlformats.org/officeDocument/2006/relationships/hyperlink" Target="https://anchor.fm/s/dedaa85c/podcast/rss" TargetMode="External"/><Relationship Id="rId22" Type="http://schemas.openxmlformats.org/officeDocument/2006/relationships/hyperlink" Target="http://die-zentrale.podigee.io/" TargetMode="External"/><Relationship Id="rId27" Type="http://schemas.openxmlformats.org/officeDocument/2006/relationships/image" Target="../media/image16.jpg"/><Relationship Id="rId43" Type="http://schemas.openxmlformats.org/officeDocument/2006/relationships/hyperlink" Target="http://www.podcast.de/podcast/1041303/" TargetMode="External"/><Relationship Id="rId48" Type="http://schemas.openxmlformats.org/officeDocument/2006/relationships/hyperlink" Target="https://talker-lounge.de/feed/podcast/" TargetMode="External"/><Relationship Id="rId64" Type="http://schemas.openxmlformats.org/officeDocument/2006/relationships/hyperlink" Target="https://p7cuf8.podcaster.de/machdenverstaerkeran.rss" TargetMode="External"/><Relationship Id="rId69" Type="http://schemas.openxmlformats.org/officeDocument/2006/relationships/image" Target="../media/image29.jpg"/><Relationship Id="rId80" Type="http://schemas.openxmlformats.org/officeDocument/2006/relationships/hyperlink" Target="http://hoerspielkeller.de/feed/mp3/" TargetMode="External"/><Relationship Id="rId85" Type="http://schemas.openxmlformats.org/officeDocument/2006/relationships/image" Target="../media/image37.jpg"/><Relationship Id="rId12" Type="http://schemas.openxmlformats.org/officeDocument/2006/relationships/image" Target="../media/image8.jpeg"/><Relationship Id="rId17" Type="http://schemas.openxmlformats.org/officeDocument/2006/relationships/image" Target="../media/image11.jpg"/><Relationship Id="rId25" Type="http://schemas.openxmlformats.org/officeDocument/2006/relationships/image" Target="../media/image15.jpg"/><Relationship Id="rId33" Type="http://schemas.openxmlformats.org/officeDocument/2006/relationships/image" Target="../media/image19.jpg"/><Relationship Id="rId38" Type="http://schemas.openxmlformats.org/officeDocument/2006/relationships/image" Target="../media/image22.jpg"/><Relationship Id="rId46" Type="http://schemas.openxmlformats.org/officeDocument/2006/relationships/image" Target="../media/image27.jpeg"/><Relationship Id="rId59" Type="http://schemas.openxmlformats.org/officeDocument/2006/relationships/hyperlink" Target="https://anchor.fm/s/30601438/podcast/rss" TargetMode="External"/><Relationship Id="rId67" Type="http://schemas.openxmlformats.org/officeDocument/2006/relationships/image" Target="../media/image28.jpg"/><Relationship Id="rId20" Type="http://schemas.openxmlformats.org/officeDocument/2006/relationships/hyperlink" Target="http://www.youtube.com/channel/UCLK4k-NjboJxUfkUR0TWbgw" TargetMode="External"/><Relationship Id="rId41" Type="http://schemas.openxmlformats.org/officeDocument/2006/relationships/hyperlink" Target="http://www.kkt-podcast.de/" TargetMode="External"/><Relationship Id="rId54" Type="http://schemas.openxmlformats.org/officeDocument/2006/relationships/hyperlink" Target="https://www.youtube.com/feeds/videos.xml?channel_id=UCLK4k-NjboJxUfkUR0TWbgw" TargetMode="External"/><Relationship Id="rId62" Type="http://schemas.openxmlformats.org/officeDocument/2006/relationships/hyperlink" Target="https://anchor.fm/s/410f9f10/podcast/rss" TargetMode="External"/><Relationship Id="rId70" Type="http://schemas.openxmlformats.org/officeDocument/2006/relationships/hyperlink" Target="http://www.vierohren.de/category/fragezeichenpod/" TargetMode="External"/><Relationship Id="rId75" Type="http://schemas.openxmlformats.org/officeDocument/2006/relationships/hyperlink" Target="http://open.spotify.com/show/5ZW8phuJoLC1go6GoHhY2x" TargetMode="External"/><Relationship Id="rId83" Type="http://schemas.openxmlformats.org/officeDocument/2006/relationships/image" Target="../media/image35.jpg"/><Relationship Id="rId88" Type="http://schemas.openxmlformats.org/officeDocument/2006/relationships/hyperlink" Target="http://dasgeheimnisderbuecher.podigee.io/" TargetMode="External"/><Relationship Id="rId91" Type="http://schemas.openxmlformats.org/officeDocument/2006/relationships/image" Target="../media/image39.jpg"/><Relationship Id="rId96" Type="http://schemas.openxmlformats.org/officeDocument/2006/relationships/hyperlink" Target="http://open.spotify.com/show/1EGX3oM7F8paWh5zXmBdLq" TargetMode="External"/><Relationship Id="rId1" Type="http://schemas.openxmlformats.org/officeDocument/2006/relationships/image" Target="../media/image1.jpeg"/><Relationship Id="rId6" Type="http://schemas.openxmlformats.org/officeDocument/2006/relationships/hyperlink" Target="http://washoerstduso.wordpress.com/?s=fragezeichen" TargetMode="External"/><Relationship Id="rId15" Type="http://schemas.openxmlformats.org/officeDocument/2006/relationships/hyperlink" Target="http://www.spezialgelagert.de" TargetMode="External"/><Relationship Id="rId23" Type="http://schemas.openxmlformats.org/officeDocument/2006/relationships/image" Target="../media/image14.jpg"/><Relationship Id="rId28" Type="http://schemas.openxmlformats.org/officeDocument/2006/relationships/hyperlink" Target="http://unteranfuehrungszeichen.wordpress.com/" TargetMode="External"/><Relationship Id="rId36" Type="http://schemas.openxmlformats.org/officeDocument/2006/relationships/image" Target="../media/image21.jpg"/><Relationship Id="rId49" Type="http://schemas.openxmlformats.org/officeDocument/2006/relationships/hyperlink" Target="http://sebo.square7.ch/podcastgen/feed.xml" TargetMode="External"/><Relationship Id="rId57" Type="http://schemas.openxmlformats.org/officeDocument/2006/relationships/hyperlink" Target="https://www.retroabteil.de/feed/mp3/" TargetMode="External"/><Relationship Id="rId10" Type="http://schemas.openxmlformats.org/officeDocument/2006/relationships/image" Target="../media/image7.jpg"/><Relationship Id="rId31" Type="http://schemas.openxmlformats.org/officeDocument/2006/relationships/image" Target="../media/image18.jpg"/><Relationship Id="rId44" Type="http://schemas.openxmlformats.org/officeDocument/2006/relationships/image" Target="../media/image26.jpg"/><Relationship Id="rId52" Type="http://schemas.openxmlformats.org/officeDocument/2006/relationships/hyperlink" Target="https://spezialgelagert.de/feed/podcast/" TargetMode="External"/><Relationship Id="rId60" Type="http://schemas.openxmlformats.org/officeDocument/2006/relationships/hyperlink" Target="https://wrrda5.podcaster.de/unteranfuehrungszeichen.rss" TargetMode="External"/><Relationship Id="rId65" Type="http://schemas.openxmlformats.org/officeDocument/2006/relationships/hyperlink" Target="https://anchor.fm/s/60c18a58/podcast/rss" TargetMode="External"/><Relationship Id="rId73" Type="http://schemas.openxmlformats.org/officeDocument/2006/relationships/image" Target="../media/image31.jpg"/><Relationship Id="rId78" Type="http://schemas.openxmlformats.org/officeDocument/2006/relationships/hyperlink" Target="https://open.spotify.com/show/2Ro66UsoV4XzOwiVc7Chux" TargetMode="External"/><Relationship Id="rId81" Type="http://schemas.openxmlformats.org/officeDocument/2006/relationships/hyperlink" Target="http://hoerspielkeller.de/podcast/" TargetMode="External"/><Relationship Id="rId86" Type="http://schemas.openxmlformats.org/officeDocument/2006/relationships/hyperlink" Target="https://anchor.fm/s/57d46064/podcast/rss" TargetMode="External"/><Relationship Id="rId94" Type="http://schemas.openxmlformats.org/officeDocument/2006/relationships/image" Target="../media/image40.jpg"/><Relationship Id="rId99" Type="http://schemas.openxmlformats.org/officeDocument/2006/relationships/hyperlink" Target="https://open.spotify.com/show/3eka4CgbqoLBwBpbEx6Udw" TargetMode="External"/><Relationship Id="rId101" Type="http://schemas.openxmlformats.org/officeDocument/2006/relationships/hyperlink" Target="https://open.spotify.com/show/4vyafADyS1ykP3MzvEwaqC" TargetMode="External"/><Relationship Id="rId4" Type="http://schemas.openxmlformats.org/officeDocument/2006/relationships/image" Target="../media/image3.jpg"/><Relationship Id="rId9" Type="http://schemas.openxmlformats.org/officeDocument/2006/relationships/image" Target="../media/image6.jpg"/><Relationship Id="rId13" Type="http://schemas.openxmlformats.org/officeDocument/2006/relationships/hyperlink" Target="http://hoerspieltipps.net/serien/die_drei____.html" TargetMode="External"/><Relationship Id="rId18" Type="http://schemas.openxmlformats.org/officeDocument/2006/relationships/hyperlink" Target="http://www.rescherschen-und-arschiv.de/" TargetMode="External"/><Relationship Id="rId39" Type="http://schemas.openxmlformats.org/officeDocument/2006/relationships/image" Target="../media/image23.jpg"/><Relationship Id="rId34" Type="http://schemas.openxmlformats.org/officeDocument/2006/relationships/hyperlink" Target="http://open.spotify.com/show/4AIutPV1pG0tDrjYGI4dMy" TargetMode="External"/><Relationship Id="rId50" Type="http://schemas.openxmlformats.org/officeDocument/2006/relationships/hyperlink" Target="https://y1svbz.podcaster.de/whds.rss" TargetMode="External"/><Relationship Id="rId55" Type="http://schemas.openxmlformats.org/officeDocument/2006/relationships/hyperlink" Target="https://die-zentrale.podigee.io/feed/aac" TargetMode="External"/><Relationship Id="rId76" Type="http://schemas.openxmlformats.org/officeDocument/2006/relationships/image" Target="../media/image32.jpg"/><Relationship Id="rId97" Type="http://schemas.openxmlformats.org/officeDocument/2006/relationships/image" Target="../media/image41.jpg"/><Relationship Id="rId7" Type="http://schemas.openxmlformats.org/officeDocument/2006/relationships/image" Target="../media/image5.jpg"/><Relationship Id="rId71" Type="http://schemas.openxmlformats.org/officeDocument/2006/relationships/image" Target="../media/image30.jpg"/><Relationship Id="rId92" Type="http://schemas.openxmlformats.org/officeDocument/2006/relationships/hyperlink" Target="https://8rhgg7.podcaster.de/Abfahrta2.rss" TargetMode="External"/><Relationship Id="rId2" Type="http://schemas.openxmlformats.org/officeDocument/2006/relationships/image" Target="../media/image2.jpg"/><Relationship Id="rId29" Type="http://schemas.openxmlformats.org/officeDocument/2006/relationships/image" Target="../media/image17.jpg"/><Relationship Id="rId24" Type="http://schemas.openxmlformats.org/officeDocument/2006/relationships/hyperlink" Target="http://schrottplatz-podcast.jimdofree.com/" TargetMode="External"/><Relationship Id="rId40" Type="http://schemas.openxmlformats.org/officeDocument/2006/relationships/image" Target="../media/image24.jpeg"/><Relationship Id="rId45" Type="http://schemas.openxmlformats.org/officeDocument/2006/relationships/hyperlink" Target="https://fragezeichenpod.podcaster.de/fragezeichenpod.rss" TargetMode="External"/><Relationship Id="rId66" Type="http://schemas.openxmlformats.org/officeDocument/2006/relationships/hyperlink" Target="http://haschimitenfuerst.blogspot.de/" TargetMode="External"/><Relationship Id="rId87" Type="http://schemas.openxmlformats.org/officeDocument/2006/relationships/hyperlink" Target="https://dasgeheimnisderbuecher.podigee.io/feed/mp3" TargetMode="External"/><Relationship Id="rId61" Type="http://schemas.openxmlformats.org/officeDocument/2006/relationships/hyperlink" Target="https://anchor.fm/s/412a4748/podcast/rss" TargetMode="External"/><Relationship Id="rId82" Type="http://schemas.openxmlformats.org/officeDocument/2006/relationships/image" Target="../media/image34.jpg"/><Relationship Id="rId19" Type="http://schemas.openxmlformats.org/officeDocument/2006/relationships/image" Target="../media/image12.jpg"/><Relationship Id="rId14" Type="http://schemas.openxmlformats.org/officeDocument/2006/relationships/image" Target="../media/image9.jpeg"/><Relationship Id="rId30" Type="http://schemas.openxmlformats.org/officeDocument/2006/relationships/hyperlink" Target="http://www.instagram.com/mathildaskirschkuchen/" TargetMode="External"/><Relationship Id="rId35" Type="http://schemas.openxmlformats.org/officeDocument/2006/relationships/image" Target="../media/image20.jpg"/><Relationship Id="rId56" Type="http://schemas.openxmlformats.org/officeDocument/2006/relationships/hyperlink" Target="https://www.gebrauchtwarenpodcast.de/feed/mp3/" TargetMode="External"/><Relationship Id="rId77" Type="http://schemas.openxmlformats.org/officeDocument/2006/relationships/hyperlink" Target="https://hoerspiel-podcast.podigee.io/feed/aac" TargetMode="External"/><Relationship Id="rId100" Type="http://schemas.openxmlformats.org/officeDocument/2006/relationships/image" Target="../media/image43.jpg"/><Relationship Id="rId8" Type="http://schemas.openxmlformats.org/officeDocument/2006/relationships/hyperlink" Target="http://schrottcast.tumblr.com/" TargetMode="External"/><Relationship Id="rId51" Type="http://schemas.openxmlformats.org/officeDocument/2006/relationships/hyperlink" Target="http://feeds.feedburner.com/SchrottcastTitusJonas" TargetMode="External"/><Relationship Id="rId72" Type="http://schemas.openxmlformats.org/officeDocument/2006/relationships/hyperlink" Target="https://anchor.fm/s/4e6f135c/podcast/rss" TargetMode="External"/><Relationship Id="rId93" Type="http://schemas.openxmlformats.org/officeDocument/2006/relationships/hyperlink" Target="https://open.spotify.com/show/5nS3AWqbrboLSnrq2OrlQ9" TargetMode="External"/><Relationship Id="rId98" Type="http://schemas.openxmlformats.org/officeDocument/2006/relationships/image" Target="../media/image42.jpg"/><Relationship Id="rId3" Type="http://schemas.openxmlformats.org/officeDocument/2006/relationships/hyperlink" Target="http://www.retroabteil.de/die-drei-fragezeichen/"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5.png"/><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image" Target="../media/image51.gif"/><Relationship Id="rId3" Type="http://schemas.openxmlformats.org/officeDocument/2006/relationships/image" Target="../media/image46.gif"/><Relationship Id="rId7" Type="http://schemas.openxmlformats.org/officeDocument/2006/relationships/image" Target="../media/image50.gif"/><Relationship Id="rId12"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49.gif"/><Relationship Id="rId11" Type="http://schemas.openxmlformats.org/officeDocument/2006/relationships/image" Target="../media/image54.gif"/><Relationship Id="rId5" Type="http://schemas.openxmlformats.org/officeDocument/2006/relationships/image" Target="../media/image48.gif"/><Relationship Id="rId10" Type="http://schemas.openxmlformats.org/officeDocument/2006/relationships/image" Target="../media/image53.gif"/><Relationship Id="rId4" Type="http://schemas.openxmlformats.org/officeDocument/2006/relationships/image" Target="../media/image47.gif"/><Relationship Id="rId9" Type="http://schemas.openxmlformats.org/officeDocument/2006/relationships/image" Target="../media/image52.gif"/></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240</xdr:row>
      <xdr:rowOff>127000</xdr:rowOff>
    </xdr:from>
    <xdr:to>
      <xdr:col>1</xdr:col>
      <xdr:colOff>438150</xdr:colOff>
      <xdr:row>241</xdr:row>
      <xdr:rowOff>179070</xdr:rowOff>
    </xdr:to>
    <xdr:pic>
      <xdr:nvPicPr>
        <xdr:cNvPr id="33" name="Grafik 32">
          <a:extLst>
            <a:ext uri="{FF2B5EF4-FFF2-40B4-BE49-F238E27FC236}">
              <a16:creationId xmlns:a16="http://schemas.microsoft.com/office/drawing/2014/main" id="{3B76E596-E9E8-4246-9D3C-3D0196033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600" y="39566850"/>
          <a:ext cx="381000" cy="236220"/>
        </a:xfrm>
        <a:prstGeom prst="rect">
          <a:avLst/>
        </a:prstGeom>
      </xdr:spPr>
    </xdr:pic>
    <xdr:clientData/>
  </xdr:twoCellAnchor>
  <xdr:twoCellAnchor editAs="oneCell">
    <xdr:from>
      <xdr:col>1</xdr:col>
      <xdr:colOff>9526</xdr:colOff>
      <xdr:row>6</xdr:row>
      <xdr:rowOff>9525</xdr:rowOff>
    </xdr:from>
    <xdr:to>
      <xdr:col>1</xdr:col>
      <xdr:colOff>485776</xdr:colOff>
      <xdr:row>107</xdr:row>
      <xdr:rowOff>9525</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7976" y="962025"/>
          <a:ext cx="476250" cy="368300"/>
        </a:xfrm>
        <a:prstGeom prst="rect">
          <a:avLst/>
        </a:prstGeom>
      </xdr:spPr>
    </xdr:pic>
    <xdr:clientData/>
  </xdr:twoCellAnchor>
  <xdr:twoCellAnchor editAs="oneCell">
    <xdr:from>
      <xdr:col>1</xdr:col>
      <xdr:colOff>9553</xdr:colOff>
      <xdr:row>1269</xdr:row>
      <xdr:rowOff>9525</xdr:rowOff>
    </xdr:from>
    <xdr:to>
      <xdr:col>1</xdr:col>
      <xdr:colOff>447703</xdr:colOff>
      <xdr:row>1270</xdr:row>
      <xdr:rowOff>175895</xdr:rowOff>
    </xdr:to>
    <xdr:pic>
      <xdr:nvPicPr>
        <xdr:cNvPr id="5" name="Grafik 4">
          <a:hlinkClick xmlns:r="http://schemas.openxmlformats.org/officeDocument/2006/relationships" r:id="rId3"/>
          <a:extLst>
            <a:ext uri="{FF2B5EF4-FFF2-40B4-BE49-F238E27FC236}">
              <a16:creationId xmlns:a16="http://schemas.microsoft.com/office/drawing/2014/main" id="{00000000-0008-0000-0000-000005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8003" y="70024625"/>
          <a:ext cx="438150" cy="350520"/>
        </a:xfrm>
        <a:prstGeom prst="rect">
          <a:avLst/>
        </a:prstGeom>
      </xdr:spPr>
    </xdr:pic>
    <xdr:clientData/>
  </xdr:twoCellAnchor>
  <xdr:twoCellAnchor editAs="oneCell">
    <xdr:from>
      <xdr:col>2</xdr:col>
      <xdr:colOff>1428750</xdr:colOff>
      <xdr:row>3</xdr:row>
      <xdr:rowOff>19050</xdr:rowOff>
    </xdr:from>
    <xdr:to>
      <xdr:col>2</xdr:col>
      <xdr:colOff>1609725</xdr:colOff>
      <xdr:row>4</xdr:row>
      <xdr:rowOff>9525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09800" y="400050"/>
          <a:ext cx="180975" cy="180975"/>
        </a:xfrm>
        <a:prstGeom prst="rect">
          <a:avLst/>
        </a:prstGeom>
      </xdr:spPr>
    </xdr:pic>
    <xdr:clientData/>
  </xdr:twoCellAnchor>
  <xdr:twoCellAnchor editAs="oneCell">
    <xdr:from>
      <xdr:col>1</xdr:col>
      <xdr:colOff>17488</xdr:colOff>
      <xdr:row>475</xdr:row>
      <xdr:rowOff>42876</xdr:rowOff>
    </xdr:from>
    <xdr:to>
      <xdr:col>1</xdr:col>
      <xdr:colOff>493738</xdr:colOff>
      <xdr:row>476</xdr:row>
      <xdr:rowOff>142190</xdr:rowOff>
    </xdr:to>
    <xdr:pic>
      <xdr:nvPicPr>
        <xdr:cNvPr id="10" name="Grafik 9">
          <a:hlinkClick xmlns:r="http://schemas.openxmlformats.org/officeDocument/2006/relationships" r:id="rId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5938" y="55510126"/>
          <a:ext cx="476250" cy="283464"/>
        </a:xfrm>
        <a:prstGeom prst="rect">
          <a:avLst/>
        </a:prstGeom>
      </xdr:spPr>
    </xdr:pic>
    <xdr:clientData/>
  </xdr:twoCellAnchor>
  <xdr:twoCellAnchor editAs="oneCell">
    <xdr:from>
      <xdr:col>1</xdr:col>
      <xdr:colOff>9525</xdr:colOff>
      <xdr:row>490</xdr:row>
      <xdr:rowOff>9525</xdr:rowOff>
    </xdr:from>
    <xdr:to>
      <xdr:col>1</xdr:col>
      <xdr:colOff>489585</xdr:colOff>
      <xdr:row>518</xdr:row>
      <xdr:rowOff>9525</xdr:rowOff>
    </xdr:to>
    <xdr:pic>
      <xdr:nvPicPr>
        <xdr:cNvPr id="11" name="Grafik 10">
          <a:hlinkClick xmlns:r="http://schemas.openxmlformats.org/officeDocument/2006/relationships" r:id="rId8"/>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7975" y="57502425"/>
          <a:ext cx="480060" cy="368300"/>
        </a:xfrm>
        <a:prstGeom prst="rect">
          <a:avLst/>
        </a:prstGeom>
      </xdr:spPr>
    </xdr:pic>
    <xdr:clientData/>
  </xdr:twoCellAnchor>
  <xdr:twoCellAnchor editAs="oneCell">
    <xdr:from>
      <xdr:col>1</xdr:col>
      <xdr:colOff>9550</xdr:colOff>
      <xdr:row>327</xdr:row>
      <xdr:rowOff>9543</xdr:rowOff>
    </xdr:from>
    <xdr:to>
      <xdr:col>2</xdr:col>
      <xdr:colOff>9550</xdr:colOff>
      <xdr:row>328</xdr:row>
      <xdr:rowOff>0</xdr:rowOff>
    </xdr:to>
    <xdr:pic>
      <xdr:nvPicPr>
        <xdr:cNvPr id="14" name="Grafik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95300" y="54140118"/>
          <a:ext cx="476250" cy="185738"/>
        </a:xfrm>
        <a:prstGeom prst="rect">
          <a:avLst/>
        </a:prstGeom>
      </xdr:spPr>
    </xdr:pic>
    <xdr:clientData/>
  </xdr:twoCellAnchor>
  <xdr:twoCellAnchor editAs="oneCell">
    <xdr:from>
      <xdr:col>1</xdr:col>
      <xdr:colOff>54005</xdr:colOff>
      <xdr:row>240</xdr:row>
      <xdr:rowOff>9555</xdr:rowOff>
    </xdr:from>
    <xdr:to>
      <xdr:col>1</xdr:col>
      <xdr:colOff>437056</xdr:colOff>
      <xdr:row>241</xdr:row>
      <xdr:rowOff>176535</xdr:rowOff>
    </xdr:to>
    <xdr:pic>
      <xdr:nvPicPr>
        <xdr:cNvPr id="15" name="Grafik 14">
          <a:hlinkClick xmlns:r="http://schemas.openxmlformats.org/officeDocument/2006/relationships" r:id="rId11"/>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52455" y="2435255"/>
          <a:ext cx="383051" cy="351130"/>
        </a:xfrm>
        <a:prstGeom prst="rect">
          <a:avLst/>
        </a:prstGeom>
      </xdr:spPr>
    </xdr:pic>
    <xdr:clientData/>
  </xdr:twoCellAnchor>
  <xdr:twoCellAnchor editAs="oneCell">
    <xdr:from>
      <xdr:col>1</xdr:col>
      <xdr:colOff>82583</xdr:colOff>
      <xdr:row>109</xdr:row>
      <xdr:rowOff>19083</xdr:rowOff>
    </xdr:from>
    <xdr:to>
      <xdr:col>1</xdr:col>
      <xdr:colOff>444533</xdr:colOff>
      <xdr:row>111</xdr:row>
      <xdr:rowOff>0</xdr:rowOff>
    </xdr:to>
    <xdr:pic>
      <xdr:nvPicPr>
        <xdr:cNvPr id="16" name="Grafik 15">
          <a:hlinkClick xmlns:r="http://schemas.openxmlformats.org/officeDocument/2006/relationships" r:id="rId13"/>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33" y="17913383"/>
          <a:ext cx="361950" cy="354372"/>
        </a:xfrm>
        <a:prstGeom prst="rect">
          <a:avLst/>
        </a:prstGeom>
      </xdr:spPr>
    </xdr:pic>
    <xdr:clientData/>
  </xdr:twoCellAnchor>
  <xdr:twoCellAnchor editAs="oneCell">
    <xdr:from>
      <xdr:col>1</xdr:col>
      <xdr:colOff>57150</xdr:colOff>
      <xdr:row>534</xdr:row>
      <xdr:rowOff>9525</xdr:rowOff>
    </xdr:from>
    <xdr:to>
      <xdr:col>1</xdr:col>
      <xdr:colOff>438150</xdr:colOff>
      <xdr:row>909</xdr:row>
      <xdr:rowOff>9525</xdr:rowOff>
    </xdr:to>
    <xdr:pic>
      <xdr:nvPicPr>
        <xdr:cNvPr id="18" name="Grafik 17">
          <a:hlinkClick xmlns:r="http://schemas.openxmlformats.org/officeDocument/2006/relationships" r:id="rId15"/>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5600" y="63026925"/>
          <a:ext cx="381000" cy="368300"/>
        </a:xfrm>
        <a:prstGeom prst="rect">
          <a:avLst/>
        </a:prstGeom>
      </xdr:spPr>
    </xdr:pic>
    <xdr:clientData/>
  </xdr:twoCellAnchor>
  <xdr:twoCellAnchor editAs="oneCell">
    <xdr:from>
      <xdr:col>1</xdr:col>
      <xdr:colOff>9551</xdr:colOff>
      <xdr:row>911</xdr:row>
      <xdr:rowOff>9525</xdr:rowOff>
    </xdr:from>
    <xdr:to>
      <xdr:col>1</xdr:col>
      <xdr:colOff>485801</xdr:colOff>
      <xdr:row>981</xdr:row>
      <xdr:rowOff>9525</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08001" y="67078225"/>
          <a:ext cx="476250" cy="368300"/>
        </a:xfrm>
        <a:prstGeom prst="rect">
          <a:avLst/>
        </a:prstGeom>
      </xdr:spPr>
    </xdr:pic>
    <xdr:clientData/>
  </xdr:twoCellAnchor>
  <xdr:twoCellAnchor editAs="oneCell">
    <xdr:from>
      <xdr:col>1</xdr:col>
      <xdr:colOff>9551</xdr:colOff>
      <xdr:row>911</xdr:row>
      <xdr:rowOff>9525</xdr:rowOff>
    </xdr:from>
    <xdr:to>
      <xdr:col>1</xdr:col>
      <xdr:colOff>485801</xdr:colOff>
      <xdr:row>981</xdr:row>
      <xdr:rowOff>9525</xdr:rowOff>
    </xdr:to>
    <xdr:pic>
      <xdr:nvPicPr>
        <xdr:cNvPr id="20" name="Grafik 19">
          <a:hlinkClick xmlns:r="http://schemas.openxmlformats.org/officeDocument/2006/relationships" r:id="rId18"/>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08001" y="67078225"/>
          <a:ext cx="476250" cy="368300"/>
        </a:xfrm>
        <a:prstGeom prst="rect">
          <a:avLst/>
        </a:prstGeom>
      </xdr:spPr>
    </xdr:pic>
    <xdr:clientData/>
  </xdr:twoCellAnchor>
  <xdr:twoCellAnchor editAs="oneCell">
    <xdr:from>
      <xdr:col>1</xdr:col>
      <xdr:colOff>9551</xdr:colOff>
      <xdr:row>983</xdr:row>
      <xdr:rowOff>9525</xdr:rowOff>
    </xdr:from>
    <xdr:to>
      <xdr:col>1</xdr:col>
      <xdr:colOff>485801</xdr:colOff>
      <xdr:row>995</xdr:row>
      <xdr:rowOff>9525</xdr:rowOff>
    </xdr:to>
    <xdr:pic>
      <xdr:nvPicPr>
        <xdr:cNvPr id="21" name="Grafik 20">
          <a:hlinkClick xmlns:r="http://schemas.openxmlformats.org/officeDocument/2006/relationships" r:id="rId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08001" y="67814825"/>
          <a:ext cx="476250" cy="368300"/>
        </a:xfrm>
        <a:prstGeom prst="rect">
          <a:avLst/>
        </a:prstGeom>
      </xdr:spPr>
    </xdr:pic>
    <xdr:clientData/>
  </xdr:twoCellAnchor>
  <xdr:twoCellAnchor editAs="oneCell">
    <xdr:from>
      <xdr:col>1</xdr:col>
      <xdr:colOff>9551</xdr:colOff>
      <xdr:row>997</xdr:row>
      <xdr:rowOff>9525</xdr:rowOff>
    </xdr:from>
    <xdr:to>
      <xdr:col>1</xdr:col>
      <xdr:colOff>485801</xdr:colOff>
      <xdr:row>1251</xdr:row>
      <xdr:rowOff>9525</xdr:rowOff>
    </xdr:to>
    <xdr:pic>
      <xdr:nvPicPr>
        <xdr:cNvPr id="2" name="Grafik 1">
          <a:hlinkClick xmlns:r="http://schemas.openxmlformats.org/officeDocument/2006/relationships" r:id="rId2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08001" y="68551425"/>
          <a:ext cx="476250" cy="368300"/>
        </a:xfrm>
        <a:prstGeom prst="rect">
          <a:avLst/>
        </a:prstGeom>
      </xdr:spPr>
    </xdr:pic>
    <xdr:clientData/>
  </xdr:twoCellAnchor>
  <xdr:twoCellAnchor editAs="oneCell">
    <xdr:from>
      <xdr:col>1</xdr:col>
      <xdr:colOff>9551</xdr:colOff>
      <xdr:row>1285</xdr:row>
      <xdr:rowOff>9525</xdr:rowOff>
    </xdr:from>
    <xdr:to>
      <xdr:col>1</xdr:col>
      <xdr:colOff>485801</xdr:colOff>
      <xdr:row>1295</xdr:row>
      <xdr:rowOff>9525</xdr:rowOff>
    </xdr:to>
    <xdr:pic>
      <xdr:nvPicPr>
        <xdr:cNvPr id="6" name="Grafik 5">
          <a:hlinkClick xmlns:r="http://schemas.openxmlformats.org/officeDocument/2006/relationships" r:id="rId2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08001" y="70761225"/>
          <a:ext cx="476250" cy="368300"/>
        </a:xfrm>
        <a:prstGeom prst="rect">
          <a:avLst/>
        </a:prstGeom>
      </xdr:spPr>
    </xdr:pic>
    <xdr:clientData/>
  </xdr:twoCellAnchor>
  <xdr:twoCellAnchor editAs="oneCell">
    <xdr:from>
      <xdr:col>1</xdr:col>
      <xdr:colOff>9526</xdr:colOff>
      <xdr:row>1421</xdr:row>
      <xdr:rowOff>9525</xdr:rowOff>
    </xdr:from>
    <xdr:to>
      <xdr:col>1</xdr:col>
      <xdr:colOff>485776</xdr:colOff>
      <xdr:row>1446</xdr:row>
      <xdr:rowOff>9525</xdr:rowOff>
    </xdr:to>
    <xdr:pic>
      <xdr:nvPicPr>
        <xdr:cNvPr id="13" name="Grafik 12">
          <a:hlinkClick xmlns:r="http://schemas.openxmlformats.org/officeDocument/2006/relationships" r:id="rId26"/>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07976" y="72971025"/>
          <a:ext cx="476250" cy="368300"/>
        </a:xfrm>
        <a:prstGeom prst="rect">
          <a:avLst/>
        </a:prstGeom>
      </xdr:spPr>
    </xdr:pic>
    <xdr:clientData/>
  </xdr:twoCellAnchor>
  <xdr:twoCellAnchor editAs="oneCell">
    <xdr:from>
      <xdr:col>1</xdr:col>
      <xdr:colOff>9526</xdr:colOff>
      <xdr:row>1366</xdr:row>
      <xdr:rowOff>9525</xdr:rowOff>
    </xdr:from>
    <xdr:to>
      <xdr:col>1</xdr:col>
      <xdr:colOff>485776</xdr:colOff>
      <xdr:row>1419</xdr:row>
      <xdr:rowOff>9525</xdr:rowOff>
    </xdr:to>
    <xdr:pic>
      <xdr:nvPicPr>
        <xdr:cNvPr id="22" name="Grafik 21">
          <a:hlinkClick xmlns:r="http://schemas.openxmlformats.org/officeDocument/2006/relationships" r:id="rId28"/>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07976" y="72234425"/>
          <a:ext cx="476250" cy="368300"/>
        </a:xfrm>
        <a:prstGeom prst="rect">
          <a:avLst/>
        </a:prstGeom>
      </xdr:spPr>
    </xdr:pic>
    <xdr:clientData/>
  </xdr:twoCellAnchor>
  <xdr:twoCellAnchor editAs="oneCell">
    <xdr:from>
      <xdr:col>1</xdr:col>
      <xdr:colOff>12700</xdr:colOff>
      <xdr:row>1576</xdr:row>
      <xdr:rowOff>12700</xdr:rowOff>
    </xdr:from>
    <xdr:to>
      <xdr:col>1</xdr:col>
      <xdr:colOff>488950</xdr:colOff>
      <xdr:row>1705</xdr:row>
      <xdr:rowOff>10160</xdr:rowOff>
    </xdr:to>
    <xdr:pic>
      <xdr:nvPicPr>
        <xdr:cNvPr id="23" name="Grafik 22">
          <a:hlinkClick xmlns:r="http://schemas.openxmlformats.org/officeDocument/2006/relationships" r:id="rId30"/>
          <a:extLst>
            <a:ext uri="{FF2B5EF4-FFF2-40B4-BE49-F238E27FC236}">
              <a16:creationId xmlns:a16="http://schemas.microsoft.com/office/drawing/2014/main" id="{4E7D2179-D6DC-49C0-B5B9-D90C8C681B1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11150" y="74637900"/>
          <a:ext cx="476250" cy="365760"/>
        </a:xfrm>
        <a:prstGeom prst="rect">
          <a:avLst/>
        </a:prstGeom>
      </xdr:spPr>
    </xdr:pic>
    <xdr:clientData/>
  </xdr:twoCellAnchor>
  <xdr:twoCellAnchor editAs="oneCell">
    <xdr:from>
      <xdr:col>1</xdr:col>
      <xdr:colOff>12725</xdr:colOff>
      <xdr:row>1448</xdr:row>
      <xdr:rowOff>12700</xdr:rowOff>
    </xdr:from>
    <xdr:to>
      <xdr:col>1</xdr:col>
      <xdr:colOff>488975</xdr:colOff>
      <xdr:row>1503</xdr:row>
      <xdr:rowOff>3810</xdr:rowOff>
    </xdr:to>
    <xdr:pic>
      <xdr:nvPicPr>
        <xdr:cNvPr id="25" name="Grafik 24">
          <a:hlinkClick xmlns:r="http://schemas.openxmlformats.org/officeDocument/2006/relationships" r:id="rId32"/>
          <a:extLst>
            <a:ext uri="{FF2B5EF4-FFF2-40B4-BE49-F238E27FC236}">
              <a16:creationId xmlns:a16="http://schemas.microsoft.com/office/drawing/2014/main" id="{2107DA58-6601-4500-89F1-9AEA6563672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11175" y="73710800"/>
          <a:ext cx="476250" cy="365760"/>
        </a:xfrm>
        <a:prstGeom prst="rect">
          <a:avLst/>
        </a:prstGeom>
      </xdr:spPr>
    </xdr:pic>
    <xdr:clientData/>
  </xdr:twoCellAnchor>
  <xdr:twoCellAnchor editAs="oneCell">
    <xdr:from>
      <xdr:col>1</xdr:col>
      <xdr:colOff>12725</xdr:colOff>
      <xdr:row>1358</xdr:row>
      <xdr:rowOff>12700</xdr:rowOff>
    </xdr:from>
    <xdr:to>
      <xdr:col>1</xdr:col>
      <xdr:colOff>488975</xdr:colOff>
      <xdr:row>1364</xdr:row>
      <xdr:rowOff>10160</xdr:rowOff>
    </xdr:to>
    <xdr:pic>
      <xdr:nvPicPr>
        <xdr:cNvPr id="26" name="Grafik 25">
          <a:hlinkClick xmlns:r="http://schemas.openxmlformats.org/officeDocument/2006/relationships" r:id="rId34"/>
          <a:extLst>
            <a:ext uri="{FF2B5EF4-FFF2-40B4-BE49-F238E27FC236}">
              <a16:creationId xmlns:a16="http://schemas.microsoft.com/office/drawing/2014/main" id="{328ADB82-CC52-404D-A49E-B7EBC996DB58}"/>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11175" y="71501000"/>
          <a:ext cx="476250" cy="365760"/>
        </a:xfrm>
        <a:prstGeom prst="rect">
          <a:avLst/>
        </a:prstGeom>
      </xdr:spPr>
    </xdr:pic>
    <xdr:clientData/>
  </xdr:twoCellAnchor>
  <xdr:twoCellAnchor editAs="oneCell">
    <xdr:from>
      <xdr:col>1</xdr:col>
      <xdr:colOff>12725</xdr:colOff>
      <xdr:row>1707</xdr:row>
      <xdr:rowOff>12700</xdr:rowOff>
    </xdr:from>
    <xdr:to>
      <xdr:col>1</xdr:col>
      <xdr:colOff>488975</xdr:colOff>
      <xdr:row>1751</xdr:row>
      <xdr:rowOff>3810</xdr:rowOff>
    </xdr:to>
    <xdr:pic>
      <xdr:nvPicPr>
        <xdr:cNvPr id="24" name="Grafik 23">
          <a:extLst>
            <a:ext uri="{FF2B5EF4-FFF2-40B4-BE49-F238E27FC236}">
              <a16:creationId xmlns:a16="http://schemas.microsoft.com/office/drawing/2014/main" id="{EDD7877B-01CC-430D-B684-9F24A2EF51A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11175" y="31178500"/>
          <a:ext cx="476250" cy="365760"/>
        </a:xfrm>
        <a:prstGeom prst="rect">
          <a:avLst/>
        </a:prstGeom>
      </xdr:spPr>
    </xdr:pic>
    <xdr:clientData/>
  </xdr:twoCellAnchor>
  <xdr:twoCellAnchor editAs="oneCell">
    <xdr:from>
      <xdr:col>1</xdr:col>
      <xdr:colOff>12700</xdr:colOff>
      <xdr:row>1857</xdr:row>
      <xdr:rowOff>12700</xdr:rowOff>
    </xdr:from>
    <xdr:to>
      <xdr:col>1</xdr:col>
      <xdr:colOff>488950</xdr:colOff>
      <xdr:row>1994</xdr:row>
      <xdr:rowOff>10160</xdr:rowOff>
    </xdr:to>
    <xdr:pic>
      <xdr:nvPicPr>
        <xdr:cNvPr id="27" name="Grafik 26">
          <a:hlinkClick xmlns:r="http://schemas.openxmlformats.org/officeDocument/2006/relationships" r:id="rId37"/>
          <a:extLst>
            <a:ext uri="{FF2B5EF4-FFF2-40B4-BE49-F238E27FC236}">
              <a16:creationId xmlns:a16="http://schemas.microsoft.com/office/drawing/2014/main" id="{1EA67AE6-F3E2-4B17-8108-584204CCE687}"/>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11150" y="32842200"/>
          <a:ext cx="476250" cy="365760"/>
        </a:xfrm>
        <a:prstGeom prst="rect">
          <a:avLst/>
        </a:prstGeom>
      </xdr:spPr>
    </xdr:pic>
    <xdr:clientData/>
  </xdr:twoCellAnchor>
  <xdr:twoCellAnchor editAs="oneCell">
    <xdr:from>
      <xdr:col>1</xdr:col>
      <xdr:colOff>12700</xdr:colOff>
      <xdr:row>2540</xdr:row>
      <xdr:rowOff>12700</xdr:rowOff>
    </xdr:from>
    <xdr:to>
      <xdr:col>1</xdr:col>
      <xdr:colOff>488950</xdr:colOff>
      <xdr:row>2708</xdr:row>
      <xdr:rowOff>25400</xdr:rowOff>
    </xdr:to>
    <xdr:pic>
      <xdr:nvPicPr>
        <xdr:cNvPr id="30" name="Grafik 29">
          <a:extLst>
            <a:ext uri="{FF2B5EF4-FFF2-40B4-BE49-F238E27FC236}">
              <a16:creationId xmlns:a16="http://schemas.microsoft.com/office/drawing/2014/main" id="{BA2A3AC3-30DC-4680-9D0C-856DA0E5E0EB}"/>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11150" y="37445950"/>
          <a:ext cx="476250" cy="381000"/>
        </a:xfrm>
        <a:prstGeom prst="rect">
          <a:avLst/>
        </a:prstGeom>
      </xdr:spPr>
    </xdr:pic>
    <xdr:clientData/>
  </xdr:twoCellAnchor>
  <xdr:twoCellAnchor editAs="oneCell">
    <xdr:from>
      <xdr:col>1</xdr:col>
      <xdr:colOff>12700</xdr:colOff>
      <xdr:row>2540</xdr:row>
      <xdr:rowOff>12700</xdr:rowOff>
    </xdr:from>
    <xdr:to>
      <xdr:col>1</xdr:col>
      <xdr:colOff>393700</xdr:colOff>
      <xdr:row>2708</xdr:row>
      <xdr:rowOff>25400</xdr:rowOff>
    </xdr:to>
    <xdr:pic>
      <xdr:nvPicPr>
        <xdr:cNvPr id="32" name="Grafik 31">
          <a:extLst>
            <a:ext uri="{FF2B5EF4-FFF2-40B4-BE49-F238E27FC236}">
              <a16:creationId xmlns:a16="http://schemas.microsoft.com/office/drawing/2014/main" id="{FB27DC27-EE36-47A6-BBCB-47A4D799C46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11150" y="37445950"/>
          <a:ext cx="381000" cy="381000"/>
        </a:xfrm>
        <a:prstGeom prst="rect">
          <a:avLst/>
        </a:prstGeom>
      </xdr:spPr>
    </xdr:pic>
    <xdr:clientData/>
  </xdr:twoCellAnchor>
  <xdr:twoCellAnchor editAs="oneCell">
    <xdr:from>
      <xdr:col>1</xdr:col>
      <xdr:colOff>12700</xdr:colOff>
      <xdr:row>2540</xdr:row>
      <xdr:rowOff>12700</xdr:rowOff>
    </xdr:from>
    <xdr:to>
      <xdr:col>1</xdr:col>
      <xdr:colOff>488950</xdr:colOff>
      <xdr:row>2708</xdr:row>
      <xdr:rowOff>25400</xdr:rowOff>
    </xdr:to>
    <xdr:pic>
      <xdr:nvPicPr>
        <xdr:cNvPr id="34" name="Grafik 33">
          <a:hlinkClick xmlns:r="http://schemas.openxmlformats.org/officeDocument/2006/relationships" r:id="rId41"/>
          <a:extLst>
            <a:ext uri="{FF2B5EF4-FFF2-40B4-BE49-F238E27FC236}">
              <a16:creationId xmlns:a16="http://schemas.microsoft.com/office/drawing/2014/main" id="{E64899E0-A0D9-4233-BE6D-C7F1187D86F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11150" y="37445950"/>
          <a:ext cx="476250" cy="381000"/>
        </a:xfrm>
        <a:prstGeom prst="rect">
          <a:avLst/>
        </a:prstGeom>
      </xdr:spPr>
    </xdr:pic>
    <xdr:clientData/>
  </xdr:twoCellAnchor>
  <xdr:twoCellAnchor editAs="oneCell">
    <xdr:from>
      <xdr:col>1</xdr:col>
      <xdr:colOff>12700</xdr:colOff>
      <xdr:row>1707</xdr:row>
      <xdr:rowOff>12700</xdr:rowOff>
    </xdr:from>
    <xdr:to>
      <xdr:col>1</xdr:col>
      <xdr:colOff>488950</xdr:colOff>
      <xdr:row>1751</xdr:row>
      <xdr:rowOff>3810</xdr:rowOff>
    </xdr:to>
    <xdr:pic>
      <xdr:nvPicPr>
        <xdr:cNvPr id="29" name="Grafik 28">
          <a:hlinkClick xmlns:r="http://schemas.openxmlformats.org/officeDocument/2006/relationships" r:id="rId43"/>
          <a:extLst>
            <a:ext uri="{FF2B5EF4-FFF2-40B4-BE49-F238E27FC236}">
              <a16:creationId xmlns:a16="http://schemas.microsoft.com/office/drawing/2014/main" id="{503B90BD-F1EC-4FC5-B647-736301CC2DB3}"/>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11150" y="31178500"/>
          <a:ext cx="476250" cy="365760"/>
        </a:xfrm>
        <a:prstGeom prst="rect">
          <a:avLst/>
        </a:prstGeom>
      </xdr:spPr>
    </xdr:pic>
    <xdr:clientData/>
  </xdr:twoCellAnchor>
  <xdr:twoCellAnchor editAs="oneCell">
    <xdr:from>
      <xdr:col>5</xdr:col>
      <xdr:colOff>266700</xdr:colOff>
      <xdr:row>7</xdr:row>
      <xdr:rowOff>0</xdr:rowOff>
    </xdr:from>
    <xdr:to>
      <xdr:col>5</xdr:col>
      <xdr:colOff>647700</xdr:colOff>
      <xdr:row>7</xdr:row>
      <xdr:rowOff>160020</xdr:rowOff>
    </xdr:to>
    <xdr:pic>
      <xdr:nvPicPr>
        <xdr:cNvPr id="31" name="Grafik 30">
          <a:hlinkClick xmlns:r="http://schemas.openxmlformats.org/officeDocument/2006/relationships" r:id="rId45"/>
          <a:extLst>
            <a:ext uri="{FF2B5EF4-FFF2-40B4-BE49-F238E27FC236}">
              <a16:creationId xmlns:a16="http://schemas.microsoft.com/office/drawing/2014/main" id="{242654A9-B119-49C2-AE57-C77A5E61BC5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twoCellAnchor>
  <xdr:oneCellAnchor>
    <xdr:from>
      <xdr:col>5</xdr:col>
      <xdr:colOff>266700</xdr:colOff>
      <xdr:row>110</xdr:row>
      <xdr:rowOff>0</xdr:rowOff>
    </xdr:from>
    <xdr:ext cx="381000" cy="160020"/>
    <xdr:pic>
      <xdr:nvPicPr>
        <xdr:cNvPr id="35" name="Grafik 34">
          <a:hlinkClick xmlns:r="http://schemas.openxmlformats.org/officeDocument/2006/relationships" r:id="rId47"/>
          <a:extLst>
            <a:ext uri="{FF2B5EF4-FFF2-40B4-BE49-F238E27FC236}">
              <a16:creationId xmlns:a16="http://schemas.microsoft.com/office/drawing/2014/main" id="{61C5B06A-CC5C-449C-A5E3-CAE855D5FCF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241</xdr:row>
      <xdr:rowOff>0</xdr:rowOff>
    </xdr:from>
    <xdr:ext cx="381000" cy="160020"/>
    <xdr:pic>
      <xdr:nvPicPr>
        <xdr:cNvPr id="36" name="Grafik 35">
          <a:hlinkClick xmlns:r="http://schemas.openxmlformats.org/officeDocument/2006/relationships" r:id="rId48"/>
          <a:extLst>
            <a:ext uri="{FF2B5EF4-FFF2-40B4-BE49-F238E27FC236}">
              <a16:creationId xmlns:a16="http://schemas.microsoft.com/office/drawing/2014/main" id="{FE32707D-4A89-49F6-9E6A-B28858EDB95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302</xdr:row>
      <xdr:rowOff>0</xdr:rowOff>
    </xdr:from>
    <xdr:ext cx="381000" cy="160020"/>
    <xdr:pic>
      <xdr:nvPicPr>
        <xdr:cNvPr id="37" name="Grafik 36">
          <a:hlinkClick xmlns:r="http://schemas.openxmlformats.org/officeDocument/2006/relationships" r:id="rId49"/>
          <a:extLst>
            <a:ext uri="{FF2B5EF4-FFF2-40B4-BE49-F238E27FC236}">
              <a16:creationId xmlns:a16="http://schemas.microsoft.com/office/drawing/2014/main" id="{8C8E7FF5-AD66-4410-BA9B-F790269C088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476</xdr:row>
      <xdr:rowOff>0</xdr:rowOff>
    </xdr:from>
    <xdr:ext cx="381000" cy="160020"/>
    <xdr:pic>
      <xdr:nvPicPr>
        <xdr:cNvPr id="38" name="Grafik 37">
          <a:hlinkClick xmlns:r="http://schemas.openxmlformats.org/officeDocument/2006/relationships" r:id="rId50"/>
          <a:extLst>
            <a:ext uri="{FF2B5EF4-FFF2-40B4-BE49-F238E27FC236}">
              <a16:creationId xmlns:a16="http://schemas.microsoft.com/office/drawing/2014/main" id="{5DEC0F76-0044-46D1-92B1-2953A09D209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491</xdr:row>
      <xdr:rowOff>0</xdr:rowOff>
    </xdr:from>
    <xdr:ext cx="381000" cy="160020"/>
    <xdr:pic>
      <xdr:nvPicPr>
        <xdr:cNvPr id="39" name="Grafik 38">
          <a:hlinkClick xmlns:r="http://schemas.openxmlformats.org/officeDocument/2006/relationships" r:id="rId51"/>
          <a:extLst>
            <a:ext uri="{FF2B5EF4-FFF2-40B4-BE49-F238E27FC236}">
              <a16:creationId xmlns:a16="http://schemas.microsoft.com/office/drawing/2014/main" id="{26241BA6-7839-49FC-B58B-D26677D5187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535</xdr:row>
      <xdr:rowOff>0</xdr:rowOff>
    </xdr:from>
    <xdr:ext cx="381000" cy="160020"/>
    <xdr:pic>
      <xdr:nvPicPr>
        <xdr:cNvPr id="40" name="Grafik 39">
          <a:hlinkClick xmlns:r="http://schemas.openxmlformats.org/officeDocument/2006/relationships" r:id="rId52"/>
          <a:extLst>
            <a:ext uri="{FF2B5EF4-FFF2-40B4-BE49-F238E27FC236}">
              <a16:creationId xmlns:a16="http://schemas.microsoft.com/office/drawing/2014/main" id="{F4F8ED1B-3AD1-4A75-93D9-B6DF48E081C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136650"/>
          <a:ext cx="381000" cy="160020"/>
        </a:xfrm>
        <a:prstGeom prst="rect">
          <a:avLst/>
        </a:prstGeom>
      </xdr:spPr>
    </xdr:pic>
    <xdr:clientData/>
  </xdr:oneCellAnchor>
  <xdr:oneCellAnchor>
    <xdr:from>
      <xdr:col>5</xdr:col>
      <xdr:colOff>266700</xdr:colOff>
      <xdr:row>912</xdr:row>
      <xdr:rowOff>0</xdr:rowOff>
    </xdr:from>
    <xdr:ext cx="381000" cy="160020"/>
    <xdr:pic>
      <xdr:nvPicPr>
        <xdr:cNvPr id="41" name="Grafik 40">
          <a:hlinkClick xmlns:r="http://schemas.openxmlformats.org/officeDocument/2006/relationships" r:id="rId53"/>
          <a:extLst>
            <a:ext uri="{FF2B5EF4-FFF2-40B4-BE49-F238E27FC236}">
              <a16:creationId xmlns:a16="http://schemas.microsoft.com/office/drawing/2014/main" id="{9B058EBC-DF3B-43EC-81B9-CE9F317E76C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67252850"/>
          <a:ext cx="381000" cy="160020"/>
        </a:xfrm>
        <a:prstGeom prst="rect">
          <a:avLst/>
        </a:prstGeom>
      </xdr:spPr>
    </xdr:pic>
    <xdr:clientData/>
  </xdr:oneCellAnchor>
  <xdr:oneCellAnchor>
    <xdr:from>
      <xdr:col>5</xdr:col>
      <xdr:colOff>266700</xdr:colOff>
      <xdr:row>984</xdr:row>
      <xdr:rowOff>0</xdr:rowOff>
    </xdr:from>
    <xdr:ext cx="381000" cy="160020"/>
    <xdr:pic>
      <xdr:nvPicPr>
        <xdr:cNvPr id="42" name="Grafik 41">
          <a:hlinkClick xmlns:r="http://schemas.openxmlformats.org/officeDocument/2006/relationships" r:id="rId54"/>
          <a:extLst>
            <a:ext uri="{FF2B5EF4-FFF2-40B4-BE49-F238E27FC236}">
              <a16:creationId xmlns:a16="http://schemas.microsoft.com/office/drawing/2014/main" id="{B6B6073A-D4B5-454C-8762-6FD2C1C436C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67989450"/>
          <a:ext cx="381000" cy="160020"/>
        </a:xfrm>
        <a:prstGeom prst="rect">
          <a:avLst/>
        </a:prstGeom>
      </xdr:spPr>
    </xdr:pic>
    <xdr:clientData/>
  </xdr:oneCellAnchor>
  <xdr:oneCellAnchor>
    <xdr:from>
      <xdr:col>5</xdr:col>
      <xdr:colOff>266700</xdr:colOff>
      <xdr:row>998</xdr:row>
      <xdr:rowOff>0</xdr:rowOff>
    </xdr:from>
    <xdr:ext cx="381000" cy="160020"/>
    <xdr:pic>
      <xdr:nvPicPr>
        <xdr:cNvPr id="43" name="Grafik 42">
          <a:hlinkClick xmlns:r="http://schemas.openxmlformats.org/officeDocument/2006/relationships" r:id="rId55"/>
          <a:extLst>
            <a:ext uri="{FF2B5EF4-FFF2-40B4-BE49-F238E27FC236}">
              <a16:creationId xmlns:a16="http://schemas.microsoft.com/office/drawing/2014/main" id="{9034F232-01CF-49CF-AD39-E4A3A940C89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68726050"/>
          <a:ext cx="381000" cy="160020"/>
        </a:xfrm>
        <a:prstGeom prst="rect">
          <a:avLst/>
        </a:prstGeom>
      </xdr:spPr>
    </xdr:pic>
    <xdr:clientData/>
  </xdr:oneCellAnchor>
  <xdr:oneCellAnchor>
    <xdr:from>
      <xdr:col>5</xdr:col>
      <xdr:colOff>266700</xdr:colOff>
      <xdr:row>1254</xdr:row>
      <xdr:rowOff>0</xdr:rowOff>
    </xdr:from>
    <xdr:ext cx="381000" cy="160020"/>
    <xdr:pic>
      <xdr:nvPicPr>
        <xdr:cNvPr id="44" name="Grafik 43">
          <a:hlinkClick xmlns:r="http://schemas.openxmlformats.org/officeDocument/2006/relationships" r:id="rId56"/>
          <a:extLst>
            <a:ext uri="{FF2B5EF4-FFF2-40B4-BE49-F238E27FC236}">
              <a16:creationId xmlns:a16="http://schemas.microsoft.com/office/drawing/2014/main" id="{ADDE1ADD-2732-4C42-91CF-E8710B8DA88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69462650"/>
          <a:ext cx="381000" cy="160020"/>
        </a:xfrm>
        <a:prstGeom prst="rect">
          <a:avLst/>
        </a:prstGeom>
      </xdr:spPr>
    </xdr:pic>
    <xdr:clientData/>
  </xdr:oneCellAnchor>
  <xdr:oneCellAnchor>
    <xdr:from>
      <xdr:col>5</xdr:col>
      <xdr:colOff>266700</xdr:colOff>
      <xdr:row>1270</xdr:row>
      <xdr:rowOff>0</xdr:rowOff>
    </xdr:from>
    <xdr:ext cx="381000" cy="160020"/>
    <xdr:pic>
      <xdr:nvPicPr>
        <xdr:cNvPr id="45" name="Grafik 44">
          <a:hlinkClick xmlns:r="http://schemas.openxmlformats.org/officeDocument/2006/relationships" r:id="rId57"/>
          <a:extLst>
            <a:ext uri="{FF2B5EF4-FFF2-40B4-BE49-F238E27FC236}">
              <a16:creationId xmlns:a16="http://schemas.microsoft.com/office/drawing/2014/main" id="{D7042663-5081-4459-8712-EC3FCC73CAC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0199250"/>
          <a:ext cx="381000" cy="160020"/>
        </a:xfrm>
        <a:prstGeom prst="rect">
          <a:avLst/>
        </a:prstGeom>
      </xdr:spPr>
    </xdr:pic>
    <xdr:clientData/>
  </xdr:oneCellAnchor>
  <xdr:oneCellAnchor>
    <xdr:from>
      <xdr:col>5</xdr:col>
      <xdr:colOff>266700</xdr:colOff>
      <xdr:row>1286</xdr:row>
      <xdr:rowOff>0</xdr:rowOff>
    </xdr:from>
    <xdr:ext cx="381000" cy="160020"/>
    <xdr:pic>
      <xdr:nvPicPr>
        <xdr:cNvPr id="46" name="Grafik 45">
          <a:hlinkClick xmlns:r="http://schemas.openxmlformats.org/officeDocument/2006/relationships" r:id="rId58"/>
          <a:extLst>
            <a:ext uri="{FF2B5EF4-FFF2-40B4-BE49-F238E27FC236}">
              <a16:creationId xmlns:a16="http://schemas.microsoft.com/office/drawing/2014/main" id="{C1506ABA-3957-4B44-B6FE-6424B2ACB63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0935850"/>
          <a:ext cx="381000" cy="160020"/>
        </a:xfrm>
        <a:prstGeom prst="rect">
          <a:avLst/>
        </a:prstGeom>
      </xdr:spPr>
    </xdr:pic>
    <xdr:clientData/>
  </xdr:oneCellAnchor>
  <xdr:oneCellAnchor>
    <xdr:from>
      <xdr:col>5</xdr:col>
      <xdr:colOff>266700</xdr:colOff>
      <xdr:row>1359</xdr:row>
      <xdr:rowOff>0</xdr:rowOff>
    </xdr:from>
    <xdr:ext cx="381000" cy="160020"/>
    <xdr:pic>
      <xdr:nvPicPr>
        <xdr:cNvPr id="47" name="Grafik 46">
          <a:hlinkClick xmlns:r="http://schemas.openxmlformats.org/officeDocument/2006/relationships" r:id="rId59"/>
          <a:extLst>
            <a:ext uri="{FF2B5EF4-FFF2-40B4-BE49-F238E27FC236}">
              <a16:creationId xmlns:a16="http://schemas.microsoft.com/office/drawing/2014/main" id="{1E40DBD4-26CB-469E-9A96-128FDF205B09}"/>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1672450"/>
          <a:ext cx="381000" cy="160020"/>
        </a:xfrm>
        <a:prstGeom prst="rect">
          <a:avLst/>
        </a:prstGeom>
      </xdr:spPr>
    </xdr:pic>
    <xdr:clientData/>
  </xdr:oneCellAnchor>
  <xdr:oneCellAnchor>
    <xdr:from>
      <xdr:col>5</xdr:col>
      <xdr:colOff>266700</xdr:colOff>
      <xdr:row>1367</xdr:row>
      <xdr:rowOff>0</xdr:rowOff>
    </xdr:from>
    <xdr:ext cx="381000" cy="160020"/>
    <xdr:pic>
      <xdr:nvPicPr>
        <xdr:cNvPr id="48" name="Grafik 47">
          <a:hlinkClick xmlns:r="http://schemas.openxmlformats.org/officeDocument/2006/relationships" r:id="rId60"/>
          <a:extLst>
            <a:ext uri="{FF2B5EF4-FFF2-40B4-BE49-F238E27FC236}">
              <a16:creationId xmlns:a16="http://schemas.microsoft.com/office/drawing/2014/main" id="{368DFA3A-12A5-4A3B-BAC6-82DE9970E0A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2409050"/>
          <a:ext cx="381000" cy="160020"/>
        </a:xfrm>
        <a:prstGeom prst="rect">
          <a:avLst/>
        </a:prstGeom>
      </xdr:spPr>
    </xdr:pic>
    <xdr:clientData/>
  </xdr:oneCellAnchor>
  <xdr:oneCellAnchor>
    <xdr:from>
      <xdr:col>5</xdr:col>
      <xdr:colOff>266700</xdr:colOff>
      <xdr:row>1422</xdr:row>
      <xdr:rowOff>0</xdr:rowOff>
    </xdr:from>
    <xdr:ext cx="381000" cy="160020"/>
    <xdr:pic>
      <xdr:nvPicPr>
        <xdr:cNvPr id="49" name="Grafik 48">
          <a:hlinkClick xmlns:r="http://schemas.openxmlformats.org/officeDocument/2006/relationships" r:id="rId61"/>
          <a:extLst>
            <a:ext uri="{FF2B5EF4-FFF2-40B4-BE49-F238E27FC236}">
              <a16:creationId xmlns:a16="http://schemas.microsoft.com/office/drawing/2014/main" id="{B5010A4F-DBBF-4087-9705-C3810F61B70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3145650"/>
          <a:ext cx="381000" cy="160020"/>
        </a:xfrm>
        <a:prstGeom prst="rect">
          <a:avLst/>
        </a:prstGeom>
      </xdr:spPr>
    </xdr:pic>
    <xdr:clientData/>
  </xdr:oneCellAnchor>
  <xdr:oneCellAnchor>
    <xdr:from>
      <xdr:col>5</xdr:col>
      <xdr:colOff>266700</xdr:colOff>
      <xdr:row>1449</xdr:row>
      <xdr:rowOff>0</xdr:rowOff>
    </xdr:from>
    <xdr:ext cx="381000" cy="160020"/>
    <xdr:pic>
      <xdr:nvPicPr>
        <xdr:cNvPr id="50" name="Grafik 49">
          <a:hlinkClick xmlns:r="http://schemas.openxmlformats.org/officeDocument/2006/relationships" r:id="rId62"/>
          <a:extLst>
            <a:ext uri="{FF2B5EF4-FFF2-40B4-BE49-F238E27FC236}">
              <a16:creationId xmlns:a16="http://schemas.microsoft.com/office/drawing/2014/main" id="{F04505B2-AF1B-4BFE-87BA-8D0F5BBA48F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3882250"/>
          <a:ext cx="381000" cy="160020"/>
        </a:xfrm>
        <a:prstGeom prst="rect">
          <a:avLst/>
        </a:prstGeom>
      </xdr:spPr>
    </xdr:pic>
    <xdr:clientData/>
  </xdr:oneCellAnchor>
  <xdr:oneCellAnchor>
    <xdr:from>
      <xdr:col>5</xdr:col>
      <xdr:colOff>266700</xdr:colOff>
      <xdr:row>1577</xdr:row>
      <xdr:rowOff>0</xdr:rowOff>
    </xdr:from>
    <xdr:ext cx="381000" cy="160020"/>
    <xdr:pic>
      <xdr:nvPicPr>
        <xdr:cNvPr id="51" name="Grafik 50">
          <a:hlinkClick xmlns:r="http://schemas.openxmlformats.org/officeDocument/2006/relationships" r:id="rId63"/>
          <a:extLst>
            <a:ext uri="{FF2B5EF4-FFF2-40B4-BE49-F238E27FC236}">
              <a16:creationId xmlns:a16="http://schemas.microsoft.com/office/drawing/2014/main" id="{3F67C670-969C-49F9-959A-E3889FD5793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74809350"/>
          <a:ext cx="381000" cy="160020"/>
        </a:xfrm>
        <a:prstGeom prst="rect">
          <a:avLst/>
        </a:prstGeom>
      </xdr:spPr>
    </xdr:pic>
    <xdr:clientData/>
  </xdr:oneCellAnchor>
  <xdr:oneCellAnchor>
    <xdr:from>
      <xdr:col>5</xdr:col>
      <xdr:colOff>266700</xdr:colOff>
      <xdr:row>1708</xdr:row>
      <xdr:rowOff>0</xdr:rowOff>
    </xdr:from>
    <xdr:ext cx="381000" cy="160020"/>
    <xdr:pic>
      <xdr:nvPicPr>
        <xdr:cNvPr id="52" name="Grafik 51">
          <a:hlinkClick xmlns:r="http://schemas.openxmlformats.org/officeDocument/2006/relationships" r:id="rId64"/>
          <a:extLst>
            <a:ext uri="{FF2B5EF4-FFF2-40B4-BE49-F238E27FC236}">
              <a16:creationId xmlns:a16="http://schemas.microsoft.com/office/drawing/2014/main" id="{FDF52A47-8EFB-48A2-86D4-6E81C67AE85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1349950"/>
          <a:ext cx="381000" cy="160020"/>
        </a:xfrm>
        <a:prstGeom prst="rect">
          <a:avLst/>
        </a:prstGeom>
      </xdr:spPr>
    </xdr:pic>
    <xdr:clientData/>
  </xdr:oneCellAnchor>
  <xdr:oneCellAnchor>
    <xdr:from>
      <xdr:col>5</xdr:col>
      <xdr:colOff>266700</xdr:colOff>
      <xdr:row>1858</xdr:row>
      <xdr:rowOff>0</xdr:rowOff>
    </xdr:from>
    <xdr:ext cx="381000" cy="160020"/>
    <xdr:pic>
      <xdr:nvPicPr>
        <xdr:cNvPr id="53" name="Grafik 52">
          <a:hlinkClick xmlns:r="http://schemas.openxmlformats.org/officeDocument/2006/relationships" r:id="rId65"/>
          <a:extLst>
            <a:ext uri="{FF2B5EF4-FFF2-40B4-BE49-F238E27FC236}">
              <a16:creationId xmlns:a16="http://schemas.microsoft.com/office/drawing/2014/main" id="{F9A00A22-1CAF-41AC-B125-1255DDEBA26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3013650"/>
          <a:ext cx="381000" cy="160020"/>
        </a:xfrm>
        <a:prstGeom prst="rect">
          <a:avLst/>
        </a:prstGeom>
      </xdr:spPr>
    </xdr:pic>
    <xdr:clientData/>
  </xdr:oneCellAnchor>
  <xdr:twoCellAnchor editAs="oneCell">
    <xdr:from>
      <xdr:col>1</xdr:col>
      <xdr:colOff>12701</xdr:colOff>
      <xdr:row>301</xdr:row>
      <xdr:rowOff>12700</xdr:rowOff>
    </xdr:from>
    <xdr:to>
      <xdr:col>1</xdr:col>
      <xdr:colOff>488951</xdr:colOff>
      <xdr:row>327</xdr:row>
      <xdr:rowOff>3810</xdr:rowOff>
    </xdr:to>
    <xdr:pic>
      <xdr:nvPicPr>
        <xdr:cNvPr id="54" name="Grafik 53">
          <a:hlinkClick xmlns:r="http://schemas.openxmlformats.org/officeDocument/2006/relationships" r:id="rId66"/>
          <a:extLst>
            <a:ext uri="{FF2B5EF4-FFF2-40B4-BE49-F238E27FC236}">
              <a16:creationId xmlns:a16="http://schemas.microsoft.com/office/drawing/2014/main" id="{655A4034-7775-40D7-94D8-7CF4B8286EA7}"/>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11151" y="50317400"/>
          <a:ext cx="476250" cy="365760"/>
        </a:xfrm>
        <a:prstGeom prst="rect">
          <a:avLst/>
        </a:prstGeom>
      </xdr:spPr>
    </xdr:pic>
    <xdr:clientData/>
  </xdr:twoCellAnchor>
  <xdr:twoCellAnchor editAs="oneCell">
    <xdr:from>
      <xdr:col>1</xdr:col>
      <xdr:colOff>12700</xdr:colOff>
      <xdr:row>1253</xdr:row>
      <xdr:rowOff>12700</xdr:rowOff>
    </xdr:from>
    <xdr:to>
      <xdr:col>1</xdr:col>
      <xdr:colOff>488950</xdr:colOff>
      <xdr:row>1267</xdr:row>
      <xdr:rowOff>10160</xdr:rowOff>
    </xdr:to>
    <xdr:pic>
      <xdr:nvPicPr>
        <xdr:cNvPr id="56" name="Grafik 55">
          <a:hlinkClick xmlns:r="http://schemas.openxmlformats.org/officeDocument/2006/relationships" r:id="rId68"/>
          <a:extLst>
            <a:ext uri="{FF2B5EF4-FFF2-40B4-BE49-F238E27FC236}">
              <a16:creationId xmlns:a16="http://schemas.microsoft.com/office/drawing/2014/main" id="{463B3BCF-DA7B-467E-AE5E-2676D5B53716}"/>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11150" y="69291200"/>
          <a:ext cx="476250" cy="365760"/>
        </a:xfrm>
        <a:prstGeom prst="rect">
          <a:avLst/>
        </a:prstGeom>
      </xdr:spPr>
    </xdr:pic>
    <xdr:clientData/>
  </xdr:twoCellAnchor>
  <xdr:twoCellAnchor editAs="oneCell">
    <xdr:from>
      <xdr:col>1</xdr:col>
      <xdr:colOff>12725</xdr:colOff>
      <xdr:row>6</xdr:row>
      <xdr:rowOff>12700</xdr:rowOff>
    </xdr:from>
    <xdr:to>
      <xdr:col>1</xdr:col>
      <xdr:colOff>488975</xdr:colOff>
      <xdr:row>107</xdr:row>
      <xdr:rowOff>10160</xdr:rowOff>
    </xdr:to>
    <xdr:pic>
      <xdr:nvPicPr>
        <xdr:cNvPr id="58" name="Grafik 57">
          <a:hlinkClick xmlns:r="http://schemas.openxmlformats.org/officeDocument/2006/relationships" r:id="rId70"/>
          <a:extLst>
            <a:ext uri="{FF2B5EF4-FFF2-40B4-BE49-F238E27FC236}">
              <a16:creationId xmlns:a16="http://schemas.microsoft.com/office/drawing/2014/main" id="{220CEA4E-2A1F-45C9-8A33-1A5209EB12B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11175" y="965200"/>
          <a:ext cx="476250" cy="365760"/>
        </a:xfrm>
        <a:prstGeom prst="rect">
          <a:avLst/>
        </a:prstGeom>
      </xdr:spPr>
    </xdr:pic>
    <xdr:clientData/>
  </xdr:twoCellAnchor>
  <xdr:oneCellAnchor>
    <xdr:from>
      <xdr:col>5</xdr:col>
      <xdr:colOff>266700</xdr:colOff>
      <xdr:row>2541</xdr:row>
      <xdr:rowOff>0</xdr:rowOff>
    </xdr:from>
    <xdr:ext cx="381000" cy="160020"/>
    <xdr:pic>
      <xdr:nvPicPr>
        <xdr:cNvPr id="55" name="Grafik 54">
          <a:hlinkClick xmlns:r="http://schemas.openxmlformats.org/officeDocument/2006/relationships" r:id="rId72"/>
          <a:extLst>
            <a:ext uri="{FF2B5EF4-FFF2-40B4-BE49-F238E27FC236}">
              <a16:creationId xmlns:a16="http://schemas.microsoft.com/office/drawing/2014/main" id="{3E92FE2C-26AB-4A17-B8A5-5A58CE82F35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7617400"/>
          <a:ext cx="381000" cy="160020"/>
        </a:xfrm>
        <a:prstGeom prst="rect">
          <a:avLst/>
        </a:prstGeom>
      </xdr:spPr>
    </xdr:pic>
    <xdr:clientData/>
  </xdr:oneCellAnchor>
  <xdr:twoCellAnchor editAs="oneCell">
    <xdr:from>
      <xdr:col>14</xdr:col>
      <xdr:colOff>19050</xdr:colOff>
      <xdr:row>999</xdr:row>
      <xdr:rowOff>88900</xdr:rowOff>
    </xdr:from>
    <xdr:to>
      <xdr:col>16</xdr:col>
      <xdr:colOff>514350</xdr:colOff>
      <xdr:row>1267</xdr:row>
      <xdr:rowOff>95504</xdr:rowOff>
    </xdr:to>
    <xdr:pic>
      <xdr:nvPicPr>
        <xdr:cNvPr id="7" name="Grafik 6" descr="Thomas Freitag, Benjamin Kasper, Oliver Hecke">
          <a:extLst>
            <a:ext uri="{FF2B5EF4-FFF2-40B4-BE49-F238E27FC236}">
              <a16:creationId xmlns:a16="http://schemas.microsoft.com/office/drawing/2014/main" id="{C9B20502-309F-4E68-BDAF-88B96FA0312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1938000" y="8966200"/>
          <a:ext cx="1600200" cy="832104"/>
        </a:xfrm>
        <a:prstGeom prst="rect">
          <a:avLst/>
        </a:prstGeom>
      </xdr:spPr>
    </xdr:pic>
    <xdr:clientData/>
  </xdr:twoCellAnchor>
  <xdr:oneCellAnchor>
    <xdr:from>
      <xdr:col>5</xdr:col>
      <xdr:colOff>266700</xdr:colOff>
      <xdr:row>2465</xdr:row>
      <xdr:rowOff>0</xdr:rowOff>
    </xdr:from>
    <xdr:ext cx="381000" cy="160020"/>
    <xdr:pic>
      <xdr:nvPicPr>
        <xdr:cNvPr id="59" name="Grafik 58">
          <a:hlinkClick xmlns:r="http://schemas.openxmlformats.org/officeDocument/2006/relationships" r:id="rId74"/>
          <a:extLst>
            <a:ext uri="{FF2B5EF4-FFF2-40B4-BE49-F238E27FC236}">
              <a16:creationId xmlns:a16="http://schemas.microsoft.com/office/drawing/2014/main" id="{D9862360-0F7C-49F4-A6D3-B619FCF86CB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6328350"/>
          <a:ext cx="381000" cy="160020"/>
        </a:xfrm>
        <a:prstGeom prst="rect">
          <a:avLst/>
        </a:prstGeom>
      </xdr:spPr>
    </xdr:pic>
    <xdr:clientData/>
  </xdr:oneCellAnchor>
  <xdr:twoCellAnchor editAs="oneCell">
    <xdr:from>
      <xdr:col>1</xdr:col>
      <xdr:colOff>12725</xdr:colOff>
      <xdr:row>2464</xdr:row>
      <xdr:rowOff>12700</xdr:rowOff>
    </xdr:from>
    <xdr:to>
      <xdr:col>1</xdr:col>
      <xdr:colOff>488975</xdr:colOff>
      <xdr:row>2535</xdr:row>
      <xdr:rowOff>10160</xdr:rowOff>
    </xdr:to>
    <xdr:pic>
      <xdr:nvPicPr>
        <xdr:cNvPr id="8" name="Grafik 7">
          <a:hlinkClick xmlns:r="http://schemas.openxmlformats.org/officeDocument/2006/relationships" r:id="rId75"/>
          <a:extLst>
            <a:ext uri="{FF2B5EF4-FFF2-40B4-BE49-F238E27FC236}">
              <a16:creationId xmlns:a16="http://schemas.microsoft.com/office/drawing/2014/main" id="{91A0FC36-121D-4901-A3F2-934E1891625F}"/>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11175" y="36156900"/>
          <a:ext cx="476250" cy="365760"/>
        </a:xfrm>
        <a:prstGeom prst="rect">
          <a:avLst/>
        </a:prstGeom>
      </xdr:spPr>
    </xdr:pic>
    <xdr:clientData/>
  </xdr:twoCellAnchor>
  <xdr:oneCellAnchor>
    <xdr:from>
      <xdr:col>5</xdr:col>
      <xdr:colOff>266700</xdr:colOff>
      <xdr:row>1836</xdr:row>
      <xdr:rowOff>0</xdr:rowOff>
    </xdr:from>
    <xdr:ext cx="381000" cy="160020"/>
    <xdr:pic>
      <xdr:nvPicPr>
        <xdr:cNvPr id="62" name="Grafik 61">
          <a:hlinkClick xmlns:r="http://schemas.openxmlformats.org/officeDocument/2006/relationships" r:id="rId77"/>
          <a:extLst>
            <a:ext uri="{FF2B5EF4-FFF2-40B4-BE49-F238E27FC236}">
              <a16:creationId xmlns:a16="http://schemas.microsoft.com/office/drawing/2014/main" id="{DAD7D358-706F-48E0-ACEE-1F653DF93B1E}"/>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2277050"/>
          <a:ext cx="381000" cy="160020"/>
        </a:xfrm>
        <a:prstGeom prst="rect">
          <a:avLst/>
        </a:prstGeom>
      </xdr:spPr>
    </xdr:pic>
    <xdr:clientData/>
  </xdr:oneCellAnchor>
  <xdr:twoCellAnchor editAs="oneCell">
    <xdr:from>
      <xdr:col>1</xdr:col>
      <xdr:colOff>12725</xdr:colOff>
      <xdr:row>1835</xdr:row>
      <xdr:rowOff>12700</xdr:rowOff>
    </xdr:from>
    <xdr:to>
      <xdr:col>1</xdr:col>
      <xdr:colOff>488975</xdr:colOff>
      <xdr:row>1855</xdr:row>
      <xdr:rowOff>10160</xdr:rowOff>
    </xdr:to>
    <xdr:pic>
      <xdr:nvPicPr>
        <xdr:cNvPr id="12" name="Grafik 11">
          <a:hlinkClick xmlns:r="http://schemas.openxmlformats.org/officeDocument/2006/relationships" r:id="rId78"/>
          <a:extLst>
            <a:ext uri="{FF2B5EF4-FFF2-40B4-BE49-F238E27FC236}">
              <a16:creationId xmlns:a16="http://schemas.microsoft.com/office/drawing/2014/main" id="{247A8205-82F0-4F8B-BA65-825118F9F30A}"/>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11175" y="32105600"/>
          <a:ext cx="476250" cy="365760"/>
        </a:xfrm>
        <a:prstGeom prst="rect">
          <a:avLst/>
        </a:prstGeom>
      </xdr:spPr>
    </xdr:pic>
    <xdr:clientData/>
  </xdr:twoCellAnchor>
  <xdr:oneCellAnchor>
    <xdr:from>
      <xdr:col>5</xdr:col>
      <xdr:colOff>266700</xdr:colOff>
      <xdr:row>521</xdr:row>
      <xdr:rowOff>0</xdr:rowOff>
    </xdr:from>
    <xdr:ext cx="381000" cy="160020"/>
    <xdr:pic>
      <xdr:nvPicPr>
        <xdr:cNvPr id="63" name="Grafik 62">
          <a:hlinkClick xmlns:r="http://schemas.openxmlformats.org/officeDocument/2006/relationships" r:id="rId80"/>
          <a:extLst>
            <a:ext uri="{FF2B5EF4-FFF2-40B4-BE49-F238E27FC236}">
              <a16:creationId xmlns:a16="http://schemas.microsoft.com/office/drawing/2014/main" id="{42961562-2580-487F-BC18-78FE9DDC41D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4273550"/>
          <a:ext cx="381000" cy="160020"/>
        </a:xfrm>
        <a:prstGeom prst="rect">
          <a:avLst/>
        </a:prstGeom>
      </xdr:spPr>
    </xdr:pic>
    <xdr:clientData/>
  </xdr:oneCellAnchor>
  <xdr:twoCellAnchor editAs="oneCell">
    <xdr:from>
      <xdr:col>1</xdr:col>
      <xdr:colOff>12725</xdr:colOff>
      <xdr:row>520</xdr:row>
      <xdr:rowOff>12700</xdr:rowOff>
    </xdr:from>
    <xdr:to>
      <xdr:col>1</xdr:col>
      <xdr:colOff>488975</xdr:colOff>
      <xdr:row>532</xdr:row>
      <xdr:rowOff>10160</xdr:rowOff>
    </xdr:to>
    <xdr:pic>
      <xdr:nvPicPr>
        <xdr:cNvPr id="57" name="Grafik 56">
          <a:hlinkClick xmlns:r="http://schemas.openxmlformats.org/officeDocument/2006/relationships" r:id="rId81"/>
          <a:extLst>
            <a:ext uri="{FF2B5EF4-FFF2-40B4-BE49-F238E27FC236}">
              <a16:creationId xmlns:a16="http://schemas.microsoft.com/office/drawing/2014/main" id="{8AB4B7C0-37E6-4FDF-A549-1AC440E6D6D5}"/>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11175" y="6864350"/>
          <a:ext cx="476250" cy="365760"/>
        </a:xfrm>
        <a:prstGeom prst="rect">
          <a:avLst/>
        </a:prstGeom>
      </xdr:spPr>
    </xdr:pic>
    <xdr:clientData/>
  </xdr:twoCellAnchor>
  <xdr:twoCellAnchor editAs="oneCell">
    <xdr:from>
      <xdr:col>2</xdr:col>
      <xdr:colOff>25425</xdr:colOff>
      <xdr:row>2428</xdr:row>
      <xdr:rowOff>44450</xdr:rowOff>
    </xdr:from>
    <xdr:to>
      <xdr:col>2</xdr:col>
      <xdr:colOff>501675</xdr:colOff>
      <xdr:row>2460</xdr:row>
      <xdr:rowOff>107950</xdr:rowOff>
    </xdr:to>
    <xdr:pic>
      <xdr:nvPicPr>
        <xdr:cNvPr id="17" name="Grafik 16">
          <a:extLst>
            <a:ext uri="{FF2B5EF4-FFF2-40B4-BE49-F238E27FC236}">
              <a16:creationId xmlns:a16="http://schemas.microsoft.com/office/drawing/2014/main" id="{34877872-D1BE-494D-9B06-AB191B1E4D22}"/>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825525" y="34715450"/>
          <a:ext cx="476250" cy="476250"/>
        </a:xfrm>
        <a:prstGeom prst="rect">
          <a:avLst/>
        </a:prstGeom>
      </xdr:spPr>
    </xdr:pic>
    <xdr:clientData/>
  </xdr:twoCellAnchor>
  <xdr:twoCellAnchor editAs="oneCell">
    <xdr:from>
      <xdr:col>2</xdr:col>
      <xdr:colOff>25425</xdr:colOff>
      <xdr:row>2373</xdr:row>
      <xdr:rowOff>31750</xdr:rowOff>
    </xdr:from>
    <xdr:to>
      <xdr:col>2</xdr:col>
      <xdr:colOff>501675</xdr:colOff>
      <xdr:row>2460</xdr:row>
      <xdr:rowOff>107950</xdr:rowOff>
    </xdr:to>
    <xdr:pic>
      <xdr:nvPicPr>
        <xdr:cNvPr id="61" name="Grafik 60">
          <a:extLst>
            <a:ext uri="{FF2B5EF4-FFF2-40B4-BE49-F238E27FC236}">
              <a16:creationId xmlns:a16="http://schemas.microsoft.com/office/drawing/2014/main" id="{F31BB87D-8A1E-42E1-AF34-91821293981F}"/>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825525" y="27889200"/>
          <a:ext cx="476250" cy="476250"/>
        </a:xfrm>
        <a:prstGeom prst="rect">
          <a:avLst/>
        </a:prstGeom>
      </xdr:spPr>
    </xdr:pic>
    <xdr:clientData/>
  </xdr:twoCellAnchor>
  <xdr:twoCellAnchor editAs="oneCell">
    <xdr:from>
      <xdr:col>2</xdr:col>
      <xdr:colOff>25400</xdr:colOff>
      <xdr:row>2142</xdr:row>
      <xdr:rowOff>50800</xdr:rowOff>
    </xdr:from>
    <xdr:to>
      <xdr:col>2</xdr:col>
      <xdr:colOff>508000</xdr:colOff>
      <xdr:row>2369</xdr:row>
      <xdr:rowOff>114300</xdr:rowOff>
    </xdr:to>
    <xdr:pic>
      <xdr:nvPicPr>
        <xdr:cNvPr id="67" name="Grafik 66">
          <a:extLst>
            <a:ext uri="{FF2B5EF4-FFF2-40B4-BE49-F238E27FC236}">
              <a16:creationId xmlns:a16="http://schemas.microsoft.com/office/drawing/2014/main" id="{1E95811B-D0F0-48D0-AFFD-95BA6630C196}"/>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825500" y="20726400"/>
          <a:ext cx="482600" cy="482600"/>
        </a:xfrm>
        <a:prstGeom prst="rect">
          <a:avLst/>
        </a:prstGeom>
      </xdr:spPr>
    </xdr:pic>
    <xdr:clientData/>
  </xdr:twoCellAnchor>
  <xdr:oneCellAnchor>
    <xdr:from>
      <xdr:col>5</xdr:col>
      <xdr:colOff>266700</xdr:colOff>
      <xdr:row>2074</xdr:row>
      <xdr:rowOff>0</xdr:rowOff>
    </xdr:from>
    <xdr:ext cx="381000" cy="160020"/>
    <xdr:pic>
      <xdr:nvPicPr>
        <xdr:cNvPr id="66" name="Grafik 65">
          <a:hlinkClick xmlns:r="http://schemas.openxmlformats.org/officeDocument/2006/relationships" r:id="rId86"/>
          <a:extLst>
            <a:ext uri="{FF2B5EF4-FFF2-40B4-BE49-F238E27FC236}">
              <a16:creationId xmlns:a16="http://schemas.microsoft.com/office/drawing/2014/main" id="{C64A469F-BAAE-4314-8A65-CD35A402742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7176750"/>
          <a:ext cx="381000" cy="160020"/>
        </a:xfrm>
        <a:prstGeom prst="rect">
          <a:avLst/>
        </a:prstGeom>
      </xdr:spPr>
    </xdr:pic>
    <xdr:clientData/>
  </xdr:oneCellAnchor>
  <xdr:oneCellAnchor>
    <xdr:from>
      <xdr:col>5</xdr:col>
      <xdr:colOff>266700</xdr:colOff>
      <xdr:row>2095</xdr:row>
      <xdr:rowOff>0</xdr:rowOff>
    </xdr:from>
    <xdr:ext cx="381000" cy="160020"/>
    <xdr:pic>
      <xdr:nvPicPr>
        <xdr:cNvPr id="69" name="Grafik 68">
          <a:hlinkClick xmlns:r="http://schemas.openxmlformats.org/officeDocument/2006/relationships" r:id="rId87"/>
          <a:extLst>
            <a:ext uri="{FF2B5EF4-FFF2-40B4-BE49-F238E27FC236}">
              <a16:creationId xmlns:a16="http://schemas.microsoft.com/office/drawing/2014/main" id="{35036ED5-545C-4849-BFD2-1F34FA22815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0803850"/>
          <a:ext cx="381000" cy="160020"/>
        </a:xfrm>
        <a:prstGeom prst="rect">
          <a:avLst/>
        </a:prstGeom>
      </xdr:spPr>
    </xdr:pic>
    <xdr:clientData/>
  </xdr:oneCellAnchor>
  <xdr:twoCellAnchor editAs="oneCell">
    <xdr:from>
      <xdr:col>1</xdr:col>
      <xdr:colOff>12700</xdr:colOff>
      <xdr:row>2094</xdr:row>
      <xdr:rowOff>12700</xdr:rowOff>
    </xdr:from>
    <xdr:to>
      <xdr:col>1</xdr:col>
      <xdr:colOff>488950</xdr:colOff>
      <xdr:row>2114</xdr:row>
      <xdr:rowOff>10160</xdr:rowOff>
    </xdr:to>
    <xdr:pic>
      <xdr:nvPicPr>
        <xdr:cNvPr id="28" name="Grafik 27">
          <a:hlinkClick xmlns:r="http://schemas.openxmlformats.org/officeDocument/2006/relationships" r:id="rId88"/>
          <a:extLst>
            <a:ext uri="{FF2B5EF4-FFF2-40B4-BE49-F238E27FC236}">
              <a16:creationId xmlns:a16="http://schemas.microsoft.com/office/drawing/2014/main" id="{939BB3F6-C814-4FC6-0451-4EC08F3F9CD2}"/>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11150" y="19399250"/>
          <a:ext cx="476250" cy="365760"/>
        </a:xfrm>
        <a:prstGeom prst="rect">
          <a:avLst/>
        </a:prstGeom>
      </xdr:spPr>
    </xdr:pic>
    <xdr:clientData/>
  </xdr:twoCellAnchor>
  <xdr:twoCellAnchor editAs="oneCell">
    <xdr:from>
      <xdr:col>1</xdr:col>
      <xdr:colOff>12700</xdr:colOff>
      <xdr:row>2073</xdr:row>
      <xdr:rowOff>12700</xdr:rowOff>
    </xdr:from>
    <xdr:to>
      <xdr:col>1</xdr:col>
      <xdr:colOff>488950</xdr:colOff>
      <xdr:row>2092</xdr:row>
      <xdr:rowOff>10160</xdr:rowOff>
    </xdr:to>
    <xdr:pic>
      <xdr:nvPicPr>
        <xdr:cNvPr id="64" name="Grafik 63">
          <a:hlinkClick xmlns:r="http://schemas.openxmlformats.org/officeDocument/2006/relationships" r:id="rId90"/>
          <a:extLst>
            <a:ext uri="{FF2B5EF4-FFF2-40B4-BE49-F238E27FC236}">
              <a16:creationId xmlns:a16="http://schemas.microsoft.com/office/drawing/2014/main" id="{36EBD6C1-CA0A-3DC7-E21D-A4C6FBA6E73D}"/>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11150" y="17741900"/>
          <a:ext cx="476250" cy="365760"/>
        </a:xfrm>
        <a:prstGeom prst="rect">
          <a:avLst/>
        </a:prstGeom>
      </xdr:spPr>
    </xdr:pic>
    <xdr:clientData/>
  </xdr:twoCellAnchor>
  <xdr:oneCellAnchor>
    <xdr:from>
      <xdr:col>5</xdr:col>
      <xdr:colOff>266700</xdr:colOff>
      <xdr:row>1298</xdr:row>
      <xdr:rowOff>0</xdr:rowOff>
    </xdr:from>
    <xdr:ext cx="381000" cy="160020"/>
    <xdr:pic>
      <xdr:nvPicPr>
        <xdr:cNvPr id="60" name="Grafik 59">
          <a:hlinkClick xmlns:r="http://schemas.openxmlformats.org/officeDocument/2006/relationships" r:id="rId92"/>
          <a:extLst>
            <a:ext uri="{FF2B5EF4-FFF2-40B4-BE49-F238E27FC236}">
              <a16:creationId xmlns:a16="http://schemas.microsoft.com/office/drawing/2014/main" id="{FDB42D01-9C08-4672-9C6D-B326C5ED2D0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0902950"/>
          <a:ext cx="381000" cy="160020"/>
        </a:xfrm>
        <a:prstGeom prst="rect">
          <a:avLst/>
        </a:prstGeom>
      </xdr:spPr>
    </xdr:pic>
    <xdr:clientData/>
  </xdr:oneCellAnchor>
  <xdr:twoCellAnchor editAs="oneCell">
    <xdr:from>
      <xdr:col>1</xdr:col>
      <xdr:colOff>12700</xdr:colOff>
      <xdr:row>1297</xdr:row>
      <xdr:rowOff>12700</xdr:rowOff>
    </xdr:from>
    <xdr:to>
      <xdr:col>1</xdr:col>
      <xdr:colOff>488950</xdr:colOff>
      <xdr:row>1356</xdr:row>
      <xdr:rowOff>10160</xdr:rowOff>
    </xdr:to>
    <xdr:pic>
      <xdr:nvPicPr>
        <xdr:cNvPr id="70" name="Grafik 69">
          <a:hlinkClick xmlns:r="http://schemas.openxmlformats.org/officeDocument/2006/relationships" r:id="rId93"/>
          <a:extLst>
            <a:ext uri="{FF2B5EF4-FFF2-40B4-BE49-F238E27FC236}">
              <a16:creationId xmlns:a16="http://schemas.microsoft.com/office/drawing/2014/main" id="{F9DF9635-B44C-0E4A-77CD-73CB8B7F70E4}"/>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11150" y="11468100"/>
          <a:ext cx="476250" cy="365760"/>
        </a:xfrm>
        <a:prstGeom prst="rect">
          <a:avLst/>
        </a:prstGeom>
      </xdr:spPr>
    </xdr:pic>
    <xdr:clientData/>
  </xdr:twoCellAnchor>
  <xdr:oneCellAnchor>
    <xdr:from>
      <xdr:col>5</xdr:col>
      <xdr:colOff>266700</xdr:colOff>
      <xdr:row>2060</xdr:row>
      <xdr:rowOff>0</xdr:rowOff>
    </xdr:from>
    <xdr:ext cx="381000" cy="160020"/>
    <xdr:pic>
      <xdr:nvPicPr>
        <xdr:cNvPr id="4" name="Grafik 3">
          <a:hlinkClick xmlns:r="http://schemas.openxmlformats.org/officeDocument/2006/relationships" r:id="rId95"/>
          <a:extLst>
            <a:ext uri="{FF2B5EF4-FFF2-40B4-BE49-F238E27FC236}">
              <a16:creationId xmlns:a16="http://schemas.microsoft.com/office/drawing/2014/main" id="{12A43EDC-C236-4830-AF88-74F4A9943E1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35407600"/>
          <a:ext cx="381000" cy="160020"/>
        </a:xfrm>
        <a:prstGeom prst="rect">
          <a:avLst/>
        </a:prstGeom>
      </xdr:spPr>
    </xdr:pic>
    <xdr:clientData/>
  </xdr:oneCellAnchor>
  <xdr:twoCellAnchor editAs="oneCell">
    <xdr:from>
      <xdr:col>1</xdr:col>
      <xdr:colOff>12700</xdr:colOff>
      <xdr:row>2059</xdr:row>
      <xdr:rowOff>12700</xdr:rowOff>
    </xdr:from>
    <xdr:to>
      <xdr:col>1</xdr:col>
      <xdr:colOff>488950</xdr:colOff>
      <xdr:row>2071</xdr:row>
      <xdr:rowOff>10160</xdr:rowOff>
    </xdr:to>
    <xdr:pic>
      <xdr:nvPicPr>
        <xdr:cNvPr id="72" name="Grafik 71">
          <a:hlinkClick xmlns:r="http://schemas.openxmlformats.org/officeDocument/2006/relationships" r:id="rId96"/>
          <a:extLst>
            <a:ext uri="{FF2B5EF4-FFF2-40B4-BE49-F238E27FC236}">
              <a16:creationId xmlns:a16="http://schemas.microsoft.com/office/drawing/2014/main" id="{1F5A762B-B8D7-DF3A-542E-4CA948F8BD6C}"/>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11150" y="18478500"/>
          <a:ext cx="476250" cy="365760"/>
        </a:xfrm>
        <a:prstGeom prst="rect">
          <a:avLst/>
        </a:prstGeom>
      </xdr:spPr>
    </xdr:pic>
    <xdr:clientData/>
  </xdr:twoCellAnchor>
  <xdr:oneCellAnchor>
    <xdr:from>
      <xdr:col>5</xdr:col>
      <xdr:colOff>266700</xdr:colOff>
      <xdr:row>1997</xdr:row>
      <xdr:rowOff>0</xdr:rowOff>
    </xdr:from>
    <xdr:ext cx="381000" cy="160020"/>
    <xdr:pic>
      <xdr:nvPicPr>
        <xdr:cNvPr id="68" name="Grafik 67">
          <a:extLst>
            <a:ext uri="{FF2B5EF4-FFF2-40B4-BE49-F238E27FC236}">
              <a16:creationId xmlns:a16="http://schemas.microsoft.com/office/drawing/2014/main" id="{DA5359F1-BCFC-4692-8141-33D81338A13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7913350"/>
          <a:ext cx="381000" cy="160020"/>
        </a:xfrm>
        <a:prstGeom prst="rect">
          <a:avLst/>
        </a:prstGeom>
      </xdr:spPr>
    </xdr:pic>
    <xdr:clientData/>
  </xdr:oneCellAnchor>
  <xdr:twoCellAnchor editAs="oneCell">
    <xdr:from>
      <xdr:col>1</xdr:col>
      <xdr:colOff>12700</xdr:colOff>
      <xdr:row>1996</xdr:row>
      <xdr:rowOff>12700</xdr:rowOff>
    </xdr:from>
    <xdr:to>
      <xdr:col>1</xdr:col>
      <xdr:colOff>488950</xdr:colOff>
      <xdr:row>2057</xdr:row>
      <xdr:rowOff>6350</xdr:rowOff>
    </xdr:to>
    <xdr:pic>
      <xdr:nvPicPr>
        <xdr:cNvPr id="71" name="Grafik 70">
          <a:extLst>
            <a:ext uri="{FF2B5EF4-FFF2-40B4-BE49-F238E27FC236}">
              <a16:creationId xmlns:a16="http://schemas.microsoft.com/office/drawing/2014/main" id="{E86AB9B3-9D7F-7081-5FD4-19ECD2EC2EAF}"/>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11150" y="18478500"/>
          <a:ext cx="476250" cy="361950"/>
        </a:xfrm>
        <a:prstGeom prst="rect">
          <a:avLst/>
        </a:prstGeom>
      </xdr:spPr>
    </xdr:pic>
    <xdr:clientData/>
  </xdr:twoCellAnchor>
  <xdr:twoCellAnchor editAs="oneCell">
    <xdr:from>
      <xdr:col>1</xdr:col>
      <xdr:colOff>12700</xdr:colOff>
      <xdr:row>1996</xdr:row>
      <xdr:rowOff>12700</xdr:rowOff>
    </xdr:from>
    <xdr:to>
      <xdr:col>1</xdr:col>
      <xdr:colOff>488950</xdr:colOff>
      <xdr:row>2057</xdr:row>
      <xdr:rowOff>6350</xdr:rowOff>
    </xdr:to>
    <xdr:pic>
      <xdr:nvPicPr>
        <xdr:cNvPr id="76" name="Grafik 75">
          <a:hlinkClick xmlns:r="http://schemas.openxmlformats.org/officeDocument/2006/relationships" r:id="rId99"/>
          <a:extLst>
            <a:ext uri="{FF2B5EF4-FFF2-40B4-BE49-F238E27FC236}">
              <a16:creationId xmlns:a16="http://schemas.microsoft.com/office/drawing/2014/main" id="{6B8FD005-7DAF-1834-B93C-921210EEB6D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11150" y="18478500"/>
          <a:ext cx="476250" cy="361950"/>
        </a:xfrm>
        <a:prstGeom prst="rect">
          <a:avLst/>
        </a:prstGeom>
      </xdr:spPr>
    </xdr:pic>
    <xdr:clientData/>
  </xdr:twoCellAnchor>
  <xdr:oneCellAnchor>
    <xdr:from>
      <xdr:col>5</xdr:col>
      <xdr:colOff>266700</xdr:colOff>
      <xdr:row>2117</xdr:row>
      <xdr:rowOff>0</xdr:rowOff>
    </xdr:from>
    <xdr:ext cx="381000" cy="160020"/>
    <xdr:pic>
      <xdr:nvPicPr>
        <xdr:cNvPr id="73" name="Grafik 72">
          <a:extLst>
            <a:ext uri="{FF2B5EF4-FFF2-40B4-BE49-F238E27FC236}">
              <a16:creationId xmlns:a16="http://schemas.microsoft.com/office/drawing/2014/main" id="{227D3A18-4219-4DE9-A696-6D08F532F8F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664450" y="12376150"/>
          <a:ext cx="381000" cy="160020"/>
        </a:xfrm>
        <a:prstGeom prst="rect">
          <a:avLst/>
        </a:prstGeom>
      </xdr:spPr>
    </xdr:pic>
    <xdr:clientData/>
  </xdr:oneCellAnchor>
  <xdr:twoCellAnchor editAs="oneCell">
    <xdr:from>
      <xdr:col>1</xdr:col>
      <xdr:colOff>12700</xdr:colOff>
      <xdr:row>2116</xdr:row>
      <xdr:rowOff>12700</xdr:rowOff>
    </xdr:from>
    <xdr:to>
      <xdr:col>1</xdr:col>
      <xdr:colOff>488950</xdr:colOff>
      <xdr:row>2124</xdr:row>
      <xdr:rowOff>10160</xdr:rowOff>
    </xdr:to>
    <xdr:pic>
      <xdr:nvPicPr>
        <xdr:cNvPr id="74" name="Grafik 73">
          <a:hlinkClick xmlns:r="http://schemas.openxmlformats.org/officeDocument/2006/relationships" r:id="rId101"/>
          <a:extLst>
            <a:ext uri="{FF2B5EF4-FFF2-40B4-BE49-F238E27FC236}">
              <a16:creationId xmlns:a16="http://schemas.microsoft.com/office/drawing/2014/main" id="{DCA1B88B-841C-388F-1B78-B1B80DB72ACE}"/>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11150" y="38735000"/>
          <a:ext cx="476250" cy="365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692150</xdr:colOff>
      <xdr:row>5</xdr:row>
      <xdr:rowOff>12700</xdr:rowOff>
    </xdr:from>
    <xdr:to>
      <xdr:col>23</xdr:col>
      <xdr:colOff>692150</xdr:colOff>
      <xdr:row>37</xdr:row>
      <xdr:rowOff>152400</xdr:rowOff>
    </xdr:to>
    <xdr:graphicFrame macro="">
      <xdr:nvGraphicFramePr>
        <xdr:cNvPr id="2" name="Diagram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619124</xdr:colOff>
      <xdr:row>6</xdr:row>
      <xdr:rowOff>9524</xdr:rowOff>
    </xdr:from>
    <xdr:to>
      <xdr:col>10</xdr:col>
      <xdr:colOff>666749</xdr:colOff>
      <xdr:row>6</xdr:row>
      <xdr:rowOff>57149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1152524"/>
          <a:ext cx="47625" cy="47625"/>
        </a:xfrm>
        <a:prstGeom prst="rect">
          <a:avLst/>
        </a:prstGeom>
      </xdr:spPr>
    </xdr:pic>
    <xdr:clientData fLocksWithSheet="0" fPrintsWithSheet="0"/>
  </xdr:twoCellAnchor>
  <xdr:twoCellAnchor>
    <xdr:from>
      <xdr:col>10</xdr:col>
      <xdr:colOff>619124</xdr:colOff>
      <xdr:row>7</xdr:row>
      <xdr:rowOff>9524</xdr:rowOff>
    </xdr:from>
    <xdr:to>
      <xdr:col>10</xdr:col>
      <xdr:colOff>666749</xdr:colOff>
      <xdr:row>7</xdr:row>
      <xdr:rowOff>57149</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1343024"/>
          <a:ext cx="47625" cy="47625"/>
        </a:xfrm>
        <a:prstGeom prst="rect">
          <a:avLst/>
        </a:prstGeom>
      </xdr:spPr>
    </xdr:pic>
    <xdr:clientData fLocksWithSheet="0" fPrintsWithSheet="0"/>
  </xdr:twoCellAnchor>
  <xdr:twoCellAnchor>
    <xdr:from>
      <xdr:col>10</xdr:col>
      <xdr:colOff>619124</xdr:colOff>
      <xdr:row>8</xdr:row>
      <xdr:rowOff>9524</xdr:rowOff>
    </xdr:from>
    <xdr:to>
      <xdr:col>10</xdr:col>
      <xdr:colOff>666749</xdr:colOff>
      <xdr:row>8</xdr:row>
      <xdr:rowOff>57149</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1533524"/>
          <a:ext cx="47625" cy="47625"/>
        </a:xfrm>
        <a:prstGeom prst="rect">
          <a:avLst/>
        </a:prstGeom>
      </xdr:spPr>
    </xdr:pic>
    <xdr:clientData fLocksWithSheet="0" fPrintsWithSheet="0"/>
  </xdr:twoCellAnchor>
  <xdr:twoCellAnchor>
    <xdr:from>
      <xdr:col>10</xdr:col>
      <xdr:colOff>619124</xdr:colOff>
      <xdr:row>9</xdr:row>
      <xdr:rowOff>9524</xdr:rowOff>
    </xdr:from>
    <xdr:to>
      <xdr:col>10</xdr:col>
      <xdr:colOff>666749</xdr:colOff>
      <xdr:row>9</xdr:row>
      <xdr:rowOff>57149</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1724024"/>
          <a:ext cx="47625" cy="47625"/>
        </a:xfrm>
        <a:prstGeom prst="rect">
          <a:avLst/>
        </a:prstGeom>
      </xdr:spPr>
    </xdr:pic>
    <xdr:clientData fLocksWithSheet="0" fPrintsWithSheet="0"/>
  </xdr:twoCellAnchor>
  <xdr:twoCellAnchor>
    <xdr:from>
      <xdr:col>10</xdr:col>
      <xdr:colOff>619124</xdr:colOff>
      <xdr:row>10</xdr:row>
      <xdr:rowOff>9524</xdr:rowOff>
    </xdr:from>
    <xdr:to>
      <xdr:col>10</xdr:col>
      <xdr:colOff>666749</xdr:colOff>
      <xdr:row>10</xdr:row>
      <xdr:rowOff>57149</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1914524"/>
          <a:ext cx="47625" cy="47625"/>
        </a:xfrm>
        <a:prstGeom prst="rect">
          <a:avLst/>
        </a:prstGeom>
      </xdr:spPr>
    </xdr:pic>
    <xdr:clientData fLocksWithSheet="0" fPrintsWithSheet="0"/>
  </xdr:twoCellAnchor>
  <xdr:twoCellAnchor>
    <xdr:from>
      <xdr:col>10</xdr:col>
      <xdr:colOff>619124</xdr:colOff>
      <xdr:row>13</xdr:row>
      <xdr:rowOff>9524</xdr:rowOff>
    </xdr:from>
    <xdr:to>
      <xdr:col>10</xdr:col>
      <xdr:colOff>666749</xdr:colOff>
      <xdr:row>13</xdr:row>
      <xdr:rowOff>57149</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2295524"/>
          <a:ext cx="47625" cy="47625"/>
        </a:xfrm>
        <a:prstGeom prst="rect">
          <a:avLst/>
        </a:prstGeom>
      </xdr:spPr>
    </xdr:pic>
    <xdr:clientData fLocksWithSheet="0" fPrintsWithSheet="0"/>
  </xdr:twoCellAnchor>
  <xdr:twoCellAnchor>
    <xdr:from>
      <xdr:col>10</xdr:col>
      <xdr:colOff>619124</xdr:colOff>
      <xdr:row>16</xdr:row>
      <xdr:rowOff>9524</xdr:rowOff>
    </xdr:from>
    <xdr:to>
      <xdr:col>10</xdr:col>
      <xdr:colOff>666749</xdr:colOff>
      <xdr:row>16</xdr:row>
      <xdr:rowOff>57149</xdr:rowOff>
    </xdr:to>
    <xdr:pic>
      <xdr:nvPicPr>
        <xdr:cNvPr id="12" name="Grafik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2867024"/>
          <a:ext cx="47625" cy="47625"/>
        </a:xfrm>
        <a:prstGeom prst="rect">
          <a:avLst/>
        </a:prstGeom>
      </xdr:spPr>
    </xdr:pic>
    <xdr:clientData fLocksWithSheet="0" fPrintsWithSheet="0"/>
  </xdr:twoCellAnchor>
  <xdr:twoCellAnchor>
    <xdr:from>
      <xdr:col>10</xdr:col>
      <xdr:colOff>619124</xdr:colOff>
      <xdr:row>17</xdr:row>
      <xdr:rowOff>9524</xdr:rowOff>
    </xdr:from>
    <xdr:to>
      <xdr:col>10</xdr:col>
      <xdr:colOff>666749</xdr:colOff>
      <xdr:row>17</xdr:row>
      <xdr:rowOff>57149</xdr:rowOff>
    </xdr:to>
    <xdr:pic>
      <xdr:nvPicPr>
        <xdr:cNvPr id="13" name="Grafik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3057524"/>
          <a:ext cx="47625" cy="47625"/>
        </a:xfrm>
        <a:prstGeom prst="rect">
          <a:avLst/>
        </a:prstGeom>
      </xdr:spPr>
    </xdr:pic>
    <xdr:clientData fLocksWithSheet="0" fPrintsWithSheet="0"/>
  </xdr:twoCellAnchor>
  <xdr:twoCellAnchor>
    <xdr:from>
      <xdr:col>10</xdr:col>
      <xdr:colOff>619124</xdr:colOff>
      <xdr:row>15</xdr:row>
      <xdr:rowOff>9524</xdr:rowOff>
    </xdr:from>
    <xdr:to>
      <xdr:col>10</xdr:col>
      <xdr:colOff>666749</xdr:colOff>
      <xdr:row>15</xdr:row>
      <xdr:rowOff>57149</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4" y="2676524"/>
          <a:ext cx="47625" cy="47625"/>
        </a:xfrm>
        <a:prstGeom prst="rect">
          <a:avLst/>
        </a:prstGeom>
      </xdr:spPr>
    </xdr:pic>
    <xdr:clientData fLocksWithSheet="0" fPrintsWithSheet="0"/>
  </xdr:twoCellAnchor>
  <xdr:twoCellAnchor>
    <xdr:from>
      <xdr:col>10</xdr:col>
      <xdr:colOff>619124</xdr:colOff>
      <xdr:row>25</xdr:row>
      <xdr:rowOff>9524</xdr:rowOff>
    </xdr:from>
    <xdr:to>
      <xdr:col>10</xdr:col>
      <xdr:colOff>666749</xdr:colOff>
      <xdr:row>25</xdr:row>
      <xdr:rowOff>57149</xdr:rowOff>
    </xdr:to>
    <xdr:pic>
      <xdr:nvPicPr>
        <xdr:cNvPr id="15" name="Grafik 14">
          <a:extLst>
            <a:ext uri="{FF2B5EF4-FFF2-40B4-BE49-F238E27FC236}">
              <a16:creationId xmlns:a16="http://schemas.microsoft.com/office/drawing/2014/main" id="{57E0C9C0-4AB6-4D85-9F86-28848081AD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39124" y="3876674"/>
          <a:ext cx="47625" cy="47625"/>
        </a:xfrm>
        <a:prstGeom prst="rect">
          <a:avLst/>
        </a:prstGeom>
      </xdr:spPr>
    </xdr:pic>
    <xdr:clientData fLocksWithSheet="0" fPrintsWithSheet="0"/>
  </xdr:twoCellAnchor>
  <xdr:twoCellAnchor>
    <xdr:from>
      <xdr:col>25</xdr:col>
      <xdr:colOff>679450</xdr:colOff>
      <xdr:row>6</xdr:row>
      <xdr:rowOff>50800</xdr:rowOff>
    </xdr:from>
    <xdr:to>
      <xdr:col>32</xdr:col>
      <xdr:colOff>63500</xdr:colOff>
      <xdr:row>31</xdr:row>
      <xdr:rowOff>19050</xdr:rowOff>
    </xdr:to>
    <xdr:graphicFrame macro="">
      <xdr:nvGraphicFramePr>
        <xdr:cNvPr id="22" name="Diagramm 2">
          <a:extLst>
            <a:ext uri="{FF2B5EF4-FFF2-40B4-BE49-F238E27FC236}">
              <a16:creationId xmlns:a16="http://schemas.microsoft.com/office/drawing/2014/main" id="{935AFD37-E025-49C9-88A4-C1A7DC01DB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679450</xdr:colOff>
      <xdr:row>4</xdr:row>
      <xdr:rowOff>152401</xdr:rowOff>
    </xdr:from>
    <xdr:to>
      <xdr:col>39</xdr:col>
      <xdr:colOff>184150</xdr:colOff>
      <xdr:row>34</xdr:row>
      <xdr:rowOff>31751</xdr:rowOff>
    </xdr:to>
    <xdr:graphicFrame macro="">
      <xdr:nvGraphicFramePr>
        <xdr:cNvPr id="3" name="Diagramm 3">
          <a:extLst>
            <a:ext uri="{FF2B5EF4-FFF2-40B4-BE49-F238E27FC236}">
              <a16:creationId xmlns:a16="http://schemas.microsoft.com/office/drawing/2014/main" id="{3E8E0942-440F-4271-8F37-60275D38B7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619124</xdr:colOff>
      <xdr:row>26</xdr:row>
      <xdr:rowOff>9524</xdr:rowOff>
    </xdr:from>
    <xdr:to>
      <xdr:col>10</xdr:col>
      <xdr:colOff>666749</xdr:colOff>
      <xdr:row>26</xdr:row>
      <xdr:rowOff>57149</xdr:rowOff>
    </xdr:to>
    <xdr:pic>
      <xdr:nvPicPr>
        <xdr:cNvPr id="16" name="Grafik 15">
          <a:extLst>
            <a:ext uri="{FF2B5EF4-FFF2-40B4-BE49-F238E27FC236}">
              <a16:creationId xmlns:a16="http://schemas.microsoft.com/office/drawing/2014/main" id="{BBCB9AEC-326D-4C26-B6CF-6B9EB588C6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39124" y="4429124"/>
          <a:ext cx="47625" cy="47625"/>
        </a:xfrm>
        <a:prstGeom prst="rect">
          <a:avLst/>
        </a:prstGeom>
      </xdr:spPr>
    </xdr:pic>
    <xdr:clientData fLocksWithSheet="0" fPrintsWithSheet="0"/>
  </xdr:twoCellAnchor>
  <xdr:twoCellAnchor>
    <xdr:from>
      <xdr:col>10</xdr:col>
      <xdr:colOff>619124</xdr:colOff>
      <xdr:row>28</xdr:row>
      <xdr:rowOff>9524</xdr:rowOff>
    </xdr:from>
    <xdr:to>
      <xdr:col>10</xdr:col>
      <xdr:colOff>666749</xdr:colOff>
      <xdr:row>28</xdr:row>
      <xdr:rowOff>57149</xdr:rowOff>
    </xdr:to>
    <xdr:pic>
      <xdr:nvPicPr>
        <xdr:cNvPr id="17" name="Grafik 16">
          <a:extLst>
            <a:ext uri="{FF2B5EF4-FFF2-40B4-BE49-F238E27FC236}">
              <a16:creationId xmlns:a16="http://schemas.microsoft.com/office/drawing/2014/main" id="{0E578AE4-4739-432D-A4F4-2061DB3D60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39124" y="4613274"/>
          <a:ext cx="47625" cy="47625"/>
        </a:xfrm>
        <a:prstGeom prst="rect">
          <a:avLst/>
        </a:prstGeom>
      </xdr:spPr>
    </xdr:pic>
    <xdr:clientData fLocksWithSheet="0" fPrintsWithSheet="0"/>
  </xdr:twoCellAnchor>
  <xdr:twoCellAnchor>
    <xdr:from>
      <xdr:col>10</xdr:col>
      <xdr:colOff>6350</xdr:colOff>
      <xdr:row>323</xdr:row>
      <xdr:rowOff>12700</xdr:rowOff>
    </xdr:from>
    <xdr:to>
      <xdr:col>21</xdr:col>
      <xdr:colOff>679450</xdr:colOff>
      <xdr:row>338</xdr:row>
      <xdr:rowOff>165100</xdr:rowOff>
    </xdr:to>
    <xdr:graphicFrame macro="">
      <xdr:nvGraphicFramePr>
        <xdr:cNvPr id="18" name="Diagramm 4">
          <a:extLst>
            <a:ext uri="{FF2B5EF4-FFF2-40B4-BE49-F238E27FC236}">
              <a16:creationId xmlns:a16="http://schemas.microsoft.com/office/drawing/2014/main" id="{5C8FD8D4-4E30-4DFE-89AF-F07609EC02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619124</xdr:colOff>
      <xdr:row>14</xdr:row>
      <xdr:rowOff>9524</xdr:rowOff>
    </xdr:from>
    <xdr:to>
      <xdr:col>10</xdr:col>
      <xdr:colOff>666749</xdr:colOff>
      <xdr:row>14</xdr:row>
      <xdr:rowOff>57149</xdr:rowOff>
    </xdr:to>
    <xdr:pic>
      <xdr:nvPicPr>
        <xdr:cNvPr id="19" name="Grafik 18">
          <a:extLst>
            <a:ext uri="{FF2B5EF4-FFF2-40B4-BE49-F238E27FC236}">
              <a16:creationId xmlns:a16="http://schemas.microsoft.com/office/drawing/2014/main" id="{E639049B-8916-4710-8AF0-C554615618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39124" y="2403474"/>
          <a:ext cx="47625" cy="47625"/>
        </a:xfrm>
        <a:prstGeom prst="rect">
          <a:avLst/>
        </a:prstGeom>
      </xdr:spPr>
    </xdr:pic>
    <xdr:clientData fLocksWithSheet="0" fPrintsWithSheet="0"/>
  </xdr:twoCellAnchor>
  <xdr:twoCellAnchor>
    <xdr:from>
      <xdr:col>22</xdr:col>
      <xdr:colOff>533399</xdr:colOff>
      <xdr:row>28</xdr:row>
      <xdr:rowOff>166677</xdr:rowOff>
    </xdr:from>
    <xdr:to>
      <xdr:col>23</xdr:col>
      <xdr:colOff>676274</xdr:colOff>
      <xdr:row>29</xdr:row>
      <xdr:rowOff>166677</xdr:rowOff>
    </xdr:to>
    <xdr:sp macro="" textlink="">
      <xdr:nvSpPr>
        <xdr:cNvPr id="5" name="Textfeld 4">
          <a:extLst>
            <a:ext uri="{FF2B5EF4-FFF2-40B4-BE49-F238E27FC236}">
              <a16:creationId xmlns:a16="http://schemas.microsoft.com/office/drawing/2014/main" id="{617FAE68-5CA0-4993-8742-B9948A94A1F0}"/>
            </a:ext>
          </a:extLst>
        </xdr:cNvPr>
        <xdr:cNvSpPr txBox="1"/>
      </xdr:nvSpPr>
      <xdr:spPr>
        <a:xfrm>
          <a:off x="16535399" y="5348277"/>
          <a:ext cx="841375" cy="184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DE" sz="800"/>
            <a:t>*) Interimsfolgen</a:t>
          </a:r>
        </a:p>
      </xdr:txBody>
    </xdr:sp>
    <xdr:clientData/>
  </xdr:twoCellAnchor>
  <xdr:twoCellAnchor>
    <xdr:from>
      <xdr:col>3</xdr:col>
      <xdr:colOff>704850</xdr:colOff>
      <xdr:row>371</xdr:row>
      <xdr:rowOff>31750</xdr:rowOff>
    </xdr:from>
    <xdr:to>
      <xdr:col>53</xdr:col>
      <xdr:colOff>6350</xdr:colOff>
      <xdr:row>386</xdr:row>
      <xdr:rowOff>88900</xdr:rowOff>
    </xdr:to>
    <xdr:graphicFrame macro="">
      <xdr:nvGraphicFramePr>
        <xdr:cNvPr id="6" name="Diagramm 5">
          <a:extLst>
            <a:ext uri="{FF2B5EF4-FFF2-40B4-BE49-F238E27FC236}">
              <a16:creationId xmlns:a16="http://schemas.microsoft.com/office/drawing/2014/main" id="{A5441AF5-43B4-40B3-BB04-7506B11794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508000</xdr:colOff>
      <xdr:row>387</xdr:row>
      <xdr:rowOff>114300</xdr:rowOff>
    </xdr:from>
    <xdr:to>
      <xdr:col>9</xdr:col>
      <xdr:colOff>260350</xdr:colOff>
      <xdr:row>389</xdr:row>
      <xdr:rowOff>127000</xdr:rowOff>
    </xdr:to>
    <xdr:sp macro="" textlink="">
      <xdr:nvSpPr>
        <xdr:cNvPr id="20" name="Textfeld 19">
          <a:extLst>
            <a:ext uri="{FF2B5EF4-FFF2-40B4-BE49-F238E27FC236}">
              <a16:creationId xmlns:a16="http://schemas.microsoft.com/office/drawing/2014/main" id="{0DA22D96-DD2E-4228-811C-C4A4D13F6B33}"/>
            </a:ext>
          </a:extLst>
        </xdr:cNvPr>
        <xdr:cNvSpPr txBox="1"/>
      </xdr:nvSpPr>
      <xdr:spPr>
        <a:xfrm>
          <a:off x="6032500" y="64027050"/>
          <a:ext cx="11493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DDF-Hörspiel-Folgennummern</a:t>
          </a:r>
        </a:p>
      </xdr:txBody>
    </xdr:sp>
    <xdr:clientData/>
  </xdr:twoCellAnchor>
  <xdr:twoCellAnchor>
    <xdr:from>
      <xdr:col>7</xdr:col>
      <xdr:colOff>133350</xdr:colOff>
      <xdr:row>386</xdr:row>
      <xdr:rowOff>114300</xdr:rowOff>
    </xdr:from>
    <xdr:to>
      <xdr:col>7</xdr:col>
      <xdr:colOff>457200</xdr:colOff>
      <xdr:row>390</xdr:row>
      <xdr:rowOff>0</xdr:rowOff>
    </xdr:to>
    <xdr:sp macro="" textlink="">
      <xdr:nvSpPr>
        <xdr:cNvPr id="21" name="Pfeil: nach oben 20">
          <a:extLst>
            <a:ext uri="{FF2B5EF4-FFF2-40B4-BE49-F238E27FC236}">
              <a16:creationId xmlns:a16="http://schemas.microsoft.com/office/drawing/2014/main" id="{33077E2C-1B7E-463D-A532-8019C6DFD34D}"/>
            </a:ext>
          </a:extLst>
        </xdr:cNvPr>
        <xdr:cNvSpPr/>
      </xdr:nvSpPr>
      <xdr:spPr>
        <a:xfrm>
          <a:off x="5657850" y="63842900"/>
          <a:ext cx="323850" cy="622300"/>
        </a:xfrm>
        <a:prstGeom prst="upArrow">
          <a:avLst/>
        </a:prstGeom>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de-DE" sz="1100"/>
        </a:p>
      </xdr:txBody>
    </xdr:sp>
    <xdr:clientData/>
  </xdr:twoCellAnchor>
  <xdr:twoCellAnchor>
    <xdr:from>
      <xdr:col>3</xdr:col>
      <xdr:colOff>622300</xdr:colOff>
      <xdr:row>386</xdr:row>
      <xdr:rowOff>95250</xdr:rowOff>
    </xdr:from>
    <xdr:to>
      <xdr:col>3</xdr:col>
      <xdr:colOff>1873250</xdr:colOff>
      <xdr:row>390</xdr:row>
      <xdr:rowOff>12700</xdr:rowOff>
    </xdr:to>
    <xdr:sp macro="" textlink="">
      <xdr:nvSpPr>
        <xdr:cNvPr id="23" name="Textfeld 22">
          <a:extLst>
            <a:ext uri="{FF2B5EF4-FFF2-40B4-BE49-F238E27FC236}">
              <a16:creationId xmlns:a16="http://schemas.microsoft.com/office/drawing/2014/main" id="{37D4B15F-0A79-4A80-A33F-A8669EFF52D0}"/>
            </a:ext>
          </a:extLst>
        </xdr:cNvPr>
        <xdr:cNvSpPr txBox="1"/>
      </xdr:nvSpPr>
      <xdr:spPr>
        <a:xfrm>
          <a:off x="2057400" y="63823850"/>
          <a:ext cx="1250950" cy="654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Anzahl der DDF-Folgenbesprechungen verschiedener Podcasts je DDF-Folge</a:t>
          </a:r>
        </a:p>
      </xdr:txBody>
    </xdr:sp>
    <xdr:clientData/>
  </xdr:twoCellAnchor>
  <xdr:twoCellAnchor>
    <xdr:from>
      <xdr:col>3</xdr:col>
      <xdr:colOff>1917700</xdr:colOff>
      <xdr:row>386</xdr:row>
      <xdr:rowOff>107950</xdr:rowOff>
    </xdr:from>
    <xdr:to>
      <xdr:col>4</xdr:col>
      <xdr:colOff>247650</xdr:colOff>
      <xdr:row>389</xdr:row>
      <xdr:rowOff>177800</xdr:rowOff>
    </xdr:to>
    <xdr:sp macro="" textlink="">
      <xdr:nvSpPr>
        <xdr:cNvPr id="24" name="Pfeil: nach oben 23">
          <a:extLst>
            <a:ext uri="{FF2B5EF4-FFF2-40B4-BE49-F238E27FC236}">
              <a16:creationId xmlns:a16="http://schemas.microsoft.com/office/drawing/2014/main" id="{18D76120-FA78-418F-9E39-ABA512B5931D}"/>
            </a:ext>
          </a:extLst>
        </xdr:cNvPr>
        <xdr:cNvSpPr/>
      </xdr:nvSpPr>
      <xdr:spPr>
        <a:xfrm>
          <a:off x="3352800" y="63836550"/>
          <a:ext cx="323850" cy="622300"/>
        </a:xfrm>
        <a:prstGeom prst="upArrow">
          <a:avLst/>
        </a:prstGeom>
        <a:ln w="63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de-DE" sz="1100"/>
        </a:p>
      </xdr:txBody>
    </xdr:sp>
    <xdr:clientData/>
  </xdr:twoCellAnchor>
  <xdr:twoCellAnchor>
    <xdr:from>
      <xdr:col>27</xdr:col>
      <xdr:colOff>304800</xdr:colOff>
      <xdr:row>31</xdr:row>
      <xdr:rowOff>57150</xdr:rowOff>
    </xdr:from>
    <xdr:to>
      <xdr:col>30</xdr:col>
      <xdr:colOff>628650</xdr:colOff>
      <xdr:row>34</xdr:row>
      <xdr:rowOff>63500</xdr:rowOff>
    </xdr:to>
    <xdr:sp macro="" textlink="">
      <xdr:nvSpPr>
        <xdr:cNvPr id="25" name="Textfeld 24">
          <a:extLst>
            <a:ext uri="{FF2B5EF4-FFF2-40B4-BE49-F238E27FC236}">
              <a16:creationId xmlns:a16="http://schemas.microsoft.com/office/drawing/2014/main" id="{9669F0A5-311B-4166-8207-2DE4889699F0}"/>
            </a:ext>
          </a:extLst>
        </xdr:cNvPr>
        <xdr:cNvSpPr txBox="1"/>
      </xdr:nvSpPr>
      <xdr:spPr>
        <a:xfrm>
          <a:off x="19799300" y="5422900"/>
          <a:ext cx="2419350" cy="374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solidFill>
                <a:sysClr val="windowText" lastClr="000000"/>
              </a:solidFill>
              <a:effectLst/>
              <a:latin typeface="+mn-lt"/>
              <a:ea typeface="+mn-ea"/>
              <a:cs typeface="+mn-cs"/>
            </a:rPr>
            <a:t>Anm.: Welcher DDF-Podcast hat wie viele DDF-Folgen </a:t>
          </a:r>
        </a:p>
        <a:p>
          <a:r>
            <a:rPr lang="de-DE" sz="800">
              <a:solidFill>
                <a:sysClr val="windowText" lastClr="000000"/>
              </a:solidFill>
              <a:effectLst/>
              <a:latin typeface="+mn-lt"/>
              <a:ea typeface="+mn-ea"/>
              <a:cs typeface="+mn-cs"/>
            </a:rPr>
            <a:t>als Erster (1. Platz), Zweiter (2. Platz) etc. besprochen.</a:t>
          </a:r>
        </a:p>
        <a:p>
          <a:endParaRPr lang="de-DE" sz="1100"/>
        </a:p>
      </xdr:txBody>
    </xdr:sp>
    <xdr:clientData/>
  </xdr:twoCellAnchor>
  <xdr:twoCellAnchor>
    <xdr:from>
      <xdr:col>10</xdr:col>
      <xdr:colOff>619124</xdr:colOff>
      <xdr:row>31</xdr:row>
      <xdr:rowOff>9524</xdr:rowOff>
    </xdr:from>
    <xdr:to>
      <xdr:col>10</xdr:col>
      <xdr:colOff>666749</xdr:colOff>
      <xdr:row>31</xdr:row>
      <xdr:rowOff>57149</xdr:rowOff>
    </xdr:to>
    <xdr:pic>
      <xdr:nvPicPr>
        <xdr:cNvPr id="26" name="Grafik 25">
          <a:extLst>
            <a:ext uri="{FF2B5EF4-FFF2-40B4-BE49-F238E27FC236}">
              <a16:creationId xmlns:a16="http://schemas.microsoft.com/office/drawing/2014/main" id="{337D06ED-4DA7-4AFD-A1F7-3C45857059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39124" y="5743574"/>
          <a:ext cx="47625" cy="47625"/>
        </a:xfrm>
        <a:prstGeom prst="rect">
          <a:avLst/>
        </a:prstGeom>
      </xdr:spPr>
    </xdr:pic>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33</xdr:col>
      <xdr:colOff>6351</xdr:colOff>
      <xdr:row>5</xdr:row>
      <xdr:rowOff>0</xdr:rowOff>
    </xdr:from>
    <xdr:to>
      <xdr:col>40</xdr:col>
      <xdr:colOff>12700</xdr:colOff>
      <xdr:row>18</xdr:row>
      <xdr:rowOff>177800</xdr:rowOff>
    </xdr:to>
    <xdr:graphicFrame macro="">
      <xdr:nvGraphicFramePr>
        <xdr:cNvPr id="2" name="Diagramm 2">
          <a:extLst>
            <a:ext uri="{FF2B5EF4-FFF2-40B4-BE49-F238E27FC236}">
              <a16:creationId xmlns:a16="http://schemas.microsoft.com/office/drawing/2014/main" id="{D8B686F4-ED54-469B-A375-3B3ACAD176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5</xdr:row>
      <xdr:rowOff>0</xdr:rowOff>
    </xdr:from>
    <xdr:to>
      <xdr:col>26</xdr:col>
      <xdr:colOff>6349</xdr:colOff>
      <xdr:row>18</xdr:row>
      <xdr:rowOff>177799</xdr:rowOff>
    </xdr:to>
    <xdr:graphicFrame macro="">
      <xdr:nvGraphicFramePr>
        <xdr:cNvPr id="3" name="Diagramm 1">
          <a:extLst>
            <a:ext uri="{FF2B5EF4-FFF2-40B4-BE49-F238E27FC236}">
              <a16:creationId xmlns:a16="http://schemas.microsoft.com/office/drawing/2014/main" id="{784A2542-51AC-4BAB-AE6D-4BC27830BF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49</xdr:col>
      <xdr:colOff>0</xdr:colOff>
      <xdr:row>7</xdr:row>
      <xdr:rowOff>0</xdr:rowOff>
    </xdr:from>
    <xdr:to>
      <xdr:col>50</xdr:col>
      <xdr:colOff>6350</xdr:colOff>
      <xdr:row>8</xdr:row>
      <xdr:rowOff>6350</xdr:rowOff>
    </xdr:to>
    <xdr:pic>
      <xdr:nvPicPr>
        <xdr:cNvPr id="4" name="Grafik 3">
          <a:extLst>
            <a:ext uri="{FF2B5EF4-FFF2-40B4-BE49-F238E27FC236}">
              <a16:creationId xmlns:a16="http://schemas.microsoft.com/office/drawing/2014/main" id="{1E3543A5-A922-4032-B233-AAD0383810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289050"/>
          <a:ext cx="190500" cy="190500"/>
        </a:xfrm>
        <a:prstGeom prst="rect">
          <a:avLst/>
        </a:prstGeom>
      </xdr:spPr>
    </xdr:pic>
    <xdr:clientData/>
  </xdr:twoCellAnchor>
  <xdr:twoCellAnchor editAs="oneCell">
    <xdr:from>
      <xdr:col>49</xdr:col>
      <xdr:colOff>0</xdr:colOff>
      <xdr:row>9</xdr:row>
      <xdr:rowOff>0</xdr:rowOff>
    </xdr:from>
    <xdr:to>
      <xdr:col>50</xdr:col>
      <xdr:colOff>6350</xdr:colOff>
      <xdr:row>10</xdr:row>
      <xdr:rowOff>6350</xdr:rowOff>
    </xdr:to>
    <xdr:pic>
      <xdr:nvPicPr>
        <xdr:cNvPr id="5" name="Grafik 4">
          <a:extLst>
            <a:ext uri="{FF2B5EF4-FFF2-40B4-BE49-F238E27FC236}">
              <a16:creationId xmlns:a16="http://schemas.microsoft.com/office/drawing/2014/main" id="{EC9B1B71-3474-4CC4-B8FF-695B47C3B3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657350"/>
          <a:ext cx="190500" cy="190500"/>
        </a:xfrm>
        <a:prstGeom prst="rect">
          <a:avLst/>
        </a:prstGeom>
      </xdr:spPr>
    </xdr:pic>
    <xdr:clientData/>
  </xdr:twoCellAnchor>
  <xdr:twoCellAnchor editAs="oneCell">
    <xdr:from>
      <xdr:col>49</xdr:col>
      <xdr:colOff>0</xdr:colOff>
      <xdr:row>11</xdr:row>
      <xdr:rowOff>0</xdr:rowOff>
    </xdr:from>
    <xdr:to>
      <xdr:col>50</xdr:col>
      <xdr:colOff>6350</xdr:colOff>
      <xdr:row>12</xdr:row>
      <xdr:rowOff>6350</xdr:rowOff>
    </xdr:to>
    <xdr:pic>
      <xdr:nvPicPr>
        <xdr:cNvPr id="6" name="Grafik 5">
          <a:extLst>
            <a:ext uri="{FF2B5EF4-FFF2-40B4-BE49-F238E27FC236}">
              <a16:creationId xmlns:a16="http://schemas.microsoft.com/office/drawing/2014/main" id="{71BF4815-352D-496E-8ABF-70BD3120AF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025650"/>
          <a:ext cx="190500" cy="190500"/>
        </a:xfrm>
        <a:prstGeom prst="rect">
          <a:avLst/>
        </a:prstGeom>
      </xdr:spPr>
    </xdr:pic>
    <xdr:clientData/>
  </xdr:twoCellAnchor>
  <xdr:twoCellAnchor editAs="oneCell">
    <xdr:from>
      <xdr:col>53</xdr:col>
      <xdr:colOff>0</xdr:colOff>
      <xdr:row>10</xdr:row>
      <xdr:rowOff>0</xdr:rowOff>
    </xdr:from>
    <xdr:to>
      <xdr:col>54</xdr:col>
      <xdr:colOff>6350</xdr:colOff>
      <xdr:row>11</xdr:row>
      <xdr:rowOff>6350</xdr:rowOff>
    </xdr:to>
    <xdr:pic>
      <xdr:nvPicPr>
        <xdr:cNvPr id="7" name="Grafik 6">
          <a:extLst>
            <a:ext uri="{FF2B5EF4-FFF2-40B4-BE49-F238E27FC236}">
              <a16:creationId xmlns:a16="http://schemas.microsoft.com/office/drawing/2014/main" id="{088C5314-1EDC-4FBF-972A-A87D7FB64A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841500"/>
          <a:ext cx="190500" cy="190500"/>
        </a:xfrm>
        <a:prstGeom prst="rect">
          <a:avLst/>
        </a:prstGeom>
      </xdr:spPr>
    </xdr:pic>
    <xdr:clientData/>
  </xdr:twoCellAnchor>
  <xdr:twoCellAnchor editAs="oneCell">
    <xdr:from>
      <xdr:col>46</xdr:col>
      <xdr:colOff>0</xdr:colOff>
      <xdr:row>12</xdr:row>
      <xdr:rowOff>0</xdr:rowOff>
    </xdr:from>
    <xdr:to>
      <xdr:col>47</xdr:col>
      <xdr:colOff>6350</xdr:colOff>
      <xdr:row>13</xdr:row>
      <xdr:rowOff>0</xdr:rowOff>
    </xdr:to>
    <xdr:pic>
      <xdr:nvPicPr>
        <xdr:cNvPr id="8" name="Grafik 7">
          <a:extLst>
            <a:ext uri="{FF2B5EF4-FFF2-40B4-BE49-F238E27FC236}">
              <a16:creationId xmlns:a16="http://schemas.microsoft.com/office/drawing/2014/main" id="{CD7C5B9B-FD3D-4EDF-992F-D5A9D54E99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2209800"/>
          <a:ext cx="190500" cy="190500"/>
        </a:xfrm>
        <a:prstGeom prst="rect">
          <a:avLst/>
        </a:prstGeom>
      </xdr:spPr>
    </xdr:pic>
    <xdr:clientData/>
  </xdr:twoCellAnchor>
  <xdr:twoCellAnchor editAs="oneCell">
    <xdr:from>
      <xdr:col>46</xdr:col>
      <xdr:colOff>0</xdr:colOff>
      <xdr:row>13</xdr:row>
      <xdr:rowOff>0</xdr:rowOff>
    </xdr:from>
    <xdr:to>
      <xdr:col>47</xdr:col>
      <xdr:colOff>6350</xdr:colOff>
      <xdr:row>14</xdr:row>
      <xdr:rowOff>6350</xdr:rowOff>
    </xdr:to>
    <xdr:pic>
      <xdr:nvPicPr>
        <xdr:cNvPr id="9" name="Grafik 8">
          <a:extLst>
            <a:ext uri="{FF2B5EF4-FFF2-40B4-BE49-F238E27FC236}">
              <a16:creationId xmlns:a16="http://schemas.microsoft.com/office/drawing/2014/main" id="{8F193ABB-4F48-4D6E-8C83-D267DF0F28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2393950"/>
          <a:ext cx="190500" cy="190500"/>
        </a:xfrm>
        <a:prstGeom prst="rect">
          <a:avLst/>
        </a:prstGeom>
      </xdr:spPr>
    </xdr:pic>
    <xdr:clientData/>
  </xdr:twoCellAnchor>
  <xdr:twoCellAnchor editAs="oneCell">
    <xdr:from>
      <xdr:col>47</xdr:col>
      <xdr:colOff>0</xdr:colOff>
      <xdr:row>14</xdr:row>
      <xdr:rowOff>0</xdr:rowOff>
    </xdr:from>
    <xdr:to>
      <xdr:col>48</xdr:col>
      <xdr:colOff>6350</xdr:colOff>
      <xdr:row>15</xdr:row>
      <xdr:rowOff>6350</xdr:rowOff>
    </xdr:to>
    <xdr:pic>
      <xdr:nvPicPr>
        <xdr:cNvPr id="10" name="Grafik 9">
          <a:extLst>
            <a:ext uri="{FF2B5EF4-FFF2-40B4-BE49-F238E27FC236}">
              <a16:creationId xmlns:a16="http://schemas.microsoft.com/office/drawing/2014/main" id="{C1FD189D-58D8-411B-853F-538DF9AE91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2578100"/>
          <a:ext cx="190500" cy="190500"/>
        </a:xfrm>
        <a:prstGeom prst="rect">
          <a:avLst/>
        </a:prstGeom>
      </xdr:spPr>
    </xdr:pic>
    <xdr:clientData/>
  </xdr:twoCellAnchor>
  <xdr:twoCellAnchor editAs="oneCell">
    <xdr:from>
      <xdr:col>50</xdr:col>
      <xdr:colOff>0</xdr:colOff>
      <xdr:row>15</xdr:row>
      <xdr:rowOff>0</xdr:rowOff>
    </xdr:from>
    <xdr:to>
      <xdr:col>51</xdr:col>
      <xdr:colOff>6350</xdr:colOff>
      <xdr:row>16</xdr:row>
      <xdr:rowOff>6350</xdr:rowOff>
    </xdr:to>
    <xdr:pic>
      <xdr:nvPicPr>
        <xdr:cNvPr id="11" name="Grafik 10">
          <a:extLst>
            <a:ext uri="{FF2B5EF4-FFF2-40B4-BE49-F238E27FC236}">
              <a16:creationId xmlns:a16="http://schemas.microsoft.com/office/drawing/2014/main" id="{B9C92212-6F4E-40B2-8EBA-0789FED7EC6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762250"/>
          <a:ext cx="190500" cy="190500"/>
        </a:xfrm>
        <a:prstGeom prst="rect">
          <a:avLst/>
        </a:prstGeom>
      </xdr:spPr>
    </xdr:pic>
    <xdr:clientData/>
  </xdr:twoCellAnchor>
  <xdr:twoCellAnchor editAs="oneCell">
    <xdr:from>
      <xdr:col>50</xdr:col>
      <xdr:colOff>0</xdr:colOff>
      <xdr:row>16</xdr:row>
      <xdr:rowOff>0</xdr:rowOff>
    </xdr:from>
    <xdr:to>
      <xdr:col>51</xdr:col>
      <xdr:colOff>6350</xdr:colOff>
      <xdr:row>17</xdr:row>
      <xdr:rowOff>6350</xdr:rowOff>
    </xdr:to>
    <xdr:pic>
      <xdr:nvPicPr>
        <xdr:cNvPr id="12" name="Grafik 11">
          <a:extLst>
            <a:ext uri="{FF2B5EF4-FFF2-40B4-BE49-F238E27FC236}">
              <a16:creationId xmlns:a16="http://schemas.microsoft.com/office/drawing/2014/main" id="{47AD0EF7-E50B-4689-B039-6F31F31DF33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946400"/>
          <a:ext cx="190500" cy="190500"/>
        </a:xfrm>
        <a:prstGeom prst="rect">
          <a:avLst/>
        </a:prstGeom>
      </xdr:spPr>
    </xdr:pic>
    <xdr:clientData/>
  </xdr:twoCellAnchor>
  <xdr:twoCellAnchor editAs="oneCell">
    <xdr:from>
      <xdr:col>50</xdr:col>
      <xdr:colOff>0</xdr:colOff>
      <xdr:row>17</xdr:row>
      <xdr:rowOff>0</xdr:rowOff>
    </xdr:from>
    <xdr:to>
      <xdr:col>51</xdr:col>
      <xdr:colOff>6350</xdr:colOff>
      <xdr:row>18</xdr:row>
      <xdr:rowOff>6350</xdr:rowOff>
    </xdr:to>
    <xdr:pic>
      <xdr:nvPicPr>
        <xdr:cNvPr id="13" name="Grafik 12">
          <a:extLst>
            <a:ext uri="{FF2B5EF4-FFF2-40B4-BE49-F238E27FC236}">
              <a16:creationId xmlns:a16="http://schemas.microsoft.com/office/drawing/2014/main" id="{27CD4BDE-1BC1-4C16-93FC-443BFBB45F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3130550"/>
          <a:ext cx="190500" cy="190500"/>
        </a:xfrm>
        <a:prstGeom prst="rect">
          <a:avLst/>
        </a:prstGeom>
      </xdr:spPr>
    </xdr:pic>
    <xdr:clientData/>
  </xdr:twoCellAnchor>
  <xdr:twoCellAnchor editAs="oneCell">
    <xdr:from>
      <xdr:col>50</xdr:col>
      <xdr:colOff>0</xdr:colOff>
      <xdr:row>18</xdr:row>
      <xdr:rowOff>0</xdr:rowOff>
    </xdr:from>
    <xdr:to>
      <xdr:col>51</xdr:col>
      <xdr:colOff>6350</xdr:colOff>
      <xdr:row>19</xdr:row>
      <xdr:rowOff>6350</xdr:rowOff>
    </xdr:to>
    <xdr:pic>
      <xdr:nvPicPr>
        <xdr:cNvPr id="14" name="Grafik 13">
          <a:extLst>
            <a:ext uri="{FF2B5EF4-FFF2-40B4-BE49-F238E27FC236}">
              <a16:creationId xmlns:a16="http://schemas.microsoft.com/office/drawing/2014/main" id="{9304B88A-D323-4586-BA0C-2D8C9476A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3314700"/>
          <a:ext cx="190500" cy="190500"/>
        </a:xfrm>
        <a:prstGeom prst="rect">
          <a:avLst/>
        </a:prstGeom>
      </xdr:spPr>
    </xdr:pic>
    <xdr:clientData/>
  </xdr:twoCellAnchor>
  <xdr:twoCellAnchor editAs="oneCell">
    <xdr:from>
      <xdr:col>50</xdr:col>
      <xdr:colOff>0</xdr:colOff>
      <xdr:row>19</xdr:row>
      <xdr:rowOff>0</xdr:rowOff>
    </xdr:from>
    <xdr:to>
      <xdr:col>51</xdr:col>
      <xdr:colOff>6350</xdr:colOff>
      <xdr:row>20</xdr:row>
      <xdr:rowOff>6350</xdr:rowOff>
    </xdr:to>
    <xdr:pic>
      <xdr:nvPicPr>
        <xdr:cNvPr id="15" name="Grafik 14">
          <a:extLst>
            <a:ext uri="{FF2B5EF4-FFF2-40B4-BE49-F238E27FC236}">
              <a16:creationId xmlns:a16="http://schemas.microsoft.com/office/drawing/2014/main" id="{9979F74B-AE36-43D3-ADE3-BAD615D364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3498850"/>
          <a:ext cx="190500" cy="190500"/>
        </a:xfrm>
        <a:prstGeom prst="rect">
          <a:avLst/>
        </a:prstGeom>
      </xdr:spPr>
    </xdr:pic>
    <xdr:clientData/>
  </xdr:twoCellAnchor>
  <xdr:twoCellAnchor editAs="oneCell">
    <xdr:from>
      <xdr:col>50</xdr:col>
      <xdr:colOff>0</xdr:colOff>
      <xdr:row>20</xdr:row>
      <xdr:rowOff>0</xdr:rowOff>
    </xdr:from>
    <xdr:to>
      <xdr:col>51</xdr:col>
      <xdr:colOff>6350</xdr:colOff>
      <xdr:row>21</xdr:row>
      <xdr:rowOff>6350</xdr:rowOff>
    </xdr:to>
    <xdr:pic>
      <xdr:nvPicPr>
        <xdr:cNvPr id="16" name="Grafik 15">
          <a:extLst>
            <a:ext uri="{FF2B5EF4-FFF2-40B4-BE49-F238E27FC236}">
              <a16:creationId xmlns:a16="http://schemas.microsoft.com/office/drawing/2014/main" id="{6E2FB3AC-7961-42FA-BD47-1831920D44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3683000"/>
          <a:ext cx="190500" cy="190500"/>
        </a:xfrm>
        <a:prstGeom prst="rect">
          <a:avLst/>
        </a:prstGeom>
      </xdr:spPr>
    </xdr:pic>
    <xdr:clientData/>
  </xdr:twoCellAnchor>
  <xdr:twoCellAnchor editAs="oneCell">
    <xdr:from>
      <xdr:col>50</xdr:col>
      <xdr:colOff>0</xdr:colOff>
      <xdr:row>21</xdr:row>
      <xdr:rowOff>0</xdr:rowOff>
    </xdr:from>
    <xdr:to>
      <xdr:col>51</xdr:col>
      <xdr:colOff>6350</xdr:colOff>
      <xdr:row>22</xdr:row>
      <xdr:rowOff>6350</xdr:rowOff>
    </xdr:to>
    <xdr:pic>
      <xdr:nvPicPr>
        <xdr:cNvPr id="17" name="Grafik 16">
          <a:extLst>
            <a:ext uri="{FF2B5EF4-FFF2-40B4-BE49-F238E27FC236}">
              <a16:creationId xmlns:a16="http://schemas.microsoft.com/office/drawing/2014/main" id="{B7476D79-172A-46DF-B221-97D8B78A3C3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3867150"/>
          <a:ext cx="190500" cy="190500"/>
        </a:xfrm>
        <a:prstGeom prst="rect">
          <a:avLst/>
        </a:prstGeom>
      </xdr:spPr>
    </xdr:pic>
    <xdr:clientData/>
  </xdr:twoCellAnchor>
  <xdr:twoCellAnchor editAs="oneCell">
    <xdr:from>
      <xdr:col>50</xdr:col>
      <xdr:colOff>0</xdr:colOff>
      <xdr:row>22</xdr:row>
      <xdr:rowOff>0</xdr:rowOff>
    </xdr:from>
    <xdr:to>
      <xdr:col>51</xdr:col>
      <xdr:colOff>6350</xdr:colOff>
      <xdr:row>23</xdr:row>
      <xdr:rowOff>6350</xdr:rowOff>
    </xdr:to>
    <xdr:pic>
      <xdr:nvPicPr>
        <xdr:cNvPr id="18" name="Grafik 17">
          <a:extLst>
            <a:ext uri="{FF2B5EF4-FFF2-40B4-BE49-F238E27FC236}">
              <a16:creationId xmlns:a16="http://schemas.microsoft.com/office/drawing/2014/main" id="{2EA80D79-A6AF-4B92-BC41-31BD0960B3C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4051300"/>
          <a:ext cx="190500" cy="190500"/>
        </a:xfrm>
        <a:prstGeom prst="rect">
          <a:avLst/>
        </a:prstGeom>
      </xdr:spPr>
    </xdr:pic>
    <xdr:clientData/>
  </xdr:twoCellAnchor>
  <xdr:twoCellAnchor editAs="oneCell">
    <xdr:from>
      <xdr:col>50</xdr:col>
      <xdr:colOff>0</xdr:colOff>
      <xdr:row>23</xdr:row>
      <xdr:rowOff>0</xdr:rowOff>
    </xdr:from>
    <xdr:to>
      <xdr:col>51</xdr:col>
      <xdr:colOff>6350</xdr:colOff>
      <xdr:row>24</xdr:row>
      <xdr:rowOff>6350</xdr:rowOff>
    </xdr:to>
    <xdr:pic>
      <xdr:nvPicPr>
        <xdr:cNvPr id="19" name="Grafik 18">
          <a:extLst>
            <a:ext uri="{FF2B5EF4-FFF2-40B4-BE49-F238E27FC236}">
              <a16:creationId xmlns:a16="http://schemas.microsoft.com/office/drawing/2014/main" id="{7EA63827-47AB-42E4-96C2-7CE3BCD85B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4235450"/>
          <a:ext cx="190500" cy="190500"/>
        </a:xfrm>
        <a:prstGeom prst="rect">
          <a:avLst/>
        </a:prstGeom>
      </xdr:spPr>
    </xdr:pic>
    <xdr:clientData/>
  </xdr:twoCellAnchor>
  <xdr:twoCellAnchor editAs="oneCell">
    <xdr:from>
      <xdr:col>51</xdr:col>
      <xdr:colOff>0</xdr:colOff>
      <xdr:row>24</xdr:row>
      <xdr:rowOff>0</xdr:rowOff>
    </xdr:from>
    <xdr:to>
      <xdr:col>52</xdr:col>
      <xdr:colOff>6350</xdr:colOff>
      <xdr:row>25</xdr:row>
      <xdr:rowOff>6350</xdr:rowOff>
    </xdr:to>
    <xdr:pic>
      <xdr:nvPicPr>
        <xdr:cNvPr id="20" name="Grafik 19">
          <a:extLst>
            <a:ext uri="{FF2B5EF4-FFF2-40B4-BE49-F238E27FC236}">
              <a16:creationId xmlns:a16="http://schemas.microsoft.com/office/drawing/2014/main" id="{C2CBB110-4120-44FB-A353-5B6BD3715D9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4419600"/>
          <a:ext cx="190500" cy="190500"/>
        </a:xfrm>
        <a:prstGeom prst="rect">
          <a:avLst/>
        </a:prstGeom>
      </xdr:spPr>
    </xdr:pic>
    <xdr:clientData/>
  </xdr:twoCellAnchor>
  <xdr:twoCellAnchor editAs="oneCell">
    <xdr:from>
      <xdr:col>46</xdr:col>
      <xdr:colOff>0</xdr:colOff>
      <xdr:row>25</xdr:row>
      <xdr:rowOff>0</xdr:rowOff>
    </xdr:from>
    <xdr:to>
      <xdr:col>47</xdr:col>
      <xdr:colOff>6350</xdr:colOff>
      <xdr:row>26</xdr:row>
      <xdr:rowOff>6350</xdr:rowOff>
    </xdr:to>
    <xdr:pic>
      <xdr:nvPicPr>
        <xdr:cNvPr id="21" name="Grafik 20">
          <a:extLst>
            <a:ext uri="{FF2B5EF4-FFF2-40B4-BE49-F238E27FC236}">
              <a16:creationId xmlns:a16="http://schemas.microsoft.com/office/drawing/2014/main" id="{E8CFF998-62C2-45D3-8C5B-B2D0CA71BA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4603750"/>
          <a:ext cx="190500" cy="190500"/>
        </a:xfrm>
        <a:prstGeom prst="rect">
          <a:avLst/>
        </a:prstGeom>
      </xdr:spPr>
    </xdr:pic>
    <xdr:clientData/>
  </xdr:twoCellAnchor>
  <xdr:twoCellAnchor editAs="oneCell">
    <xdr:from>
      <xdr:col>49</xdr:col>
      <xdr:colOff>0</xdr:colOff>
      <xdr:row>26</xdr:row>
      <xdr:rowOff>0</xdr:rowOff>
    </xdr:from>
    <xdr:to>
      <xdr:col>50</xdr:col>
      <xdr:colOff>6350</xdr:colOff>
      <xdr:row>27</xdr:row>
      <xdr:rowOff>6350</xdr:rowOff>
    </xdr:to>
    <xdr:pic>
      <xdr:nvPicPr>
        <xdr:cNvPr id="22" name="Grafik 21">
          <a:extLst>
            <a:ext uri="{FF2B5EF4-FFF2-40B4-BE49-F238E27FC236}">
              <a16:creationId xmlns:a16="http://schemas.microsoft.com/office/drawing/2014/main" id="{E77E3383-FE26-4E30-B038-1D4A6F2250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4787900"/>
          <a:ext cx="190500" cy="190500"/>
        </a:xfrm>
        <a:prstGeom prst="rect">
          <a:avLst/>
        </a:prstGeom>
      </xdr:spPr>
    </xdr:pic>
    <xdr:clientData/>
  </xdr:twoCellAnchor>
  <xdr:twoCellAnchor editAs="oneCell">
    <xdr:from>
      <xdr:col>49</xdr:col>
      <xdr:colOff>0</xdr:colOff>
      <xdr:row>27</xdr:row>
      <xdr:rowOff>0</xdr:rowOff>
    </xdr:from>
    <xdr:to>
      <xdr:col>50</xdr:col>
      <xdr:colOff>6350</xdr:colOff>
      <xdr:row>28</xdr:row>
      <xdr:rowOff>6350</xdr:rowOff>
    </xdr:to>
    <xdr:pic>
      <xdr:nvPicPr>
        <xdr:cNvPr id="23" name="Grafik 22">
          <a:extLst>
            <a:ext uri="{FF2B5EF4-FFF2-40B4-BE49-F238E27FC236}">
              <a16:creationId xmlns:a16="http://schemas.microsoft.com/office/drawing/2014/main" id="{3875A6B8-89E0-4EF2-B56F-E2DF101933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4972050"/>
          <a:ext cx="190500" cy="190500"/>
        </a:xfrm>
        <a:prstGeom prst="rect">
          <a:avLst/>
        </a:prstGeom>
      </xdr:spPr>
    </xdr:pic>
    <xdr:clientData/>
  </xdr:twoCellAnchor>
  <xdr:twoCellAnchor editAs="oneCell">
    <xdr:from>
      <xdr:col>50</xdr:col>
      <xdr:colOff>0</xdr:colOff>
      <xdr:row>28</xdr:row>
      <xdr:rowOff>0</xdr:rowOff>
    </xdr:from>
    <xdr:to>
      <xdr:col>51</xdr:col>
      <xdr:colOff>6350</xdr:colOff>
      <xdr:row>29</xdr:row>
      <xdr:rowOff>6350</xdr:rowOff>
    </xdr:to>
    <xdr:pic>
      <xdr:nvPicPr>
        <xdr:cNvPr id="24" name="Grafik 23">
          <a:extLst>
            <a:ext uri="{FF2B5EF4-FFF2-40B4-BE49-F238E27FC236}">
              <a16:creationId xmlns:a16="http://schemas.microsoft.com/office/drawing/2014/main" id="{247B4811-C38B-4D56-B6F8-293DE78FA2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5156200"/>
          <a:ext cx="190500" cy="190500"/>
        </a:xfrm>
        <a:prstGeom prst="rect">
          <a:avLst/>
        </a:prstGeom>
      </xdr:spPr>
    </xdr:pic>
    <xdr:clientData/>
  </xdr:twoCellAnchor>
  <xdr:twoCellAnchor editAs="oneCell">
    <xdr:from>
      <xdr:col>49</xdr:col>
      <xdr:colOff>0</xdr:colOff>
      <xdr:row>29</xdr:row>
      <xdr:rowOff>0</xdr:rowOff>
    </xdr:from>
    <xdr:to>
      <xdr:col>50</xdr:col>
      <xdr:colOff>6350</xdr:colOff>
      <xdr:row>30</xdr:row>
      <xdr:rowOff>6350</xdr:rowOff>
    </xdr:to>
    <xdr:pic>
      <xdr:nvPicPr>
        <xdr:cNvPr id="25" name="Grafik 24">
          <a:extLst>
            <a:ext uri="{FF2B5EF4-FFF2-40B4-BE49-F238E27FC236}">
              <a16:creationId xmlns:a16="http://schemas.microsoft.com/office/drawing/2014/main" id="{0C531FFD-7E89-43F4-8388-988271D97C8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5340350"/>
          <a:ext cx="190500" cy="190500"/>
        </a:xfrm>
        <a:prstGeom prst="rect">
          <a:avLst/>
        </a:prstGeom>
      </xdr:spPr>
    </xdr:pic>
    <xdr:clientData/>
  </xdr:twoCellAnchor>
  <xdr:twoCellAnchor editAs="oneCell">
    <xdr:from>
      <xdr:col>48</xdr:col>
      <xdr:colOff>0</xdr:colOff>
      <xdr:row>30</xdr:row>
      <xdr:rowOff>0</xdr:rowOff>
    </xdr:from>
    <xdr:to>
      <xdr:col>49</xdr:col>
      <xdr:colOff>6350</xdr:colOff>
      <xdr:row>31</xdr:row>
      <xdr:rowOff>6350</xdr:rowOff>
    </xdr:to>
    <xdr:pic>
      <xdr:nvPicPr>
        <xdr:cNvPr id="26" name="Grafik 25">
          <a:extLst>
            <a:ext uri="{FF2B5EF4-FFF2-40B4-BE49-F238E27FC236}">
              <a16:creationId xmlns:a16="http://schemas.microsoft.com/office/drawing/2014/main" id="{B561316E-7733-447E-8D3B-FCD1351656F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5524500"/>
          <a:ext cx="190500" cy="190500"/>
        </a:xfrm>
        <a:prstGeom prst="rect">
          <a:avLst/>
        </a:prstGeom>
      </xdr:spPr>
    </xdr:pic>
    <xdr:clientData/>
  </xdr:twoCellAnchor>
  <xdr:twoCellAnchor editAs="oneCell">
    <xdr:from>
      <xdr:col>45</xdr:col>
      <xdr:colOff>0</xdr:colOff>
      <xdr:row>31</xdr:row>
      <xdr:rowOff>0</xdr:rowOff>
    </xdr:from>
    <xdr:to>
      <xdr:col>46</xdr:col>
      <xdr:colOff>6350</xdr:colOff>
      <xdr:row>32</xdr:row>
      <xdr:rowOff>6350</xdr:rowOff>
    </xdr:to>
    <xdr:pic>
      <xdr:nvPicPr>
        <xdr:cNvPr id="27" name="Grafik 26">
          <a:extLst>
            <a:ext uri="{FF2B5EF4-FFF2-40B4-BE49-F238E27FC236}">
              <a16:creationId xmlns:a16="http://schemas.microsoft.com/office/drawing/2014/main" id="{CA904207-1C4B-4010-98D2-E8BDC1E47DE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5708650"/>
          <a:ext cx="190500" cy="190500"/>
        </a:xfrm>
        <a:prstGeom prst="rect">
          <a:avLst/>
        </a:prstGeom>
      </xdr:spPr>
    </xdr:pic>
    <xdr:clientData/>
  </xdr:twoCellAnchor>
  <xdr:twoCellAnchor editAs="oneCell">
    <xdr:from>
      <xdr:col>53</xdr:col>
      <xdr:colOff>0</xdr:colOff>
      <xdr:row>32</xdr:row>
      <xdr:rowOff>0</xdr:rowOff>
    </xdr:from>
    <xdr:to>
      <xdr:col>54</xdr:col>
      <xdr:colOff>6350</xdr:colOff>
      <xdr:row>33</xdr:row>
      <xdr:rowOff>6350</xdr:rowOff>
    </xdr:to>
    <xdr:pic>
      <xdr:nvPicPr>
        <xdr:cNvPr id="28" name="Grafik 27">
          <a:extLst>
            <a:ext uri="{FF2B5EF4-FFF2-40B4-BE49-F238E27FC236}">
              <a16:creationId xmlns:a16="http://schemas.microsoft.com/office/drawing/2014/main" id="{B10A44D1-A46D-47AA-9280-72E484F96A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5892800"/>
          <a:ext cx="190500" cy="190500"/>
        </a:xfrm>
        <a:prstGeom prst="rect">
          <a:avLst/>
        </a:prstGeom>
      </xdr:spPr>
    </xdr:pic>
    <xdr:clientData/>
  </xdr:twoCellAnchor>
  <xdr:twoCellAnchor editAs="oneCell">
    <xdr:from>
      <xdr:col>48</xdr:col>
      <xdr:colOff>0</xdr:colOff>
      <xdr:row>33</xdr:row>
      <xdr:rowOff>0</xdr:rowOff>
    </xdr:from>
    <xdr:to>
      <xdr:col>49</xdr:col>
      <xdr:colOff>6350</xdr:colOff>
      <xdr:row>34</xdr:row>
      <xdr:rowOff>6350</xdr:rowOff>
    </xdr:to>
    <xdr:pic>
      <xdr:nvPicPr>
        <xdr:cNvPr id="29" name="Grafik 28">
          <a:extLst>
            <a:ext uri="{FF2B5EF4-FFF2-40B4-BE49-F238E27FC236}">
              <a16:creationId xmlns:a16="http://schemas.microsoft.com/office/drawing/2014/main" id="{6208F68B-EB55-4937-BCA5-AFDD0FC8B67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6076950"/>
          <a:ext cx="190500" cy="190500"/>
        </a:xfrm>
        <a:prstGeom prst="rect">
          <a:avLst/>
        </a:prstGeom>
      </xdr:spPr>
    </xdr:pic>
    <xdr:clientData/>
  </xdr:twoCellAnchor>
  <xdr:twoCellAnchor editAs="oneCell">
    <xdr:from>
      <xdr:col>53</xdr:col>
      <xdr:colOff>0</xdr:colOff>
      <xdr:row>34</xdr:row>
      <xdr:rowOff>0</xdr:rowOff>
    </xdr:from>
    <xdr:to>
      <xdr:col>54</xdr:col>
      <xdr:colOff>6350</xdr:colOff>
      <xdr:row>35</xdr:row>
      <xdr:rowOff>6350</xdr:rowOff>
    </xdr:to>
    <xdr:pic>
      <xdr:nvPicPr>
        <xdr:cNvPr id="30" name="Grafik 29">
          <a:extLst>
            <a:ext uri="{FF2B5EF4-FFF2-40B4-BE49-F238E27FC236}">
              <a16:creationId xmlns:a16="http://schemas.microsoft.com/office/drawing/2014/main" id="{5FFAFE69-2801-40CE-BE50-1F55187B628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6261100"/>
          <a:ext cx="190500" cy="190500"/>
        </a:xfrm>
        <a:prstGeom prst="rect">
          <a:avLst/>
        </a:prstGeom>
      </xdr:spPr>
    </xdr:pic>
    <xdr:clientData/>
  </xdr:twoCellAnchor>
  <xdr:twoCellAnchor editAs="oneCell">
    <xdr:from>
      <xdr:col>46</xdr:col>
      <xdr:colOff>0</xdr:colOff>
      <xdr:row>35</xdr:row>
      <xdr:rowOff>0</xdr:rowOff>
    </xdr:from>
    <xdr:to>
      <xdr:col>47</xdr:col>
      <xdr:colOff>6350</xdr:colOff>
      <xdr:row>36</xdr:row>
      <xdr:rowOff>6350</xdr:rowOff>
    </xdr:to>
    <xdr:pic>
      <xdr:nvPicPr>
        <xdr:cNvPr id="31" name="Grafik 30">
          <a:extLst>
            <a:ext uri="{FF2B5EF4-FFF2-40B4-BE49-F238E27FC236}">
              <a16:creationId xmlns:a16="http://schemas.microsoft.com/office/drawing/2014/main" id="{79A4E7E3-63DB-45CC-949A-7F952CC2F8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6445250"/>
          <a:ext cx="190500" cy="190500"/>
        </a:xfrm>
        <a:prstGeom prst="rect">
          <a:avLst/>
        </a:prstGeom>
      </xdr:spPr>
    </xdr:pic>
    <xdr:clientData/>
  </xdr:twoCellAnchor>
  <xdr:twoCellAnchor editAs="oneCell">
    <xdr:from>
      <xdr:col>48</xdr:col>
      <xdr:colOff>0</xdr:colOff>
      <xdr:row>36</xdr:row>
      <xdr:rowOff>0</xdr:rowOff>
    </xdr:from>
    <xdr:to>
      <xdr:col>49</xdr:col>
      <xdr:colOff>6350</xdr:colOff>
      <xdr:row>37</xdr:row>
      <xdr:rowOff>6350</xdr:rowOff>
    </xdr:to>
    <xdr:pic>
      <xdr:nvPicPr>
        <xdr:cNvPr id="32" name="Grafik 31">
          <a:extLst>
            <a:ext uri="{FF2B5EF4-FFF2-40B4-BE49-F238E27FC236}">
              <a16:creationId xmlns:a16="http://schemas.microsoft.com/office/drawing/2014/main" id="{78736635-E32A-41B9-909B-D03E28E4AB0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6629400"/>
          <a:ext cx="190500" cy="190500"/>
        </a:xfrm>
        <a:prstGeom prst="rect">
          <a:avLst/>
        </a:prstGeom>
      </xdr:spPr>
    </xdr:pic>
    <xdr:clientData/>
  </xdr:twoCellAnchor>
  <xdr:twoCellAnchor editAs="oneCell">
    <xdr:from>
      <xdr:col>53</xdr:col>
      <xdr:colOff>0</xdr:colOff>
      <xdr:row>37</xdr:row>
      <xdr:rowOff>0</xdr:rowOff>
    </xdr:from>
    <xdr:to>
      <xdr:col>54</xdr:col>
      <xdr:colOff>6350</xdr:colOff>
      <xdr:row>38</xdr:row>
      <xdr:rowOff>6350</xdr:rowOff>
    </xdr:to>
    <xdr:pic>
      <xdr:nvPicPr>
        <xdr:cNvPr id="33" name="Grafik 32">
          <a:extLst>
            <a:ext uri="{FF2B5EF4-FFF2-40B4-BE49-F238E27FC236}">
              <a16:creationId xmlns:a16="http://schemas.microsoft.com/office/drawing/2014/main" id="{DB1F9357-F15D-4F4A-A162-A016148A18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6813550"/>
          <a:ext cx="190500" cy="190500"/>
        </a:xfrm>
        <a:prstGeom prst="rect">
          <a:avLst/>
        </a:prstGeom>
      </xdr:spPr>
    </xdr:pic>
    <xdr:clientData/>
  </xdr:twoCellAnchor>
  <xdr:twoCellAnchor editAs="oneCell">
    <xdr:from>
      <xdr:col>50</xdr:col>
      <xdr:colOff>0</xdr:colOff>
      <xdr:row>38</xdr:row>
      <xdr:rowOff>0</xdr:rowOff>
    </xdr:from>
    <xdr:to>
      <xdr:col>51</xdr:col>
      <xdr:colOff>6350</xdr:colOff>
      <xdr:row>39</xdr:row>
      <xdr:rowOff>6350</xdr:rowOff>
    </xdr:to>
    <xdr:pic>
      <xdr:nvPicPr>
        <xdr:cNvPr id="34" name="Grafik 33">
          <a:extLst>
            <a:ext uri="{FF2B5EF4-FFF2-40B4-BE49-F238E27FC236}">
              <a16:creationId xmlns:a16="http://schemas.microsoft.com/office/drawing/2014/main" id="{5C1EDC53-6420-4F0C-AE08-E23688C17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6997700"/>
          <a:ext cx="190500" cy="190500"/>
        </a:xfrm>
        <a:prstGeom prst="rect">
          <a:avLst/>
        </a:prstGeom>
      </xdr:spPr>
    </xdr:pic>
    <xdr:clientData/>
  </xdr:twoCellAnchor>
  <xdr:twoCellAnchor editAs="oneCell">
    <xdr:from>
      <xdr:col>48</xdr:col>
      <xdr:colOff>0</xdr:colOff>
      <xdr:row>39</xdr:row>
      <xdr:rowOff>0</xdr:rowOff>
    </xdr:from>
    <xdr:to>
      <xdr:col>49</xdr:col>
      <xdr:colOff>6350</xdr:colOff>
      <xdr:row>40</xdr:row>
      <xdr:rowOff>6350</xdr:rowOff>
    </xdr:to>
    <xdr:pic>
      <xdr:nvPicPr>
        <xdr:cNvPr id="35" name="Grafik 34">
          <a:extLst>
            <a:ext uri="{FF2B5EF4-FFF2-40B4-BE49-F238E27FC236}">
              <a16:creationId xmlns:a16="http://schemas.microsoft.com/office/drawing/2014/main" id="{265760ED-04EF-476C-A7D6-DEE29C958AF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7181850"/>
          <a:ext cx="190500" cy="190500"/>
        </a:xfrm>
        <a:prstGeom prst="rect">
          <a:avLst/>
        </a:prstGeom>
      </xdr:spPr>
    </xdr:pic>
    <xdr:clientData/>
  </xdr:twoCellAnchor>
  <xdr:twoCellAnchor editAs="oneCell">
    <xdr:from>
      <xdr:col>46</xdr:col>
      <xdr:colOff>0</xdr:colOff>
      <xdr:row>40</xdr:row>
      <xdr:rowOff>0</xdr:rowOff>
    </xdr:from>
    <xdr:to>
      <xdr:col>47</xdr:col>
      <xdr:colOff>6350</xdr:colOff>
      <xdr:row>41</xdr:row>
      <xdr:rowOff>6350</xdr:rowOff>
    </xdr:to>
    <xdr:pic>
      <xdr:nvPicPr>
        <xdr:cNvPr id="36" name="Grafik 35">
          <a:extLst>
            <a:ext uri="{FF2B5EF4-FFF2-40B4-BE49-F238E27FC236}">
              <a16:creationId xmlns:a16="http://schemas.microsoft.com/office/drawing/2014/main" id="{838AF95C-11BA-4F64-B693-CDAC8AA67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7366000"/>
          <a:ext cx="190500" cy="190500"/>
        </a:xfrm>
        <a:prstGeom prst="rect">
          <a:avLst/>
        </a:prstGeom>
      </xdr:spPr>
    </xdr:pic>
    <xdr:clientData/>
  </xdr:twoCellAnchor>
  <xdr:twoCellAnchor editAs="oneCell">
    <xdr:from>
      <xdr:col>50</xdr:col>
      <xdr:colOff>0</xdr:colOff>
      <xdr:row>41</xdr:row>
      <xdr:rowOff>0</xdr:rowOff>
    </xdr:from>
    <xdr:to>
      <xdr:col>51</xdr:col>
      <xdr:colOff>6350</xdr:colOff>
      <xdr:row>42</xdr:row>
      <xdr:rowOff>6350</xdr:rowOff>
    </xdr:to>
    <xdr:pic>
      <xdr:nvPicPr>
        <xdr:cNvPr id="37" name="Grafik 36">
          <a:extLst>
            <a:ext uri="{FF2B5EF4-FFF2-40B4-BE49-F238E27FC236}">
              <a16:creationId xmlns:a16="http://schemas.microsoft.com/office/drawing/2014/main" id="{68C0EC51-981E-44DE-837E-D4A4729F71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7550150"/>
          <a:ext cx="190500" cy="190500"/>
        </a:xfrm>
        <a:prstGeom prst="rect">
          <a:avLst/>
        </a:prstGeom>
      </xdr:spPr>
    </xdr:pic>
    <xdr:clientData/>
  </xdr:twoCellAnchor>
  <xdr:twoCellAnchor editAs="oneCell">
    <xdr:from>
      <xdr:col>50</xdr:col>
      <xdr:colOff>0</xdr:colOff>
      <xdr:row>42</xdr:row>
      <xdr:rowOff>0</xdr:rowOff>
    </xdr:from>
    <xdr:to>
      <xdr:col>51</xdr:col>
      <xdr:colOff>6350</xdr:colOff>
      <xdr:row>43</xdr:row>
      <xdr:rowOff>6350</xdr:rowOff>
    </xdr:to>
    <xdr:pic>
      <xdr:nvPicPr>
        <xdr:cNvPr id="38" name="Grafik 37">
          <a:extLst>
            <a:ext uri="{FF2B5EF4-FFF2-40B4-BE49-F238E27FC236}">
              <a16:creationId xmlns:a16="http://schemas.microsoft.com/office/drawing/2014/main" id="{4FC6797E-0EA4-489A-A27F-9B2FCEEAA9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7734300"/>
          <a:ext cx="190500" cy="190500"/>
        </a:xfrm>
        <a:prstGeom prst="rect">
          <a:avLst/>
        </a:prstGeom>
      </xdr:spPr>
    </xdr:pic>
    <xdr:clientData/>
  </xdr:twoCellAnchor>
  <xdr:twoCellAnchor editAs="oneCell">
    <xdr:from>
      <xdr:col>49</xdr:col>
      <xdr:colOff>0</xdr:colOff>
      <xdr:row>43</xdr:row>
      <xdr:rowOff>0</xdr:rowOff>
    </xdr:from>
    <xdr:to>
      <xdr:col>50</xdr:col>
      <xdr:colOff>6350</xdr:colOff>
      <xdr:row>44</xdr:row>
      <xdr:rowOff>6350</xdr:rowOff>
    </xdr:to>
    <xdr:pic>
      <xdr:nvPicPr>
        <xdr:cNvPr id="39" name="Grafik 38">
          <a:extLst>
            <a:ext uri="{FF2B5EF4-FFF2-40B4-BE49-F238E27FC236}">
              <a16:creationId xmlns:a16="http://schemas.microsoft.com/office/drawing/2014/main" id="{0D17D67C-0C0A-4BBC-B18B-09FE72EAAB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7918450"/>
          <a:ext cx="190500" cy="190500"/>
        </a:xfrm>
        <a:prstGeom prst="rect">
          <a:avLst/>
        </a:prstGeom>
      </xdr:spPr>
    </xdr:pic>
    <xdr:clientData/>
  </xdr:twoCellAnchor>
  <xdr:twoCellAnchor editAs="oneCell">
    <xdr:from>
      <xdr:col>49</xdr:col>
      <xdr:colOff>0</xdr:colOff>
      <xdr:row>44</xdr:row>
      <xdr:rowOff>0</xdr:rowOff>
    </xdr:from>
    <xdr:to>
      <xdr:col>50</xdr:col>
      <xdr:colOff>6350</xdr:colOff>
      <xdr:row>45</xdr:row>
      <xdr:rowOff>6350</xdr:rowOff>
    </xdr:to>
    <xdr:pic>
      <xdr:nvPicPr>
        <xdr:cNvPr id="40" name="Grafik 39">
          <a:extLst>
            <a:ext uri="{FF2B5EF4-FFF2-40B4-BE49-F238E27FC236}">
              <a16:creationId xmlns:a16="http://schemas.microsoft.com/office/drawing/2014/main" id="{FE6FC9C9-B426-4599-A641-CA225D33ED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8102600"/>
          <a:ext cx="190500" cy="190500"/>
        </a:xfrm>
        <a:prstGeom prst="rect">
          <a:avLst/>
        </a:prstGeom>
      </xdr:spPr>
    </xdr:pic>
    <xdr:clientData/>
  </xdr:twoCellAnchor>
  <xdr:twoCellAnchor editAs="oneCell">
    <xdr:from>
      <xdr:col>48</xdr:col>
      <xdr:colOff>0</xdr:colOff>
      <xdr:row>45</xdr:row>
      <xdr:rowOff>0</xdr:rowOff>
    </xdr:from>
    <xdr:to>
      <xdr:col>49</xdr:col>
      <xdr:colOff>6350</xdr:colOff>
      <xdr:row>46</xdr:row>
      <xdr:rowOff>6350</xdr:rowOff>
    </xdr:to>
    <xdr:pic>
      <xdr:nvPicPr>
        <xdr:cNvPr id="41" name="Grafik 40">
          <a:extLst>
            <a:ext uri="{FF2B5EF4-FFF2-40B4-BE49-F238E27FC236}">
              <a16:creationId xmlns:a16="http://schemas.microsoft.com/office/drawing/2014/main" id="{A941FE45-357C-4805-B5D5-AC0C6493E57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8286750"/>
          <a:ext cx="190500" cy="190500"/>
        </a:xfrm>
        <a:prstGeom prst="rect">
          <a:avLst/>
        </a:prstGeom>
      </xdr:spPr>
    </xdr:pic>
    <xdr:clientData/>
  </xdr:twoCellAnchor>
  <xdr:twoCellAnchor editAs="oneCell">
    <xdr:from>
      <xdr:col>50</xdr:col>
      <xdr:colOff>0</xdr:colOff>
      <xdr:row>46</xdr:row>
      <xdr:rowOff>0</xdr:rowOff>
    </xdr:from>
    <xdr:to>
      <xdr:col>51</xdr:col>
      <xdr:colOff>6350</xdr:colOff>
      <xdr:row>47</xdr:row>
      <xdr:rowOff>6350</xdr:rowOff>
    </xdr:to>
    <xdr:pic>
      <xdr:nvPicPr>
        <xdr:cNvPr id="42" name="Grafik 41">
          <a:extLst>
            <a:ext uri="{FF2B5EF4-FFF2-40B4-BE49-F238E27FC236}">
              <a16:creationId xmlns:a16="http://schemas.microsoft.com/office/drawing/2014/main" id="{A624F822-DB11-4047-BDCE-C410865B6F0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8470900"/>
          <a:ext cx="190500" cy="190500"/>
        </a:xfrm>
        <a:prstGeom prst="rect">
          <a:avLst/>
        </a:prstGeom>
      </xdr:spPr>
    </xdr:pic>
    <xdr:clientData/>
  </xdr:twoCellAnchor>
  <xdr:twoCellAnchor editAs="oneCell">
    <xdr:from>
      <xdr:col>46</xdr:col>
      <xdr:colOff>0</xdr:colOff>
      <xdr:row>47</xdr:row>
      <xdr:rowOff>0</xdr:rowOff>
    </xdr:from>
    <xdr:to>
      <xdr:col>47</xdr:col>
      <xdr:colOff>6350</xdr:colOff>
      <xdr:row>48</xdr:row>
      <xdr:rowOff>6350</xdr:rowOff>
    </xdr:to>
    <xdr:pic>
      <xdr:nvPicPr>
        <xdr:cNvPr id="43" name="Grafik 42">
          <a:extLst>
            <a:ext uri="{FF2B5EF4-FFF2-40B4-BE49-F238E27FC236}">
              <a16:creationId xmlns:a16="http://schemas.microsoft.com/office/drawing/2014/main" id="{C5A705DD-B5FD-4DAE-B69D-3C02D670CD2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8655050"/>
          <a:ext cx="190500" cy="190500"/>
        </a:xfrm>
        <a:prstGeom prst="rect">
          <a:avLst/>
        </a:prstGeom>
      </xdr:spPr>
    </xdr:pic>
    <xdr:clientData/>
  </xdr:twoCellAnchor>
  <xdr:twoCellAnchor editAs="oneCell">
    <xdr:from>
      <xdr:col>50</xdr:col>
      <xdr:colOff>0</xdr:colOff>
      <xdr:row>48</xdr:row>
      <xdr:rowOff>0</xdr:rowOff>
    </xdr:from>
    <xdr:to>
      <xdr:col>51</xdr:col>
      <xdr:colOff>6350</xdr:colOff>
      <xdr:row>49</xdr:row>
      <xdr:rowOff>6350</xdr:rowOff>
    </xdr:to>
    <xdr:pic>
      <xdr:nvPicPr>
        <xdr:cNvPr id="44" name="Grafik 43">
          <a:extLst>
            <a:ext uri="{FF2B5EF4-FFF2-40B4-BE49-F238E27FC236}">
              <a16:creationId xmlns:a16="http://schemas.microsoft.com/office/drawing/2014/main" id="{04323441-70F6-42E6-9299-C4385DAEE9B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8839200"/>
          <a:ext cx="190500" cy="190500"/>
        </a:xfrm>
        <a:prstGeom prst="rect">
          <a:avLst/>
        </a:prstGeom>
      </xdr:spPr>
    </xdr:pic>
    <xdr:clientData/>
  </xdr:twoCellAnchor>
  <xdr:twoCellAnchor editAs="oneCell">
    <xdr:from>
      <xdr:col>48</xdr:col>
      <xdr:colOff>0</xdr:colOff>
      <xdr:row>49</xdr:row>
      <xdr:rowOff>0</xdr:rowOff>
    </xdr:from>
    <xdr:to>
      <xdr:col>49</xdr:col>
      <xdr:colOff>6350</xdr:colOff>
      <xdr:row>50</xdr:row>
      <xdr:rowOff>6350</xdr:rowOff>
    </xdr:to>
    <xdr:pic>
      <xdr:nvPicPr>
        <xdr:cNvPr id="45" name="Grafik 44">
          <a:extLst>
            <a:ext uri="{FF2B5EF4-FFF2-40B4-BE49-F238E27FC236}">
              <a16:creationId xmlns:a16="http://schemas.microsoft.com/office/drawing/2014/main" id="{261A1D99-C999-4D01-9004-1F70BB10269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9023350"/>
          <a:ext cx="190500" cy="190500"/>
        </a:xfrm>
        <a:prstGeom prst="rect">
          <a:avLst/>
        </a:prstGeom>
      </xdr:spPr>
    </xdr:pic>
    <xdr:clientData/>
  </xdr:twoCellAnchor>
  <xdr:twoCellAnchor editAs="oneCell">
    <xdr:from>
      <xdr:col>45</xdr:col>
      <xdr:colOff>0</xdr:colOff>
      <xdr:row>50</xdr:row>
      <xdr:rowOff>0</xdr:rowOff>
    </xdr:from>
    <xdr:to>
      <xdr:col>46</xdr:col>
      <xdr:colOff>6350</xdr:colOff>
      <xdr:row>51</xdr:row>
      <xdr:rowOff>6350</xdr:rowOff>
    </xdr:to>
    <xdr:pic>
      <xdr:nvPicPr>
        <xdr:cNvPr id="46" name="Grafik 45">
          <a:extLst>
            <a:ext uri="{FF2B5EF4-FFF2-40B4-BE49-F238E27FC236}">
              <a16:creationId xmlns:a16="http://schemas.microsoft.com/office/drawing/2014/main" id="{B557CF8A-13E8-407D-948E-917D0637228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9207500"/>
          <a:ext cx="190500" cy="190500"/>
        </a:xfrm>
        <a:prstGeom prst="rect">
          <a:avLst/>
        </a:prstGeom>
      </xdr:spPr>
    </xdr:pic>
    <xdr:clientData/>
  </xdr:twoCellAnchor>
  <xdr:twoCellAnchor editAs="oneCell">
    <xdr:from>
      <xdr:col>48</xdr:col>
      <xdr:colOff>0</xdr:colOff>
      <xdr:row>51</xdr:row>
      <xdr:rowOff>0</xdr:rowOff>
    </xdr:from>
    <xdr:to>
      <xdr:col>49</xdr:col>
      <xdr:colOff>6350</xdr:colOff>
      <xdr:row>52</xdr:row>
      <xdr:rowOff>6350</xdr:rowOff>
    </xdr:to>
    <xdr:pic>
      <xdr:nvPicPr>
        <xdr:cNvPr id="47" name="Grafik 46">
          <a:extLst>
            <a:ext uri="{FF2B5EF4-FFF2-40B4-BE49-F238E27FC236}">
              <a16:creationId xmlns:a16="http://schemas.microsoft.com/office/drawing/2014/main" id="{382D5D31-A4E1-4FDC-8016-68BFFBEA083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9391650"/>
          <a:ext cx="190500" cy="190500"/>
        </a:xfrm>
        <a:prstGeom prst="rect">
          <a:avLst/>
        </a:prstGeom>
      </xdr:spPr>
    </xdr:pic>
    <xdr:clientData/>
  </xdr:twoCellAnchor>
  <xdr:twoCellAnchor editAs="oneCell">
    <xdr:from>
      <xdr:col>51</xdr:col>
      <xdr:colOff>0</xdr:colOff>
      <xdr:row>52</xdr:row>
      <xdr:rowOff>0</xdr:rowOff>
    </xdr:from>
    <xdr:to>
      <xdr:col>52</xdr:col>
      <xdr:colOff>6350</xdr:colOff>
      <xdr:row>53</xdr:row>
      <xdr:rowOff>6350</xdr:rowOff>
    </xdr:to>
    <xdr:pic>
      <xdr:nvPicPr>
        <xdr:cNvPr id="48" name="Grafik 47">
          <a:extLst>
            <a:ext uri="{FF2B5EF4-FFF2-40B4-BE49-F238E27FC236}">
              <a16:creationId xmlns:a16="http://schemas.microsoft.com/office/drawing/2014/main" id="{B966A36A-95C3-40DC-ACDF-63359D33EA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9575800"/>
          <a:ext cx="190500" cy="190500"/>
        </a:xfrm>
        <a:prstGeom prst="rect">
          <a:avLst/>
        </a:prstGeom>
      </xdr:spPr>
    </xdr:pic>
    <xdr:clientData/>
  </xdr:twoCellAnchor>
  <xdr:twoCellAnchor editAs="oneCell">
    <xdr:from>
      <xdr:col>51</xdr:col>
      <xdr:colOff>0</xdr:colOff>
      <xdr:row>53</xdr:row>
      <xdr:rowOff>0</xdr:rowOff>
    </xdr:from>
    <xdr:to>
      <xdr:col>52</xdr:col>
      <xdr:colOff>6350</xdr:colOff>
      <xdr:row>54</xdr:row>
      <xdr:rowOff>6350</xdr:rowOff>
    </xdr:to>
    <xdr:pic>
      <xdr:nvPicPr>
        <xdr:cNvPr id="49" name="Grafik 48">
          <a:extLst>
            <a:ext uri="{FF2B5EF4-FFF2-40B4-BE49-F238E27FC236}">
              <a16:creationId xmlns:a16="http://schemas.microsoft.com/office/drawing/2014/main" id="{B0BE5517-42BE-40A5-BB3E-067E62D9F5F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9759950"/>
          <a:ext cx="190500" cy="190500"/>
        </a:xfrm>
        <a:prstGeom prst="rect">
          <a:avLst/>
        </a:prstGeom>
      </xdr:spPr>
    </xdr:pic>
    <xdr:clientData/>
  </xdr:twoCellAnchor>
  <xdr:twoCellAnchor editAs="oneCell">
    <xdr:from>
      <xdr:col>46</xdr:col>
      <xdr:colOff>0</xdr:colOff>
      <xdr:row>54</xdr:row>
      <xdr:rowOff>0</xdr:rowOff>
    </xdr:from>
    <xdr:to>
      <xdr:col>47</xdr:col>
      <xdr:colOff>6350</xdr:colOff>
      <xdr:row>55</xdr:row>
      <xdr:rowOff>6350</xdr:rowOff>
    </xdr:to>
    <xdr:pic>
      <xdr:nvPicPr>
        <xdr:cNvPr id="50" name="Grafik 49">
          <a:extLst>
            <a:ext uri="{FF2B5EF4-FFF2-40B4-BE49-F238E27FC236}">
              <a16:creationId xmlns:a16="http://schemas.microsoft.com/office/drawing/2014/main" id="{B4E24CE8-0D72-4CB1-803D-549E2A3FD0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9944100"/>
          <a:ext cx="190500" cy="190500"/>
        </a:xfrm>
        <a:prstGeom prst="rect">
          <a:avLst/>
        </a:prstGeom>
      </xdr:spPr>
    </xdr:pic>
    <xdr:clientData/>
  </xdr:twoCellAnchor>
  <xdr:twoCellAnchor editAs="oneCell">
    <xdr:from>
      <xdr:col>48</xdr:col>
      <xdr:colOff>0</xdr:colOff>
      <xdr:row>55</xdr:row>
      <xdr:rowOff>0</xdr:rowOff>
    </xdr:from>
    <xdr:to>
      <xdr:col>49</xdr:col>
      <xdr:colOff>6350</xdr:colOff>
      <xdr:row>56</xdr:row>
      <xdr:rowOff>6350</xdr:rowOff>
    </xdr:to>
    <xdr:pic>
      <xdr:nvPicPr>
        <xdr:cNvPr id="51" name="Grafik 50">
          <a:extLst>
            <a:ext uri="{FF2B5EF4-FFF2-40B4-BE49-F238E27FC236}">
              <a16:creationId xmlns:a16="http://schemas.microsoft.com/office/drawing/2014/main" id="{F913D290-2004-4BF6-8BD6-86A41F42207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0128250"/>
          <a:ext cx="190500" cy="190500"/>
        </a:xfrm>
        <a:prstGeom prst="rect">
          <a:avLst/>
        </a:prstGeom>
      </xdr:spPr>
    </xdr:pic>
    <xdr:clientData/>
  </xdr:twoCellAnchor>
  <xdr:twoCellAnchor editAs="oneCell">
    <xdr:from>
      <xdr:col>45</xdr:col>
      <xdr:colOff>0</xdr:colOff>
      <xdr:row>56</xdr:row>
      <xdr:rowOff>0</xdr:rowOff>
    </xdr:from>
    <xdr:to>
      <xdr:col>46</xdr:col>
      <xdr:colOff>6350</xdr:colOff>
      <xdr:row>57</xdr:row>
      <xdr:rowOff>6350</xdr:rowOff>
    </xdr:to>
    <xdr:pic>
      <xdr:nvPicPr>
        <xdr:cNvPr id="52" name="Grafik 51">
          <a:extLst>
            <a:ext uri="{FF2B5EF4-FFF2-40B4-BE49-F238E27FC236}">
              <a16:creationId xmlns:a16="http://schemas.microsoft.com/office/drawing/2014/main" id="{73D44BD5-E13A-40BE-BB8B-3E94581E33E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10312400"/>
          <a:ext cx="190500" cy="190500"/>
        </a:xfrm>
        <a:prstGeom prst="rect">
          <a:avLst/>
        </a:prstGeom>
      </xdr:spPr>
    </xdr:pic>
    <xdr:clientData/>
  </xdr:twoCellAnchor>
  <xdr:twoCellAnchor editAs="oneCell">
    <xdr:from>
      <xdr:col>50</xdr:col>
      <xdr:colOff>0</xdr:colOff>
      <xdr:row>57</xdr:row>
      <xdr:rowOff>0</xdr:rowOff>
    </xdr:from>
    <xdr:to>
      <xdr:col>51</xdr:col>
      <xdr:colOff>6350</xdr:colOff>
      <xdr:row>58</xdr:row>
      <xdr:rowOff>6350</xdr:rowOff>
    </xdr:to>
    <xdr:pic>
      <xdr:nvPicPr>
        <xdr:cNvPr id="53" name="Grafik 52">
          <a:extLst>
            <a:ext uri="{FF2B5EF4-FFF2-40B4-BE49-F238E27FC236}">
              <a16:creationId xmlns:a16="http://schemas.microsoft.com/office/drawing/2014/main" id="{D35188C2-C85A-4F88-ABFC-4A69043E1A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0496550"/>
          <a:ext cx="190500" cy="190500"/>
        </a:xfrm>
        <a:prstGeom prst="rect">
          <a:avLst/>
        </a:prstGeom>
      </xdr:spPr>
    </xdr:pic>
    <xdr:clientData/>
  </xdr:twoCellAnchor>
  <xdr:twoCellAnchor editAs="oneCell">
    <xdr:from>
      <xdr:col>49</xdr:col>
      <xdr:colOff>0</xdr:colOff>
      <xdr:row>58</xdr:row>
      <xdr:rowOff>0</xdr:rowOff>
    </xdr:from>
    <xdr:to>
      <xdr:col>50</xdr:col>
      <xdr:colOff>6350</xdr:colOff>
      <xdr:row>59</xdr:row>
      <xdr:rowOff>6350</xdr:rowOff>
    </xdr:to>
    <xdr:pic>
      <xdr:nvPicPr>
        <xdr:cNvPr id="54" name="Grafik 53">
          <a:extLst>
            <a:ext uri="{FF2B5EF4-FFF2-40B4-BE49-F238E27FC236}">
              <a16:creationId xmlns:a16="http://schemas.microsoft.com/office/drawing/2014/main" id="{A6CEECAD-B28C-48E0-9D44-5F52B49B18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0680700"/>
          <a:ext cx="190500" cy="190500"/>
        </a:xfrm>
        <a:prstGeom prst="rect">
          <a:avLst/>
        </a:prstGeom>
      </xdr:spPr>
    </xdr:pic>
    <xdr:clientData/>
  </xdr:twoCellAnchor>
  <xdr:twoCellAnchor editAs="oneCell">
    <xdr:from>
      <xdr:col>53</xdr:col>
      <xdr:colOff>0</xdr:colOff>
      <xdr:row>59</xdr:row>
      <xdr:rowOff>0</xdr:rowOff>
    </xdr:from>
    <xdr:to>
      <xdr:col>54</xdr:col>
      <xdr:colOff>6350</xdr:colOff>
      <xdr:row>60</xdr:row>
      <xdr:rowOff>6350</xdr:rowOff>
    </xdr:to>
    <xdr:pic>
      <xdr:nvPicPr>
        <xdr:cNvPr id="55" name="Grafik 54">
          <a:extLst>
            <a:ext uri="{FF2B5EF4-FFF2-40B4-BE49-F238E27FC236}">
              <a16:creationId xmlns:a16="http://schemas.microsoft.com/office/drawing/2014/main" id="{F9F03CDF-8E63-4D1E-ADD0-CD23A072D4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0864850"/>
          <a:ext cx="190500" cy="190500"/>
        </a:xfrm>
        <a:prstGeom prst="rect">
          <a:avLst/>
        </a:prstGeom>
      </xdr:spPr>
    </xdr:pic>
    <xdr:clientData/>
  </xdr:twoCellAnchor>
  <xdr:twoCellAnchor editAs="oneCell">
    <xdr:from>
      <xdr:col>53</xdr:col>
      <xdr:colOff>0</xdr:colOff>
      <xdr:row>60</xdr:row>
      <xdr:rowOff>0</xdr:rowOff>
    </xdr:from>
    <xdr:to>
      <xdr:col>54</xdr:col>
      <xdr:colOff>6350</xdr:colOff>
      <xdr:row>61</xdr:row>
      <xdr:rowOff>6350</xdr:rowOff>
    </xdr:to>
    <xdr:pic>
      <xdr:nvPicPr>
        <xdr:cNvPr id="56" name="Grafik 55">
          <a:extLst>
            <a:ext uri="{FF2B5EF4-FFF2-40B4-BE49-F238E27FC236}">
              <a16:creationId xmlns:a16="http://schemas.microsoft.com/office/drawing/2014/main" id="{F203D751-5D3F-4CE1-866C-D3DB99B52D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1049000"/>
          <a:ext cx="190500" cy="190500"/>
        </a:xfrm>
        <a:prstGeom prst="rect">
          <a:avLst/>
        </a:prstGeom>
      </xdr:spPr>
    </xdr:pic>
    <xdr:clientData/>
  </xdr:twoCellAnchor>
  <xdr:twoCellAnchor editAs="oneCell">
    <xdr:from>
      <xdr:col>53</xdr:col>
      <xdr:colOff>0</xdr:colOff>
      <xdr:row>61</xdr:row>
      <xdr:rowOff>0</xdr:rowOff>
    </xdr:from>
    <xdr:to>
      <xdr:col>54</xdr:col>
      <xdr:colOff>6350</xdr:colOff>
      <xdr:row>62</xdr:row>
      <xdr:rowOff>6350</xdr:rowOff>
    </xdr:to>
    <xdr:pic>
      <xdr:nvPicPr>
        <xdr:cNvPr id="57" name="Grafik 56">
          <a:extLst>
            <a:ext uri="{FF2B5EF4-FFF2-40B4-BE49-F238E27FC236}">
              <a16:creationId xmlns:a16="http://schemas.microsoft.com/office/drawing/2014/main" id="{BD7CCC1C-B046-47D0-B823-BB3E57AE8B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1233150"/>
          <a:ext cx="190500" cy="190500"/>
        </a:xfrm>
        <a:prstGeom prst="rect">
          <a:avLst/>
        </a:prstGeom>
      </xdr:spPr>
    </xdr:pic>
    <xdr:clientData/>
  </xdr:twoCellAnchor>
  <xdr:twoCellAnchor editAs="oneCell">
    <xdr:from>
      <xdr:col>45</xdr:col>
      <xdr:colOff>0</xdr:colOff>
      <xdr:row>62</xdr:row>
      <xdr:rowOff>0</xdr:rowOff>
    </xdr:from>
    <xdr:to>
      <xdr:col>46</xdr:col>
      <xdr:colOff>6350</xdr:colOff>
      <xdr:row>63</xdr:row>
      <xdr:rowOff>6350</xdr:rowOff>
    </xdr:to>
    <xdr:pic>
      <xdr:nvPicPr>
        <xdr:cNvPr id="58" name="Grafik 57">
          <a:extLst>
            <a:ext uri="{FF2B5EF4-FFF2-40B4-BE49-F238E27FC236}">
              <a16:creationId xmlns:a16="http://schemas.microsoft.com/office/drawing/2014/main" id="{0ECD5160-A7A0-45C0-A4A8-8182B48B609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11417300"/>
          <a:ext cx="190500" cy="190500"/>
        </a:xfrm>
        <a:prstGeom prst="rect">
          <a:avLst/>
        </a:prstGeom>
      </xdr:spPr>
    </xdr:pic>
    <xdr:clientData/>
  </xdr:twoCellAnchor>
  <xdr:twoCellAnchor editAs="oneCell">
    <xdr:from>
      <xdr:col>53</xdr:col>
      <xdr:colOff>0</xdr:colOff>
      <xdr:row>63</xdr:row>
      <xdr:rowOff>0</xdr:rowOff>
    </xdr:from>
    <xdr:to>
      <xdr:col>54</xdr:col>
      <xdr:colOff>6350</xdr:colOff>
      <xdr:row>64</xdr:row>
      <xdr:rowOff>6350</xdr:rowOff>
    </xdr:to>
    <xdr:pic>
      <xdr:nvPicPr>
        <xdr:cNvPr id="59" name="Grafik 58">
          <a:extLst>
            <a:ext uri="{FF2B5EF4-FFF2-40B4-BE49-F238E27FC236}">
              <a16:creationId xmlns:a16="http://schemas.microsoft.com/office/drawing/2014/main" id="{C7B21BB9-81CF-4F27-AA17-3ECFD3BE2F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1601450"/>
          <a:ext cx="190500" cy="190500"/>
        </a:xfrm>
        <a:prstGeom prst="rect">
          <a:avLst/>
        </a:prstGeom>
      </xdr:spPr>
    </xdr:pic>
    <xdr:clientData/>
  </xdr:twoCellAnchor>
  <xdr:twoCellAnchor editAs="oneCell">
    <xdr:from>
      <xdr:col>49</xdr:col>
      <xdr:colOff>0</xdr:colOff>
      <xdr:row>64</xdr:row>
      <xdr:rowOff>0</xdr:rowOff>
    </xdr:from>
    <xdr:to>
      <xdr:col>50</xdr:col>
      <xdr:colOff>6350</xdr:colOff>
      <xdr:row>65</xdr:row>
      <xdr:rowOff>6350</xdr:rowOff>
    </xdr:to>
    <xdr:pic>
      <xdr:nvPicPr>
        <xdr:cNvPr id="60" name="Grafik 59">
          <a:extLst>
            <a:ext uri="{FF2B5EF4-FFF2-40B4-BE49-F238E27FC236}">
              <a16:creationId xmlns:a16="http://schemas.microsoft.com/office/drawing/2014/main" id="{646847F9-0EC0-43C4-8708-96D95908E15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1785600"/>
          <a:ext cx="190500" cy="190500"/>
        </a:xfrm>
        <a:prstGeom prst="rect">
          <a:avLst/>
        </a:prstGeom>
      </xdr:spPr>
    </xdr:pic>
    <xdr:clientData/>
  </xdr:twoCellAnchor>
  <xdr:twoCellAnchor editAs="oneCell">
    <xdr:from>
      <xdr:col>50</xdr:col>
      <xdr:colOff>0</xdr:colOff>
      <xdr:row>65</xdr:row>
      <xdr:rowOff>0</xdr:rowOff>
    </xdr:from>
    <xdr:to>
      <xdr:col>51</xdr:col>
      <xdr:colOff>6350</xdr:colOff>
      <xdr:row>66</xdr:row>
      <xdr:rowOff>6350</xdr:rowOff>
    </xdr:to>
    <xdr:pic>
      <xdr:nvPicPr>
        <xdr:cNvPr id="61" name="Grafik 60">
          <a:extLst>
            <a:ext uri="{FF2B5EF4-FFF2-40B4-BE49-F238E27FC236}">
              <a16:creationId xmlns:a16="http://schemas.microsoft.com/office/drawing/2014/main" id="{7CBB6E93-E015-4B62-ADF5-044B2E6FF3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1969750"/>
          <a:ext cx="190500" cy="190500"/>
        </a:xfrm>
        <a:prstGeom prst="rect">
          <a:avLst/>
        </a:prstGeom>
      </xdr:spPr>
    </xdr:pic>
    <xdr:clientData/>
  </xdr:twoCellAnchor>
  <xdr:twoCellAnchor editAs="oneCell">
    <xdr:from>
      <xdr:col>48</xdr:col>
      <xdr:colOff>0</xdr:colOff>
      <xdr:row>66</xdr:row>
      <xdr:rowOff>0</xdr:rowOff>
    </xdr:from>
    <xdr:to>
      <xdr:col>49</xdr:col>
      <xdr:colOff>6350</xdr:colOff>
      <xdr:row>67</xdr:row>
      <xdr:rowOff>6350</xdr:rowOff>
    </xdr:to>
    <xdr:pic>
      <xdr:nvPicPr>
        <xdr:cNvPr id="62" name="Grafik 61">
          <a:extLst>
            <a:ext uri="{FF2B5EF4-FFF2-40B4-BE49-F238E27FC236}">
              <a16:creationId xmlns:a16="http://schemas.microsoft.com/office/drawing/2014/main" id="{5C5599DA-BBBB-4869-8E8C-8141F28B1B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2153900"/>
          <a:ext cx="190500" cy="190500"/>
        </a:xfrm>
        <a:prstGeom prst="rect">
          <a:avLst/>
        </a:prstGeom>
      </xdr:spPr>
    </xdr:pic>
    <xdr:clientData/>
  </xdr:twoCellAnchor>
  <xdr:twoCellAnchor editAs="oneCell">
    <xdr:from>
      <xdr:col>46</xdr:col>
      <xdr:colOff>0</xdr:colOff>
      <xdr:row>67</xdr:row>
      <xdr:rowOff>0</xdr:rowOff>
    </xdr:from>
    <xdr:to>
      <xdr:col>47</xdr:col>
      <xdr:colOff>6350</xdr:colOff>
      <xdr:row>68</xdr:row>
      <xdr:rowOff>6350</xdr:rowOff>
    </xdr:to>
    <xdr:pic>
      <xdr:nvPicPr>
        <xdr:cNvPr id="63" name="Grafik 62">
          <a:extLst>
            <a:ext uri="{FF2B5EF4-FFF2-40B4-BE49-F238E27FC236}">
              <a16:creationId xmlns:a16="http://schemas.microsoft.com/office/drawing/2014/main" id="{723125D4-DFE6-4B21-9D22-51E0B9D351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2338050"/>
          <a:ext cx="190500" cy="190500"/>
        </a:xfrm>
        <a:prstGeom prst="rect">
          <a:avLst/>
        </a:prstGeom>
      </xdr:spPr>
    </xdr:pic>
    <xdr:clientData/>
  </xdr:twoCellAnchor>
  <xdr:twoCellAnchor editAs="oneCell">
    <xdr:from>
      <xdr:col>53</xdr:col>
      <xdr:colOff>0</xdr:colOff>
      <xdr:row>68</xdr:row>
      <xdr:rowOff>0</xdr:rowOff>
    </xdr:from>
    <xdr:to>
      <xdr:col>54</xdr:col>
      <xdr:colOff>6350</xdr:colOff>
      <xdr:row>69</xdr:row>
      <xdr:rowOff>6350</xdr:rowOff>
    </xdr:to>
    <xdr:pic>
      <xdr:nvPicPr>
        <xdr:cNvPr id="64" name="Grafik 63">
          <a:extLst>
            <a:ext uri="{FF2B5EF4-FFF2-40B4-BE49-F238E27FC236}">
              <a16:creationId xmlns:a16="http://schemas.microsoft.com/office/drawing/2014/main" id="{8617F1FB-CE0D-4873-AF15-A8AC37D08B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2522200"/>
          <a:ext cx="190500" cy="190500"/>
        </a:xfrm>
        <a:prstGeom prst="rect">
          <a:avLst/>
        </a:prstGeom>
      </xdr:spPr>
    </xdr:pic>
    <xdr:clientData/>
  </xdr:twoCellAnchor>
  <xdr:twoCellAnchor editAs="oneCell">
    <xdr:from>
      <xdr:col>50</xdr:col>
      <xdr:colOff>0</xdr:colOff>
      <xdr:row>69</xdr:row>
      <xdr:rowOff>0</xdr:rowOff>
    </xdr:from>
    <xdr:to>
      <xdr:col>51</xdr:col>
      <xdr:colOff>6350</xdr:colOff>
      <xdr:row>70</xdr:row>
      <xdr:rowOff>6350</xdr:rowOff>
    </xdr:to>
    <xdr:pic>
      <xdr:nvPicPr>
        <xdr:cNvPr id="65" name="Grafik 64">
          <a:extLst>
            <a:ext uri="{FF2B5EF4-FFF2-40B4-BE49-F238E27FC236}">
              <a16:creationId xmlns:a16="http://schemas.microsoft.com/office/drawing/2014/main" id="{A8765E42-88C2-4C5F-838E-BA5D9165F7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2706350"/>
          <a:ext cx="190500" cy="190500"/>
        </a:xfrm>
        <a:prstGeom prst="rect">
          <a:avLst/>
        </a:prstGeom>
      </xdr:spPr>
    </xdr:pic>
    <xdr:clientData/>
  </xdr:twoCellAnchor>
  <xdr:twoCellAnchor editAs="oneCell">
    <xdr:from>
      <xdr:col>48</xdr:col>
      <xdr:colOff>0</xdr:colOff>
      <xdr:row>70</xdr:row>
      <xdr:rowOff>0</xdr:rowOff>
    </xdr:from>
    <xdr:to>
      <xdr:col>49</xdr:col>
      <xdr:colOff>6350</xdr:colOff>
      <xdr:row>71</xdr:row>
      <xdr:rowOff>6350</xdr:rowOff>
    </xdr:to>
    <xdr:pic>
      <xdr:nvPicPr>
        <xdr:cNvPr id="66" name="Grafik 65">
          <a:extLst>
            <a:ext uri="{FF2B5EF4-FFF2-40B4-BE49-F238E27FC236}">
              <a16:creationId xmlns:a16="http://schemas.microsoft.com/office/drawing/2014/main" id="{39DE7D9A-0E99-48C7-84C0-DE27724D3BB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2890500"/>
          <a:ext cx="190500" cy="190500"/>
        </a:xfrm>
        <a:prstGeom prst="rect">
          <a:avLst/>
        </a:prstGeom>
      </xdr:spPr>
    </xdr:pic>
    <xdr:clientData/>
  </xdr:twoCellAnchor>
  <xdr:twoCellAnchor editAs="oneCell">
    <xdr:from>
      <xdr:col>48</xdr:col>
      <xdr:colOff>0</xdr:colOff>
      <xdr:row>71</xdr:row>
      <xdr:rowOff>0</xdr:rowOff>
    </xdr:from>
    <xdr:to>
      <xdr:col>49</xdr:col>
      <xdr:colOff>6350</xdr:colOff>
      <xdr:row>72</xdr:row>
      <xdr:rowOff>6350</xdr:rowOff>
    </xdr:to>
    <xdr:pic>
      <xdr:nvPicPr>
        <xdr:cNvPr id="67" name="Grafik 66">
          <a:extLst>
            <a:ext uri="{FF2B5EF4-FFF2-40B4-BE49-F238E27FC236}">
              <a16:creationId xmlns:a16="http://schemas.microsoft.com/office/drawing/2014/main" id="{3A2AEA26-1984-4432-BF8D-9870DF10A8D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3074650"/>
          <a:ext cx="190500" cy="190500"/>
        </a:xfrm>
        <a:prstGeom prst="rect">
          <a:avLst/>
        </a:prstGeom>
      </xdr:spPr>
    </xdr:pic>
    <xdr:clientData/>
  </xdr:twoCellAnchor>
  <xdr:twoCellAnchor editAs="oneCell">
    <xdr:from>
      <xdr:col>49</xdr:col>
      <xdr:colOff>0</xdr:colOff>
      <xdr:row>72</xdr:row>
      <xdr:rowOff>0</xdr:rowOff>
    </xdr:from>
    <xdr:to>
      <xdr:col>50</xdr:col>
      <xdr:colOff>6350</xdr:colOff>
      <xdr:row>73</xdr:row>
      <xdr:rowOff>6350</xdr:rowOff>
    </xdr:to>
    <xdr:pic>
      <xdr:nvPicPr>
        <xdr:cNvPr id="68" name="Grafik 67">
          <a:extLst>
            <a:ext uri="{FF2B5EF4-FFF2-40B4-BE49-F238E27FC236}">
              <a16:creationId xmlns:a16="http://schemas.microsoft.com/office/drawing/2014/main" id="{EC903C6E-2CE0-46FF-823B-649ED85C8F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3258800"/>
          <a:ext cx="190500" cy="190500"/>
        </a:xfrm>
        <a:prstGeom prst="rect">
          <a:avLst/>
        </a:prstGeom>
      </xdr:spPr>
    </xdr:pic>
    <xdr:clientData/>
  </xdr:twoCellAnchor>
  <xdr:twoCellAnchor editAs="oneCell">
    <xdr:from>
      <xdr:col>49</xdr:col>
      <xdr:colOff>0</xdr:colOff>
      <xdr:row>73</xdr:row>
      <xdr:rowOff>0</xdr:rowOff>
    </xdr:from>
    <xdr:to>
      <xdr:col>50</xdr:col>
      <xdr:colOff>6350</xdr:colOff>
      <xdr:row>74</xdr:row>
      <xdr:rowOff>6350</xdr:rowOff>
    </xdr:to>
    <xdr:pic>
      <xdr:nvPicPr>
        <xdr:cNvPr id="69" name="Grafik 68">
          <a:extLst>
            <a:ext uri="{FF2B5EF4-FFF2-40B4-BE49-F238E27FC236}">
              <a16:creationId xmlns:a16="http://schemas.microsoft.com/office/drawing/2014/main" id="{8B7DE713-7DE0-4097-B325-925F85483F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3442950"/>
          <a:ext cx="190500" cy="190500"/>
        </a:xfrm>
        <a:prstGeom prst="rect">
          <a:avLst/>
        </a:prstGeom>
      </xdr:spPr>
    </xdr:pic>
    <xdr:clientData/>
  </xdr:twoCellAnchor>
  <xdr:twoCellAnchor editAs="oneCell">
    <xdr:from>
      <xdr:col>50</xdr:col>
      <xdr:colOff>0</xdr:colOff>
      <xdr:row>74</xdr:row>
      <xdr:rowOff>0</xdr:rowOff>
    </xdr:from>
    <xdr:to>
      <xdr:col>51</xdr:col>
      <xdr:colOff>6350</xdr:colOff>
      <xdr:row>75</xdr:row>
      <xdr:rowOff>6350</xdr:rowOff>
    </xdr:to>
    <xdr:pic>
      <xdr:nvPicPr>
        <xdr:cNvPr id="70" name="Grafik 69">
          <a:extLst>
            <a:ext uri="{FF2B5EF4-FFF2-40B4-BE49-F238E27FC236}">
              <a16:creationId xmlns:a16="http://schemas.microsoft.com/office/drawing/2014/main" id="{FE4E0944-5F31-45BF-9E1B-ACDEEF91EA7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3627100"/>
          <a:ext cx="190500" cy="190500"/>
        </a:xfrm>
        <a:prstGeom prst="rect">
          <a:avLst/>
        </a:prstGeom>
      </xdr:spPr>
    </xdr:pic>
    <xdr:clientData/>
  </xdr:twoCellAnchor>
  <xdr:twoCellAnchor editAs="oneCell">
    <xdr:from>
      <xdr:col>46</xdr:col>
      <xdr:colOff>0</xdr:colOff>
      <xdr:row>75</xdr:row>
      <xdr:rowOff>0</xdr:rowOff>
    </xdr:from>
    <xdr:to>
      <xdr:col>47</xdr:col>
      <xdr:colOff>6350</xdr:colOff>
      <xdr:row>76</xdr:row>
      <xdr:rowOff>6350</xdr:rowOff>
    </xdr:to>
    <xdr:pic>
      <xdr:nvPicPr>
        <xdr:cNvPr id="71" name="Grafik 70">
          <a:extLst>
            <a:ext uri="{FF2B5EF4-FFF2-40B4-BE49-F238E27FC236}">
              <a16:creationId xmlns:a16="http://schemas.microsoft.com/office/drawing/2014/main" id="{069F5DE1-1512-4549-AED2-B5E958F2B0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3811250"/>
          <a:ext cx="190500" cy="190500"/>
        </a:xfrm>
        <a:prstGeom prst="rect">
          <a:avLst/>
        </a:prstGeom>
      </xdr:spPr>
    </xdr:pic>
    <xdr:clientData/>
  </xdr:twoCellAnchor>
  <xdr:twoCellAnchor editAs="oneCell">
    <xdr:from>
      <xdr:col>51</xdr:col>
      <xdr:colOff>0</xdr:colOff>
      <xdr:row>76</xdr:row>
      <xdr:rowOff>0</xdr:rowOff>
    </xdr:from>
    <xdr:to>
      <xdr:col>52</xdr:col>
      <xdr:colOff>6350</xdr:colOff>
      <xdr:row>77</xdr:row>
      <xdr:rowOff>6350</xdr:rowOff>
    </xdr:to>
    <xdr:pic>
      <xdr:nvPicPr>
        <xdr:cNvPr id="72" name="Grafik 71">
          <a:extLst>
            <a:ext uri="{FF2B5EF4-FFF2-40B4-BE49-F238E27FC236}">
              <a16:creationId xmlns:a16="http://schemas.microsoft.com/office/drawing/2014/main" id="{A686A709-907B-461B-B1A4-08BA7FAE20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13995400"/>
          <a:ext cx="190500" cy="190500"/>
        </a:xfrm>
        <a:prstGeom prst="rect">
          <a:avLst/>
        </a:prstGeom>
      </xdr:spPr>
    </xdr:pic>
    <xdr:clientData/>
  </xdr:twoCellAnchor>
  <xdr:twoCellAnchor editAs="oneCell">
    <xdr:from>
      <xdr:col>48</xdr:col>
      <xdr:colOff>0</xdr:colOff>
      <xdr:row>77</xdr:row>
      <xdr:rowOff>0</xdr:rowOff>
    </xdr:from>
    <xdr:to>
      <xdr:col>49</xdr:col>
      <xdr:colOff>6350</xdr:colOff>
      <xdr:row>78</xdr:row>
      <xdr:rowOff>6350</xdr:rowOff>
    </xdr:to>
    <xdr:pic>
      <xdr:nvPicPr>
        <xdr:cNvPr id="73" name="Grafik 72">
          <a:extLst>
            <a:ext uri="{FF2B5EF4-FFF2-40B4-BE49-F238E27FC236}">
              <a16:creationId xmlns:a16="http://schemas.microsoft.com/office/drawing/2014/main" id="{B1E4A276-4B0C-45F3-AEEB-9542E7444B8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4179550"/>
          <a:ext cx="190500" cy="190500"/>
        </a:xfrm>
        <a:prstGeom prst="rect">
          <a:avLst/>
        </a:prstGeom>
      </xdr:spPr>
    </xdr:pic>
    <xdr:clientData/>
  </xdr:twoCellAnchor>
  <xdr:twoCellAnchor editAs="oneCell">
    <xdr:from>
      <xdr:col>46</xdr:col>
      <xdr:colOff>0</xdr:colOff>
      <xdr:row>78</xdr:row>
      <xdr:rowOff>0</xdr:rowOff>
    </xdr:from>
    <xdr:to>
      <xdr:col>47</xdr:col>
      <xdr:colOff>6350</xdr:colOff>
      <xdr:row>79</xdr:row>
      <xdr:rowOff>6350</xdr:rowOff>
    </xdr:to>
    <xdr:pic>
      <xdr:nvPicPr>
        <xdr:cNvPr id="74" name="Grafik 73">
          <a:extLst>
            <a:ext uri="{FF2B5EF4-FFF2-40B4-BE49-F238E27FC236}">
              <a16:creationId xmlns:a16="http://schemas.microsoft.com/office/drawing/2014/main" id="{53C10F95-1B58-4CED-9875-090138029B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4363700"/>
          <a:ext cx="190500" cy="190500"/>
        </a:xfrm>
        <a:prstGeom prst="rect">
          <a:avLst/>
        </a:prstGeom>
      </xdr:spPr>
    </xdr:pic>
    <xdr:clientData/>
  </xdr:twoCellAnchor>
  <xdr:twoCellAnchor editAs="oneCell">
    <xdr:from>
      <xdr:col>46</xdr:col>
      <xdr:colOff>0</xdr:colOff>
      <xdr:row>79</xdr:row>
      <xdr:rowOff>0</xdr:rowOff>
    </xdr:from>
    <xdr:to>
      <xdr:col>47</xdr:col>
      <xdr:colOff>6350</xdr:colOff>
      <xdr:row>80</xdr:row>
      <xdr:rowOff>6350</xdr:rowOff>
    </xdr:to>
    <xdr:pic>
      <xdr:nvPicPr>
        <xdr:cNvPr id="75" name="Grafik 74">
          <a:extLst>
            <a:ext uri="{FF2B5EF4-FFF2-40B4-BE49-F238E27FC236}">
              <a16:creationId xmlns:a16="http://schemas.microsoft.com/office/drawing/2014/main" id="{672530DE-76D7-4D4F-8E67-7F8D002E277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4547850"/>
          <a:ext cx="190500" cy="190500"/>
        </a:xfrm>
        <a:prstGeom prst="rect">
          <a:avLst/>
        </a:prstGeom>
      </xdr:spPr>
    </xdr:pic>
    <xdr:clientData/>
  </xdr:twoCellAnchor>
  <xdr:twoCellAnchor editAs="oneCell">
    <xdr:from>
      <xdr:col>45</xdr:col>
      <xdr:colOff>0</xdr:colOff>
      <xdr:row>80</xdr:row>
      <xdr:rowOff>0</xdr:rowOff>
    </xdr:from>
    <xdr:to>
      <xdr:col>46</xdr:col>
      <xdr:colOff>6350</xdr:colOff>
      <xdr:row>81</xdr:row>
      <xdr:rowOff>6350</xdr:rowOff>
    </xdr:to>
    <xdr:pic>
      <xdr:nvPicPr>
        <xdr:cNvPr id="76" name="Grafik 75">
          <a:extLst>
            <a:ext uri="{FF2B5EF4-FFF2-40B4-BE49-F238E27FC236}">
              <a16:creationId xmlns:a16="http://schemas.microsoft.com/office/drawing/2014/main" id="{C252FD03-669E-4BBC-9FA1-573FCC0C493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14732000"/>
          <a:ext cx="190500" cy="190500"/>
        </a:xfrm>
        <a:prstGeom prst="rect">
          <a:avLst/>
        </a:prstGeom>
      </xdr:spPr>
    </xdr:pic>
    <xdr:clientData/>
  </xdr:twoCellAnchor>
  <xdr:twoCellAnchor editAs="oneCell">
    <xdr:from>
      <xdr:col>50</xdr:col>
      <xdr:colOff>0</xdr:colOff>
      <xdr:row>82</xdr:row>
      <xdr:rowOff>0</xdr:rowOff>
    </xdr:from>
    <xdr:to>
      <xdr:col>51</xdr:col>
      <xdr:colOff>6350</xdr:colOff>
      <xdr:row>83</xdr:row>
      <xdr:rowOff>6350</xdr:rowOff>
    </xdr:to>
    <xdr:pic>
      <xdr:nvPicPr>
        <xdr:cNvPr id="77" name="Grafik 76">
          <a:extLst>
            <a:ext uri="{FF2B5EF4-FFF2-40B4-BE49-F238E27FC236}">
              <a16:creationId xmlns:a16="http://schemas.microsoft.com/office/drawing/2014/main" id="{F2C57E12-97BB-4234-9E15-2493D9698A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5284450"/>
          <a:ext cx="190500" cy="190500"/>
        </a:xfrm>
        <a:prstGeom prst="rect">
          <a:avLst/>
        </a:prstGeom>
      </xdr:spPr>
    </xdr:pic>
    <xdr:clientData/>
  </xdr:twoCellAnchor>
  <xdr:twoCellAnchor editAs="oneCell">
    <xdr:from>
      <xdr:col>48</xdr:col>
      <xdr:colOff>0</xdr:colOff>
      <xdr:row>83</xdr:row>
      <xdr:rowOff>0</xdr:rowOff>
    </xdr:from>
    <xdr:to>
      <xdr:col>49</xdr:col>
      <xdr:colOff>6350</xdr:colOff>
      <xdr:row>84</xdr:row>
      <xdr:rowOff>6350</xdr:rowOff>
    </xdr:to>
    <xdr:pic>
      <xdr:nvPicPr>
        <xdr:cNvPr id="78" name="Grafik 77">
          <a:extLst>
            <a:ext uri="{FF2B5EF4-FFF2-40B4-BE49-F238E27FC236}">
              <a16:creationId xmlns:a16="http://schemas.microsoft.com/office/drawing/2014/main" id="{B4EF52B9-FB76-4E2D-9D2B-A6F276E02B9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5468600"/>
          <a:ext cx="190500" cy="190500"/>
        </a:xfrm>
        <a:prstGeom prst="rect">
          <a:avLst/>
        </a:prstGeom>
      </xdr:spPr>
    </xdr:pic>
    <xdr:clientData/>
  </xdr:twoCellAnchor>
  <xdr:twoCellAnchor editAs="oneCell">
    <xdr:from>
      <xdr:col>49</xdr:col>
      <xdr:colOff>0</xdr:colOff>
      <xdr:row>84</xdr:row>
      <xdr:rowOff>0</xdr:rowOff>
    </xdr:from>
    <xdr:to>
      <xdr:col>50</xdr:col>
      <xdr:colOff>6350</xdr:colOff>
      <xdr:row>85</xdr:row>
      <xdr:rowOff>6350</xdr:rowOff>
    </xdr:to>
    <xdr:pic>
      <xdr:nvPicPr>
        <xdr:cNvPr id="79" name="Grafik 78">
          <a:extLst>
            <a:ext uri="{FF2B5EF4-FFF2-40B4-BE49-F238E27FC236}">
              <a16:creationId xmlns:a16="http://schemas.microsoft.com/office/drawing/2014/main" id="{CC186C67-5DA9-449B-A1FA-4C62A91AA8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15652750"/>
          <a:ext cx="190500" cy="190500"/>
        </a:xfrm>
        <a:prstGeom prst="rect">
          <a:avLst/>
        </a:prstGeom>
      </xdr:spPr>
    </xdr:pic>
    <xdr:clientData/>
  </xdr:twoCellAnchor>
  <xdr:twoCellAnchor editAs="oneCell">
    <xdr:from>
      <xdr:col>46</xdr:col>
      <xdr:colOff>0</xdr:colOff>
      <xdr:row>86</xdr:row>
      <xdr:rowOff>0</xdr:rowOff>
    </xdr:from>
    <xdr:to>
      <xdr:col>47</xdr:col>
      <xdr:colOff>6350</xdr:colOff>
      <xdr:row>87</xdr:row>
      <xdr:rowOff>6350</xdr:rowOff>
    </xdr:to>
    <xdr:pic>
      <xdr:nvPicPr>
        <xdr:cNvPr id="80" name="Grafik 79">
          <a:extLst>
            <a:ext uri="{FF2B5EF4-FFF2-40B4-BE49-F238E27FC236}">
              <a16:creationId xmlns:a16="http://schemas.microsoft.com/office/drawing/2014/main" id="{B63E569D-C747-46E3-B8EF-155E2FD146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6021050"/>
          <a:ext cx="190500" cy="190500"/>
        </a:xfrm>
        <a:prstGeom prst="rect">
          <a:avLst/>
        </a:prstGeom>
      </xdr:spPr>
    </xdr:pic>
    <xdr:clientData/>
  </xdr:twoCellAnchor>
  <xdr:twoCellAnchor editAs="oneCell">
    <xdr:from>
      <xdr:col>45</xdr:col>
      <xdr:colOff>0</xdr:colOff>
      <xdr:row>87</xdr:row>
      <xdr:rowOff>0</xdr:rowOff>
    </xdr:from>
    <xdr:to>
      <xdr:col>46</xdr:col>
      <xdr:colOff>6350</xdr:colOff>
      <xdr:row>88</xdr:row>
      <xdr:rowOff>0</xdr:rowOff>
    </xdr:to>
    <xdr:pic>
      <xdr:nvPicPr>
        <xdr:cNvPr id="81" name="Grafik 80">
          <a:extLst>
            <a:ext uri="{FF2B5EF4-FFF2-40B4-BE49-F238E27FC236}">
              <a16:creationId xmlns:a16="http://schemas.microsoft.com/office/drawing/2014/main" id="{91F77B42-034A-484F-AEC8-99EFE543D7E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16205200"/>
          <a:ext cx="190500" cy="190500"/>
        </a:xfrm>
        <a:prstGeom prst="rect">
          <a:avLst/>
        </a:prstGeom>
      </xdr:spPr>
    </xdr:pic>
    <xdr:clientData/>
  </xdr:twoCellAnchor>
  <xdr:twoCellAnchor editAs="oneCell">
    <xdr:from>
      <xdr:col>48</xdr:col>
      <xdr:colOff>0</xdr:colOff>
      <xdr:row>88</xdr:row>
      <xdr:rowOff>0</xdr:rowOff>
    </xdr:from>
    <xdr:to>
      <xdr:col>49</xdr:col>
      <xdr:colOff>6350</xdr:colOff>
      <xdr:row>89</xdr:row>
      <xdr:rowOff>6350</xdr:rowOff>
    </xdr:to>
    <xdr:pic>
      <xdr:nvPicPr>
        <xdr:cNvPr id="82" name="Grafik 81">
          <a:extLst>
            <a:ext uri="{FF2B5EF4-FFF2-40B4-BE49-F238E27FC236}">
              <a16:creationId xmlns:a16="http://schemas.microsoft.com/office/drawing/2014/main" id="{276EBF67-F391-4327-A502-3D93972D51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6389350"/>
          <a:ext cx="190500" cy="190500"/>
        </a:xfrm>
        <a:prstGeom prst="rect">
          <a:avLst/>
        </a:prstGeom>
      </xdr:spPr>
    </xdr:pic>
    <xdr:clientData/>
  </xdr:twoCellAnchor>
  <xdr:twoCellAnchor editAs="oneCell">
    <xdr:from>
      <xdr:col>51</xdr:col>
      <xdr:colOff>0</xdr:colOff>
      <xdr:row>89</xdr:row>
      <xdr:rowOff>0</xdr:rowOff>
    </xdr:from>
    <xdr:to>
      <xdr:col>52</xdr:col>
      <xdr:colOff>6350</xdr:colOff>
      <xdr:row>90</xdr:row>
      <xdr:rowOff>6350</xdr:rowOff>
    </xdr:to>
    <xdr:pic>
      <xdr:nvPicPr>
        <xdr:cNvPr id="83" name="Grafik 82">
          <a:extLst>
            <a:ext uri="{FF2B5EF4-FFF2-40B4-BE49-F238E27FC236}">
              <a16:creationId xmlns:a16="http://schemas.microsoft.com/office/drawing/2014/main" id="{0EFC126B-FB5A-4C67-832E-0E5C325F3B6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16573500"/>
          <a:ext cx="190500" cy="190500"/>
        </a:xfrm>
        <a:prstGeom prst="rect">
          <a:avLst/>
        </a:prstGeom>
      </xdr:spPr>
    </xdr:pic>
    <xdr:clientData/>
  </xdr:twoCellAnchor>
  <xdr:twoCellAnchor editAs="oneCell">
    <xdr:from>
      <xdr:col>46</xdr:col>
      <xdr:colOff>0</xdr:colOff>
      <xdr:row>90</xdr:row>
      <xdr:rowOff>0</xdr:rowOff>
    </xdr:from>
    <xdr:to>
      <xdr:col>47</xdr:col>
      <xdr:colOff>6350</xdr:colOff>
      <xdr:row>91</xdr:row>
      <xdr:rowOff>6350</xdr:rowOff>
    </xdr:to>
    <xdr:pic>
      <xdr:nvPicPr>
        <xdr:cNvPr id="84" name="Grafik 83">
          <a:extLst>
            <a:ext uri="{FF2B5EF4-FFF2-40B4-BE49-F238E27FC236}">
              <a16:creationId xmlns:a16="http://schemas.microsoft.com/office/drawing/2014/main" id="{CDD77745-762E-4F98-81A8-370792CC1EA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16757650"/>
          <a:ext cx="190500" cy="190500"/>
        </a:xfrm>
        <a:prstGeom prst="rect">
          <a:avLst/>
        </a:prstGeom>
      </xdr:spPr>
    </xdr:pic>
    <xdr:clientData/>
  </xdr:twoCellAnchor>
  <xdr:twoCellAnchor editAs="oneCell">
    <xdr:from>
      <xdr:col>48</xdr:col>
      <xdr:colOff>0</xdr:colOff>
      <xdr:row>91</xdr:row>
      <xdr:rowOff>0</xdr:rowOff>
    </xdr:from>
    <xdr:to>
      <xdr:col>49</xdr:col>
      <xdr:colOff>6350</xdr:colOff>
      <xdr:row>92</xdr:row>
      <xdr:rowOff>6350</xdr:rowOff>
    </xdr:to>
    <xdr:pic>
      <xdr:nvPicPr>
        <xdr:cNvPr id="85" name="Grafik 84">
          <a:extLst>
            <a:ext uri="{FF2B5EF4-FFF2-40B4-BE49-F238E27FC236}">
              <a16:creationId xmlns:a16="http://schemas.microsoft.com/office/drawing/2014/main" id="{8AD6FE97-9FD8-454E-B56F-9468EF653B1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6941800"/>
          <a:ext cx="190500" cy="190500"/>
        </a:xfrm>
        <a:prstGeom prst="rect">
          <a:avLst/>
        </a:prstGeom>
      </xdr:spPr>
    </xdr:pic>
    <xdr:clientData/>
  </xdr:twoCellAnchor>
  <xdr:twoCellAnchor editAs="oneCell">
    <xdr:from>
      <xdr:col>50</xdr:col>
      <xdr:colOff>0</xdr:colOff>
      <xdr:row>92</xdr:row>
      <xdr:rowOff>0</xdr:rowOff>
    </xdr:from>
    <xdr:to>
      <xdr:col>51</xdr:col>
      <xdr:colOff>6350</xdr:colOff>
      <xdr:row>93</xdr:row>
      <xdr:rowOff>6350</xdr:rowOff>
    </xdr:to>
    <xdr:pic>
      <xdr:nvPicPr>
        <xdr:cNvPr id="86" name="Grafik 85">
          <a:extLst>
            <a:ext uri="{FF2B5EF4-FFF2-40B4-BE49-F238E27FC236}">
              <a16:creationId xmlns:a16="http://schemas.microsoft.com/office/drawing/2014/main" id="{C9208E78-7806-4117-9A1F-EF705892454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7125950"/>
          <a:ext cx="190500" cy="190500"/>
        </a:xfrm>
        <a:prstGeom prst="rect">
          <a:avLst/>
        </a:prstGeom>
      </xdr:spPr>
    </xdr:pic>
    <xdr:clientData/>
  </xdr:twoCellAnchor>
  <xdr:twoCellAnchor editAs="oneCell">
    <xdr:from>
      <xdr:col>48</xdr:col>
      <xdr:colOff>0</xdr:colOff>
      <xdr:row>93</xdr:row>
      <xdr:rowOff>0</xdr:rowOff>
    </xdr:from>
    <xdr:to>
      <xdr:col>49</xdr:col>
      <xdr:colOff>6350</xdr:colOff>
      <xdr:row>94</xdr:row>
      <xdr:rowOff>6350</xdr:rowOff>
    </xdr:to>
    <xdr:pic>
      <xdr:nvPicPr>
        <xdr:cNvPr id="87" name="Grafik 86">
          <a:extLst>
            <a:ext uri="{FF2B5EF4-FFF2-40B4-BE49-F238E27FC236}">
              <a16:creationId xmlns:a16="http://schemas.microsoft.com/office/drawing/2014/main" id="{AFB8B343-E289-402C-BDDD-E1215F93FE1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7310100"/>
          <a:ext cx="190500" cy="190500"/>
        </a:xfrm>
        <a:prstGeom prst="rect">
          <a:avLst/>
        </a:prstGeom>
      </xdr:spPr>
    </xdr:pic>
    <xdr:clientData/>
  </xdr:twoCellAnchor>
  <xdr:twoCellAnchor editAs="oneCell">
    <xdr:from>
      <xdr:col>48</xdr:col>
      <xdr:colOff>0</xdr:colOff>
      <xdr:row>94</xdr:row>
      <xdr:rowOff>0</xdr:rowOff>
    </xdr:from>
    <xdr:to>
      <xdr:col>49</xdr:col>
      <xdr:colOff>6350</xdr:colOff>
      <xdr:row>95</xdr:row>
      <xdr:rowOff>6350</xdr:rowOff>
    </xdr:to>
    <xdr:pic>
      <xdr:nvPicPr>
        <xdr:cNvPr id="88" name="Grafik 87">
          <a:extLst>
            <a:ext uri="{FF2B5EF4-FFF2-40B4-BE49-F238E27FC236}">
              <a16:creationId xmlns:a16="http://schemas.microsoft.com/office/drawing/2014/main" id="{26E77A62-EE0F-41A8-AFA0-550371F197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7494250"/>
          <a:ext cx="190500" cy="190500"/>
        </a:xfrm>
        <a:prstGeom prst="rect">
          <a:avLst/>
        </a:prstGeom>
      </xdr:spPr>
    </xdr:pic>
    <xdr:clientData/>
  </xdr:twoCellAnchor>
  <xdr:twoCellAnchor editAs="oneCell">
    <xdr:from>
      <xdr:col>47</xdr:col>
      <xdr:colOff>0</xdr:colOff>
      <xdr:row>95</xdr:row>
      <xdr:rowOff>0</xdr:rowOff>
    </xdr:from>
    <xdr:to>
      <xdr:col>48</xdr:col>
      <xdr:colOff>6350</xdr:colOff>
      <xdr:row>96</xdr:row>
      <xdr:rowOff>6350</xdr:rowOff>
    </xdr:to>
    <xdr:pic>
      <xdr:nvPicPr>
        <xdr:cNvPr id="89" name="Grafik 88">
          <a:extLst>
            <a:ext uri="{FF2B5EF4-FFF2-40B4-BE49-F238E27FC236}">
              <a16:creationId xmlns:a16="http://schemas.microsoft.com/office/drawing/2014/main" id="{EA20C53A-5959-4661-AE40-784EDDC183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17678400"/>
          <a:ext cx="190500" cy="190500"/>
        </a:xfrm>
        <a:prstGeom prst="rect">
          <a:avLst/>
        </a:prstGeom>
      </xdr:spPr>
    </xdr:pic>
    <xdr:clientData/>
  </xdr:twoCellAnchor>
  <xdr:twoCellAnchor editAs="oneCell">
    <xdr:from>
      <xdr:col>48</xdr:col>
      <xdr:colOff>0</xdr:colOff>
      <xdr:row>96</xdr:row>
      <xdr:rowOff>0</xdr:rowOff>
    </xdr:from>
    <xdr:to>
      <xdr:col>49</xdr:col>
      <xdr:colOff>6350</xdr:colOff>
      <xdr:row>97</xdr:row>
      <xdr:rowOff>6350</xdr:rowOff>
    </xdr:to>
    <xdr:pic>
      <xdr:nvPicPr>
        <xdr:cNvPr id="90" name="Grafik 89">
          <a:extLst>
            <a:ext uri="{FF2B5EF4-FFF2-40B4-BE49-F238E27FC236}">
              <a16:creationId xmlns:a16="http://schemas.microsoft.com/office/drawing/2014/main" id="{2FF7C2DE-7429-4312-9EF8-7A2A4F6CB6E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17862550"/>
          <a:ext cx="190500" cy="190500"/>
        </a:xfrm>
        <a:prstGeom prst="rect">
          <a:avLst/>
        </a:prstGeom>
      </xdr:spPr>
    </xdr:pic>
    <xdr:clientData/>
  </xdr:twoCellAnchor>
  <xdr:twoCellAnchor editAs="oneCell">
    <xdr:from>
      <xdr:col>53</xdr:col>
      <xdr:colOff>0</xdr:colOff>
      <xdr:row>97</xdr:row>
      <xdr:rowOff>0</xdr:rowOff>
    </xdr:from>
    <xdr:to>
      <xdr:col>54</xdr:col>
      <xdr:colOff>6350</xdr:colOff>
      <xdr:row>98</xdr:row>
      <xdr:rowOff>6350</xdr:rowOff>
    </xdr:to>
    <xdr:pic>
      <xdr:nvPicPr>
        <xdr:cNvPr id="91" name="Grafik 90">
          <a:extLst>
            <a:ext uri="{FF2B5EF4-FFF2-40B4-BE49-F238E27FC236}">
              <a16:creationId xmlns:a16="http://schemas.microsoft.com/office/drawing/2014/main" id="{3659CD5C-DF6A-40A0-BC33-4B9B655D1D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8046700"/>
          <a:ext cx="190500" cy="190500"/>
        </a:xfrm>
        <a:prstGeom prst="rect">
          <a:avLst/>
        </a:prstGeom>
      </xdr:spPr>
    </xdr:pic>
    <xdr:clientData/>
  </xdr:twoCellAnchor>
  <xdr:twoCellAnchor editAs="oneCell">
    <xdr:from>
      <xdr:col>53</xdr:col>
      <xdr:colOff>0</xdr:colOff>
      <xdr:row>98</xdr:row>
      <xdr:rowOff>0</xdr:rowOff>
    </xdr:from>
    <xdr:to>
      <xdr:col>54</xdr:col>
      <xdr:colOff>6350</xdr:colOff>
      <xdr:row>99</xdr:row>
      <xdr:rowOff>6350</xdr:rowOff>
    </xdr:to>
    <xdr:pic>
      <xdr:nvPicPr>
        <xdr:cNvPr id="92" name="Grafik 91">
          <a:extLst>
            <a:ext uri="{FF2B5EF4-FFF2-40B4-BE49-F238E27FC236}">
              <a16:creationId xmlns:a16="http://schemas.microsoft.com/office/drawing/2014/main" id="{D1A97B16-CB07-4A6D-B3B8-B8730CDA01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028950" y="18230850"/>
          <a:ext cx="190500" cy="190500"/>
        </a:xfrm>
        <a:prstGeom prst="rect">
          <a:avLst/>
        </a:prstGeom>
      </xdr:spPr>
    </xdr:pic>
    <xdr:clientData/>
  </xdr:twoCellAnchor>
  <xdr:twoCellAnchor editAs="oneCell">
    <xdr:from>
      <xdr:col>47</xdr:col>
      <xdr:colOff>0</xdr:colOff>
      <xdr:row>99</xdr:row>
      <xdr:rowOff>0</xdr:rowOff>
    </xdr:from>
    <xdr:to>
      <xdr:col>48</xdr:col>
      <xdr:colOff>6350</xdr:colOff>
      <xdr:row>100</xdr:row>
      <xdr:rowOff>6350</xdr:rowOff>
    </xdr:to>
    <xdr:pic>
      <xdr:nvPicPr>
        <xdr:cNvPr id="93" name="Grafik 92">
          <a:extLst>
            <a:ext uri="{FF2B5EF4-FFF2-40B4-BE49-F238E27FC236}">
              <a16:creationId xmlns:a16="http://schemas.microsoft.com/office/drawing/2014/main" id="{701ED916-A5E7-4EB3-8887-E0849815792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18415000"/>
          <a:ext cx="190500" cy="190500"/>
        </a:xfrm>
        <a:prstGeom prst="rect">
          <a:avLst/>
        </a:prstGeom>
      </xdr:spPr>
    </xdr:pic>
    <xdr:clientData/>
  </xdr:twoCellAnchor>
  <xdr:twoCellAnchor editAs="oneCell">
    <xdr:from>
      <xdr:col>45</xdr:col>
      <xdr:colOff>0</xdr:colOff>
      <xdr:row>100</xdr:row>
      <xdr:rowOff>0</xdr:rowOff>
    </xdr:from>
    <xdr:to>
      <xdr:col>46</xdr:col>
      <xdr:colOff>6350</xdr:colOff>
      <xdr:row>101</xdr:row>
      <xdr:rowOff>6350</xdr:rowOff>
    </xdr:to>
    <xdr:pic>
      <xdr:nvPicPr>
        <xdr:cNvPr id="94" name="Grafik 93">
          <a:extLst>
            <a:ext uri="{FF2B5EF4-FFF2-40B4-BE49-F238E27FC236}">
              <a16:creationId xmlns:a16="http://schemas.microsoft.com/office/drawing/2014/main" id="{32D30529-24D3-4FBD-96CA-A549DEAC171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18599150"/>
          <a:ext cx="190500" cy="190500"/>
        </a:xfrm>
        <a:prstGeom prst="rect">
          <a:avLst/>
        </a:prstGeom>
      </xdr:spPr>
    </xdr:pic>
    <xdr:clientData/>
  </xdr:twoCellAnchor>
  <xdr:twoCellAnchor editAs="oneCell">
    <xdr:from>
      <xdr:col>50</xdr:col>
      <xdr:colOff>0</xdr:colOff>
      <xdr:row>101</xdr:row>
      <xdr:rowOff>0</xdr:rowOff>
    </xdr:from>
    <xdr:to>
      <xdr:col>51</xdr:col>
      <xdr:colOff>6350</xdr:colOff>
      <xdr:row>102</xdr:row>
      <xdr:rowOff>6350</xdr:rowOff>
    </xdr:to>
    <xdr:pic>
      <xdr:nvPicPr>
        <xdr:cNvPr id="95" name="Grafik 94">
          <a:extLst>
            <a:ext uri="{FF2B5EF4-FFF2-40B4-BE49-F238E27FC236}">
              <a16:creationId xmlns:a16="http://schemas.microsoft.com/office/drawing/2014/main" id="{A601E0A6-F178-404E-831A-7FB477E1BD5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8783300"/>
          <a:ext cx="190500" cy="190500"/>
        </a:xfrm>
        <a:prstGeom prst="rect">
          <a:avLst/>
        </a:prstGeom>
      </xdr:spPr>
    </xdr:pic>
    <xdr:clientData/>
  </xdr:twoCellAnchor>
  <xdr:twoCellAnchor editAs="oneCell">
    <xdr:from>
      <xdr:col>51</xdr:col>
      <xdr:colOff>0</xdr:colOff>
      <xdr:row>102</xdr:row>
      <xdr:rowOff>0</xdr:rowOff>
    </xdr:from>
    <xdr:to>
      <xdr:col>52</xdr:col>
      <xdr:colOff>6350</xdr:colOff>
      <xdr:row>103</xdr:row>
      <xdr:rowOff>6350</xdr:rowOff>
    </xdr:to>
    <xdr:pic>
      <xdr:nvPicPr>
        <xdr:cNvPr id="96" name="Grafik 95">
          <a:extLst>
            <a:ext uri="{FF2B5EF4-FFF2-40B4-BE49-F238E27FC236}">
              <a16:creationId xmlns:a16="http://schemas.microsoft.com/office/drawing/2014/main" id="{BC2EFB4A-F060-474D-AAB8-AC12477A227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18967450"/>
          <a:ext cx="190500" cy="190500"/>
        </a:xfrm>
        <a:prstGeom prst="rect">
          <a:avLst/>
        </a:prstGeom>
      </xdr:spPr>
    </xdr:pic>
    <xdr:clientData/>
  </xdr:twoCellAnchor>
  <xdr:twoCellAnchor editAs="oneCell">
    <xdr:from>
      <xdr:col>50</xdr:col>
      <xdr:colOff>0</xdr:colOff>
      <xdr:row>103</xdr:row>
      <xdr:rowOff>0</xdr:rowOff>
    </xdr:from>
    <xdr:to>
      <xdr:col>51</xdr:col>
      <xdr:colOff>6350</xdr:colOff>
      <xdr:row>104</xdr:row>
      <xdr:rowOff>6350</xdr:rowOff>
    </xdr:to>
    <xdr:pic>
      <xdr:nvPicPr>
        <xdr:cNvPr id="97" name="Grafik 96">
          <a:extLst>
            <a:ext uri="{FF2B5EF4-FFF2-40B4-BE49-F238E27FC236}">
              <a16:creationId xmlns:a16="http://schemas.microsoft.com/office/drawing/2014/main" id="{1CC861F5-0DCF-438E-AFA5-F6AE0777B6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9151600"/>
          <a:ext cx="190500" cy="190500"/>
        </a:xfrm>
        <a:prstGeom prst="rect">
          <a:avLst/>
        </a:prstGeom>
      </xdr:spPr>
    </xdr:pic>
    <xdr:clientData/>
  </xdr:twoCellAnchor>
  <xdr:twoCellAnchor editAs="oneCell">
    <xdr:from>
      <xdr:col>47</xdr:col>
      <xdr:colOff>0</xdr:colOff>
      <xdr:row>104</xdr:row>
      <xdr:rowOff>0</xdr:rowOff>
    </xdr:from>
    <xdr:to>
      <xdr:col>48</xdr:col>
      <xdr:colOff>6350</xdr:colOff>
      <xdr:row>105</xdr:row>
      <xdr:rowOff>6350</xdr:rowOff>
    </xdr:to>
    <xdr:pic>
      <xdr:nvPicPr>
        <xdr:cNvPr id="98" name="Grafik 97">
          <a:extLst>
            <a:ext uri="{FF2B5EF4-FFF2-40B4-BE49-F238E27FC236}">
              <a16:creationId xmlns:a16="http://schemas.microsoft.com/office/drawing/2014/main" id="{867401D1-FD1D-4920-B39E-3BEF5CB065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19335750"/>
          <a:ext cx="190500" cy="190500"/>
        </a:xfrm>
        <a:prstGeom prst="rect">
          <a:avLst/>
        </a:prstGeom>
      </xdr:spPr>
    </xdr:pic>
    <xdr:clientData/>
  </xdr:twoCellAnchor>
  <xdr:twoCellAnchor editAs="oneCell">
    <xdr:from>
      <xdr:col>51</xdr:col>
      <xdr:colOff>0</xdr:colOff>
      <xdr:row>105</xdr:row>
      <xdr:rowOff>0</xdr:rowOff>
    </xdr:from>
    <xdr:to>
      <xdr:col>52</xdr:col>
      <xdr:colOff>6350</xdr:colOff>
      <xdr:row>106</xdr:row>
      <xdr:rowOff>6350</xdr:rowOff>
    </xdr:to>
    <xdr:pic>
      <xdr:nvPicPr>
        <xdr:cNvPr id="99" name="Grafik 98">
          <a:extLst>
            <a:ext uri="{FF2B5EF4-FFF2-40B4-BE49-F238E27FC236}">
              <a16:creationId xmlns:a16="http://schemas.microsoft.com/office/drawing/2014/main" id="{DE0BBB5C-D4C7-4311-A595-78976D4F0B7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19519900"/>
          <a:ext cx="190500" cy="190500"/>
        </a:xfrm>
        <a:prstGeom prst="rect">
          <a:avLst/>
        </a:prstGeom>
      </xdr:spPr>
    </xdr:pic>
    <xdr:clientData/>
  </xdr:twoCellAnchor>
  <xdr:twoCellAnchor editAs="oneCell">
    <xdr:from>
      <xdr:col>51</xdr:col>
      <xdr:colOff>0</xdr:colOff>
      <xdr:row>106</xdr:row>
      <xdr:rowOff>0</xdr:rowOff>
    </xdr:from>
    <xdr:to>
      <xdr:col>52</xdr:col>
      <xdr:colOff>6350</xdr:colOff>
      <xdr:row>107</xdr:row>
      <xdr:rowOff>6350</xdr:rowOff>
    </xdr:to>
    <xdr:pic>
      <xdr:nvPicPr>
        <xdr:cNvPr id="100" name="Grafik 99">
          <a:extLst>
            <a:ext uri="{FF2B5EF4-FFF2-40B4-BE49-F238E27FC236}">
              <a16:creationId xmlns:a16="http://schemas.microsoft.com/office/drawing/2014/main" id="{2BCBCF4B-BA65-4593-B406-334A7BE2FD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60650" y="19704050"/>
          <a:ext cx="190500" cy="190500"/>
        </a:xfrm>
        <a:prstGeom prst="rect">
          <a:avLst/>
        </a:prstGeom>
      </xdr:spPr>
    </xdr:pic>
    <xdr:clientData/>
  </xdr:twoCellAnchor>
  <xdr:twoCellAnchor editAs="oneCell">
    <xdr:from>
      <xdr:col>52</xdr:col>
      <xdr:colOff>0</xdr:colOff>
      <xdr:row>107</xdr:row>
      <xdr:rowOff>0</xdr:rowOff>
    </xdr:from>
    <xdr:to>
      <xdr:col>53</xdr:col>
      <xdr:colOff>6350</xdr:colOff>
      <xdr:row>108</xdr:row>
      <xdr:rowOff>6350</xdr:rowOff>
    </xdr:to>
    <xdr:pic>
      <xdr:nvPicPr>
        <xdr:cNvPr id="101" name="Grafik 100">
          <a:extLst>
            <a:ext uri="{FF2B5EF4-FFF2-40B4-BE49-F238E27FC236}">
              <a16:creationId xmlns:a16="http://schemas.microsoft.com/office/drawing/2014/main" id="{6590AE3C-D019-402F-A928-B33DF902AAF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844800" y="19888200"/>
          <a:ext cx="190500" cy="190500"/>
        </a:xfrm>
        <a:prstGeom prst="rect">
          <a:avLst/>
        </a:prstGeom>
      </xdr:spPr>
    </xdr:pic>
    <xdr:clientData/>
  </xdr:twoCellAnchor>
  <xdr:twoCellAnchor editAs="oneCell">
    <xdr:from>
      <xdr:col>46</xdr:col>
      <xdr:colOff>0</xdr:colOff>
      <xdr:row>108</xdr:row>
      <xdr:rowOff>0</xdr:rowOff>
    </xdr:from>
    <xdr:to>
      <xdr:col>47</xdr:col>
      <xdr:colOff>6350</xdr:colOff>
      <xdr:row>109</xdr:row>
      <xdr:rowOff>6350</xdr:rowOff>
    </xdr:to>
    <xdr:pic>
      <xdr:nvPicPr>
        <xdr:cNvPr id="102" name="Grafik 101">
          <a:extLst>
            <a:ext uri="{FF2B5EF4-FFF2-40B4-BE49-F238E27FC236}">
              <a16:creationId xmlns:a16="http://schemas.microsoft.com/office/drawing/2014/main" id="{6508667D-A9CD-4CAA-8E50-507A32DDB3F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20072350"/>
          <a:ext cx="190500" cy="190500"/>
        </a:xfrm>
        <a:prstGeom prst="rect">
          <a:avLst/>
        </a:prstGeom>
      </xdr:spPr>
    </xdr:pic>
    <xdr:clientData/>
  </xdr:twoCellAnchor>
  <xdr:twoCellAnchor editAs="oneCell">
    <xdr:from>
      <xdr:col>47</xdr:col>
      <xdr:colOff>0</xdr:colOff>
      <xdr:row>109</xdr:row>
      <xdr:rowOff>0</xdr:rowOff>
    </xdr:from>
    <xdr:to>
      <xdr:col>48</xdr:col>
      <xdr:colOff>6350</xdr:colOff>
      <xdr:row>110</xdr:row>
      <xdr:rowOff>6350</xdr:rowOff>
    </xdr:to>
    <xdr:pic>
      <xdr:nvPicPr>
        <xdr:cNvPr id="103" name="Grafik 102">
          <a:extLst>
            <a:ext uri="{FF2B5EF4-FFF2-40B4-BE49-F238E27FC236}">
              <a16:creationId xmlns:a16="http://schemas.microsoft.com/office/drawing/2014/main" id="{F6B90BAB-F1A3-49FE-A93E-910C5DE58E6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20256500"/>
          <a:ext cx="190500" cy="190500"/>
        </a:xfrm>
        <a:prstGeom prst="rect">
          <a:avLst/>
        </a:prstGeom>
      </xdr:spPr>
    </xdr:pic>
    <xdr:clientData/>
  </xdr:twoCellAnchor>
  <xdr:twoCellAnchor editAs="oneCell">
    <xdr:from>
      <xdr:col>50</xdr:col>
      <xdr:colOff>0</xdr:colOff>
      <xdr:row>110</xdr:row>
      <xdr:rowOff>0</xdr:rowOff>
    </xdr:from>
    <xdr:to>
      <xdr:col>51</xdr:col>
      <xdr:colOff>6350</xdr:colOff>
      <xdr:row>111</xdr:row>
      <xdr:rowOff>6350</xdr:rowOff>
    </xdr:to>
    <xdr:pic>
      <xdr:nvPicPr>
        <xdr:cNvPr id="104" name="Grafik 103">
          <a:extLst>
            <a:ext uri="{FF2B5EF4-FFF2-40B4-BE49-F238E27FC236}">
              <a16:creationId xmlns:a16="http://schemas.microsoft.com/office/drawing/2014/main" id="{A5498B7B-1384-4AA4-9262-8DE6FDC84B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0440650"/>
          <a:ext cx="190500" cy="190500"/>
        </a:xfrm>
        <a:prstGeom prst="rect">
          <a:avLst/>
        </a:prstGeom>
      </xdr:spPr>
    </xdr:pic>
    <xdr:clientData/>
  </xdr:twoCellAnchor>
  <xdr:twoCellAnchor editAs="oneCell">
    <xdr:from>
      <xdr:col>48</xdr:col>
      <xdr:colOff>0</xdr:colOff>
      <xdr:row>112</xdr:row>
      <xdr:rowOff>0</xdr:rowOff>
    </xdr:from>
    <xdr:to>
      <xdr:col>49</xdr:col>
      <xdr:colOff>6350</xdr:colOff>
      <xdr:row>113</xdr:row>
      <xdr:rowOff>6350</xdr:rowOff>
    </xdr:to>
    <xdr:pic>
      <xdr:nvPicPr>
        <xdr:cNvPr id="105" name="Grafik 104">
          <a:extLst>
            <a:ext uri="{FF2B5EF4-FFF2-40B4-BE49-F238E27FC236}">
              <a16:creationId xmlns:a16="http://schemas.microsoft.com/office/drawing/2014/main" id="{106DC0D7-BEB4-4C23-B06D-FCBA7402F4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20808950"/>
          <a:ext cx="190500" cy="190500"/>
        </a:xfrm>
        <a:prstGeom prst="rect">
          <a:avLst/>
        </a:prstGeom>
      </xdr:spPr>
    </xdr:pic>
    <xdr:clientData/>
  </xdr:twoCellAnchor>
  <xdr:twoCellAnchor editAs="oneCell">
    <xdr:from>
      <xdr:col>48</xdr:col>
      <xdr:colOff>0</xdr:colOff>
      <xdr:row>113</xdr:row>
      <xdr:rowOff>0</xdr:rowOff>
    </xdr:from>
    <xdr:to>
      <xdr:col>49</xdr:col>
      <xdr:colOff>6350</xdr:colOff>
      <xdr:row>114</xdr:row>
      <xdr:rowOff>6350</xdr:rowOff>
    </xdr:to>
    <xdr:pic>
      <xdr:nvPicPr>
        <xdr:cNvPr id="106" name="Grafik 105">
          <a:extLst>
            <a:ext uri="{FF2B5EF4-FFF2-40B4-BE49-F238E27FC236}">
              <a16:creationId xmlns:a16="http://schemas.microsoft.com/office/drawing/2014/main" id="{3FF6BCF9-1CD0-4386-BE24-02B2D2118C8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20993100"/>
          <a:ext cx="190500" cy="190500"/>
        </a:xfrm>
        <a:prstGeom prst="rect">
          <a:avLst/>
        </a:prstGeom>
      </xdr:spPr>
    </xdr:pic>
    <xdr:clientData/>
  </xdr:twoCellAnchor>
  <xdr:twoCellAnchor editAs="oneCell">
    <xdr:from>
      <xdr:col>48</xdr:col>
      <xdr:colOff>0</xdr:colOff>
      <xdr:row>114</xdr:row>
      <xdr:rowOff>0</xdr:rowOff>
    </xdr:from>
    <xdr:to>
      <xdr:col>49</xdr:col>
      <xdr:colOff>6350</xdr:colOff>
      <xdr:row>115</xdr:row>
      <xdr:rowOff>6350</xdr:rowOff>
    </xdr:to>
    <xdr:pic>
      <xdr:nvPicPr>
        <xdr:cNvPr id="107" name="Grafik 106">
          <a:extLst>
            <a:ext uri="{FF2B5EF4-FFF2-40B4-BE49-F238E27FC236}">
              <a16:creationId xmlns:a16="http://schemas.microsoft.com/office/drawing/2014/main" id="{70F8A246-46C3-4A0F-91EF-278281FB41B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21177250"/>
          <a:ext cx="190500" cy="190500"/>
        </a:xfrm>
        <a:prstGeom prst="rect">
          <a:avLst/>
        </a:prstGeom>
      </xdr:spPr>
    </xdr:pic>
    <xdr:clientData/>
  </xdr:twoCellAnchor>
  <xdr:twoCellAnchor editAs="oneCell">
    <xdr:from>
      <xdr:col>49</xdr:col>
      <xdr:colOff>0</xdr:colOff>
      <xdr:row>115</xdr:row>
      <xdr:rowOff>0</xdr:rowOff>
    </xdr:from>
    <xdr:to>
      <xdr:col>50</xdr:col>
      <xdr:colOff>6350</xdr:colOff>
      <xdr:row>116</xdr:row>
      <xdr:rowOff>6350</xdr:rowOff>
    </xdr:to>
    <xdr:pic>
      <xdr:nvPicPr>
        <xdr:cNvPr id="108" name="Grafik 107">
          <a:extLst>
            <a:ext uri="{FF2B5EF4-FFF2-40B4-BE49-F238E27FC236}">
              <a16:creationId xmlns:a16="http://schemas.microsoft.com/office/drawing/2014/main" id="{8BDA358B-C754-4FE2-93B9-8B23B4DE10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1361400"/>
          <a:ext cx="190500" cy="190500"/>
        </a:xfrm>
        <a:prstGeom prst="rect">
          <a:avLst/>
        </a:prstGeom>
      </xdr:spPr>
    </xdr:pic>
    <xdr:clientData/>
  </xdr:twoCellAnchor>
  <xdr:twoCellAnchor editAs="oneCell">
    <xdr:from>
      <xdr:col>50</xdr:col>
      <xdr:colOff>0</xdr:colOff>
      <xdr:row>116</xdr:row>
      <xdr:rowOff>0</xdr:rowOff>
    </xdr:from>
    <xdr:to>
      <xdr:col>51</xdr:col>
      <xdr:colOff>6350</xdr:colOff>
      <xdr:row>117</xdr:row>
      <xdr:rowOff>6350</xdr:rowOff>
    </xdr:to>
    <xdr:pic>
      <xdr:nvPicPr>
        <xdr:cNvPr id="109" name="Grafik 108">
          <a:extLst>
            <a:ext uri="{FF2B5EF4-FFF2-40B4-BE49-F238E27FC236}">
              <a16:creationId xmlns:a16="http://schemas.microsoft.com/office/drawing/2014/main" id="{A838DF31-0C84-4A2D-BE57-E322DD97EB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1545550"/>
          <a:ext cx="190500" cy="190500"/>
        </a:xfrm>
        <a:prstGeom prst="rect">
          <a:avLst/>
        </a:prstGeom>
      </xdr:spPr>
    </xdr:pic>
    <xdr:clientData/>
  </xdr:twoCellAnchor>
  <xdr:twoCellAnchor editAs="oneCell">
    <xdr:from>
      <xdr:col>47</xdr:col>
      <xdr:colOff>0</xdr:colOff>
      <xdr:row>117</xdr:row>
      <xdr:rowOff>0</xdr:rowOff>
    </xdr:from>
    <xdr:to>
      <xdr:col>48</xdr:col>
      <xdr:colOff>6350</xdr:colOff>
      <xdr:row>118</xdr:row>
      <xdr:rowOff>6350</xdr:rowOff>
    </xdr:to>
    <xdr:pic>
      <xdr:nvPicPr>
        <xdr:cNvPr id="110" name="Grafik 109">
          <a:extLst>
            <a:ext uri="{FF2B5EF4-FFF2-40B4-BE49-F238E27FC236}">
              <a16:creationId xmlns:a16="http://schemas.microsoft.com/office/drawing/2014/main" id="{BE5A3FA3-9B53-4E89-AC86-D25194BB6FE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21729700"/>
          <a:ext cx="190500" cy="190500"/>
        </a:xfrm>
        <a:prstGeom prst="rect">
          <a:avLst/>
        </a:prstGeom>
      </xdr:spPr>
    </xdr:pic>
    <xdr:clientData/>
  </xdr:twoCellAnchor>
  <xdr:twoCellAnchor editAs="oneCell">
    <xdr:from>
      <xdr:col>46</xdr:col>
      <xdr:colOff>0</xdr:colOff>
      <xdr:row>118</xdr:row>
      <xdr:rowOff>0</xdr:rowOff>
    </xdr:from>
    <xdr:to>
      <xdr:col>47</xdr:col>
      <xdr:colOff>6350</xdr:colOff>
      <xdr:row>119</xdr:row>
      <xdr:rowOff>6350</xdr:rowOff>
    </xdr:to>
    <xdr:pic>
      <xdr:nvPicPr>
        <xdr:cNvPr id="111" name="Grafik 110">
          <a:extLst>
            <a:ext uri="{FF2B5EF4-FFF2-40B4-BE49-F238E27FC236}">
              <a16:creationId xmlns:a16="http://schemas.microsoft.com/office/drawing/2014/main" id="{888FB653-080A-489E-A9E3-B6F245994C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21913850"/>
          <a:ext cx="190500" cy="190500"/>
        </a:xfrm>
        <a:prstGeom prst="rect">
          <a:avLst/>
        </a:prstGeom>
      </xdr:spPr>
    </xdr:pic>
    <xdr:clientData/>
  </xdr:twoCellAnchor>
  <xdr:twoCellAnchor editAs="oneCell">
    <xdr:from>
      <xdr:col>50</xdr:col>
      <xdr:colOff>0</xdr:colOff>
      <xdr:row>119</xdr:row>
      <xdr:rowOff>0</xdr:rowOff>
    </xdr:from>
    <xdr:to>
      <xdr:col>51</xdr:col>
      <xdr:colOff>6350</xdr:colOff>
      <xdr:row>120</xdr:row>
      <xdr:rowOff>6350</xdr:rowOff>
    </xdr:to>
    <xdr:pic>
      <xdr:nvPicPr>
        <xdr:cNvPr id="112" name="Grafik 111">
          <a:extLst>
            <a:ext uri="{FF2B5EF4-FFF2-40B4-BE49-F238E27FC236}">
              <a16:creationId xmlns:a16="http://schemas.microsoft.com/office/drawing/2014/main" id="{4D5C6548-38E1-44D1-94EE-4A5EDF687D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2098000"/>
          <a:ext cx="190500" cy="190500"/>
        </a:xfrm>
        <a:prstGeom prst="rect">
          <a:avLst/>
        </a:prstGeom>
      </xdr:spPr>
    </xdr:pic>
    <xdr:clientData/>
  </xdr:twoCellAnchor>
  <xdr:twoCellAnchor editAs="oneCell">
    <xdr:from>
      <xdr:col>50</xdr:col>
      <xdr:colOff>0</xdr:colOff>
      <xdr:row>120</xdr:row>
      <xdr:rowOff>0</xdr:rowOff>
    </xdr:from>
    <xdr:to>
      <xdr:col>51</xdr:col>
      <xdr:colOff>6350</xdr:colOff>
      <xdr:row>121</xdr:row>
      <xdr:rowOff>6350</xdr:rowOff>
    </xdr:to>
    <xdr:pic>
      <xdr:nvPicPr>
        <xdr:cNvPr id="113" name="Grafik 112">
          <a:extLst>
            <a:ext uri="{FF2B5EF4-FFF2-40B4-BE49-F238E27FC236}">
              <a16:creationId xmlns:a16="http://schemas.microsoft.com/office/drawing/2014/main" id="{0F53051C-C79D-4FFB-8E80-807954EBD0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2282150"/>
          <a:ext cx="190500" cy="190500"/>
        </a:xfrm>
        <a:prstGeom prst="rect">
          <a:avLst/>
        </a:prstGeom>
      </xdr:spPr>
    </xdr:pic>
    <xdr:clientData/>
  </xdr:twoCellAnchor>
  <xdr:twoCellAnchor editAs="oneCell">
    <xdr:from>
      <xdr:col>49</xdr:col>
      <xdr:colOff>0</xdr:colOff>
      <xdr:row>121</xdr:row>
      <xdr:rowOff>0</xdr:rowOff>
    </xdr:from>
    <xdr:to>
      <xdr:col>50</xdr:col>
      <xdr:colOff>6350</xdr:colOff>
      <xdr:row>122</xdr:row>
      <xdr:rowOff>6350</xdr:rowOff>
    </xdr:to>
    <xdr:pic>
      <xdr:nvPicPr>
        <xdr:cNvPr id="114" name="Grafik 113">
          <a:extLst>
            <a:ext uri="{FF2B5EF4-FFF2-40B4-BE49-F238E27FC236}">
              <a16:creationId xmlns:a16="http://schemas.microsoft.com/office/drawing/2014/main" id="{ECCB5F36-5ABB-461E-BBF8-8E71C6DE53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2466300"/>
          <a:ext cx="190500" cy="190500"/>
        </a:xfrm>
        <a:prstGeom prst="rect">
          <a:avLst/>
        </a:prstGeom>
      </xdr:spPr>
    </xdr:pic>
    <xdr:clientData/>
  </xdr:twoCellAnchor>
  <xdr:twoCellAnchor editAs="oneCell">
    <xdr:from>
      <xdr:col>48</xdr:col>
      <xdr:colOff>0</xdr:colOff>
      <xdr:row>122</xdr:row>
      <xdr:rowOff>0</xdr:rowOff>
    </xdr:from>
    <xdr:to>
      <xdr:col>49</xdr:col>
      <xdr:colOff>6350</xdr:colOff>
      <xdr:row>123</xdr:row>
      <xdr:rowOff>6350</xdr:rowOff>
    </xdr:to>
    <xdr:pic>
      <xdr:nvPicPr>
        <xdr:cNvPr id="115" name="Grafik 114">
          <a:extLst>
            <a:ext uri="{FF2B5EF4-FFF2-40B4-BE49-F238E27FC236}">
              <a16:creationId xmlns:a16="http://schemas.microsoft.com/office/drawing/2014/main" id="{FC437653-C903-411D-9565-E90483F6DAE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22650450"/>
          <a:ext cx="190500" cy="190500"/>
        </a:xfrm>
        <a:prstGeom prst="rect">
          <a:avLst/>
        </a:prstGeom>
      </xdr:spPr>
    </xdr:pic>
    <xdr:clientData/>
  </xdr:twoCellAnchor>
  <xdr:twoCellAnchor editAs="oneCell">
    <xdr:from>
      <xdr:col>50</xdr:col>
      <xdr:colOff>0</xdr:colOff>
      <xdr:row>123</xdr:row>
      <xdr:rowOff>0</xdr:rowOff>
    </xdr:from>
    <xdr:to>
      <xdr:col>51</xdr:col>
      <xdr:colOff>6350</xdr:colOff>
      <xdr:row>124</xdr:row>
      <xdr:rowOff>6350</xdr:rowOff>
    </xdr:to>
    <xdr:pic>
      <xdr:nvPicPr>
        <xdr:cNvPr id="116" name="Grafik 115">
          <a:extLst>
            <a:ext uri="{FF2B5EF4-FFF2-40B4-BE49-F238E27FC236}">
              <a16:creationId xmlns:a16="http://schemas.microsoft.com/office/drawing/2014/main" id="{594CA107-886E-4370-86C2-A2C167C1D0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2834600"/>
          <a:ext cx="190500" cy="190500"/>
        </a:xfrm>
        <a:prstGeom prst="rect">
          <a:avLst/>
        </a:prstGeom>
      </xdr:spPr>
    </xdr:pic>
    <xdr:clientData/>
  </xdr:twoCellAnchor>
  <xdr:twoCellAnchor editAs="oneCell">
    <xdr:from>
      <xdr:col>50</xdr:col>
      <xdr:colOff>0</xdr:colOff>
      <xdr:row>124</xdr:row>
      <xdr:rowOff>0</xdr:rowOff>
    </xdr:from>
    <xdr:to>
      <xdr:col>51</xdr:col>
      <xdr:colOff>6350</xdr:colOff>
      <xdr:row>125</xdr:row>
      <xdr:rowOff>6350</xdr:rowOff>
    </xdr:to>
    <xdr:pic>
      <xdr:nvPicPr>
        <xdr:cNvPr id="117" name="Grafik 116">
          <a:extLst>
            <a:ext uri="{FF2B5EF4-FFF2-40B4-BE49-F238E27FC236}">
              <a16:creationId xmlns:a16="http://schemas.microsoft.com/office/drawing/2014/main" id="{83BB6537-8483-447D-B39B-C38E75BD29A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3018750"/>
          <a:ext cx="190500" cy="190500"/>
        </a:xfrm>
        <a:prstGeom prst="rect">
          <a:avLst/>
        </a:prstGeom>
      </xdr:spPr>
    </xdr:pic>
    <xdr:clientData/>
  </xdr:twoCellAnchor>
  <xdr:twoCellAnchor editAs="oneCell">
    <xdr:from>
      <xdr:col>49</xdr:col>
      <xdr:colOff>0</xdr:colOff>
      <xdr:row>125</xdr:row>
      <xdr:rowOff>0</xdr:rowOff>
    </xdr:from>
    <xdr:to>
      <xdr:col>50</xdr:col>
      <xdr:colOff>6350</xdr:colOff>
      <xdr:row>126</xdr:row>
      <xdr:rowOff>6350</xdr:rowOff>
    </xdr:to>
    <xdr:pic>
      <xdr:nvPicPr>
        <xdr:cNvPr id="118" name="Grafik 117">
          <a:extLst>
            <a:ext uri="{FF2B5EF4-FFF2-40B4-BE49-F238E27FC236}">
              <a16:creationId xmlns:a16="http://schemas.microsoft.com/office/drawing/2014/main" id="{CF1BB939-7059-4F05-B4F7-CD5D596AB5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3202900"/>
          <a:ext cx="190500" cy="190500"/>
        </a:xfrm>
        <a:prstGeom prst="rect">
          <a:avLst/>
        </a:prstGeom>
      </xdr:spPr>
    </xdr:pic>
    <xdr:clientData/>
  </xdr:twoCellAnchor>
  <xdr:twoCellAnchor editAs="oneCell">
    <xdr:from>
      <xdr:col>49</xdr:col>
      <xdr:colOff>0</xdr:colOff>
      <xdr:row>127</xdr:row>
      <xdr:rowOff>0</xdr:rowOff>
    </xdr:from>
    <xdr:to>
      <xdr:col>50</xdr:col>
      <xdr:colOff>6350</xdr:colOff>
      <xdr:row>128</xdr:row>
      <xdr:rowOff>6350</xdr:rowOff>
    </xdr:to>
    <xdr:pic>
      <xdr:nvPicPr>
        <xdr:cNvPr id="120" name="Grafik 119">
          <a:extLst>
            <a:ext uri="{FF2B5EF4-FFF2-40B4-BE49-F238E27FC236}">
              <a16:creationId xmlns:a16="http://schemas.microsoft.com/office/drawing/2014/main" id="{F69F1FF5-BAAE-480E-8615-B34E520E89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3571200"/>
          <a:ext cx="190500" cy="190500"/>
        </a:xfrm>
        <a:prstGeom prst="rect">
          <a:avLst/>
        </a:prstGeom>
      </xdr:spPr>
    </xdr:pic>
    <xdr:clientData/>
  </xdr:twoCellAnchor>
  <xdr:twoCellAnchor editAs="oneCell">
    <xdr:from>
      <xdr:col>46</xdr:col>
      <xdr:colOff>0</xdr:colOff>
      <xdr:row>128</xdr:row>
      <xdr:rowOff>0</xdr:rowOff>
    </xdr:from>
    <xdr:to>
      <xdr:col>47</xdr:col>
      <xdr:colOff>6350</xdr:colOff>
      <xdr:row>129</xdr:row>
      <xdr:rowOff>6350</xdr:rowOff>
    </xdr:to>
    <xdr:pic>
      <xdr:nvPicPr>
        <xdr:cNvPr id="121" name="Grafik 120">
          <a:extLst>
            <a:ext uri="{FF2B5EF4-FFF2-40B4-BE49-F238E27FC236}">
              <a16:creationId xmlns:a16="http://schemas.microsoft.com/office/drawing/2014/main" id="{4DD151B7-14D4-474C-8FFF-95D2E929B0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23755350"/>
          <a:ext cx="190500" cy="190500"/>
        </a:xfrm>
        <a:prstGeom prst="rect">
          <a:avLst/>
        </a:prstGeom>
      </xdr:spPr>
    </xdr:pic>
    <xdr:clientData/>
  </xdr:twoCellAnchor>
  <xdr:twoCellAnchor editAs="oneCell">
    <xdr:from>
      <xdr:col>47</xdr:col>
      <xdr:colOff>0</xdr:colOff>
      <xdr:row>128</xdr:row>
      <xdr:rowOff>0</xdr:rowOff>
    </xdr:from>
    <xdr:to>
      <xdr:col>48</xdr:col>
      <xdr:colOff>6350</xdr:colOff>
      <xdr:row>129</xdr:row>
      <xdr:rowOff>6350</xdr:rowOff>
    </xdr:to>
    <xdr:pic>
      <xdr:nvPicPr>
        <xdr:cNvPr id="122" name="Grafik 121">
          <a:extLst>
            <a:ext uri="{FF2B5EF4-FFF2-40B4-BE49-F238E27FC236}">
              <a16:creationId xmlns:a16="http://schemas.microsoft.com/office/drawing/2014/main" id="{B3FC75F0-CE0D-4971-A8B4-DEAFA3DE16A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23755350"/>
          <a:ext cx="190500" cy="190500"/>
        </a:xfrm>
        <a:prstGeom prst="rect">
          <a:avLst/>
        </a:prstGeom>
      </xdr:spPr>
    </xdr:pic>
    <xdr:clientData/>
  </xdr:twoCellAnchor>
  <xdr:twoCellAnchor editAs="oneCell">
    <xdr:from>
      <xdr:col>50</xdr:col>
      <xdr:colOff>0</xdr:colOff>
      <xdr:row>129</xdr:row>
      <xdr:rowOff>0</xdr:rowOff>
    </xdr:from>
    <xdr:to>
      <xdr:col>51</xdr:col>
      <xdr:colOff>6350</xdr:colOff>
      <xdr:row>130</xdr:row>
      <xdr:rowOff>6350</xdr:rowOff>
    </xdr:to>
    <xdr:pic>
      <xdr:nvPicPr>
        <xdr:cNvPr id="123" name="Grafik 122">
          <a:extLst>
            <a:ext uri="{FF2B5EF4-FFF2-40B4-BE49-F238E27FC236}">
              <a16:creationId xmlns:a16="http://schemas.microsoft.com/office/drawing/2014/main" id="{974C311E-CB0F-4DBE-AD72-F1069CF0602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3939500"/>
          <a:ext cx="190500" cy="190500"/>
        </a:xfrm>
        <a:prstGeom prst="rect">
          <a:avLst/>
        </a:prstGeom>
      </xdr:spPr>
    </xdr:pic>
    <xdr:clientData/>
  </xdr:twoCellAnchor>
  <xdr:twoCellAnchor editAs="oneCell">
    <xdr:from>
      <xdr:col>45</xdr:col>
      <xdr:colOff>0</xdr:colOff>
      <xdr:row>130</xdr:row>
      <xdr:rowOff>0</xdr:rowOff>
    </xdr:from>
    <xdr:to>
      <xdr:col>46</xdr:col>
      <xdr:colOff>6350</xdr:colOff>
      <xdr:row>131</xdr:row>
      <xdr:rowOff>6350</xdr:rowOff>
    </xdr:to>
    <xdr:pic>
      <xdr:nvPicPr>
        <xdr:cNvPr id="124" name="Grafik 123">
          <a:extLst>
            <a:ext uri="{FF2B5EF4-FFF2-40B4-BE49-F238E27FC236}">
              <a16:creationId xmlns:a16="http://schemas.microsoft.com/office/drawing/2014/main" id="{B64A2607-2D0E-4692-A7E3-D3FDF8F55F7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55750" y="24123650"/>
          <a:ext cx="190500" cy="190500"/>
        </a:xfrm>
        <a:prstGeom prst="rect">
          <a:avLst/>
        </a:prstGeom>
      </xdr:spPr>
    </xdr:pic>
    <xdr:clientData/>
  </xdr:twoCellAnchor>
  <xdr:twoCellAnchor editAs="oneCell">
    <xdr:from>
      <xdr:col>49</xdr:col>
      <xdr:colOff>0</xdr:colOff>
      <xdr:row>131</xdr:row>
      <xdr:rowOff>0</xdr:rowOff>
    </xdr:from>
    <xdr:to>
      <xdr:col>50</xdr:col>
      <xdr:colOff>6350</xdr:colOff>
      <xdr:row>132</xdr:row>
      <xdr:rowOff>6350</xdr:rowOff>
    </xdr:to>
    <xdr:pic>
      <xdr:nvPicPr>
        <xdr:cNvPr id="125" name="Grafik 124">
          <a:extLst>
            <a:ext uri="{FF2B5EF4-FFF2-40B4-BE49-F238E27FC236}">
              <a16:creationId xmlns:a16="http://schemas.microsoft.com/office/drawing/2014/main" id="{9E04FDCC-90AD-4BD3-986E-10E93E48AD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4307800"/>
          <a:ext cx="190500" cy="190500"/>
        </a:xfrm>
        <a:prstGeom prst="rect">
          <a:avLst/>
        </a:prstGeom>
      </xdr:spPr>
    </xdr:pic>
    <xdr:clientData/>
  </xdr:twoCellAnchor>
  <xdr:twoCellAnchor editAs="oneCell">
    <xdr:from>
      <xdr:col>49</xdr:col>
      <xdr:colOff>0</xdr:colOff>
      <xdr:row>132</xdr:row>
      <xdr:rowOff>0</xdr:rowOff>
    </xdr:from>
    <xdr:to>
      <xdr:col>50</xdr:col>
      <xdr:colOff>6350</xdr:colOff>
      <xdr:row>133</xdr:row>
      <xdr:rowOff>6350</xdr:rowOff>
    </xdr:to>
    <xdr:pic>
      <xdr:nvPicPr>
        <xdr:cNvPr id="126" name="Grafik 125">
          <a:extLst>
            <a:ext uri="{FF2B5EF4-FFF2-40B4-BE49-F238E27FC236}">
              <a16:creationId xmlns:a16="http://schemas.microsoft.com/office/drawing/2014/main" id="{AD2972C9-A5BD-418E-B122-82FE8B5848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24491950"/>
          <a:ext cx="190500" cy="190500"/>
        </a:xfrm>
        <a:prstGeom prst="rect">
          <a:avLst/>
        </a:prstGeom>
      </xdr:spPr>
    </xdr:pic>
    <xdr:clientData/>
  </xdr:twoCellAnchor>
  <xdr:twoCellAnchor editAs="oneCell">
    <xdr:from>
      <xdr:col>50</xdr:col>
      <xdr:colOff>0</xdr:colOff>
      <xdr:row>132</xdr:row>
      <xdr:rowOff>0</xdr:rowOff>
    </xdr:from>
    <xdr:to>
      <xdr:col>51</xdr:col>
      <xdr:colOff>6350</xdr:colOff>
      <xdr:row>133</xdr:row>
      <xdr:rowOff>6350</xdr:rowOff>
    </xdr:to>
    <xdr:pic>
      <xdr:nvPicPr>
        <xdr:cNvPr id="127" name="Grafik 126">
          <a:extLst>
            <a:ext uri="{FF2B5EF4-FFF2-40B4-BE49-F238E27FC236}">
              <a16:creationId xmlns:a16="http://schemas.microsoft.com/office/drawing/2014/main" id="{A5C08CF0-5B11-4850-ABD0-8DC91101D3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4491950"/>
          <a:ext cx="190500" cy="190500"/>
        </a:xfrm>
        <a:prstGeom prst="rect">
          <a:avLst/>
        </a:prstGeom>
      </xdr:spPr>
    </xdr:pic>
    <xdr:clientData/>
  </xdr:twoCellAnchor>
  <xdr:twoCellAnchor editAs="oneCell">
    <xdr:from>
      <xdr:col>50</xdr:col>
      <xdr:colOff>0</xdr:colOff>
      <xdr:row>133</xdr:row>
      <xdr:rowOff>0</xdr:rowOff>
    </xdr:from>
    <xdr:to>
      <xdr:col>51</xdr:col>
      <xdr:colOff>6350</xdr:colOff>
      <xdr:row>134</xdr:row>
      <xdr:rowOff>6350</xdr:rowOff>
    </xdr:to>
    <xdr:pic>
      <xdr:nvPicPr>
        <xdr:cNvPr id="128" name="Grafik 127">
          <a:extLst>
            <a:ext uri="{FF2B5EF4-FFF2-40B4-BE49-F238E27FC236}">
              <a16:creationId xmlns:a16="http://schemas.microsoft.com/office/drawing/2014/main" id="{9193DE96-B84A-420A-A350-2E113FAB521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4676100"/>
          <a:ext cx="190500" cy="190500"/>
        </a:xfrm>
        <a:prstGeom prst="rect">
          <a:avLst/>
        </a:prstGeom>
      </xdr:spPr>
    </xdr:pic>
    <xdr:clientData/>
  </xdr:twoCellAnchor>
  <xdr:twoCellAnchor editAs="oneCell">
    <xdr:from>
      <xdr:col>50</xdr:col>
      <xdr:colOff>0</xdr:colOff>
      <xdr:row>134</xdr:row>
      <xdr:rowOff>0</xdr:rowOff>
    </xdr:from>
    <xdr:to>
      <xdr:col>51</xdr:col>
      <xdr:colOff>6350</xdr:colOff>
      <xdr:row>135</xdr:row>
      <xdr:rowOff>6350</xdr:rowOff>
    </xdr:to>
    <xdr:pic>
      <xdr:nvPicPr>
        <xdr:cNvPr id="129" name="Grafik 128">
          <a:extLst>
            <a:ext uri="{FF2B5EF4-FFF2-40B4-BE49-F238E27FC236}">
              <a16:creationId xmlns:a16="http://schemas.microsoft.com/office/drawing/2014/main" id="{30C808FF-DE2A-440D-835B-4B7CA7DB52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4860250"/>
          <a:ext cx="190500" cy="190500"/>
        </a:xfrm>
        <a:prstGeom prst="rect">
          <a:avLst/>
        </a:prstGeom>
      </xdr:spPr>
    </xdr:pic>
    <xdr:clientData/>
  </xdr:twoCellAnchor>
  <xdr:twoCellAnchor editAs="oneCell">
    <xdr:from>
      <xdr:col>50</xdr:col>
      <xdr:colOff>0</xdr:colOff>
      <xdr:row>135</xdr:row>
      <xdr:rowOff>0</xdr:rowOff>
    </xdr:from>
    <xdr:to>
      <xdr:col>51</xdr:col>
      <xdr:colOff>6350</xdr:colOff>
      <xdr:row>136</xdr:row>
      <xdr:rowOff>6350</xdr:rowOff>
    </xdr:to>
    <xdr:pic>
      <xdr:nvPicPr>
        <xdr:cNvPr id="130" name="Grafik 129">
          <a:extLst>
            <a:ext uri="{FF2B5EF4-FFF2-40B4-BE49-F238E27FC236}">
              <a16:creationId xmlns:a16="http://schemas.microsoft.com/office/drawing/2014/main" id="{7DF4DFAA-6BFA-4E6B-ADB3-16CAAE1AC9F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5044400"/>
          <a:ext cx="190500" cy="190500"/>
        </a:xfrm>
        <a:prstGeom prst="rect">
          <a:avLst/>
        </a:prstGeom>
      </xdr:spPr>
    </xdr:pic>
    <xdr:clientData/>
  </xdr:twoCellAnchor>
  <xdr:twoCellAnchor editAs="oneCell">
    <xdr:from>
      <xdr:col>50</xdr:col>
      <xdr:colOff>0</xdr:colOff>
      <xdr:row>136</xdr:row>
      <xdr:rowOff>0</xdr:rowOff>
    </xdr:from>
    <xdr:to>
      <xdr:col>51</xdr:col>
      <xdr:colOff>6350</xdr:colOff>
      <xdr:row>137</xdr:row>
      <xdr:rowOff>6350</xdr:rowOff>
    </xdr:to>
    <xdr:pic>
      <xdr:nvPicPr>
        <xdr:cNvPr id="131" name="Grafik 130">
          <a:extLst>
            <a:ext uri="{FF2B5EF4-FFF2-40B4-BE49-F238E27FC236}">
              <a16:creationId xmlns:a16="http://schemas.microsoft.com/office/drawing/2014/main" id="{170606D6-4719-438A-865A-378A894439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25228550"/>
          <a:ext cx="190500" cy="190500"/>
        </a:xfrm>
        <a:prstGeom prst="rect">
          <a:avLst/>
        </a:prstGeom>
      </xdr:spPr>
    </xdr:pic>
    <xdr:clientData/>
  </xdr:twoCellAnchor>
  <xdr:twoCellAnchor editAs="oneCell">
    <xdr:from>
      <xdr:col>49</xdr:col>
      <xdr:colOff>0</xdr:colOff>
      <xdr:row>30</xdr:row>
      <xdr:rowOff>0</xdr:rowOff>
    </xdr:from>
    <xdr:to>
      <xdr:col>50</xdr:col>
      <xdr:colOff>6350</xdr:colOff>
      <xdr:row>31</xdr:row>
      <xdr:rowOff>6350</xdr:rowOff>
    </xdr:to>
    <xdr:pic>
      <xdr:nvPicPr>
        <xdr:cNvPr id="132" name="Grafik 131">
          <a:extLst>
            <a:ext uri="{FF2B5EF4-FFF2-40B4-BE49-F238E27FC236}">
              <a16:creationId xmlns:a16="http://schemas.microsoft.com/office/drawing/2014/main" id="{FF9ADF17-3482-49F2-ADDD-16FE73E70D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5524500"/>
          <a:ext cx="190500" cy="190500"/>
        </a:xfrm>
        <a:prstGeom prst="rect">
          <a:avLst/>
        </a:prstGeom>
      </xdr:spPr>
    </xdr:pic>
    <xdr:clientData/>
  </xdr:twoCellAnchor>
  <xdr:twoCellAnchor editAs="oneCell">
    <xdr:from>
      <xdr:col>50</xdr:col>
      <xdr:colOff>0</xdr:colOff>
      <xdr:row>10</xdr:row>
      <xdr:rowOff>0</xdr:rowOff>
    </xdr:from>
    <xdr:to>
      <xdr:col>51</xdr:col>
      <xdr:colOff>6350</xdr:colOff>
      <xdr:row>11</xdr:row>
      <xdr:rowOff>6350</xdr:rowOff>
    </xdr:to>
    <xdr:pic>
      <xdr:nvPicPr>
        <xdr:cNvPr id="133" name="Grafik 132">
          <a:extLst>
            <a:ext uri="{FF2B5EF4-FFF2-40B4-BE49-F238E27FC236}">
              <a16:creationId xmlns:a16="http://schemas.microsoft.com/office/drawing/2014/main" id="{876633EE-5A2D-4180-BFD3-11FACA45010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76500" y="1841500"/>
          <a:ext cx="190500" cy="190500"/>
        </a:xfrm>
        <a:prstGeom prst="rect">
          <a:avLst/>
        </a:prstGeom>
      </xdr:spPr>
    </xdr:pic>
    <xdr:clientData/>
  </xdr:twoCellAnchor>
  <xdr:twoCellAnchor editAs="oneCell">
    <xdr:from>
      <xdr:col>46</xdr:col>
      <xdr:colOff>0</xdr:colOff>
      <xdr:row>27</xdr:row>
      <xdr:rowOff>0</xdr:rowOff>
    </xdr:from>
    <xdr:to>
      <xdr:col>47</xdr:col>
      <xdr:colOff>6350</xdr:colOff>
      <xdr:row>28</xdr:row>
      <xdr:rowOff>6350</xdr:rowOff>
    </xdr:to>
    <xdr:pic>
      <xdr:nvPicPr>
        <xdr:cNvPr id="134" name="Grafik 133">
          <a:extLst>
            <a:ext uri="{FF2B5EF4-FFF2-40B4-BE49-F238E27FC236}">
              <a16:creationId xmlns:a16="http://schemas.microsoft.com/office/drawing/2014/main" id="{81F460F6-0D0E-4C1B-8851-FAC4BF8918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4972050"/>
          <a:ext cx="190500" cy="190500"/>
        </a:xfrm>
        <a:prstGeom prst="rect">
          <a:avLst/>
        </a:prstGeom>
      </xdr:spPr>
    </xdr:pic>
    <xdr:clientData/>
  </xdr:twoCellAnchor>
  <xdr:twoCellAnchor editAs="oneCell">
    <xdr:from>
      <xdr:col>46</xdr:col>
      <xdr:colOff>0</xdr:colOff>
      <xdr:row>26</xdr:row>
      <xdr:rowOff>0</xdr:rowOff>
    </xdr:from>
    <xdr:to>
      <xdr:col>47</xdr:col>
      <xdr:colOff>6350</xdr:colOff>
      <xdr:row>27</xdr:row>
      <xdr:rowOff>6350</xdr:rowOff>
    </xdr:to>
    <xdr:pic>
      <xdr:nvPicPr>
        <xdr:cNvPr id="135" name="Grafik 134">
          <a:extLst>
            <a:ext uri="{FF2B5EF4-FFF2-40B4-BE49-F238E27FC236}">
              <a16:creationId xmlns:a16="http://schemas.microsoft.com/office/drawing/2014/main" id="{CED75B34-2773-4378-B968-5F75CB1D49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39900" y="4787900"/>
          <a:ext cx="190500" cy="190500"/>
        </a:xfrm>
        <a:prstGeom prst="rect">
          <a:avLst/>
        </a:prstGeom>
      </xdr:spPr>
    </xdr:pic>
    <xdr:clientData/>
  </xdr:twoCellAnchor>
  <xdr:twoCellAnchor editAs="oneCell">
    <xdr:from>
      <xdr:col>49</xdr:col>
      <xdr:colOff>0</xdr:colOff>
      <xdr:row>21</xdr:row>
      <xdr:rowOff>0</xdr:rowOff>
    </xdr:from>
    <xdr:to>
      <xdr:col>50</xdr:col>
      <xdr:colOff>6350</xdr:colOff>
      <xdr:row>22</xdr:row>
      <xdr:rowOff>6350</xdr:rowOff>
    </xdr:to>
    <xdr:pic>
      <xdr:nvPicPr>
        <xdr:cNvPr id="136" name="Grafik 135">
          <a:extLst>
            <a:ext uri="{FF2B5EF4-FFF2-40B4-BE49-F238E27FC236}">
              <a16:creationId xmlns:a16="http://schemas.microsoft.com/office/drawing/2014/main" id="{944E23C4-9897-4CFB-9968-4E47D16BC6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92350" y="3867150"/>
          <a:ext cx="190500" cy="190500"/>
        </a:xfrm>
        <a:prstGeom prst="rect">
          <a:avLst/>
        </a:prstGeom>
      </xdr:spPr>
    </xdr:pic>
    <xdr:clientData/>
  </xdr:twoCellAnchor>
  <xdr:twoCellAnchor editAs="oneCell">
    <xdr:from>
      <xdr:col>48</xdr:col>
      <xdr:colOff>0</xdr:colOff>
      <xdr:row>50</xdr:row>
      <xdr:rowOff>0</xdr:rowOff>
    </xdr:from>
    <xdr:to>
      <xdr:col>49</xdr:col>
      <xdr:colOff>6350</xdr:colOff>
      <xdr:row>51</xdr:row>
      <xdr:rowOff>6350</xdr:rowOff>
    </xdr:to>
    <xdr:pic>
      <xdr:nvPicPr>
        <xdr:cNvPr id="137" name="Grafik 136">
          <a:extLst>
            <a:ext uri="{FF2B5EF4-FFF2-40B4-BE49-F238E27FC236}">
              <a16:creationId xmlns:a16="http://schemas.microsoft.com/office/drawing/2014/main" id="{BAEA6652-BEBD-4C76-9E07-F98EF6FA549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108200" y="9207500"/>
          <a:ext cx="190500" cy="190500"/>
        </a:xfrm>
        <a:prstGeom prst="rect">
          <a:avLst/>
        </a:prstGeom>
      </xdr:spPr>
    </xdr:pic>
    <xdr:clientData/>
  </xdr:twoCellAnchor>
  <xdr:twoCellAnchor editAs="oneCell">
    <xdr:from>
      <xdr:col>47</xdr:col>
      <xdr:colOff>0</xdr:colOff>
      <xdr:row>20</xdr:row>
      <xdr:rowOff>0</xdr:rowOff>
    </xdr:from>
    <xdr:to>
      <xdr:col>48</xdr:col>
      <xdr:colOff>6350</xdr:colOff>
      <xdr:row>21</xdr:row>
      <xdr:rowOff>6350</xdr:rowOff>
    </xdr:to>
    <xdr:pic>
      <xdr:nvPicPr>
        <xdr:cNvPr id="138" name="Grafik 137">
          <a:extLst>
            <a:ext uri="{FF2B5EF4-FFF2-40B4-BE49-F238E27FC236}">
              <a16:creationId xmlns:a16="http://schemas.microsoft.com/office/drawing/2014/main" id="{D510452F-6A6E-4CFF-8DEF-1069947D899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24050" y="3683000"/>
          <a:ext cx="190500" cy="190500"/>
        </a:xfrm>
        <a:prstGeom prst="rect">
          <a:avLst/>
        </a:prstGeom>
      </xdr:spPr>
    </xdr:pic>
    <xdr:clientData/>
  </xdr:twoCellAnchor>
  <xdr:twoCellAnchor editAs="oneCell">
    <xdr:from>
      <xdr:col>45</xdr:col>
      <xdr:colOff>0</xdr:colOff>
      <xdr:row>207</xdr:row>
      <xdr:rowOff>0</xdr:rowOff>
    </xdr:from>
    <xdr:to>
      <xdr:col>46</xdr:col>
      <xdr:colOff>6350</xdr:colOff>
      <xdr:row>208</xdr:row>
      <xdr:rowOff>6350</xdr:rowOff>
    </xdr:to>
    <xdr:pic>
      <xdr:nvPicPr>
        <xdr:cNvPr id="139" name="Grafik 138">
          <a:extLst>
            <a:ext uri="{FF2B5EF4-FFF2-40B4-BE49-F238E27FC236}">
              <a16:creationId xmlns:a16="http://schemas.microsoft.com/office/drawing/2014/main" id="{FA548A40-C6DB-4525-B1F1-ABC27D676C8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26898600"/>
          <a:ext cx="190500" cy="190500"/>
        </a:xfrm>
        <a:prstGeom prst="rect">
          <a:avLst/>
        </a:prstGeom>
      </xdr:spPr>
    </xdr:pic>
    <xdr:clientData/>
  </xdr:twoCellAnchor>
  <xdr:oneCellAnchor>
    <xdr:from>
      <xdr:col>48</xdr:col>
      <xdr:colOff>0</xdr:colOff>
      <xdr:row>204</xdr:row>
      <xdr:rowOff>0</xdr:rowOff>
    </xdr:from>
    <xdr:ext cx="190500" cy="190500"/>
    <xdr:pic>
      <xdr:nvPicPr>
        <xdr:cNvPr id="141" name="Grafik 140">
          <a:extLst>
            <a:ext uri="{FF2B5EF4-FFF2-40B4-BE49-F238E27FC236}">
              <a16:creationId xmlns:a16="http://schemas.microsoft.com/office/drawing/2014/main" id="{B54C7642-CE33-4872-9721-2AD89B63355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5530850"/>
          <a:ext cx="190500" cy="190500"/>
        </a:xfrm>
        <a:prstGeom prst="rect">
          <a:avLst/>
        </a:prstGeom>
      </xdr:spPr>
    </xdr:pic>
    <xdr:clientData/>
  </xdr:oneCellAnchor>
  <xdr:oneCellAnchor>
    <xdr:from>
      <xdr:col>49</xdr:col>
      <xdr:colOff>0</xdr:colOff>
      <xdr:row>204</xdr:row>
      <xdr:rowOff>0</xdr:rowOff>
    </xdr:from>
    <xdr:ext cx="190500" cy="190500"/>
    <xdr:pic>
      <xdr:nvPicPr>
        <xdr:cNvPr id="142" name="Grafik 141">
          <a:extLst>
            <a:ext uri="{FF2B5EF4-FFF2-40B4-BE49-F238E27FC236}">
              <a16:creationId xmlns:a16="http://schemas.microsoft.com/office/drawing/2014/main" id="{D06025FD-7D72-46D6-A934-10741CCF14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5530850"/>
          <a:ext cx="190500" cy="190500"/>
        </a:xfrm>
        <a:prstGeom prst="rect">
          <a:avLst/>
        </a:prstGeom>
      </xdr:spPr>
    </xdr:pic>
    <xdr:clientData/>
  </xdr:oneCellAnchor>
  <xdr:twoCellAnchor editAs="oneCell">
    <xdr:from>
      <xdr:col>52</xdr:col>
      <xdr:colOff>0</xdr:colOff>
      <xdr:row>202</xdr:row>
      <xdr:rowOff>0</xdr:rowOff>
    </xdr:from>
    <xdr:to>
      <xdr:col>53</xdr:col>
      <xdr:colOff>6350</xdr:colOff>
      <xdr:row>203</xdr:row>
      <xdr:rowOff>6350</xdr:rowOff>
    </xdr:to>
    <xdr:pic>
      <xdr:nvPicPr>
        <xdr:cNvPr id="143" name="Grafik 142">
          <a:extLst>
            <a:ext uri="{FF2B5EF4-FFF2-40B4-BE49-F238E27FC236}">
              <a16:creationId xmlns:a16="http://schemas.microsoft.com/office/drawing/2014/main" id="{19566434-3BFF-441F-A1E0-DCE33DF3B93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711400" y="26346150"/>
          <a:ext cx="190500" cy="190500"/>
        </a:xfrm>
        <a:prstGeom prst="rect">
          <a:avLst/>
        </a:prstGeom>
      </xdr:spPr>
    </xdr:pic>
    <xdr:clientData/>
  </xdr:twoCellAnchor>
  <xdr:twoCellAnchor editAs="oneCell">
    <xdr:from>
      <xdr:col>46</xdr:col>
      <xdr:colOff>0</xdr:colOff>
      <xdr:row>172</xdr:row>
      <xdr:rowOff>0</xdr:rowOff>
    </xdr:from>
    <xdr:to>
      <xdr:col>47</xdr:col>
      <xdr:colOff>6350</xdr:colOff>
      <xdr:row>173</xdr:row>
      <xdr:rowOff>6350</xdr:rowOff>
    </xdr:to>
    <xdr:pic>
      <xdr:nvPicPr>
        <xdr:cNvPr id="162" name="Grafik 161">
          <a:extLst>
            <a:ext uri="{FF2B5EF4-FFF2-40B4-BE49-F238E27FC236}">
              <a16:creationId xmlns:a16="http://schemas.microsoft.com/office/drawing/2014/main" id="{E403A170-2E36-46E8-8532-41ED5B2199B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26346150"/>
          <a:ext cx="190500" cy="190500"/>
        </a:xfrm>
        <a:prstGeom prst="rect">
          <a:avLst/>
        </a:prstGeom>
      </xdr:spPr>
    </xdr:pic>
    <xdr:clientData/>
  </xdr:twoCellAnchor>
  <xdr:twoCellAnchor editAs="oneCell">
    <xdr:from>
      <xdr:col>50</xdr:col>
      <xdr:colOff>0</xdr:colOff>
      <xdr:row>173</xdr:row>
      <xdr:rowOff>0</xdr:rowOff>
    </xdr:from>
    <xdr:to>
      <xdr:col>51</xdr:col>
      <xdr:colOff>6350</xdr:colOff>
      <xdr:row>174</xdr:row>
      <xdr:rowOff>6350</xdr:rowOff>
    </xdr:to>
    <xdr:pic>
      <xdr:nvPicPr>
        <xdr:cNvPr id="163" name="Grafik 162">
          <a:extLst>
            <a:ext uri="{FF2B5EF4-FFF2-40B4-BE49-F238E27FC236}">
              <a16:creationId xmlns:a16="http://schemas.microsoft.com/office/drawing/2014/main" id="{D7FCD246-8D2F-4F56-8E44-79F166B3BD7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26530300"/>
          <a:ext cx="190500" cy="190500"/>
        </a:xfrm>
        <a:prstGeom prst="rect">
          <a:avLst/>
        </a:prstGeom>
      </xdr:spPr>
    </xdr:pic>
    <xdr:clientData/>
  </xdr:twoCellAnchor>
  <xdr:twoCellAnchor editAs="oneCell">
    <xdr:from>
      <xdr:col>45</xdr:col>
      <xdr:colOff>0</xdr:colOff>
      <xdr:row>174</xdr:row>
      <xdr:rowOff>0</xdr:rowOff>
    </xdr:from>
    <xdr:to>
      <xdr:col>46</xdr:col>
      <xdr:colOff>6350</xdr:colOff>
      <xdr:row>175</xdr:row>
      <xdr:rowOff>6350</xdr:rowOff>
    </xdr:to>
    <xdr:pic>
      <xdr:nvPicPr>
        <xdr:cNvPr id="164" name="Grafik 163">
          <a:extLst>
            <a:ext uri="{FF2B5EF4-FFF2-40B4-BE49-F238E27FC236}">
              <a16:creationId xmlns:a16="http://schemas.microsoft.com/office/drawing/2014/main" id="{7A36A8C1-6144-47FB-91DD-83E03041349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26714450"/>
          <a:ext cx="190500" cy="190500"/>
        </a:xfrm>
        <a:prstGeom prst="rect">
          <a:avLst/>
        </a:prstGeom>
      </xdr:spPr>
    </xdr:pic>
    <xdr:clientData/>
  </xdr:twoCellAnchor>
  <xdr:twoCellAnchor editAs="oneCell">
    <xdr:from>
      <xdr:col>49</xdr:col>
      <xdr:colOff>0</xdr:colOff>
      <xdr:row>175</xdr:row>
      <xdr:rowOff>0</xdr:rowOff>
    </xdr:from>
    <xdr:to>
      <xdr:col>50</xdr:col>
      <xdr:colOff>6350</xdr:colOff>
      <xdr:row>176</xdr:row>
      <xdr:rowOff>6350</xdr:rowOff>
    </xdr:to>
    <xdr:pic>
      <xdr:nvPicPr>
        <xdr:cNvPr id="165" name="Grafik 164">
          <a:extLst>
            <a:ext uri="{FF2B5EF4-FFF2-40B4-BE49-F238E27FC236}">
              <a16:creationId xmlns:a16="http://schemas.microsoft.com/office/drawing/2014/main" id="{9C0CC332-FA89-4175-BF03-2B860AE6DE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26898600"/>
          <a:ext cx="190500" cy="190500"/>
        </a:xfrm>
        <a:prstGeom prst="rect">
          <a:avLst/>
        </a:prstGeom>
      </xdr:spPr>
    </xdr:pic>
    <xdr:clientData/>
  </xdr:twoCellAnchor>
  <xdr:twoCellAnchor editAs="oneCell">
    <xdr:from>
      <xdr:col>53</xdr:col>
      <xdr:colOff>0</xdr:colOff>
      <xdr:row>176</xdr:row>
      <xdr:rowOff>0</xdr:rowOff>
    </xdr:from>
    <xdr:to>
      <xdr:col>54</xdr:col>
      <xdr:colOff>6350</xdr:colOff>
      <xdr:row>177</xdr:row>
      <xdr:rowOff>6350</xdr:rowOff>
    </xdr:to>
    <xdr:pic>
      <xdr:nvPicPr>
        <xdr:cNvPr id="166" name="Grafik 165">
          <a:extLst>
            <a:ext uri="{FF2B5EF4-FFF2-40B4-BE49-F238E27FC236}">
              <a16:creationId xmlns:a16="http://schemas.microsoft.com/office/drawing/2014/main" id="{D121FDA2-741E-4B7C-8A63-8496DBC1B94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7082750"/>
          <a:ext cx="190500" cy="190500"/>
        </a:xfrm>
        <a:prstGeom prst="rect">
          <a:avLst/>
        </a:prstGeom>
      </xdr:spPr>
    </xdr:pic>
    <xdr:clientData/>
  </xdr:twoCellAnchor>
  <xdr:twoCellAnchor editAs="oneCell">
    <xdr:from>
      <xdr:col>53</xdr:col>
      <xdr:colOff>0</xdr:colOff>
      <xdr:row>177</xdr:row>
      <xdr:rowOff>0</xdr:rowOff>
    </xdr:from>
    <xdr:to>
      <xdr:col>54</xdr:col>
      <xdr:colOff>6350</xdr:colOff>
      <xdr:row>178</xdr:row>
      <xdr:rowOff>6350</xdr:rowOff>
    </xdr:to>
    <xdr:pic>
      <xdr:nvPicPr>
        <xdr:cNvPr id="167" name="Grafik 166">
          <a:extLst>
            <a:ext uri="{FF2B5EF4-FFF2-40B4-BE49-F238E27FC236}">
              <a16:creationId xmlns:a16="http://schemas.microsoft.com/office/drawing/2014/main" id="{ED87ED37-2EA3-4EE6-8E1A-345B5E2314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7266900"/>
          <a:ext cx="190500" cy="190500"/>
        </a:xfrm>
        <a:prstGeom prst="rect">
          <a:avLst/>
        </a:prstGeom>
      </xdr:spPr>
    </xdr:pic>
    <xdr:clientData/>
  </xdr:twoCellAnchor>
  <xdr:twoCellAnchor editAs="oneCell">
    <xdr:from>
      <xdr:col>53</xdr:col>
      <xdr:colOff>0</xdr:colOff>
      <xdr:row>179</xdr:row>
      <xdr:rowOff>0</xdr:rowOff>
    </xdr:from>
    <xdr:to>
      <xdr:col>54</xdr:col>
      <xdr:colOff>6350</xdr:colOff>
      <xdr:row>180</xdr:row>
      <xdr:rowOff>6350</xdr:rowOff>
    </xdr:to>
    <xdr:pic>
      <xdr:nvPicPr>
        <xdr:cNvPr id="168" name="Grafik 167">
          <a:extLst>
            <a:ext uri="{FF2B5EF4-FFF2-40B4-BE49-F238E27FC236}">
              <a16:creationId xmlns:a16="http://schemas.microsoft.com/office/drawing/2014/main" id="{53560360-F906-447D-B31F-3020AB4A86F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7635200"/>
          <a:ext cx="190500" cy="190500"/>
        </a:xfrm>
        <a:prstGeom prst="rect">
          <a:avLst/>
        </a:prstGeom>
      </xdr:spPr>
    </xdr:pic>
    <xdr:clientData/>
  </xdr:twoCellAnchor>
  <xdr:twoCellAnchor editAs="oneCell">
    <xdr:from>
      <xdr:col>45</xdr:col>
      <xdr:colOff>0</xdr:colOff>
      <xdr:row>181</xdr:row>
      <xdr:rowOff>0</xdr:rowOff>
    </xdr:from>
    <xdr:to>
      <xdr:col>46</xdr:col>
      <xdr:colOff>6350</xdr:colOff>
      <xdr:row>182</xdr:row>
      <xdr:rowOff>6350</xdr:rowOff>
    </xdr:to>
    <xdr:pic>
      <xdr:nvPicPr>
        <xdr:cNvPr id="169" name="Grafik 168">
          <a:extLst>
            <a:ext uri="{FF2B5EF4-FFF2-40B4-BE49-F238E27FC236}">
              <a16:creationId xmlns:a16="http://schemas.microsoft.com/office/drawing/2014/main" id="{2417DA48-EA4A-4ABF-AD8E-288F574B24F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27819350"/>
          <a:ext cx="190500" cy="190500"/>
        </a:xfrm>
        <a:prstGeom prst="rect">
          <a:avLst/>
        </a:prstGeom>
      </xdr:spPr>
    </xdr:pic>
    <xdr:clientData/>
  </xdr:twoCellAnchor>
  <xdr:twoCellAnchor editAs="oneCell">
    <xdr:from>
      <xdr:col>45</xdr:col>
      <xdr:colOff>0</xdr:colOff>
      <xdr:row>183</xdr:row>
      <xdr:rowOff>0</xdr:rowOff>
    </xdr:from>
    <xdr:to>
      <xdr:col>46</xdr:col>
      <xdr:colOff>6350</xdr:colOff>
      <xdr:row>184</xdr:row>
      <xdr:rowOff>6350</xdr:rowOff>
    </xdr:to>
    <xdr:pic>
      <xdr:nvPicPr>
        <xdr:cNvPr id="170" name="Grafik 169">
          <a:extLst>
            <a:ext uri="{FF2B5EF4-FFF2-40B4-BE49-F238E27FC236}">
              <a16:creationId xmlns:a16="http://schemas.microsoft.com/office/drawing/2014/main" id="{53028799-5BED-41A1-BB0D-B5C1FBBDF88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28187650"/>
          <a:ext cx="190500" cy="190500"/>
        </a:xfrm>
        <a:prstGeom prst="rect">
          <a:avLst/>
        </a:prstGeom>
      </xdr:spPr>
    </xdr:pic>
    <xdr:clientData/>
  </xdr:twoCellAnchor>
  <xdr:twoCellAnchor editAs="oneCell">
    <xdr:from>
      <xdr:col>50</xdr:col>
      <xdr:colOff>0</xdr:colOff>
      <xdr:row>182</xdr:row>
      <xdr:rowOff>0</xdr:rowOff>
    </xdr:from>
    <xdr:to>
      <xdr:col>51</xdr:col>
      <xdr:colOff>6350</xdr:colOff>
      <xdr:row>183</xdr:row>
      <xdr:rowOff>6350</xdr:rowOff>
    </xdr:to>
    <xdr:pic>
      <xdr:nvPicPr>
        <xdr:cNvPr id="171" name="Grafik 170">
          <a:extLst>
            <a:ext uri="{FF2B5EF4-FFF2-40B4-BE49-F238E27FC236}">
              <a16:creationId xmlns:a16="http://schemas.microsoft.com/office/drawing/2014/main" id="{03CC709A-3A5D-4E0F-B6FC-84B68892625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28003500"/>
          <a:ext cx="190500" cy="190500"/>
        </a:xfrm>
        <a:prstGeom prst="rect">
          <a:avLst/>
        </a:prstGeom>
      </xdr:spPr>
    </xdr:pic>
    <xdr:clientData/>
  </xdr:twoCellAnchor>
  <xdr:twoCellAnchor editAs="oneCell">
    <xdr:from>
      <xdr:col>45</xdr:col>
      <xdr:colOff>0</xdr:colOff>
      <xdr:row>184</xdr:row>
      <xdr:rowOff>0</xdr:rowOff>
    </xdr:from>
    <xdr:to>
      <xdr:col>46</xdr:col>
      <xdr:colOff>6350</xdr:colOff>
      <xdr:row>185</xdr:row>
      <xdr:rowOff>6350</xdr:rowOff>
    </xdr:to>
    <xdr:pic>
      <xdr:nvPicPr>
        <xdr:cNvPr id="172" name="Grafik 171">
          <a:extLst>
            <a:ext uri="{FF2B5EF4-FFF2-40B4-BE49-F238E27FC236}">
              <a16:creationId xmlns:a16="http://schemas.microsoft.com/office/drawing/2014/main" id="{BA4A3ABD-81D4-4CD0-8606-8731F4F24D7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28371800"/>
          <a:ext cx="190500" cy="190500"/>
        </a:xfrm>
        <a:prstGeom prst="rect">
          <a:avLst/>
        </a:prstGeom>
      </xdr:spPr>
    </xdr:pic>
    <xdr:clientData/>
  </xdr:twoCellAnchor>
  <xdr:twoCellAnchor editAs="oneCell">
    <xdr:from>
      <xdr:col>48</xdr:col>
      <xdr:colOff>0</xdr:colOff>
      <xdr:row>126</xdr:row>
      <xdr:rowOff>0</xdr:rowOff>
    </xdr:from>
    <xdr:to>
      <xdr:col>49</xdr:col>
      <xdr:colOff>6350</xdr:colOff>
      <xdr:row>127</xdr:row>
      <xdr:rowOff>6350</xdr:rowOff>
    </xdr:to>
    <xdr:pic>
      <xdr:nvPicPr>
        <xdr:cNvPr id="174" name="Grafik 173">
          <a:extLst>
            <a:ext uri="{FF2B5EF4-FFF2-40B4-BE49-F238E27FC236}">
              <a16:creationId xmlns:a16="http://schemas.microsoft.com/office/drawing/2014/main" id="{634222A0-F1B0-4A87-99ED-1F4D7C244B3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3399750"/>
          <a:ext cx="190500" cy="190500"/>
        </a:xfrm>
        <a:prstGeom prst="rect">
          <a:avLst/>
        </a:prstGeom>
      </xdr:spPr>
    </xdr:pic>
    <xdr:clientData/>
  </xdr:twoCellAnchor>
  <xdr:twoCellAnchor editAs="oneCell">
    <xdr:from>
      <xdr:col>48</xdr:col>
      <xdr:colOff>0</xdr:colOff>
      <xdr:row>184</xdr:row>
      <xdr:rowOff>0</xdr:rowOff>
    </xdr:from>
    <xdr:to>
      <xdr:col>49</xdr:col>
      <xdr:colOff>6350</xdr:colOff>
      <xdr:row>185</xdr:row>
      <xdr:rowOff>6350</xdr:rowOff>
    </xdr:to>
    <xdr:pic>
      <xdr:nvPicPr>
        <xdr:cNvPr id="176" name="Grafik 175">
          <a:extLst>
            <a:ext uri="{FF2B5EF4-FFF2-40B4-BE49-F238E27FC236}">
              <a16:creationId xmlns:a16="http://schemas.microsoft.com/office/drawing/2014/main" id="{A04249BF-1DC6-4ACD-B5D6-336D868B78F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8371800"/>
          <a:ext cx="190500" cy="190500"/>
        </a:xfrm>
        <a:prstGeom prst="rect">
          <a:avLst/>
        </a:prstGeom>
      </xdr:spPr>
    </xdr:pic>
    <xdr:clientData/>
  </xdr:twoCellAnchor>
  <xdr:twoCellAnchor editAs="oneCell">
    <xdr:from>
      <xdr:col>51</xdr:col>
      <xdr:colOff>0</xdr:colOff>
      <xdr:row>185</xdr:row>
      <xdr:rowOff>0</xdr:rowOff>
    </xdr:from>
    <xdr:to>
      <xdr:col>52</xdr:col>
      <xdr:colOff>6350</xdr:colOff>
      <xdr:row>186</xdr:row>
      <xdr:rowOff>6350</xdr:rowOff>
    </xdr:to>
    <xdr:pic>
      <xdr:nvPicPr>
        <xdr:cNvPr id="177" name="Grafik 176">
          <a:extLst>
            <a:ext uri="{FF2B5EF4-FFF2-40B4-BE49-F238E27FC236}">
              <a16:creationId xmlns:a16="http://schemas.microsoft.com/office/drawing/2014/main" id="{C16074A0-E7FA-4177-B65F-5A0E8251BB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28555950"/>
          <a:ext cx="190500" cy="190500"/>
        </a:xfrm>
        <a:prstGeom prst="rect">
          <a:avLst/>
        </a:prstGeom>
      </xdr:spPr>
    </xdr:pic>
    <xdr:clientData/>
  </xdr:twoCellAnchor>
  <xdr:twoCellAnchor editAs="oneCell">
    <xdr:from>
      <xdr:col>53</xdr:col>
      <xdr:colOff>0</xdr:colOff>
      <xdr:row>187</xdr:row>
      <xdr:rowOff>0</xdr:rowOff>
    </xdr:from>
    <xdr:to>
      <xdr:col>54</xdr:col>
      <xdr:colOff>6350</xdr:colOff>
      <xdr:row>188</xdr:row>
      <xdr:rowOff>6350</xdr:rowOff>
    </xdr:to>
    <xdr:pic>
      <xdr:nvPicPr>
        <xdr:cNvPr id="178" name="Grafik 177">
          <a:extLst>
            <a:ext uri="{FF2B5EF4-FFF2-40B4-BE49-F238E27FC236}">
              <a16:creationId xmlns:a16="http://schemas.microsoft.com/office/drawing/2014/main" id="{B11CE164-13B0-4E1A-9EA3-2F4972895C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8924250"/>
          <a:ext cx="190500" cy="190500"/>
        </a:xfrm>
        <a:prstGeom prst="rect">
          <a:avLst/>
        </a:prstGeom>
      </xdr:spPr>
    </xdr:pic>
    <xdr:clientData/>
  </xdr:twoCellAnchor>
  <xdr:twoCellAnchor editAs="oneCell">
    <xdr:from>
      <xdr:col>46</xdr:col>
      <xdr:colOff>0</xdr:colOff>
      <xdr:row>188</xdr:row>
      <xdr:rowOff>0</xdr:rowOff>
    </xdr:from>
    <xdr:to>
      <xdr:col>47</xdr:col>
      <xdr:colOff>6350</xdr:colOff>
      <xdr:row>189</xdr:row>
      <xdr:rowOff>6350</xdr:rowOff>
    </xdr:to>
    <xdr:pic>
      <xdr:nvPicPr>
        <xdr:cNvPr id="175" name="Grafik 174">
          <a:extLst>
            <a:ext uri="{FF2B5EF4-FFF2-40B4-BE49-F238E27FC236}">
              <a16:creationId xmlns:a16="http://schemas.microsoft.com/office/drawing/2014/main" id="{EE65C7A8-F68D-4EF3-A309-C255F78BF19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29108400"/>
          <a:ext cx="190500" cy="190500"/>
        </a:xfrm>
        <a:prstGeom prst="rect">
          <a:avLst/>
        </a:prstGeom>
      </xdr:spPr>
    </xdr:pic>
    <xdr:clientData/>
  </xdr:twoCellAnchor>
  <xdr:oneCellAnchor>
    <xdr:from>
      <xdr:col>49</xdr:col>
      <xdr:colOff>0</xdr:colOff>
      <xdr:row>188</xdr:row>
      <xdr:rowOff>0</xdr:rowOff>
    </xdr:from>
    <xdr:ext cx="190500" cy="190500"/>
    <xdr:pic>
      <xdr:nvPicPr>
        <xdr:cNvPr id="179" name="Grafik 178">
          <a:extLst>
            <a:ext uri="{FF2B5EF4-FFF2-40B4-BE49-F238E27FC236}">
              <a16:creationId xmlns:a16="http://schemas.microsoft.com/office/drawing/2014/main" id="{83BC4D18-C5A6-42D1-9EF4-F34C3F5DE30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29108400"/>
          <a:ext cx="190500" cy="190500"/>
        </a:xfrm>
        <a:prstGeom prst="rect">
          <a:avLst/>
        </a:prstGeom>
      </xdr:spPr>
    </xdr:pic>
    <xdr:clientData/>
  </xdr:oneCellAnchor>
  <xdr:oneCellAnchor>
    <xdr:from>
      <xdr:col>45</xdr:col>
      <xdr:colOff>0</xdr:colOff>
      <xdr:row>217</xdr:row>
      <xdr:rowOff>0</xdr:rowOff>
    </xdr:from>
    <xdr:ext cx="190500" cy="190500"/>
    <xdr:pic>
      <xdr:nvPicPr>
        <xdr:cNvPr id="184" name="Grafik 183">
          <a:extLst>
            <a:ext uri="{FF2B5EF4-FFF2-40B4-BE49-F238E27FC236}">
              <a16:creationId xmlns:a16="http://schemas.microsoft.com/office/drawing/2014/main" id="{608D3067-17F4-4D3A-89D8-83B69DEDF77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10318750"/>
          <a:ext cx="190500" cy="190500"/>
        </a:xfrm>
        <a:prstGeom prst="rect">
          <a:avLst/>
        </a:prstGeom>
      </xdr:spPr>
    </xdr:pic>
    <xdr:clientData/>
  </xdr:oneCellAnchor>
  <xdr:oneCellAnchor>
    <xdr:from>
      <xdr:col>50</xdr:col>
      <xdr:colOff>0</xdr:colOff>
      <xdr:row>231</xdr:row>
      <xdr:rowOff>0</xdr:rowOff>
    </xdr:from>
    <xdr:ext cx="190500" cy="190500"/>
    <xdr:pic>
      <xdr:nvPicPr>
        <xdr:cNvPr id="186" name="Grafik 185">
          <a:extLst>
            <a:ext uri="{FF2B5EF4-FFF2-40B4-BE49-F238E27FC236}">
              <a16:creationId xmlns:a16="http://schemas.microsoft.com/office/drawing/2014/main" id="{4E3B12CF-04DD-43DB-98A4-7C84826A1E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10502900"/>
          <a:ext cx="190500" cy="190500"/>
        </a:xfrm>
        <a:prstGeom prst="rect">
          <a:avLst/>
        </a:prstGeom>
      </xdr:spPr>
    </xdr:pic>
    <xdr:clientData/>
  </xdr:oneCellAnchor>
  <xdr:oneCellAnchor>
    <xdr:from>
      <xdr:col>48</xdr:col>
      <xdr:colOff>0</xdr:colOff>
      <xdr:row>205</xdr:row>
      <xdr:rowOff>0</xdr:rowOff>
    </xdr:from>
    <xdr:ext cx="190500" cy="190500"/>
    <xdr:pic>
      <xdr:nvPicPr>
        <xdr:cNvPr id="187" name="Grafik 186">
          <a:extLst>
            <a:ext uri="{FF2B5EF4-FFF2-40B4-BE49-F238E27FC236}">
              <a16:creationId xmlns:a16="http://schemas.microsoft.com/office/drawing/2014/main" id="{0C81D907-FA00-4E03-8255-A1A05B39C7F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9660850"/>
          <a:ext cx="190500" cy="190500"/>
        </a:xfrm>
        <a:prstGeom prst="rect">
          <a:avLst/>
        </a:prstGeom>
      </xdr:spPr>
    </xdr:pic>
    <xdr:clientData/>
  </xdr:oneCellAnchor>
  <xdr:oneCellAnchor>
    <xdr:from>
      <xdr:col>49</xdr:col>
      <xdr:colOff>0</xdr:colOff>
      <xdr:row>205</xdr:row>
      <xdr:rowOff>0</xdr:rowOff>
    </xdr:from>
    <xdr:ext cx="190500" cy="190500"/>
    <xdr:pic>
      <xdr:nvPicPr>
        <xdr:cNvPr id="188" name="Grafik 187">
          <a:extLst>
            <a:ext uri="{FF2B5EF4-FFF2-40B4-BE49-F238E27FC236}">
              <a16:creationId xmlns:a16="http://schemas.microsoft.com/office/drawing/2014/main" id="{2BAA4C9A-CAAC-4CE5-A9DF-BD435A58BE2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29660850"/>
          <a:ext cx="190500" cy="190500"/>
        </a:xfrm>
        <a:prstGeom prst="rect">
          <a:avLst/>
        </a:prstGeom>
      </xdr:spPr>
    </xdr:pic>
    <xdr:clientData/>
  </xdr:oneCellAnchor>
  <xdr:twoCellAnchor editAs="oneCell">
    <xdr:from>
      <xdr:col>47</xdr:col>
      <xdr:colOff>0</xdr:colOff>
      <xdr:row>208</xdr:row>
      <xdr:rowOff>0</xdr:rowOff>
    </xdr:from>
    <xdr:to>
      <xdr:col>48</xdr:col>
      <xdr:colOff>6350</xdr:colOff>
      <xdr:row>209</xdr:row>
      <xdr:rowOff>6350</xdr:rowOff>
    </xdr:to>
    <xdr:pic>
      <xdr:nvPicPr>
        <xdr:cNvPr id="189" name="Grafik 188">
          <a:extLst>
            <a:ext uri="{FF2B5EF4-FFF2-40B4-BE49-F238E27FC236}">
              <a16:creationId xmlns:a16="http://schemas.microsoft.com/office/drawing/2014/main" id="{55D83CE5-361C-498E-A4B7-0349B59975C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30213300"/>
          <a:ext cx="190500" cy="190500"/>
        </a:xfrm>
        <a:prstGeom prst="rect">
          <a:avLst/>
        </a:prstGeom>
      </xdr:spPr>
    </xdr:pic>
    <xdr:clientData/>
  </xdr:twoCellAnchor>
  <xdr:twoCellAnchor editAs="oneCell">
    <xdr:from>
      <xdr:col>50</xdr:col>
      <xdr:colOff>0</xdr:colOff>
      <xdr:row>208</xdr:row>
      <xdr:rowOff>0</xdr:rowOff>
    </xdr:from>
    <xdr:to>
      <xdr:col>51</xdr:col>
      <xdr:colOff>6350</xdr:colOff>
      <xdr:row>209</xdr:row>
      <xdr:rowOff>6350</xdr:rowOff>
    </xdr:to>
    <xdr:pic>
      <xdr:nvPicPr>
        <xdr:cNvPr id="190" name="Grafik 189">
          <a:extLst>
            <a:ext uri="{FF2B5EF4-FFF2-40B4-BE49-F238E27FC236}">
              <a16:creationId xmlns:a16="http://schemas.microsoft.com/office/drawing/2014/main" id="{A7D9BD6C-E080-46D3-8CB0-98BD743A0A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0213300"/>
          <a:ext cx="190500" cy="190500"/>
        </a:xfrm>
        <a:prstGeom prst="rect">
          <a:avLst/>
        </a:prstGeom>
      </xdr:spPr>
    </xdr:pic>
    <xdr:clientData/>
  </xdr:twoCellAnchor>
  <xdr:twoCellAnchor editAs="oneCell">
    <xdr:from>
      <xdr:col>50</xdr:col>
      <xdr:colOff>0</xdr:colOff>
      <xdr:row>209</xdr:row>
      <xdr:rowOff>0</xdr:rowOff>
    </xdr:from>
    <xdr:to>
      <xdr:col>51</xdr:col>
      <xdr:colOff>6350</xdr:colOff>
      <xdr:row>210</xdr:row>
      <xdr:rowOff>6350</xdr:rowOff>
    </xdr:to>
    <xdr:pic>
      <xdr:nvPicPr>
        <xdr:cNvPr id="191" name="Grafik 190">
          <a:extLst>
            <a:ext uri="{FF2B5EF4-FFF2-40B4-BE49-F238E27FC236}">
              <a16:creationId xmlns:a16="http://schemas.microsoft.com/office/drawing/2014/main" id="{C0733D49-193D-4F09-8FFB-C0353C5305D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0397450"/>
          <a:ext cx="190500" cy="190500"/>
        </a:xfrm>
        <a:prstGeom prst="rect">
          <a:avLst/>
        </a:prstGeom>
      </xdr:spPr>
    </xdr:pic>
    <xdr:clientData/>
  </xdr:twoCellAnchor>
  <xdr:twoCellAnchor editAs="oneCell">
    <xdr:from>
      <xdr:col>46</xdr:col>
      <xdr:colOff>0</xdr:colOff>
      <xdr:row>210</xdr:row>
      <xdr:rowOff>0</xdr:rowOff>
    </xdr:from>
    <xdr:to>
      <xdr:col>47</xdr:col>
      <xdr:colOff>6350</xdr:colOff>
      <xdr:row>211</xdr:row>
      <xdr:rowOff>6350</xdr:rowOff>
    </xdr:to>
    <xdr:pic>
      <xdr:nvPicPr>
        <xdr:cNvPr id="192" name="Grafik 191">
          <a:extLst>
            <a:ext uri="{FF2B5EF4-FFF2-40B4-BE49-F238E27FC236}">
              <a16:creationId xmlns:a16="http://schemas.microsoft.com/office/drawing/2014/main" id="{D165D8FF-6315-4779-BF99-28BF7F33674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0581600"/>
          <a:ext cx="190500" cy="190500"/>
        </a:xfrm>
        <a:prstGeom prst="rect">
          <a:avLst/>
        </a:prstGeom>
      </xdr:spPr>
    </xdr:pic>
    <xdr:clientData/>
  </xdr:twoCellAnchor>
  <xdr:twoCellAnchor editAs="oneCell">
    <xdr:from>
      <xdr:col>46</xdr:col>
      <xdr:colOff>0</xdr:colOff>
      <xdr:row>211</xdr:row>
      <xdr:rowOff>0</xdr:rowOff>
    </xdr:from>
    <xdr:to>
      <xdr:col>47</xdr:col>
      <xdr:colOff>6350</xdr:colOff>
      <xdr:row>212</xdr:row>
      <xdr:rowOff>6350</xdr:rowOff>
    </xdr:to>
    <xdr:pic>
      <xdr:nvPicPr>
        <xdr:cNvPr id="193" name="Grafik 192">
          <a:extLst>
            <a:ext uri="{FF2B5EF4-FFF2-40B4-BE49-F238E27FC236}">
              <a16:creationId xmlns:a16="http://schemas.microsoft.com/office/drawing/2014/main" id="{9FC731EC-AC87-459A-B49E-9D9E4BF5AD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0765750"/>
          <a:ext cx="190500" cy="190500"/>
        </a:xfrm>
        <a:prstGeom prst="rect">
          <a:avLst/>
        </a:prstGeom>
      </xdr:spPr>
    </xdr:pic>
    <xdr:clientData/>
  </xdr:twoCellAnchor>
  <xdr:twoCellAnchor editAs="oneCell">
    <xdr:from>
      <xdr:col>50</xdr:col>
      <xdr:colOff>0</xdr:colOff>
      <xdr:row>212</xdr:row>
      <xdr:rowOff>0</xdr:rowOff>
    </xdr:from>
    <xdr:to>
      <xdr:col>51</xdr:col>
      <xdr:colOff>6350</xdr:colOff>
      <xdr:row>213</xdr:row>
      <xdr:rowOff>6350</xdr:rowOff>
    </xdr:to>
    <xdr:pic>
      <xdr:nvPicPr>
        <xdr:cNvPr id="194" name="Grafik 193">
          <a:extLst>
            <a:ext uri="{FF2B5EF4-FFF2-40B4-BE49-F238E27FC236}">
              <a16:creationId xmlns:a16="http://schemas.microsoft.com/office/drawing/2014/main" id="{22EC01AA-238A-4B3C-8ED9-2D4192CBF87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0949900"/>
          <a:ext cx="190500" cy="190500"/>
        </a:xfrm>
        <a:prstGeom prst="rect">
          <a:avLst/>
        </a:prstGeom>
      </xdr:spPr>
    </xdr:pic>
    <xdr:clientData/>
  </xdr:twoCellAnchor>
  <xdr:twoCellAnchor editAs="oneCell">
    <xdr:from>
      <xdr:col>50</xdr:col>
      <xdr:colOff>0</xdr:colOff>
      <xdr:row>213</xdr:row>
      <xdr:rowOff>0</xdr:rowOff>
    </xdr:from>
    <xdr:to>
      <xdr:col>51</xdr:col>
      <xdr:colOff>6350</xdr:colOff>
      <xdr:row>214</xdr:row>
      <xdr:rowOff>6350</xdr:rowOff>
    </xdr:to>
    <xdr:pic>
      <xdr:nvPicPr>
        <xdr:cNvPr id="195" name="Grafik 194">
          <a:extLst>
            <a:ext uri="{FF2B5EF4-FFF2-40B4-BE49-F238E27FC236}">
              <a16:creationId xmlns:a16="http://schemas.microsoft.com/office/drawing/2014/main" id="{3F654C44-7E4D-4F13-8939-6D1AEAC33D8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1134050"/>
          <a:ext cx="190500" cy="190500"/>
        </a:xfrm>
        <a:prstGeom prst="rect">
          <a:avLst/>
        </a:prstGeom>
      </xdr:spPr>
    </xdr:pic>
    <xdr:clientData/>
  </xdr:twoCellAnchor>
  <xdr:twoCellAnchor editAs="oneCell">
    <xdr:from>
      <xdr:col>50</xdr:col>
      <xdr:colOff>0</xdr:colOff>
      <xdr:row>214</xdr:row>
      <xdr:rowOff>0</xdr:rowOff>
    </xdr:from>
    <xdr:to>
      <xdr:col>51</xdr:col>
      <xdr:colOff>6350</xdr:colOff>
      <xdr:row>215</xdr:row>
      <xdr:rowOff>6350</xdr:rowOff>
    </xdr:to>
    <xdr:pic>
      <xdr:nvPicPr>
        <xdr:cNvPr id="196" name="Grafik 195">
          <a:extLst>
            <a:ext uri="{FF2B5EF4-FFF2-40B4-BE49-F238E27FC236}">
              <a16:creationId xmlns:a16="http://schemas.microsoft.com/office/drawing/2014/main" id="{1B69B6A3-9B67-4C04-B0CD-F8374F95E4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1318200"/>
          <a:ext cx="190500" cy="190500"/>
        </a:xfrm>
        <a:prstGeom prst="rect">
          <a:avLst/>
        </a:prstGeom>
      </xdr:spPr>
    </xdr:pic>
    <xdr:clientData/>
  </xdr:twoCellAnchor>
  <xdr:twoCellAnchor editAs="oneCell">
    <xdr:from>
      <xdr:col>50</xdr:col>
      <xdr:colOff>0</xdr:colOff>
      <xdr:row>215</xdr:row>
      <xdr:rowOff>0</xdr:rowOff>
    </xdr:from>
    <xdr:to>
      <xdr:col>51</xdr:col>
      <xdr:colOff>6350</xdr:colOff>
      <xdr:row>216</xdr:row>
      <xdr:rowOff>6350</xdr:rowOff>
    </xdr:to>
    <xdr:pic>
      <xdr:nvPicPr>
        <xdr:cNvPr id="197" name="Grafik 196">
          <a:extLst>
            <a:ext uri="{FF2B5EF4-FFF2-40B4-BE49-F238E27FC236}">
              <a16:creationId xmlns:a16="http://schemas.microsoft.com/office/drawing/2014/main" id="{E5701DA2-0E41-493E-BEFD-0DD86BCF9AB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1502350"/>
          <a:ext cx="190500" cy="190500"/>
        </a:xfrm>
        <a:prstGeom prst="rect">
          <a:avLst/>
        </a:prstGeom>
      </xdr:spPr>
    </xdr:pic>
    <xdr:clientData/>
  </xdr:twoCellAnchor>
  <xdr:oneCellAnchor>
    <xdr:from>
      <xdr:col>49</xdr:col>
      <xdr:colOff>0</xdr:colOff>
      <xdr:row>216</xdr:row>
      <xdr:rowOff>0</xdr:rowOff>
    </xdr:from>
    <xdr:ext cx="190500" cy="190500"/>
    <xdr:pic>
      <xdr:nvPicPr>
        <xdr:cNvPr id="198" name="Grafik 197">
          <a:extLst>
            <a:ext uri="{FF2B5EF4-FFF2-40B4-BE49-F238E27FC236}">
              <a16:creationId xmlns:a16="http://schemas.microsoft.com/office/drawing/2014/main" id="{187B376E-B5FC-4531-9CC4-793C662247C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1686500"/>
          <a:ext cx="190500" cy="190500"/>
        </a:xfrm>
        <a:prstGeom prst="rect">
          <a:avLst/>
        </a:prstGeom>
      </xdr:spPr>
    </xdr:pic>
    <xdr:clientData/>
  </xdr:oneCellAnchor>
  <xdr:twoCellAnchor editAs="oneCell">
    <xdr:from>
      <xdr:col>50</xdr:col>
      <xdr:colOff>0</xdr:colOff>
      <xdr:row>218</xdr:row>
      <xdr:rowOff>0</xdr:rowOff>
    </xdr:from>
    <xdr:to>
      <xdr:col>51</xdr:col>
      <xdr:colOff>6350</xdr:colOff>
      <xdr:row>219</xdr:row>
      <xdr:rowOff>6350</xdr:rowOff>
    </xdr:to>
    <xdr:pic>
      <xdr:nvPicPr>
        <xdr:cNvPr id="199" name="Grafik 198">
          <a:extLst>
            <a:ext uri="{FF2B5EF4-FFF2-40B4-BE49-F238E27FC236}">
              <a16:creationId xmlns:a16="http://schemas.microsoft.com/office/drawing/2014/main" id="{1F771553-F4DE-4E0B-AD57-DE59E462CD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2054800"/>
          <a:ext cx="190500" cy="190500"/>
        </a:xfrm>
        <a:prstGeom prst="rect">
          <a:avLst/>
        </a:prstGeom>
      </xdr:spPr>
    </xdr:pic>
    <xdr:clientData/>
  </xdr:twoCellAnchor>
  <xdr:twoCellAnchor editAs="oneCell">
    <xdr:from>
      <xdr:col>50</xdr:col>
      <xdr:colOff>0</xdr:colOff>
      <xdr:row>219</xdr:row>
      <xdr:rowOff>0</xdr:rowOff>
    </xdr:from>
    <xdr:to>
      <xdr:col>51</xdr:col>
      <xdr:colOff>6350</xdr:colOff>
      <xdr:row>220</xdr:row>
      <xdr:rowOff>6350</xdr:rowOff>
    </xdr:to>
    <xdr:pic>
      <xdr:nvPicPr>
        <xdr:cNvPr id="200" name="Grafik 199">
          <a:extLst>
            <a:ext uri="{FF2B5EF4-FFF2-40B4-BE49-F238E27FC236}">
              <a16:creationId xmlns:a16="http://schemas.microsoft.com/office/drawing/2014/main" id="{F532A0E3-9EEF-4540-8A9D-E34D6FCFC6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2238950"/>
          <a:ext cx="190500" cy="190500"/>
        </a:xfrm>
        <a:prstGeom prst="rect">
          <a:avLst/>
        </a:prstGeom>
      </xdr:spPr>
    </xdr:pic>
    <xdr:clientData/>
  </xdr:twoCellAnchor>
  <xdr:oneCellAnchor>
    <xdr:from>
      <xdr:col>45</xdr:col>
      <xdr:colOff>0</xdr:colOff>
      <xdr:row>220</xdr:row>
      <xdr:rowOff>0</xdr:rowOff>
    </xdr:from>
    <xdr:ext cx="190500" cy="190500"/>
    <xdr:pic>
      <xdr:nvPicPr>
        <xdr:cNvPr id="201" name="Grafik 200">
          <a:extLst>
            <a:ext uri="{FF2B5EF4-FFF2-40B4-BE49-F238E27FC236}">
              <a16:creationId xmlns:a16="http://schemas.microsoft.com/office/drawing/2014/main" id="{8F40B687-53CD-4D19-891D-C5B98635DDA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2423100"/>
          <a:ext cx="190500" cy="190500"/>
        </a:xfrm>
        <a:prstGeom prst="rect">
          <a:avLst/>
        </a:prstGeom>
      </xdr:spPr>
    </xdr:pic>
    <xdr:clientData/>
  </xdr:oneCellAnchor>
  <xdr:oneCellAnchor>
    <xdr:from>
      <xdr:col>45</xdr:col>
      <xdr:colOff>0</xdr:colOff>
      <xdr:row>221</xdr:row>
      <xdr:rowOff>0</xdr:rowOff>
    </xdr:from>
    <xdr:ext cx="190500" cy="190500"/>
    <xdr:pic>
      <xdr:nvPicPr>
        <xdr:cNvPr id="202" name="Grafik 201">
          <a:extLst>
            <a:ext uri="{FF2B5EF4-FFF2-40B4-BE49-F238E27FC236}">
              <a16:creationId xmlns:a16="http://schemas.microsoft.com/office/drawing/2014/main" id="{BCCD62F3-519D-4788-91FE-D547EAE591F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2607250"/>
          <a:ext cx="190500" cy="190500"/>
        </a:xfrm>
        <a:prstGeom prst="rect">
          <a:avLst/>
        </a:prstGeom>
      </xdr:spPr>
    </xdr:pic>
    <xdr:clientData/>
  </xdr:oneCellAnchor>
  <xdr:twoCellAnchor editAs="oneCell">
    <xdr:from>
      <xdr:col>46</xdr:col>
      <xdr:colOff>0</xdr:colOff>
      <xdr:row>222</xdr:row>
      <xdr:rowOff>0</xdr:rowOff>
    </xdr:from>
    <xdr:to>
      <xdr:col>47</xdr:col>
      <xdr:colOff>6350</xdr:colOff>
      <xdr:row>223</xdr:row>
      <xdr:rowOff>6350</xdr:rowOff>
    </xdr:to>
    <xdr:pic>
      <xdr:nvPicPr>
        <xdr:cNvPr id="203" name="Grafik 202">
          <a:extLst>
            <a:ext uri="{FF2B5EF4-FFF2-40B4-BE49-F238E27FC236}">
              <a16:creationId xmlns:a16="http://schemas.microsoft.com/office/drawing/2014/main" id="{4190A282-0129-479C-A176-F0409335F94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2791400"/>
          <a:ext cx="190500" cy="190500"/>
        </a:xfrm>
        <a:prstGeom prst="rect">
          <a:avLst/>
        </a:prstGeom>
      </xdr:spPr>
    </xdr:pic>
    <xdr:clientData/>
  </xdr:twoCellAnchor>
  <xdr:oneCellAnchor>
    <xdr:from>
      <xdr:col>49</xdr:col>
      <xdr:colOff>0</xdr:colOff>
      <xdr:row>222</xdr:row>
      <xdr:rowOff>0</xdr:rowOff>
    </xdr:from>
    <xdr:ext cx="190500" cy="190500"/>
    <xdr:pic>
      <xdr:nvPicPr>
        <xdr:cNvPr id="204" name="Grafik 203">
          <a:extLst>
            <a:ext uri="{FF2B5EF4-FFF2-40B4-BE49-F238E27FC236}">
              <a16:creationId xmlns:a16="http://schemas.microsoft.com/office/drawing/2014/main" id="{E8E5DB1E-3A86-4E9E-8F15-7ACD28FA73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2791400"/>
          <a:ext cx="190500" cy="190500"/>
        </a:xfrm>
        <a:prstGeom prst="rect">
          <a:avLst/>
        </a:prstGeom>
      </xdr:spPr>
    </xdr:pic>
    <xdr:clientData/>
  </xdr:oneCellAnchor>
  <xdr:oneCellAnchor>
    <xdr:from>
      <xdr:col>49</xdr:col>
      <xdr:colOff>0</xdr:colOff>
      <xdr:row>223</xdr:row>
      <xdr:rowOff>0</xdr:rowOff>
    </xdr:from>
    <xdr:ext cx="190500" cy="190500"/>
    <xdr:pic>
      <xdr:nvPicPr>
        <xdr:cNvPr id="205" name="Grafik 204">
          <a:extLst>
            <a:ext uri="{FF2B5EF4-FFF2-40B4-BE49-F238E27FC236}">
              <a16:creationId xmlns:a16="http://schemas.microsoft.com/office/drawing/2014/main" id="{CE7CD2A4-2DF6-40D4-A639-6AFBD476D3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2975550"/>
          <a:ext cx="190500" cy="190500"/>
        </a:xfrm>
        <a:prstGeom prst="rect">
          <a:avLst/>
        </a:prstGeom>
      </xdr:spPr>
    </xdr:pic>
    <xdr:clientData/>
  </xdr:oneCellAnchor>
  <xdr:oneCellAnchor>
    <xdr:from>
      <xdr:col>49</xdr:col>
      <xdr:colOff>0</xdr:colOff>
      <xdr:row>224</xdr:row>
      <xdr:rowOff>0</xdr:rowOff>
    </xdr:from>
    <xdr:ext cx="190500" cy="190500"/>
    <xdr:pic>
      <xdr:nvPicPr>
        <xdr:cNvPr id="206" name="Grafik 205">
          <a:extLst>
            <a:ext uri="{FF2B5EF4-FFF2-40B4-BE49-F238E27FC236}">
              <a16:creationId xmlns:a16="http://schemas.microsoft.com/office/drawing/2014/main" id="{858509FF-DE29-4CED-9A16-FDDBD559FDA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3159700"/>
          <a:ext cx="190500" cy="190500"/>
        </a:xfrm>
        <a:prstGeom prst="rect">
          <a:avLst/>
        </a:prstGeom>
      </xdr:spPr>
    </xdr:pic>
    <xdr:clientData/>
  </xdr:oneCellAnchor>
  <xdr:twoCellAnchor editAs="oneCell">
    <xdr:from>
      <xdr:col>46</xdr:col>
      <xdr:colOff>0</xdr:colOff>
      <xdr:row>225</xdr:row>
      <xdr:rowOff>0</xdr:rowOff>
    </xdr:from>
    <xdr:to>
      <xdr:col>47</xdr:col>
      <xdr:colOff>6350</xdr:colOff>
      <xdr:row>226</xdr:row>
      <xdr:rowOff>6350</xdr:rowOff>
    </xdr:to>
    <xdr:pic>
      <xdr:nvPicPr>
        <xdr:cNvPr id="207" name="Grafik 206">
          <a:extLst>
            <a:ext uri="{FF2B5EF4-FFF2-40B4-BE49-F238E27FC236}">
              <a16:creationId xmlns:a16="http://schemas.microsoft.com/office/drawing/2014/main" id="{AD2F593A-5CB8-4248-91DC-286BD7FB52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3343850"/>
          <a:ext cx="190500" cy="190500"/>
        </a:xfrm>
        <a:prstGeom prst="rect">
          <a:avLst/>
        </a:prstGeom>
      </xdr:spPr>
    </xdr:pic>
    <xdr:clientData/>
  </xdr:twoCellAnchor>
  <xdr:oneCellAnchor>
    <xdr:from>
      <xdr:col>49</xdr:col>
      <xdr:colOff>0</xdr:colOff>
      <xdr:row>226</xdr:row>
      <xdr:rowOff>0</xdr:rowOff>
    </xdr:from>
    <xdr:ext cx="190500" cy="190500"/>
    <xdr:pic>
      <xdr:nvPicPr>
        <xdr:cNvPr id="208" name="Grafik 207">
          <a:extLst>
            <a:ext uri="{FF2B5EF4-FFF2-40B4-BE49-F238E27FC236}">
              <a16:creationId xmlns:a16="http://schemas.microsoft.com/office/drawing/2014/main" id="{6A949E65-BA7A-484C-A5B8-2540B2DA63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3528000"/>
          <a:ext cx="190500" cy="190500"/>
        </a:xfrm>
        <a:prstGeom prst="rect">
          <a:avLst/>
        </a:prstGeom>
      </xdr:spPr>
    </xdr:pic>
    <xdr:clientData/>
  </xdr:oneCellAnchor>
  <xdr:oneCellAnchor>
    <xdr:from>
      <xdr:col>45</xdr:col>
      <xdr:colOff>0</xdr:colOff>
      <xdr:row>227</xdr:row>
      <xdr:rowOff>0</xdr:rowOff>
    </xdr:from>
    <xdr:ext cx="190500" cy="190500"/>
    <xdr:pic>
      <xdr:nvPicPr>
        <xdr:cNvPr id="209" name="Grafik 208">
          <a:extLst>
            <a:ext uri="{FF2B5EF4-FFF2-40B4-BE49-F238E27FC236}">
              <a16:creationId xmlns:a16="http://schemas.microsoft.com/office/drawing/2014/main" id="{EFD2EA83-C71F-4B0A-A7BA-71869E96F05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3712150"/>
          <a:ext cx="190500" cy="190500"/>
        </a:xfrm>
        <a:prstGeom prst="rect">
          <a:avLst/>
        </a:prstGeom>
      </xdr:spPr>
    </xdr:pic>
    <xdr:clientData/>
  </xdr:oneCellAnchor>
  <xdr:oneCellAnchor>
    <xdr:from>
      <xdr:col>49</xdr:col>
      <xdr:colOff>0</xdr:colOff>
      <xdr:row>228</xdr:row>
      <xdr:rowOff>0</xdr:rowOff>
    </xdr:from>
    <xdr:ext cx="190500" cy="190500"/>
    <xdr:pic>
      <xdr:nvPicPr>
        <xdr:cNvPr id="210" name="Grafik 209">
          <a:extLst>
            <a:ext uri="{FF2B5EF4-FFF2-40B4-BE49-F238E27FC236}">
              <a16:creationId xmlns:a16="http://schemas.microsoft.com/office/drawing/2014/main" id="{D8C87450-DFAA-4F26-BC5F-491EAE1053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3896300"/>
          <a:ext cx="190500" cy="190500"/>
        </a:xfrm>
        <a:prstGeom prst="rect">
          <a:avLst/>
        </a:prstGeom>
      </xdr:spPr>
    </xdr:pic>
    <xdr:clientData/>
  </xdr:oneCellAnchor>
  <xdr:twoCellAnchor editAs="oneCell">
    <xdr:from>
      <xdr:col>50</xdr:col>
      <xdr:colOff>0</xdr:colOff>
      <xdr:row>229</xdr:row>
      <xdr:rowOff>0</xdr:rowOff>
    </xdr:from>
    <xdr:to>
      <xdr:col>51</xdr:col>
      <xdr:colOff>6350</xdr:colOff>
      <xdr:row>230</xdr:row>
      <xdr:rowOff>6350</xdr:rowOff>
    </xdr:to>
    <xdr:pic>
      <xdr:nvPicPr>
        <xdr:cNvPr id="211" name="Grafik 210">
          <a:extLst>
            <a:ext uri="{FF2B5EF4-FFF2-40B4-BE49-F238E27FC236}">
              <a16:creationId xmlns:a16="http://schemas.microsoft.com/office/drawing/2014/main" id="{5DCC6223-7E0D-4036-B6AA-302AA78BF80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4080450"/>
          <a:ext cx="190500" cy="190500"/>
        </a:xfrm>
        <a:prstGeom prst="rect">
          <a:avLst/>
        </a:prstGeom>
      </xdr:spPr>
    </xdr:pic>
    <xdr:clientData/>
  </xdr:twoCellAnchor>
  <xdr:twoCellAnchor editAs="oneCell">
    <xdr:from>
      <xdr:col>50</xdr:col>
      <xdr:colOff>0</xdr:colOff>
      <xdr:row>230</xdr:row>
      <xdr:rowOff>0</xdr:rowOff>
    </xdr:from>
    <xdr:to>
      <xdr:col>51</xdr:col>
      <xdr:colOff>6350</xdr:colOff>
      <xdr:row>231</xdr:row>
      <xdr:rowOff>6350</xdr:rowOff>
    </xdr:to>
    <xdr:pic>
      <xdr:nvPicPr>
        <xdr:cNvPr id="212" name="Grafik 211">
          <a:extLst>
            <a:ext uri="{FF2B5EF4-FFF2-40B4-BE49-F238E27FC236}">
              <a16:creationId xmlns:a16="http://schemas.microsoft.com/office/drawing/2014/main" id="{4B6A1A38-C6F3-406E-842F-9E8A4AA7AB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4264600"/>
          <a:ext cx="190500" cy="190500"/>
        </a:xfrm>
        <a:prstGeom prst="rect">
          <a:avLst/>
        </a:prstGeom>
      </xdr:spPr>
    </xdr:pic>
    <xdr:clientData/>
  </xdr:twoCellAnchor>
  <xdr:oneCellAnchor>
    <xdr:from>
      <xdr:col>50</xdr:col>
      <xdr:colOff>0</xdr:colOff>
      <xdr:row>233</xdr:row>
      <xdr:rowOff>0</xdr:rowOff>
    </xdr:from>
    <xdr:ext cx="190500" cy="190500"/>
    <xdr:pic>
      <xdr:nvPicPr>
        <xdr:cNvPr id="214" name="Grafik 213">
          <a:extLst>
            <a:ext uri="{FF2B5EF4-FFF2-40B4-BE49-F238E27FC236}">
              <a16:creationId xmlns:a16="http://schemas.microsoft.com/office/drawing/2014/main" id="{624C707F-CA9E-4EC0-8E6E-64C41B6B2D6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4817050"/>
          <a:ext cx="190500" cy="190500"/>
        </a:xfrm>
        <a:prstGeom prst="rect">
          <a:avLst/>
        </a:prstGeom>
      </xdr:spPr>
    </xdr:pic>
    <xdr:clientData/>
  </xdr:oneCellAnchor>
  <xdr:oneCellAnchor>
    <xdr:from>
      <xdr:col>50</xdr:col>
      <xdr:colOff>0</xdr:colOff>
      <xdr:row>234</xdr:row>
      <xdr:rowOff>0</xdr:rowOff>
    </xdr:from>
    <xdr:ext cx="190500" cy="190500"/>
    <xdr:pic>
      <xdr:nvPicPr>
        <xdr:cNvPr id="215" name="Grafik 214">
          <a:extLst>
            <a:ext uri="{FF2B5EF4-FFF2-40B4-BE49-F238E27FC236}">
              <a16:creationId xmlns:a16="http://schemas.microsoft.com/office/drawing/2014/main" id="{91D818D1-B440-49B1-B490-EEC15C9E6DC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5001200"/>
          <a:ext cx="190500" cy="190500"/>
        </a:xfrm>
        <a:prstGeom prst="rect">
          <a:avLst/>
        </a:prstGeom>
      </xdr:spPr>
    </xdr:pic>
    <xdr:clientData/>
  </xdr:oneCellAnchor>
  <xdr:oneCellAnchor>
    <xdr:from>
      <xdr:col>48</xdr:col>
      <xdr:colOff>0</xdr:colOff>
      <xdr:row>235</xdr:row>
      <xdr:rowOff>0</xdr:rowOff>
    </xdr:from>
    <xdr:ext cx="190500" cy="190500"/>
    <xdr:pic>
      <xdr:nvPicPr>
        <xdr:cNvPr id="216" name="Grafik 215">
          <a:extLst>
            <a:ext uri="{FF2B5EF4-FFF2-40B4-BE49-F238E27FC236}">
              <a16:creationId xmlns:a16="http://schemas.microsoft.com/office/drawing/2014/main" id="{E4D687A9-29E7-40F8-A69E-E989DA6BAA0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5185350"/>
          <a:ext cx="190500" cy="190500"/>
        </a:xfrm>
        <a:prstGeom prst="rect">
          <a:avLst/>
        </a:prstGeom>
      </xdr:spPr>
    </xdr:pic>
    <xdr:clientData/>
  </xdr:oneCellAnchor>
  <xdr:oneCellAnchor>
    <xdr:from>
      <xdr:col>48</xdr:col>
      <xdr:colOff>0</xdr:colOff>
      <xdr:row>236</xdr:row>
      <xdr:rowOff>0</xdr:rowOff>
    </xdr:from>
    <xdr:ext cx="190500" cy="190500"/>
    <xdr:pic>
      <xdr:nvPicPr>
        <xdr:cNvPr id="217" name="Grafik 216">
          <a:extLst>
            <a:ext uri="{FF2B5EF4-FFF2-40B4-BE49-F238E27FC236}">
              <a16:creationId xmlns:a16="http://schemas.microsoft.com/office/drawing/2014/main" id="{10BC4082-33D3-4A8A-B07C-6CFE95D67E2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5369500"/>
          <a:ext cx="190500" cy="190500"/>
        </a:xfrm>
        <a:prstGeom prst="rect">
          <a:avLst/>
        </a:prstGeom>
      </xdr:spPr>
    </xdr:pic>
    <xdr:clientData/>
  </xdr:oneCellAnchor>
  <xdr:oneCellAnchor>
    <xdr:from>
      <xdr:col>48</xdr:col>
      <xdr:colOff>0</xdr:colOff>
      <xdr:row>237</xdr:row>
      <xdr:rowOff>0</xdr:rowOff>
    </xdr:from>
    <xdr:ext cx="190500" cy="190500"/>
    <xdr:pic>
      <xdr:nvPicPr>
        <xdr:cNvPr id="218" name="Grafik 217">
          <a:extLst>
            <a:ext uri="{FF2B5EF4-FFF2-40B4-BE49-F238E27FC236}">
              <a16:creationId xmlns:a16="http://schemas.microsoft.com/office/drawing/2014/main" id="{1DFF1A99-CC4A-49EA-9E8D-A83C7C741A0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5553650"/>
          <a:ext cx="190500" cy="190500"/>
        </a:xfrm>
        <a:prstGeom prst="rect">
          <a:avLst/>
        </a:prstGeom>
      </xdr:spPr>
    </xdr:pic>
    <xdr:clientData/>
  </xdr:oneCellAnchor>
  <xdr:oneCellAnchor>
    <xdr:from>
      <xdr:col>48</xdr:col>
      <xdr:colOff>0</xdr:colOff>
      <xdr:row>238</xdr:row>
      <xdr:rowOff>0</xdr:rowOff>
    </xdr:from>
    <xdr:ext cx="190500" cy="190500"/>
    <xdr:pic>
      <xdr:nvPicPr>
        <xdr:cNvPr id="219" name="Grafik 218">
          <a:extLst>
            <a:ext uri="{FF2B5EF4-FFF2-40B4-BE49-F238E27FC236}">
              <a16:creationId xmlns:a16="http://schemas.microsoft.com/office/drawing/2014/main" id="{D4938FED-86DB-4A50-B918-1F4BA7AEC10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5737800"/>
          <a:ext cx="190500" cy="190500"/>
        </a:xfrm>
        <a:prstGeom prst="rect">
          <a:avLst/>
        </a:prstGeom>
      </xdr:spPr>
    </xdr:pic>
    <xdr:clientData/>
  </xdr:oneCellAnchor>
  <xdr:twoCellAnchor editAs="oneCell">
    <xdr:from>
      <xdr:col>47</xdr:col>
      <xdr:colOff>0</xdr:colOff>
      <xdr:row>239</xdr:row>
      <xdr:rowOff>0</xdr:rowOff>
    </xdr:from>
    <xdr:to>
      <xdr:col>48</xdr:col>
      <xdr:colOff>6350</xdr:colOff>
      <xdr:row>240</xdr:row>
      <xdr:rowOff>6350</xdr:rowOff>
    </xdr:to>
    <xdr:pic>
      <xdr:nvPicPr>
        <xdr:cNvPr id="220" name="Grafik 219">
          <a:extLst>
            <a:ext uri="{FF2B5EF4-FFF2-40B4-BE49-F238E27FC236}">
              <a16:creationId xmlns:a16="http://schemas.microsoft.com/office/drawing/2014/main" id="{8FD0CF01-8898-46C0-8F1D-98B1D0044C2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35921950"/>
          <a:ext cx="190500" cy="190500"/>
        </a:xfrm>
        <a:prstGeom prst="rect">
          <a:avLst/>
        </a:prstGeom>
      </xdr:spPr>
    </xdr:pic>
    <xdr:clientData/>
  </xdr:twoCellAnchor>
  <xdr:oneCellAnchor>
    <xdr:from>
      <xdr:col>50</xdr:col>
      <xdr:colOff>0</xdr:colOff>
      <xdr:row>240</xdr:row>
      <xdr:rowOff>0</xdr:rowOff>
    </xdr:from>
    <xdr:ext cx="190500" cy="190500"/>
    <xdr:pic>
      <xdr:nvPicPr>
        <xdr:cNvPr id="221" name="Grafik 220">
          <a:extLst>
            <a:ext uri="{FF2B5EF4-FFF2-40B4-BE49-F238E27FC236}">
              <a16:creationId xmlns:a16="http://schemas.microsoft.com/office/drawing/2014/main" id="{8A108019-A617-45EF-845B-11007C5F7F6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6106100"/>
          <a:ext cx="190500" cy="190500"/>
        </a:xfrm>
        <a:prstGeom prst="rect">
          <a:avLst/>
        </a:prstGeom>
      </xdr:spPr>
    </xdr:pic>
    <xdr:clientData/>
  </xdr:oneCellAnchor>
  <xdr:oneCellAnchor>
    <xdr:from>
      <xdr:col>48</xdr:col>
      <xdr:colOff>0</xdr:colOff>
      <xdr:row>241</xdr:row>
      <xdr:rowOff>0</xdr:rowOff>
    </xdr:from>
    <xdr:ext cx="190500" cy="190500"/>
    <xdr:pic>
      <xdr:nvPicPr>
        <xdr:cNvPr id="222" name="Grafik 221">
          <a:extLst>
            <a:ext uri="{FF2B5EF4-FFF2-40B4-BE49-F238E27FC236}">
              <a16:creationId xmlns:a16="http://schemas.microsoft.com/office/drawing/2014/main" id="{6106C317-574D-449D-9C5D-A2EE7AB23B9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6290250"/>
          <a:ext cx="190500" cy="190500"/>
        </a:xfrm>
        <a:prstGeom prst="rect">
          <a:avLst/>
        </a:prstGeom>
      </xdr:spPr>
    </xdr:pic>
    <xdr:clientData/>
  </xdr:oneCellAnchor>
  <xdr:oneCellAnchor>
    <xdr:from>
      <xdr:col>50</xdr:col>
      <xdr:colOff>0</xdr:colOff>
      <xdr:row>242</xdr:row>
      <xdr:rowOff>0</xdr:rowOff>
    </xdr:from>
    <xdr:ext cx="190500" cy="190500"/>
    <xdr:pic>
      <xdr:nvPicPr>
        <xdr:cNvPr id="223" name="Grafik 222">
          <a:extLst>
            <a:ext uri="{FF2B5EF4-FFF2-40B4-BE49-F238E27FC236}">
              <a16:creationId xmlns:a16="http://schemas.microsoft.com/office/drawing/2014/main" id="{7F23D00E-4933-4323-BEAB-21873F373CF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6474400"/>
          <a:ext cx="190500" cy="190500"/>
        </a:xfrm>
        <a:prstGeom prst="rect">
          <a:avLst/>
        </a:prstGeom>
      </xdr:spPr>
    </xdr:pic>
    <xdr:clientData/>
  </xdr:oneCellAnchor>
  <xdr:oneCellAnchor>
    <xdr:from>
      <xdr:col>48</xdr:col>
      <xdr:colOff>0</xdr:colOff>
      <xdr:row>243</xdr:row>
      <xdr:rowOff>0</xdr:rowOff>
    </xdr:from>
    <xdr:ext cx="190500" cy="190500"/>
    <xdr:pic>
      <xdr:nvPicPr>
        <xdr:cNvPr id="224" name="Grafik 223">
          <a:extLst>
            <a:ext uri="{FF2B5EF4-FFF2-40B4-BE49-F238E27FC236}">
              <a16:creationId xmlns:a16="http://schemas.microsoft.com/office/drawing/2014/main" id="{FF59D076-F283-495A-B9D9-C3AA4CC33CE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6658550"/>
          <a:ext cx="190500" cy="190500"/>
        </a:xfrm>
        <a:prstGeom prst="rect">
          <a:avLst/>
        </a:prstGeom>
      </xdr:spPr>
    </xdr:pic>
    <xdr:clientData/>
  </xdr:oneCellAnchor>
  <xdr:oneCellAnchor>
    <xdr:from>
      <xdr:col>45</xdr:col>
      <xdr:colOff>0</xdr:colOff>
      <xdr:row>244</xdr:row>
      <xdr:rowOff>0</xdr:rowOff>
    </xdr:from>
    <xdr:ext cx="190500" cy="190500"/>
    <xdr:pic>
      <xdr:nvPicPr>
        <xdr:cNvPr id="225" name="Grafik 224">
          <a:extLst>
            <a:ext uri="{FF2B5EF4-FFF2-40B4-BE49-F238E27FC236}">
              <a16:creationId xmlns:a16="http://schemas.microsoft.com/office/drawing/2014/main" id="{0A30D938-BCBD-432A-B059-A31C9833800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6842700"/>
          <a:ext cx="190500" cy="190500"/>
        </a:xfrm>
        <a:prstGeom prst="rect">
          <a:avLst/>
        </a:prstGeom>
      </xdr:spPr>
    </xdr:pic>
    <xdr:clientData/>
  </xdr:oneCellAnchor>
  <xdr:twoCellAnchor editAs="oneCell">
    <xdr:from>
      <xdr:col>46</xdr:col>
      <xdr:colOff>0</xdr:colOff>
      <xdr:row>244</xdr:row>
      <xdr:rowOff>0</xdr:rowOff>
    </xdr:from>
    <xdr:to>
      <xdr:col>47</xdr:col>
      <xdr:colOff>6350</xdr:colOff>
      <xdr:row>245</xdr:row>
      <xdr:rowOff>6350</xdr:rowOff>
    </xdr:to>
    <xdr:pic>
      <xdr:nvPicPr>
        <xdr:cNvPr id="226" name="Grafik 225">
          <a:extLst>
            <a:ext uri="{FF2B5EF4-FFF2-40B4-BE49-F238E27FC236}">
              <a16:creationId xmlns:a16="http://schemas.microsoft.com/office/drawing/2014/main" id="{C5135408-5016-4C2B-AFF7-332518E9CD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6842700"/>
          <a:ext cx="190500" cy="190500"/>
        </a:xfrm>
        <a:prstGeom prst="rect">
          <a:avLst/>
        </a:prstGeom>
      </xdr:spPr>
    </xdr:pic>
    <xdr:clientData/>
  </xdr:twoCellAnchor>
  <xdr:twoCellAnchor editAs="oneCell">
    <xdr:from>
      <xdr:col>46</xdr:col>
      <xdr:colOff>0</xdr:colOff>
      <xdr:row>245</xdr:row>
      <xdr:rowOff>0</xdr:rowOff>
    </xdr:from>
    <xdr:to>
      <xdr:col>47</xdr:col>
      <xdr:colOff>6350</xdr:colOff>
      <xdr:row>246</xdr:row>
      <xdr:rowOff>6350</xdr:rowOff>
    </xdr:to>
    <xdr:pic>
      <xdr:nvPicPr>
        <xdr:cNvPr id="227" name="Grafik 226">
          <a:extLst>
            <a:ext uri="{FF2B5EF4-FFF2-40B4-BE49-F238E27FC236}">
              <a16:creationId xmlns:a16="http://schemas.microsoft.com/office/drawing/2014/main" id="{5DF7E587-5AC6-42C9-9776-DA8F559F2B2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7026850"/>
          <a:ext cx="190500" cy="190500"/>
        </a:xfrm>
        <a:prstGeom prst="rect">
          <a:avLst/>
        </a:prstGeom>
      </xdr:spPr>
    </xdr:pic>
    <xdr:clientData/>
  </xdr:twoCellAnchor>
  <xdr:oneCellAnchor>
    <xdr:from>
      <xdr:col>45</xdr:col>
      <xdr:colOff>0</xdr:colOff>
      <xdr:row>245</xdr:row>
      <xdr:rowOff>0</xdr:rowOff>
    </xdr:from>
    <xdr:ext cx="190500" cy="190500"/>
    <xdr:pic>
      <xdr:nvPicPr>
        <xdr:cNvPr id="228" name="Grafik 227">
          <a:extLst>
            <a:ext uri="{FF2B5EF4-FFF2-40B4-BE49-F238E27FC236}">
              <a16:creationId xmlns:a16="http://schemas.microsoft.com/office/drawing/2014/main" id="{61F5DA6C-F4BD-4E79-83E1-3FD716BD2DF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7026850"/>
          <a:ext cx="190500" cy="190500"/>
        </a:xfrm>
        <a:prstGeom prst="rect">
          <a:avLst/>
        </a:prstGeom>
      </xdr:spPr>
    </xdr:pic>
    <xdr:clientData/>
  </xdr:oneCellAnchor>
  <xdr:oneCellAnchor>
    <xdr:from>
      <xdr:col>50</xdr:col>
      <xdr:colOff>0</xdr:colOff>
      <xdr:row>246</xdr:row>
      <xdr:rowOff>0</xdr:rowOff>
    </xdr:from>
    <xdr:ext cx="190500" cy="190500"/>
    <xdr:pic>
      <xdr:nvPicPr>
        <xdr:cNvPr id="229" name="Grafik 228">
          <a:extLst>
            <a:ext uri="{FF2B5EF4-FFF2-40B4-BE49-F238E27FC236}">
              <a16:creationId xmlns:a16="http://schemas.microsoft.com/office/drawing/2014/main" id="{EC5B1971-CD0D-48EA-8B47-6545D6BDE5F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7211000"/>
          <a:ext cx="190500" cy="190500"/>
        </a:xfrm>
        <a:prstGeom prst="rect">
          <a:avLst/>
        </a:prstGeom>
      </xdr:spPr>
    </xdr:pic>
    <xdr:clientData/>
  </xdr:oneCellAnchor>
  <xdr:oneCellAnchor>
    <xdr:from>
      <xdr:col>45</xdr:col>
      <xdr:colOff>0</xdr:colOff>
      <xdr:row>247</xdr:row>
      <xdr:rowOff>0</xdr:rowOff>
    </xdr:from>
    <xdr:ext cx="190500" cy="190500"/>
    <xdr:pic>
      <xdr:nvPicPr>
        <xdr:cNvPr id="230" name="Grafik 229">
          <a:extLst>
            <a:ext uri="{FF2B5EF4-FFF2-40B4-BE49-F238E27FC236}">
              <a16:creationId xmlns:a16="http://schemas.microsoft.com/office/drawing/2014/main" id="{20BC3202-3EB4-4BB3-8BB7-2AFD99565ED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7395150"/>
          <a:ext cx="190500" cy="190500"/>
        </a:xfrm>
        <a:prstGeom prst="rect">
          <a:avLst/>
        </a:prstGeom>
      </xdr:spPr>
    </xdr:pic>
    <xdr:clientData/>
  </xdr:oneCellAnchor>
  <xdr:oneCellAnchor>
    <xdr:from>
      <xdr:col>49</xdr:col>
      <xdr:colOff>0</xdr:colOff>
      <xdr:row>248</xdr:row>
      <xdr:rowOff>0</xdr:rowOff>
    </xdr:from>
    <xdr:ext cx="190500" cy="190500"/>
    <xdr:pic>
      <xdr:nvPicPr>
        <xdr:cNvPr id="231" name="Grafik 230">
          <a:extLst>
            <a:ext uri="{FF2B5EF4-FFF2-40B4-BE49-F238E27FC236}">
              <a16:creationId xmlns:a16="http://schemas.microsoft.com/office/drawing/2014/main" id="{2AA3B58E-434D-45A3-9B9F-B231BCB49E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7579300"/>
          <a:ext cx="190500" cy="190500"/>
        </a:xfrm>
        <a:prstGeom prst="rect">
          <a:avLst/>
        </a:prstGeom>
      </xdr:spPr>
    </xdr:pic>
    <xdr:clientData/>
  </xdr:oneCellAnchor>
  <xdr:oneCellAnchor>
    <xdr:from>
      <xdr:col>48</xdr:col>
      <xdr:colOff>0</xdr:colOff>
      <xdr:row>249</xdr:row>
      <xdr:rowOff>0</xdr:rowOff>
    </xdr:from>
    <xdr:ext cx="190500" cy="190500"/>
    <xdr:pic>
      <xdr:nvPicPr>
        <xdr:cNvPr id="232" name="Grafik 231">
          <a:extLst>
            <a:ext uri="{FF2B5EF4-FFF2-40B4-BE49-F238E27FC236}">
              <a16:creationId xmlns:a16="http://schemas.microsoft.com/office/drawing/2014/main" id="{051541A9-91F6-4295-8850-AE0CBC60DF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7763450"/>
          <a:ext cx="190500" cy="190500"/>
        </a:xfrm>
        <a:prstGeom prst="rect">
          <a:avLst/>
        </a:prstGeom>
      </xdr:spPr>
    </xdr:pic>
    <xdr:clientData/>
  </xdr:oneCellAnchor>
  <xdr:twoCellAnchor editAs="oneCell">
    <xdr:from>
      <xdr:col>47</xdr:col>
      <xdr:colOff>0</xdr:colOff>
      <xdr:row>250</xdr:row>
      <xdr:rowOff>0</xdr:rowOff>
    </xdr:from>
    <xdr:to>
      <xdr:col>48</xdr:col>
      <xdr:colOff>6350</xdr:colOff>
      <xdr:row>251</xdr:row>
      <xdr:rowOff>6350</xdr:rowOff>
    </xdr:to>
    <xdr:pic>
      <xdr:nvPicPr>
        <xdr:cNvPr id="233" name="Grafik 232">
          <a:extLst>
            <a:ext uri="{FF2B5EF4-FFF2-40B4-BE49-F238E27FC236}">
              <a16:creationId xmlns:a16="http://schemas.microsoft.com/office/drawing/2014/main" id="{E5AFC77C-628F-4A48-9987-D63FF586431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37947600"/>
          <a:ext cx="190500" cy="190500"/>
        </a:xfrm>
        <a:prstGeom prst="rect">
          <a:avLst/>
        </a:prstGeom>
      </xdr:spPr>
    </xdr:pic>
    <xdr:clientData/>
  </xdr:twoCellAnchor>
  <xdr:oneCellAnchor>
    <xdr:from>
      <xdr:col>50</xdr:col>
      <xdr:colOff>0</xdr:colOff>
      <xdr:row>251</xdr:row>
      <xdr:rowOff>0</xdr:rowOff>
    </xdr:from>
    <xdr:ext cx="190500" cy="190500"/>
    <xdr:pic>
      <xdr:nvPicPr>
        <xdr:cNvPr id="234" name="Grafik 233">
          <a:extLst>
            <a:ext uri="{FF2B5EF4-FFF2-40B4-BE49-F238E27FC236}">
              <a16:creationId xmlns:a16="http://schemas.microsoft.com/office/drawing/2014/main" id="{A841C649-FE2E-4EC0-B282-9B315FD417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8131750"/>
          <a:ext cx="190500" cy="190500"/>
        </a:xfrm>
        <a:prstGeom prst="rect">
          <a:avLst/>
        </a:prstGeom>
      </xdr:spPr>
    </xdr:pic>
    <xdr:clientData/>
  </xdr:oneCellAnchor>
  <xdr:oneCellAnchor>
    <xdr:from>
      <xdr:col>49</xdr:col>
      <xdr:colOff>0</xdr:colOff>
      <xdr:row>252</xdr:row>
      <xdr:rowOff>0</xdr:rowOff>
    </xdr:from>
    <xdr:ext cx="190500" cy="190500"/>
    <xdr:pic>
      <xdr:nvPicPr>
        <xdr:cNvPr id="235" name="Grafik 234">
          <a:extLst>
            <a:ext uri="{FF2B5EF4-FFF2-40B4-BE49-F238E27FC236}">
              <a16:creationId xmlns:a16="http://schemas.microsoft.com/office/drawing/2014/main" id="{D7F2AA21-A27C-4071-B06B-5323046C8E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8315900"/>
          <a:ext cx="190500" cy="190500"/>
        </a:xfrm>
        <a:prstGeom prst="rect">
          <a:avLst/>
        </a:prstGeom>
      </xdr:spPr>
    </xdr:pic>
    <xdr:clientData/>
  </xdr:oneCellAnchor>
  <xdr:oneCellAnchor>
    <xdr:from>
      <xdr:col>48</xdr:col>
      <xdr:colOff>0</xdr:colOff>
      <xdr:row>253</xdr:row>
      <xdr:rowOff>0</xdr:rowOff>
    </xdr:from>
    <xdr:ext cx="190500" cy="190500"/>
    <xdr:pic>
      <xdr:nvPicPr>
        <xdr:cNvPr id="236" name="Grafik 235">
          <a:extLst>
            <a:ext uri="{FF2B5EF4-FFF2-40B4-BE49-F238E27FC236}">
              <a16:creationId xmlns:a16="http://schemas.microsoft.com/office/drawing/2014/main" id="{D24B474A-ED71-40E7-AE72-2D32278E1DB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8500050"/>
          <a:ext cx="190500" cy="190500"/>
        </a:xfrm>
        <a:prstGeom prst="rect">
          <a:avLst/>
        </a:prstGeom>
      </xdr:spPr>
    </xdr:pic>
    <xdr:clientData/>
  </xdr:oneCellAnchor>
  <xdr:twoCellAnchor editAs="oneCell">
    <xdr:from>
      <xdr:col>51</xdr:col>
      <xdr:colOff>0</xdr:colOff>
      <xdr:row>83</xdr:row>
      <xdr:rowOff>0</xdr:rowOff>
    </xdr:from>
    <xdr:to>
      <xdr:col>52</xdr:col>
      <xdr:colOff>6350</xdr:colOff>
      <xdr:row>84</xdr:row>
      <xdr:rowOff>6350</xdr:rowOff>
    </xdr:to>
    <xdr:pic>
      <xdr:nvPicPr>
        <xdr:cNvPr id="237" name="Grafik 236">
          <a:extLst>
            <a:ext uri="{FF2B5EF4-FFF2-40B4-BE49-F238E27FC236}">
              <a16:creationId xmlns:a16="http://schemas.microsoft.com/office/drawing/2014/main" id="{29271A4C-B84D-4686-A71D-F88F1BC3979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15290800"/>
          <a:ext cx="190500" cy="190500"/>
        </a:xfrm>
        <a:prstGeom prst="rect">
          <a:avLst/>
        </a:prstGeom>
      </xdr:spPr>
    </xdr:pic>
    <xdr:clientData/>
  </xdr:twoCellAnchor>
  <xdr:oneCellAnchor>
    <xdr:from>
      <xdr:col>50</xdr:col>
      <xdr:colOff>0</xdr:colOff>
      <xdr:row>253</xdr:row>
      <xdr:rowOff>0</xdr:rowOff>
    </xdr:from>
    <xdr:ext cx="190500" cy="190500"/>
    <xdr:pic>
      <xdr:nvPicPr>
        <xdr:cNvPr id="238" name="Grafik 237">
          <a:extLst>
            <a:ext uri="{FF2B5EF4-FFF2-40B4-BE49-F238E27FC236}">
              <a16:creationId xmlns:a16="http://schemas.microsoft.com/office/drawing/2014/main" id="{CAA1A3F7-6CE4-47A1-821F-412048D3FBE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15106650"/>
          <a:ext cx="190500" cy="190500"/>
        </a:xfrm>
        <a:prstGeom prst="rect">
          <a:avLst/>
        </a:prstGeom>
      </xdr:spPr>
    </xdr:pic>
    <xdr:clientData/>
  </xdr:oneCellAnchor>
  <xdr:oneCellAnchor>
    <xdr:from>
      <xdr:col>48</xdr:col>
      <xdr:colOff>0</xdr:colOff>
      <xdr:row>254</xdr:row>
      <xdr:rowOff>0</xdr:rowOff>
    </xdr:from>
    <xdr:ext cx="190500" cy="190500"/>
    <xdr:pic>
      <xdr:nvPicPr>
        <xdr:cNvPr id="239" name="Grafik 238">
          <a:extLst>
            <a:ext uri="{FF2B5EF4-FFF2-40B4-BE49-F238E27FC236}">
              <a16:creationId xmlns:a16="http://schemas.microsoft.com/office/drawing/2014/main" id="{97AC5FEE-3206-4C9D-8B6E-44285BDA91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15290800"/>
          <a:ext cx="190500" cy="190500"/>
        </a:xfrm>
        <a:prstGeom prst="rect">
          <a:avLst/>
        </a:prstGeom>
      </xdr:spPr>
    </xdr:pic>
    <xdr:clientData/>
  </xdr:oneCellAnchor>
  <xdr:oneCellAnchor>
    <xdr:from>
      <xdr:col>51</xdr:col>
      <xdr:colOff>0</xdr:colOff>
      <xdr:row>254</xdr:row>
      <xdr:rowOff>0</xdr:rowOff>
    </xdr:from>
    <xdr:ext cx="190500" cy="190500"/>
    <xdr:pic>
      <xdr:nvPicPr>
        <xdr:cNvPr id="240" name="Grafik 239">
          <a:extLst>
            <a:ext uri="{FF2B5EF4-FFF2-40B4-BE49-F238E27FC236}">
              <a16:creationId xmlns:a16="http://schemas.microsoft.com/office/drawing/2014/main" id="{9EE06E70-AB25-4D43-98D7-F0C9EF59477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15290800"/>
          <a:ext cx="190500" cy="190500"/>
        </a:xfrm>
        <a:prstGeom prst="rect">
          <a:avLst/>
        </a:prstGeom>
      </xdr:spPr>
    </xdr:pic>
    <xdr:clientData/>
  </xdr:oneCellAnchor>
  <xdr:oneCellAnchor>
    <xdr:from>
      <xdr:col>48</xdr:col>
      <xdr:colOff>0</xdr:colOff>
      <xdr:row>265</xdr:row>
      <xdr:rowOff>0</xdr:rowOff>
    </xdr:from>
    <xdr:ext cx="190500" cy="190500"/>
    <xdr:pic>
      <xdr:nvPicPr>
        <xdr:cNvPr id="241" name="Grafik 240">
          <a:extLst>
            <a:ext uri="{FF2B5EF4-FFF2-40B4-BE49-F238E27FC236}">
              <a16:creationId xmlns:a16="http://schemas.microsoft.com/office/drawing/2014/main" id="{16189373-D4B4-4284-A5D5-0C970CEA149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0637500"/>
          <a:ext cx="190500" cy="190500"/>
        </a:xfrm>
        <a:prstGeom prst="rect">
          <a:avLst/>
        </a:prstGeom>
      </xdr:spPr>
    </xdr:pic>
    <xdr:clientData/>
  </xdr:oneCellAnchor>
  <xdr:oneCellAnchor>
    <xdr:from>
      <xdr:col>48</xdr:col>
      <xdr:colOff>0</xdr:colOff>
      <xdr:row>279</xdr:row>
      <xdr:rowOff>0</xdr:rowOff>
    </xdr:from>
    <xdr:ext cx="190500" cy="190500"/>
    <xdr:pic>
      <xdr:nvPicPr>
        <xdr:cNvPr id="243" name="Grafik 242">
          <a:extLst>
            <a:ext uri="{FF2B5EF4-FFF2-40B4-BE49-F238E27FC236}">
              <a16:creationId xmlns:a16="http://schemas.microsoft.com/office/drawing/2014/main" id="{29E74E8A-5FA1-4846-81C9-C2E0267AE36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0821650"/>
          <a:ext cx="190500" cy="190500"/>
        </a:xfrm>
        <a:prstGeom prst="rect">
          <a:avLst/>
        </a:prstGeom>
      </xdr:spPr>
    </xdr:pic>
    <xdr:clientData/>
  </xdr:oneCellAnchor>
  <xdr:oneCellAnchor>
    <xdr:from>
      <xdr:col>48</xdr:col>
      <xdr:colOff>0</xdr:colOff>
      <xdr:row>280</xdr:row>
      <xdr:rowOff>0</xdr:rowOff>
    </xdr:from>
    <xdr:ext cx="190500" cy="190500"/>
    <xdr:pic>
      <xdr:nvPicPr>
        <xdr:cNvPr id="244" name="Grafik 243">
          <a:extLst>
            <a:ext uri="{FF2B5EF4-FFF2-40B4-BE49-F238E27FC236}">
              <a16:creationId xmlns:a16="http://schemas.microsoft.com/office/drawing/2014/main" id="{CA040E42-DA37-4B61-9B8B-A17F129B86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1005800"/>
          <a:ext cx="190500" cy="190500"/>
        </a:xfrm>
        <a:prstGeom prst="rect">
          <a:avLst/>
        </a:prstGeom>
      </xdr:spPr>
    </xdr:pic>
    <xdr:clientData/>
  </xdr:oneCellAnchor>
  <xdr:oneCellAnchor>
    <xdr:from>
      <xdr:col>49</xdr:col>
      <xdr:colOff>0</xdr:colOff>
      <xdr:row>281</xdr:row>
      <xdr:rowOff>0</xdr:rowOff>
    </xdr:from>
    <xdr:ext cx="190500" cy="190500"/>
    <xdr:pic>
      <xdr:nvPicPr>
        <xdr:cNvPr id="245" name="Grafik 244">
          <a:extLst>
            <a:ext uri="{FF2B5EF4-FFF2-40B4-BE49-F238E27FC236}">
              <a16:creationId xmlns:a16="http://schemas.microsoft.com/office/drawing/2014/main" id="{D04EADF8-82C5-4C92-92FF-1A764E129A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21189950"/>
          <a:ext cx="190500" cy="190500"/>
        </a:xfrm>
        <a:prstGeom prst="rect">
          <a:avLst/>
        </a:prstGeom>
      </xdr:spPr>
    </xdr:pic>
    <xdr:clientData/>
  </xdr:oneCellAnchor>
  <xdr:twoCellAnchor editAs="oneCell">
    <xdr:from>
      <xdr:col>46</xdr:col>
      <xdr:colOff>0</xdr:colOff>
      <xdr:row>257</xdr:row>
      <xdr:rowOff>0</xdr:rowOff>
    </xdr:from>
    <xdr:to>
      <xdr:col>47</xdr:col>
      <xdr:colOff>6350</xdr:colOff>
      <xdr:row>258</xdr:row>
      <xdr:rowOff>6350</xdr:rowOff>
    </xdr:to>
    <xdr:pic>
      <xdr:nvPicPr>
        <xdr:cNvPr id="246" name="Grafik 245">
          <a:extLst>
            <a:ext uri="{FF2B5EF4-FFF2-40B4-BE49-F238E27FC236}">
              <a16:creationId xmlns:a16="http://schemas.microsoft.com/office/drawing/2014/main" id="{52976D1C-CE50-4436-9353-A494F6319E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39236650"/>
          <a:ext cx="190500" cy="190500"/>
        </a:xfrm>
        <a:prstGeom prst="rect">
          <a:avLst/>
        </a:prstGeom>
      </xdr:spPr>
    </xdr:pic>
    <xdr:clientData/>
  </xdr:twoCellAnchor>
  <xdr:oneCellAnchor>
    <xdr:from>
      <xdr:col>50</xdr:col>
      <xdr:colOff>0</xdr:colOff>
      <xdr:row>258</xdr:row>
      <xdr:rowOff>0</xdr:rowOff>
    </xdr:from>
    <xdr:ext cx="190500" cy="190500"/>
    <xdr:pic>
      <xdr:nvPicPr>
        <xdr:cNvPr id="247" name="Grafik 246">
          <a:extLst>
            <a:ext uri="{FF2B5EF4-FFF2-40B4-BE49-F238E27FC236}">
              <a16:creationId xmlns:a16="http://schemas.microsoft.com/office/drawing/2014/main" id="{5203DF05-5A7D-4D86-80C1-9486EE6969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9420800"/>
          <a:ext cx="190500" cy="190500"/>
        </a:xfrm>
        <a:prstGeom prst="rect">
          <a:avLst/>
        </a:prstGeom>
      </xdr:spPr>
    </xdr:pic>
    <xdr:clientData/>
  </xdr:oneCellAnchor>
  <xdr:oneCellAnchor>
    <xdr:from>
      <xdr:col>48</xdr:col>
      <xdr:colOff>0</xdr:colOff>
      <xdr:row>259</xdr:row>
      <xdr:rowOff>0</xdr:rowOff>
    </xdr:from>
    <xdr:ext cx="190500" cy="190500"/>
    <xdr:pic>
      <xdr:nvPicPr>
        <xdr:cNvPr id="248" name="Grafik 247">
          <a:extLst>
            <a:ext uri="{FF2B5EF4-FFF2-40B4-BE49-F238E27FC236}">
              <a16:creationId xmlns:a16="http://schemas.microsoft.com/office/drawing/2014/main" id="{E5C80989-0125-4FA6-A8DF-7E8411083C0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39604950"/>
          <a:ext cx="190500" cy="190500"/>
        </a:xfrm>
        <a:prstGeom prst="rect">
          <a:avLst/>
        </a:prstGeom>
      </xdr:spPr>
    </xdr:pic>
    <xdr:clientData/>
  </xdr:oneCellAnchor>
  <xdr:oneCellAnchor>
    <xdr:from>
      <xdr:col>50</xdr:col>
      <xdr:colOff>0</xdr:colOff>
      <xdr:row>260</xdr:row>
      <xdr:rowOff>0</xdr:rowOff>
    </xdr:from>
    <xdr:ext cx="190500" cy="190500"/>
    <xdr:pic>
      <xdr:nvPicPr>
        <xdr:cNvPr id="249" name="Grafik 248">
          <a:extLst>
            <a:ext uri="{FF2B5EF4-FFF2-40B4-BE49-F238E27FC236}">
              <a16:creationId xmlns:a16="http://schemas.microsoft.com/office/drawing/2014/main" id="{E346CA67-E55E-4762-9B36-742B3D8BC69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39789100"/>
          <a:ext cx="190500" cy="190500"/>
        </a:xfrm>
        <a:prstGeom prst="rect">
          <a:avLst/>
        </a:prstGeom>
      </xdr:spPr>
    </xdr:pic>
    <xdr:clientData/>
  </xdr:oneCellAnchor>
  <xdr:oneCellAnchor>
    <xdr:from>
      <xdr:col>49</xdr:col>
      <xdr:colOff>0</xdr:colOff>
      <xdr:row>261</xdr:row>
      <xdr:rowOff>0</xdr:rowOff>
    </xdr:from>
    <xdr:ext cx="190500" cy="190500"/>
    <xdr:pic>
      <xdr:nvPicPr>
        <xdr:cNvPr id="250" name="Grafik 249">
          <a:extLst>
            <a:ext uri="{FF2B5EF4-FFF2-40B4-BE49-F238E27FC236}">
              <a16:creationId xmlns:a16="http://schemas.microsoft.com/office/drawing/2014/main" id="{AF3CAF6F-8F0E-4D45-B92E-6BF4FA022D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39973250"/>
          <a:ext cx="190500" cy="190500"/>
        </a:xfrm>
        <a:prstGeom prst="rect">
          <a:avLst/>
        </a:prstGeom>
      </xdr:spPr>
    </xdr:pic>
    <xdr:clientData/>
  </xdr:oneCellAnchor>
  <xdr:oneCellAnchor>
    <xdr:from>
      <xdr:col>45</xdr:col>
      <xdr:colOff>0</xdr:colOff>
      <xdr:row>262</xdr:row>
      <xdr:rowOff>0</xdr:rowOff>
    </xdr:from>
    <xdr:ext cx="190500" cy="190500"/>
    <xdr:pic>
      <xdr:nvPicPr>
        <xdr:cNvPr id="251" name="Grafik 250">
          <a:extLst>
            <a:ext uri="{FF2B5EF4-FFF2-40B4-BE49-F238E27FC236}">
              <a16:creationId xmlns:a16="http://schemas.microsoft.com/office/drawing/2014/main" id="{61CBE826-BADF-4E3B-AB08-391CD9E4A20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40157400"/>
          <a:ext cx="190500" cy="190500"/>
        </a:xfrm>
        <a:prstGeom prst="rect">
          <a:avLst/>
        </a:prstGeom>
      </xdr:spPr>
    </xdr:pic>
    <xdr:clientData/>
  </xdr:oneCellAnchor>
  <xdr:oneCellAnchor>
    <xdr:from>
      <xdr:col>48</xdr:col>
      <xdr:colOff>0</xdr:colOff>
      <xdr:row>263</xdr:row>
      <xdr:rowOff>0</xdr:rowOff>
    </xdr:from>
    <xdr:ext cx="190500" cy="190500"/>
    <xdr:pic>
      <xdr:nvPicPr>
        <xdr:cNvPr id="252" name="Grafik 251">
          <a:extLst>
            <a:ext uri="{FF2B5EF4-FFF2-40B4-BE49-F238E27FC236}">
              <a16:creationId xmlns:a16="http://schemas.microsoft.com/office/drawing/2014/main" id="{79E222D7-7139-4895-93F1-98BC7FA4F9B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40341550"/>
          <a:ext cx="190500" cy="190500"/>
        </a:xfrm>
        <a:prstGeom prst="rect">
          <a:avLst/>
        </a:prstGeom>
      </xdr:spPr>
    </xdr:pic>
    <xdr:clientData/>
  </xdr:oneCellAnchor>
  <xdr:oneCellAnchor>
    <xdr:from>
      <xdr:col>48</xdr:col>
      <xdr:colOff>0</xdr:colOff>
      <xdr:row>264</xdr:row>
      <xdr:rowOff>0</xdr:rowOff>
    </xdr:from>
    <xdr:ext cx="190500" cy="190500"/>
    <xdr:pic>
      <xdr:nvPicPr>
        <xdr:cNvPr id="253" name="Grafik 252">
          <a:extLst>
            <a:ext uri="{FF2B5EF4-FFF2-40B4-BE49-F238E27FC236}">
              <a16:creationId xmlns:a16="http://schemas.microsoft.com/office/drawing/2014/main" id="{1C42EF2B-A53B-4F5C-8781-2EAB86A1B1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40525700"/>
          <a:ext cx="190500" cy="190500"/>
        </a:xfrm>
        <a:prstGeom prst="rect">
          <a:avLst/>
        </a:prstGeom>
      </xdr:spPr>
    </xdr:pic>
    <xdr:clientData/>
  </xdr:oneCellAnchor>
  <xdr:twoCellAnchor editAs="oneCell">
    <xdr:from>
      <xdr:col>47</xdr:col>
      <xdr:colOff>0</xdr:colOff>
      <xdr:row>266</xdr:row>
      <xdr:rowOff>0</xdr:rowOff>
    </xdr:from>
    <xdr:to>
      <xdr:col>48</xdr:col>
      <xdr:colOff>6350</xdr:colOff>
      <xdr:row>267</xdr:row>
      <xdr:rowOff>6350</xdr:rowOff>
    </xdr:to>
    <xdr:pic>
      <xdr:nvPicPr>
        <xdr:cNvPr id="254" name="Grafik 253">
          <a:extLst>
            <a:ext uri="{FF2B5EF4-FFF2-40B4-BE49-F238E27FC236}">
              <a16:creationId xmlns:a16="http://schemas.microsoft.com/office/drawing/2014/main" id="{DA06F61D-00E2-4C03-8820-E3D2C1DAACF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0894000"/>
          <a:ext cx="190500" cy="190500"/>
        </a:xfrm>
        <a:prstGeom prst="rect">
          <a:avLst/>
        </a:prstGeom>
      </xdr:spPr>
    </xdr:pic>
    <xdr:clientData/>
  </xdr:twoCellAnchor>
  <xdr:oneCellAnchor>
    <xdr:from>
      <xdr:col>51</xdr:col>
      <xdr:colOff>0</xdr:colOff>
      <xdr:row>267</xdr:row>
      <xdr:rowOff>0</xdr:rowOff>
    </xdr:from>
    <xdr:ext cx="190500" cy="190500"/>
    <xdr:pic>
      <xdr:nvPicPr>
        <xdr:cNvPr id="255" name="Grafik 254">
          <a:extLst>
            <a:ext uri="{FF2B5EF4-FFF2-40B4-BE49-F238E27FC236}">
              <a16:creationId xmlns:a16="http://schemas.microsoft.com/office/drawing/2014/main" id="{12A69161-8CCC-4D71-AC35-BDBCA26F0F5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1078150"/>
          <a:ext cx="190500" cy="190500"/>
        </a:xfrm>
        <a:prstGeom prst="rect">
          <a:avLst/>
        </a:prstGeom>
      </xdr:spPr>
    </xdr:pic>
    <xdr:clientData/>
  </xdr:oneCellAnchor>
  <xdr:oneCellAnchor>
    <xdr:from>
      <xdr:col>50</xdr:col>
      <xdr:colOff>0</xdr:colOff>
      <xdr:row>268</xdr:row>
      <xdr:rowOff>0</xdr:rowOff>
    </xdr:from>
    <xdr:ext cx="190500" cy="190500"/>
    <xdr:pic>
      <xdr:nvPicPr>
        <xdr:cNvPr id="256" name="Grafik 255">
          <a:extLst>
            <a:ext uri="{FF2B5EF4-FFF2-40B4-BE49-F238E27FC236}">
              <a16:creationId xmlns:a16="http://schemas.microsoft.com/office/drawing/2014/main" id="{41A595A1-F3CF-48FC-8C7D-BD5638C90C3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1262300"/>
          <a:ext cx="190500" cy="190500"/>
        </a:xfrm>
        <a:prstGeom prst="rect">
          <a:avLst/>
        </a:prstGeom>
      </xdr:spPr>
    </xdr:pic>
    <xdr:clientData/>
  </xdr:oneCellAnchor>
  <xdr:oneCellAnchor>
    <xdr:from>
      <xdr:col>51</xdr:col>
      <xdr:colOff>0</xdr:colOff>
      <xdr:row>269</xdr:row>
      <xdr:rowOff>0</xdr:rowOff>
    </xdr:from>
    <xdr:ext cx="190500" cy="190500"/>
    <xdr:pic>
      <xdr:nvPicPr>
        <xdr:cNvPr id="257" name="Grafik 256">
          <a:extLst>
            <a:ext uri="{FF2B5EF4-FFF2-40B4-BE49-F238E27FC236}">
              <a16:creationId xmlns:a16="http://schemas.microsoft.com/office/drawing/2014/main" id="{3A060AA0-2249-4EB7-857F-6A884840F7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1446450"/>
          <a:ext cx="190500" cy="190500"/>
        </a:xfrm>
        <a:prstGeom prst="rect">
          <a:avLst/>
        </a:prstGeom>
      </xdr:spPr>
    </xdr:pic>
    <xdr:clientData/>
  </xdr:oneCellAnchor>
  <xdr:twoCellAnchor editAs="oneCell">
    <xdr:from>
      <xdr:col>47</xdr:col>
      <xdr:colOff>0</xdr:colOff>
      <xdr:row>270</xdr:row>
      <xdr:rowOff>0</xdr:rowOff>
    </xdr:from>
    <xdr:to>
      <xdr:col>48</xdr:col>
      <xdr:colOff>6350</xdr:colOff>
      <xdr:row>271</xdr:row>
      <xdr:rowOff>6350</xdr:rowOff>
    </xdr:to>
    <xdr:pic>
      <xdr:nvPicPr>
        <xdr:cNvPr id="258" name="Grafik 257">
          <a:extLst>
            <a:ext uri="{FF2B5EF4-FFF2-40B4-BE49-F238E27FC236}">
              <a16:creationId xmlns:a16="http://schemas.microsoft.com/office/drawing/2014/main" id="{CABCDD81-C153-4526-89BC-B122A1CE87A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1630600"/>
          <a:ext cx="190500" cy="190500"/>
        </a:xfrm>
        <a:prstGeom prst="rect">
          <a:avLst/>
        </a:prstGeom>
      </xdr:spPr>
    </xdr:pic>
    <xdr:clientData/>
  </xdr:twoCellAnchor>
  <xdr:oneCellAnchor>
    <xdr:from>
      <xdr:col>49</xdr:col>
      <xdr:colOff>0</xdr:colOff>
      <xdr:row>271</xdr:row>
      <xdr:rowOff>0</xdr:rowOff>
    </xdr:from>
    <xdr:ext cx="190500" cy="190500"/>
    <xdr:pic>
      <xdr:nvPicPr>
        <xdr:cNvPr id="259" name="Grafik 258">
          <a:extLst>
            <a:ext uri="{FF2B5EF4-FFF2-40B4-BE49-F238E27FC236}">
              <a16:creationId xmlns:a16="http://schemas.microsoft.com/office/drawing/2014/main" id="{54CD9F85-4F0D-4659-84DA-25FCA271AA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1814750"/>
          <a:ext cx="190500" cy="190500"/>
        </a:xfrm>
        <a:prstGeom prst="rect">
          <a:avLst/>
        </a:prstGeom>
      </xdr:spPr>
    </xdr:pic>
    <xdr:clientData/>
  </xdr:oneCellAnchor>
  <xdr:oneCellAnchor>
    <xdr:from>
      <xdr:col>49</xdr:col>
      <xdr:colOff>0</xdr:colOff>
      <xdr:row>272</xdr:row>
      <xdr:rowOff>0</xdr:rowOff>
    </xdr:from>
    <xdr:ext cx="190500" cy="190500"/>
    <xdr:pic>
      <xdr:nvPicPr>
        <xdr:cNvPr id="260" name="Grafik 259">
          <a:extLst>
            <a:ext uri="{FF2B5EF4-FFF2-40B4-BE49-F238E27FC236}">
              <a16:creationId xmlns:a16="http://schemas.microsoft.com/office/drawing/2014/main" id="{22E772CC-1E65-43E9-9F2D-F8851A4E4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1998900"/>
          <a:ext cx="190500" cy="190500"/>
        </a:xfrm>
        <a:prstGeom prst="rect">
          <a:avLst/>
        </a:prstGeom>
      </xdr:spPr>
    </xdr:pic>
    <xdr:clientData/>
  </xdr:oneCellAnchor>
  <xdr:oneCellAnchor>
    <xdr:from>
      <xdr:col>51</xdr:col>
      <xdr:colOff>0</xdr:colOff>
      <xdr:row>273</xdr:row>
      <xdr:rowOff>0</xdr:rowOff>
    </xdr:from>
    <xdr:ext cx="190500" cy="190500"/>
    <xdr:pic>
      <xdr:nvPicPr>
        <xdr:cNvPr id="261" name="Grafik 260">
          <a:extLst>
            <a:ext uri="{FF2B5EF4-FFF2-40B4-BE49-F238E27FC236}">
              <a16:creationId xmlns:a16="http://schemas.microsoft.com/office/drawing/2014/main" id="{74A8963D-6E8E-44E1-9E62-DDA4FAC0F87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2183050"/>
          <a:ext cx="190500" cy="190500"/>
        </a:xfrm>
        <a:prstGeom prst="rect">
          <a:avLst/>
        </a:prstGeom>
      </xdr:spPr>
    </xdr:pic>
    <xdr:clientData/>
  </xdr:oneCellAnchor>
  <xdr:twoCellAnchor editAs="oneCell">
    <xdr:from>
      <xdr:col>47</xdr:col>
      <xdr:colOff>0</xdr:colOff>
      <xdr:row>274</xdr:row>
      <xdr:rowOff>0</xdr:rowOff>
    </xdr:from>
    <xdr:to>
      <xdr:col>48</xdr:col>
      <xdr:colOff>6350</xdr:colOff>
      <xdr:row>275</xdr:row>
      <xdr:rowOff>6350</xdr:rowOff>
    </xdr:to>
    <xdr:pic>
      <xdr:nvPicPr>
        <xdr:cNvPr id="262" name="Grafik 261">
          <a:extLst>
            <a:ext uri="{FF2B5EF4-FFF2-40B4-BE49-F238E27FC236}">
              <a16:creationId xmlns:a16="http://schemas.microsoft.com/office/drawing/2014/main" id="{BA2DEA34-C18B-402F-AC19-E25F895E89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2367200"/>
          <a:ext cx="190500" cy="190500"/>
        </a:xfrm>
        <a:prstGeom prst="rect">
          <a:avLst/>
        </a:prstGeom>
      </xdr:spPr>
    </xdr:pic>
    <xdr:clientData/>
  </xdr:twoCellAnchor>
  <xdr:twoCellAnchor editAs="oneCell">
    <xdr:from>
      <xdr:col>47</xdr:col>
      <xdr:colOff>0</xdr:colOff>
      <xdr:row>275</xdr:row>
      <xdr:rowOff>0</xdr:rowOff>
    </xdr:from>
    <xdr:to>
      <xdr:col>48</xdr:col>
      <xdr:colOff>6350</xdr:colOff>
      <xdr:row>276</xdr:row>
      <xdr:rowOff>6350</xdr:rowOff>
    </xdr:to>
    <xdr:pic>
      <xdr:nvPicPr>
        <xdr:cNvPr id="263" name="Grafik 262">
          <a:extLst>
            <a:ext uri="{FF2B5EF4-FFF2-40B4-BE49-F238E27FC236}">
              <a16:creationId xmlns:a16="http://schemas.microsoft.com/office/drawing/2014/main" id="{B4DFE908-8539-4D0C-8DF1-A247BEBFD1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2551350"/>
          <a:ext cx="190500" cy="190500"/>
        </a:xfrm>
        <a:prstGeom prst="rect">
          <a:avLst/>
        </a:prstGeom>
      </xdr:spPr>
    </xdr:pic>
    <xdr:clientData/>
  </xdr:twoCellAnchor>
  <xdr:oneCellAnchor>
    <xdr:from>
      <xdr:col>50</xdr:col>
      <xdr:colOff>0</xdr:colOff>
      <xdr:row>276</xdr:row>
      <xdr:rowOff>0</xdr:rowOff>
    </xdr:from>
    <xdr:ext cx="190500" cy="190500"/>
    <xdr:pic>
      <xdr:nvPicPr>
        <xdr:cNvPr id="264" name="Grafik 263">
          <a:extLst>
            <a:ext uri="{FF2B5EF4-FFF2-40B4-BE49-F238E27FC236}">
              <a16:creationId xmlns:a16="http://schemas.microsoft.com/office/drawing/2014/main" id="{2BD99843-BB3F-4CAA-9E94-672324C816E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2735500"/>
          <a:ext cx="190500" cy="190500"/>
        </a:xfrm>
        <a:prstGeom prst="rect">
          <a:avLst/>
        </a:prstGeom>
      </xdr:spPr>
    </xdr:pic>
    <xdr:clientData/>
  </xdr:oneCellAnchor>
  <xdr:oneCellAnchor>
    <xdr:from>
      <xdr:col>49</xdr:col>
      <xdr:colOff>0</xdr:colOff>
      <xdr:row>277</xdr:row>
      <xdr:rowOff>0</xdr:rowOff>
    </xdr:from>
    <xdr:ext cx="190500" cy="190500"/>
    <xdr:pic>
      <xdr:nvPicPr>
        <xdr:cNvPr id="266" name="Grafik 265">
          <a:extLst>
            <a:ext uri="{FF2B5EF4-FFF2-40B4-BE49-F238E27FC236}">
              <a16:creationId xmlns:a16="http://schemas.microsoft.com/office/drawing/2014/main" id="{B5E54D14-8E57-4E41-BCA3-CACD970930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2919650"/>
          <a:ext cx="190500" cy="190500"/>
        </a:xfrm>
        <a:prstGeom prst="rect">
          <a:avLst/>
        </a:prstGeom>
      </xdr:spPr>
    </xdr:pic>
    <xdr:clientData/>
  </xdr:oneCellAnchor>
  <xdr:oneCellAnchor>
    <xdr:from>
      <xdr:col>50</xdr:col>
      <xdr:colOff>0</xdr:colOff>
      <xdr:row>278</xdr:row>
      <xdr:rowOff>0</xdr:rowOff>
    </xdr:from>
    <xdr:ext cx="190500" cy="190500"/>
    <xdr:pic>
      <xdr:nvPicPr>
        <xdr:cNvPr id="267" name="Grafik 266">
          <a:extLst>
            <a:ext uri="{FF2B5EF4-FFF2-40B4-BE49-F238E27FC236}">
              <a16:creationId xmlns:a16="http://schemas.microsoft.com/office/drawing/2014/main" id="{7B06B1BD-599B-474A-B884-F8FA7E8557E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3103800"/>
          <a:ext cx="190500" cy="190500"/>
        </a:xfrm>
        <a:prstGeom prst="rect">
          <a:avLst/>
        </a:prstGeom>
      </xdr:spPr>
    </xdr:pic>
    <xdr:clientData/>
  </xdr:oneCellAnchor>
  <xdr:oneCellAnchor>
    <xdr:from>
      <xdr:col>47</xdr:col>
      <xdr:colOff>0</xdr:colOff>
      <xdr:row>198</xdr:row>
      <xdr:rowOff>0</xdr:rowOff>
    </xdr:from>
    <xdr:ext cx="190500" cy="190500"/>
    <xdr:pic>
      <xdr:nvPicPr>
        <xdr:cNvPr id="265" name="Grafik 264">
          <a:extLst>
            <a:ext uri="{FF2B5EF4-FFF2-40B4-BE49-F238E27FC236}">
              <a16:creationId xmlns:a16="http://schemas.microsoft.com/office/drawing/2014/main" id="{DDE85AC9-49AC-4D21-85A9-63F293B084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1998900"/>
          <a:ext cx="190500" cy="190500"/>
        </a:xfrm>
        <a:prstGeom prst="rect">
          <a:avLst/>
        </a:prstGeom>
      </xdr:spPr>
    </xdr:pic>
    <xdr:clientData/>
  </xdr:oneCellAnchor>
  <xdr:twoCellAnchor editAs="oneCell">
    <xdr:from>
      <xdr:col>48</xdr:col>
      <xdr:colOff>0</xdr:colOff>
      <xdr:row>193</xdr:row>
      <xdr:rowOff>0</xdr:rowOff>
    </xdr:from>
    <xdr:to>
      <xdr:col>49</xdr:col>
      <xdr:colOff>6350</xdr:colOff>
      <xdr:row>194</xdr:row>
      <xdr:rowOff>6350</xdr:rowOff>
    </xdr:to>
    <xdr:pic>
      <xdr:nvPicPr>
        <xdr:cNvPr id="270" name="Grafik 269">
          <a:extLst>
            <a:ext uri="{FF2B5EF4-FFF2-40B4-BE49-F238E27FC236}">
              <a16:creationId xmlns:a16="http://schemas.microsoft.com/office/drawing/2014/main" id="{7578DE84-9A4A-4733-AFB4-BA4B37B1A3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8371800"/>
          <a:ext cx="190500" cy="190500"/>
        </a:xfrm>
        <a:prstGeom prst="rect">
          <a:avLst/>
        </a:prstGeom>
      </xdr:spPr>
    </xdr:pic>
    <xdr:clientData/>
  </xdr:twoCellAnchor>
  <xdr:twoCellAnchor editAs="oneCell">
    <xdr:from>
      <xdr:col>50</xdr:col>
      <xdr:colOff>0</xdr:colOff>
      <xdr:row>194</xdr:row>
      <xdr:rowOff>0</xdr:rowOff>
    </xdr:from>
    <xdr:to>
      <xdr:col>51</xdr:col>
      <xdr:colOff>6350</xdr:colOff>
      <xdr:row>195</xdr:row>
      <xdr:rowOff>6350</xdr:rowOff>
    </xdr:to>
    <xdr:pic>
      <xdr:nvPicPr>
        <xdr:cNvPr id="271" name="Grafik 270">
          <a:extLst>
            <a:ext uri="{FF2B5EF4-FFF2-40B4-BE49-F238E27FC236}">
              <a16:creationId xmlns:a16="http://schemas.microsoft.com/office/drawing/2014/main" id="{2707C307-E385-4F9C-97B6-AB521DB4F6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28555950"/>
          <a:ext cx="190500" cy="190500"/>
        </a:xfrm>
        <a:prstGeom prst="rect">
          <a:avLst/>
        </a:prstGeom>
      </xdr:spPr>
    </xdr:pic>
    <xdr:clientData/>
  </xdr:twoCellAnchor>
  <xdr:twoCellAnchor editAs="oneCell">
    <xdr:from>
      <xdr:col>46</xdr:col>
      <xdr:colOff>0</xdr:colOff>
      <xdr:row>196</xdr:row>
      <xdr:rowOff>0</xdr:rowOff>
    </xdr:from>
    <xdr:to>
      <xdr:col>47</xdr:col>
      <xdr:colOff>6350</xdr:colOff>
      <xdr:row>197</xdr:row>
      <xdr:rowOff>6350</xdr:rowOff>
    </xdr:to>
    <xdr:pic>
      <xdr:nvPicPr>
        <xdr:cNvPr id="272" name="Grafik 271">
          <a:extLst>
            <a:ext uri="{FF2B5EF4-FFF2-40B4-BE49-F238E27FC236}">
              <a16:creationId xmlns:a16="http://schemas.microsoft.com/office/drawing/2014/main" id="{E412687C-B46D-4204-B217-519B4BEA0A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28924250"/>
          <a:ext cx="190500" cy="190500"/>
        </a:xfrm>
        <a:prstGeom prst="rect">
          <a:avLst/>
        </a:prstGeom>
      </xdr:spPr>
    </xdr:pic>
    <xdr:clientData/>
  </xdr:twoCellAnchor>
  <xdr:twoCellAnchor editAs="oneCell">
    <xdr:from>
      <xdr:col>45</xdr:col>
      <xdr:colOff>0</xdr:colOff>
      <xdr:row>206</xdr:row>
      <xdr:rowOff>0</xdr:rowOff>
    </xdr:from>
    <xdr:to>
      <xdr:col>46</xdr:col>
      <xdr:colOff>6350</xdr:colOff>
      <xdr:row>207</xdr:row>
      <xdr:rowOff>6350</xdr:rowOff>
    </xdr:to>
    <xdr:pic>
      <xdr:nvPicPr>
        <xdr:cNvPr id="268" name="Grafik 267">
          <a:extLst>
            <a:ext uri="{FF2B5EF4-FFF2-40B4-BE49-F238E27FC236}">
              <a16:creationId xmlns:a16="http://schemas.microsoft.com/office/drawing/2014/main" id="{EE9E3D42-EBD7-4C25-94F9-A9E663256D7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422350" y="30581600"/>
          <a:ext cx="190500" cy="190500"/>
        </a:xfrm>
        <a:prstGeom prst="rect">
          <a:avLst/>
        </a:prstGeom>
      </xdr:spPr>
    </xdr:pic>
    <xdr:clientData/>
  </xdr:twoCellAnchor>
  <xdr:twoCellAnchor editAs="oneCell">
    <xdr:from>
      <xdr:col>49</xdr:col>
      <xdr:colOff>0</xdr:colOff>
      <xdr:row>137</xdr:row>
      <xdr:rowOff>0</xdr:rowOff>
    </xdr:from>
    <xdr:to>
      <xdr:col>50</xdr:col>
      <xdr:colOff>6350</xdr:colOff>
      <xdr:row>138</xdr:row>
      <xdr:rowOff>6350</xdr:rowOff>
    </xdr:to>
    <xdr:pic>
      <xdr:nvPicPr>
        <xdr:cNvPr id="269" name="Grafik 268">
          <a:extLst>
            <a:ext uri="{FF2B5EF4-FFF2-40B4-BE49-F238E27FC236}">
              <a16:creationId xmlns:a16="http://schemas.microsoft.com/office/drawing/2014/main" id="{DCD5F195-628C-4DAD-A904-3A3A46B4C8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25241250"/>
          <a:ext cx="190500" cy="190500"/>
        </a:xfrm>
        <a:prstGeom prst="rect">
          <a:avLst/>
        </a:prstGeom>
      </xdr:spPr>
    </xdr:pic>
    <xdr:clientData/>
  </xdr:twoCellAnchor>
  <xdr:twoCellAnchor editAs="oneCell">
    <xdr:from>
      <xdr:col>48</xdr:col>
      <xdr:colOff>0</xdr:colOff>
      <xdr:row>138</xdr:row>
      <xdr:rowOff>0</xdr:rowOff>
    </xdr:from>
    <xdr:to>
      <xdr:col>49</xdr:col>
      <xdr:colOff>6350</xdr:colOff>
      <xdr:row>139</xdr:row>
      <xdr:rowOff>6350</xdr:rowOff>
    </xdr:to>
    <xdr:pic>
      <xdr:nvPicPr>
        <xdr:cNvPr id="273" name="Grafik 272">
          <a:extLst>
            <a:ext uri="{FF2B5EF4-FFF2-40B4-BE49-F238E27FC236}">
              <a16:creationId xmlns:a16="http://schemas.microsoft.com/office/drawing/2014/main" id="{97AA1A22-CB06-4619-A301-932146C2270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5425400"/>
          <a:ext cx="190500" cy="190500"/>
        </a:xfrm>
        <a:prstGeom prst="rect">
          <a:avLst/>
        </a:prstGeom>
      </xdr:spPr>
    </xdr:pic>
    <xdr:clientData/>
  </xdr:twoCellAnchor>
  <xdr:twoCellAnchor editAs="oneCell">
    <xdr:from>
      <xdr:col>51</xdr:col>
      <xdr:colOff>0</xdr:colOff>
      <xdr:row>138</xdr:row>
      <xdr:rowOff>0</xdr:rowOff>
    </xdr:from>
    <xdr:to>
      <xdr:col>52</xdr:col>
      <xdr:colOff>6350</xdr:colOff>
      <xdr:row>139</xdr:row>
      <xdr:rowOff>6350</xdr:rowOff>
    </xdr:to>
    <xdr:pic>
      <xdr:nvPicPr>
        <xdr:cNvPr id="274" name="Grafik 273">
          <a:extLst>
            <a:ext uri="{FF2B5EF4-FFF2-40B4-BE49-F238E27FC236}">
              <a16:creationId xmlns:a16="http://schemas.microsoft.com/office/drawing/2014/main" id="{B2CD49F7-EA81-4505-BADB-970B28C2737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25425400"/>
          <a:ext cx="190500" cy="190500"/>
        </a:xfrm>
        <a:prstGeom prst="rect">
          <a:avLst/>
        </a:prstGeom>
      </xdr:spPr>
    </xdr:pic>
    <xdr:clientData/>
  </xdr:twoCellAnchor>
  <xdr:twoCellAnchor editAs="oneCell">
    <xdr:from>
      <xdr:col>51</xdr:col>
      <xdr:colOff>0</xdr:colOff>
      <xdr:row>139</xdr:row>
      <xdr:rowOff>0</xdr:rowOff>
    </xdr:from>
    <xdr:to>
      <xdr:col>52</xdr:col>
      <xdr:colOff>6350</xdr:colOff>
      <xdr:row>140</xdr:row>
      <xdr:rowOff>6350</xdr:rowOff>
    </xdr:to>
    <xdr:pic>
      <xdr:nvPicPr>
        <xdr:cNvPr id="275" name="Grafik 274">
          <a:extLst>
            <a:ext uri="{FF2B5EF4-FFF2-40B4-BE49-F238E27FC236}">
              <a16:creationId xmlns:a16="http://schemas.microsoft.com/office/drawing/2014/main" id="{4A928CC1-4B27-48C0-AFF8-4BB0EB7C75A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25609550"/>
          <a:ext cx="190500" cy="190500"/>
        </a:xfrm>
        <a:prstGeom prst="rect">
          <a:avLst/>
        </a:prstGeom>
      </xdr:spPr>
    </xdr:pic>
    <xdr:clientData/>
  </xdr:twoCellAnchor>
  <xdr:oneCellAnchor>
    <xdr:from>
      <xdr:col>51</xdr:col>
      <xdr:colOff>0</xdr:colOff>
      <xdr:row>139</xdr:row>
      <xdr:rowOff>0</xdr:rowOff>
    </xdr:from>
    <xdr:ext cx="190500" cy="190500"/>
    <xdr:pic>
      <xdr:nvPicPr>
        <xdr:cNvPr id="276" name="Grafik 275">
          <a:extLst>
            <a:ext uri="{FF2B5EF4-FFF2-40B4-BE49-F238E27FC236}">
              <a16:creationId xmlns:a16="http://schemas.microsoft.com/office/drawing/2014/main" id="{23E0C154-D5BF-4D81-BB46-92EC217CE4D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25425400"/>
          <a:ext cx="190500" cy="190500"/>
        </a:xfrm>
        <a:prstGeom prst="rect">
          <a:avLst/>
        </a:prstGeom>
      </xdr:spPr>
    </xdr:pic>
    <xdr:clientData/>
  </xdr:oneCellAnchor>
  <xdr:oneCellAnchor>
    <xdr:from>
      <xdr:col>51</xdr:col>
      <xdr:colOff>0</xdr:colOff>
      <xdr:row>140</xdr:row>
      <xdr:rowOff>0</xdr:rowOff>
    </xdr:from>
    <xdr:ext cx="190500" cy="190500"/>
    <xdr:pic>
      <xdr:nvPicPr>
        <xdr:cNvPr id="277" name="Grafik 276">
          <a:extLst>
            <a:ext uri="{FF2B5EF4-FFF2-40B4-BE49-F238E27FC236}">
              <a16:creationId xmlns:a16="http://schemas.microsoft.com/office/drawing/2014/main" id="{3532E4B0-86CA-4DC3-AE07-8ACC4C92412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25609550"/>
          <a:ext cx="190500" cy="190500"/>
        </a:xfrm>
        <a:prstGeom prst="rect">
          <a:avLst/>
        </a:prstGeom>
      </xdr:spPr>
    </xdr:pic>
    <xdr:clientData/>
  </xdr:oneCellAnchor>
  <xdr:oneCellAnchor>
    <xdr:from>
      <xdr:col>48</xdr:col>
      <xdr:colOff>0</xdr:colOff>
      <xdr:row>141</xdr:row>
      <xdr:rowOff>0</xdr:rowOff>
    </xdr:from>
    <xdr:ext cx="190500" cy="190500"/>
    <xdr:pic>
      <xdr:nvPicPr>
        <xdr:cNvPr id="278" name="Grafik 277">
          <a:extLst>
            <a:ext uri="{FF2B5EF4-FFF2-40B4-BE49-F238E27FC236}">
              <a16:creationId xmlns:a16="http://schemas.microsoft.com/office/drawing/2014/main" id="{5EAB140E-1557-472D-8225-92F7D4885B0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5425400"/>
          <a:ext cx="190500" cy="190500"/>
        </a:xfrm>
        <a:prstGeom prst="rect">
          <a:avLst/>
        </a:prstGeom>
      </xdr:spPr>
    </xdr:pic>
    <xdr:clientData/>
  </xdr:oneCellAnchor>
  <xdr:twoCellAnchor editAs="oneCell">
    <xdr:from>
      <xdr:col>47</xdr:col>
      <xdr:colOff>0</xdr:colOff>
      <xdr:row>282</xdr:row>
      <xdr:rowOff>0</xdr:rowOff>
    </xdr:from>
    <xdr:to>
      <xdr:col>48</xdr:col>
      <xdr:colOff>6350</xdr:colOff>
      <xdr:row>283</xdr:row>
      <xdr:rowOff>6350</xdr:rowOff>
    </xdr:to>
    <xdr:pic>
      <xdr:nvPicPr>
        <xdr:cNvPr id="279" name="Grafik 278">
          <a:extLst>
            <a:ext uri="{FF2B5EF4-FFF2-40B4-BE49-F238E27FC236}">
              <a16:creationId xmlns:a16="http://schemas.microsoft.com/office/drawing/2014/main" id="{6C7AB974-77DA-48E1-8E01-958D6D90FD3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6234350"/>
          <a:ext cx="190500" cy="190500"/>
        </a:xfrm>
        <a:prstGeom prst="rect">
          <a:avLst/>
        </a:prstGeom>
      </xdr:spPr>
    </xdr:pic>
    <xdr:clientData/>
  </xdr:twoCellAnchor>
  <xdr:twoCellAnchor editAs="oneCell">
    <xdr:from>
      <xdr:col>47</xdr:col>
      <xdr:colOff>0</xdr:colOff>
      <xdr:row>283</xdr:row>
      <xdr:rowOff>0</xdr:rowOff>
    </xdr:from>
    <xdr:to>
      <xdr:col>48</xdr:col>
      <xdr:colOff>6350</xdr:colOff>
      <xdr:row>284</xdr:row>
      <xdr:rowOff>6350</xdr:rowOff>
    </xdr:to>
    <xdr:pic>
      <xdr:nvPicPr>
        <xdr:cNvPr id="280" name="Grafik 279">
          <a:extLst>
            <a:ext uri="{FF2B5EF4-FFF2-40B4-BE49-F238E27FC236}">
              <a16:creationId xmlns:a16="http://schemas.microsoft.com/office/drawing/2014/main" id="{9709111D-6225-4BD0-9DAC-4EF5D587499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6418500"/>
          <a:ext cx="190500" cy="190500"/>
        </a:xfrm>
        <a:prstGeom prst="rect">
          <a:avLst/>
        </a:prstGeom>
      </xdr:spPr>
    </xdr:pic>
    <xdr:clientData/>
  </xdr:twoCellAnchor>
  <xdr:oneCellAnchor>
    <xdr:from>
      <xdr:col>51</xdr:col>
      <xdr:colOff>0</xdr:colOff>
      <xdr:row>284</xdr:row>
      <xdr:rowOff>0</xdr:rowOff>
    </xdr:from>
    <xdr:ext cx="190500" cy="190500"/>
    <xdr:pic>
      <xdr:nvPicPr>
        <xdr:cNvPr id="281" name="Grafik 280">
          <a:extLst>
            <a:ext uri="{FF2B5EF4-FFF2-40B4-BE49-F238E27FC236}">
              <a16:creationId xmlns:a16="http://schemas.microsoft.com/office/drawing/2014/main" id="{2BBA8069-FE2C-422E-A5DA-0703DF6C7B4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6602650"/>
          <a:ext cx="190500" cy="190500"/>
        </a:xfrm>
        <a:prstGeom prst="rect">
          <a:avLst/>
        </a:prstGeom>
      </xdr:spPr>
    </xdr:pic>
    <xdr:clientData/>
  </xdr:oneCellAnchor>
  <xdr:twoCellAnchor editAs="oneCell">
    <xdr:from>
      <xdr:col>53</xdr:col>
      <xdr:colOff>0</xdr:colOff>
      <xdr:row>285</xdr:row>
      <xdr:rowOff>0</xdr:rowOff>
    </xdr:from>
    <xdr:to>
      <xdr:col>54</xdr:col>
      <xdr:colOff>6350</xdr:colOff>
      <xdr:row>286</xdr:row>
      <xdr:rowOff>6350</xdr:rowOff>
    </xdr:to>
    <xdr:pic>
      <xdr:nvPicPr>
        <xdr:cNvPr id="282" name="Grafik 281">
          <a:extLst>
            <a:ext uri="{FF2B5EF4-FFF2-40B4-BE49-F238E27FC236}">
              <a16:creationId xmlns:a16="http://schemas.microsoft.com/office/drawing/2014/main" id="{C04B3B16-F848-443F-86F6-9766BE7F787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46786800"/>
          <a:ext cx="190500" cy="190500"/>
        </a:xfrm>
        <a:prstGeom prst="rect">
          <a:avLst/>
        </a:prstGeom>
      </xdr:spPr>
    </xdr:pic>
    <xdr:clientData/>
  </xdr:twoCellAnchor>
  <xdr:oneCellAnchor>
    <xdr:from>
      <xdr:col>53</xdr:col>
      <xdr:colOff>0</xdr:colOff>
      <xdr:row>286</xdr:row>
      <xdr:rowOff>0</xdr:rowOff>
    </xdr:from>
    <xdr:ext cx="190500" cy="190500"/>
    <xdr:pic>
      <xdr:nvPicPr>
        <xdr:cNvPr id="283" name="Grafik 282">
          <a:extLst>
            <a:ext uri="{FF2B5EF4-FFF2-40B4-BE49-F238E27FC236}">
              <a16:creationId xmlns:a16="http://schemas.microsoft.com/office/drawing/2014/main" id="{FBCFBA58-B494-4074-81EF-D21AADDDD9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46786800"/>
          <a:ext cx="190500" cy="190500"/>
        </a:xfrm>
        <a:prstGeom prst="rect">
          <a:avLst/>
        </a:prstGeom>
      </xdr:spPr>
    </xdr:pic>
    <xdr:clientData/>
  </xdr:oneCellAnchor>
  <xdr:twoCellAnchor editAs="oneCell">
    <xdr:from>
      <xdr:col>52</xdr:col>
      <xdr:colOff>0</xdr:colOff>
      <xdr:row>142</xdr:row>
      <xdr:rowOff>0</xdr:rowOff>
    </xdr:from>
    <xdr:to>
      <xdr:col>53</xdr:col>
      <xdr:colOff>6350</xdr:colOff>
      <xdr:row>143</xdr:row>
      <xdr:rowOff>6350</xdr:rowOff>
    </xdr:to>
    <xdr:pic>
      <xdr:nvPicPr>
        <xdr:cNvPr id="285" name="Grafik 284">
          <a:extLst>
            <a:ext uri="{FF2B5EF4-FFF2-40B4-BE49-F238E27FC236}">
              <a16:creationId xmlns:a16="http://schemas.microsoft.com/office/drawing/2014/main" id="{AE2121EF-A73F-4EEF-97A2-466A2E369ED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711400" y="26162000"/>
          <a:ext cx="190500" cy="190500"/>
        </a:xfrm>
        <a:prstGeom prst="rect">
          <a:avLst/>
        </a:prstGeom>
      </xdr:spPr>
    </xdr:pic>
    <xdr:clientData/>
  </xdr:twoCellAnchor>
  <xdr:twoCellAnchor editAs="oneCell">
    <xdr:from>
      <xdr:col>53</xdr:col>
      <xdr:colOff>0</xdr:colOff>
      <xdr:row>142</xdr:row>
      <xdr:rowOff>0</xdr:rowOff>
    </xdr:from>
    <xdr:to>
      <xdr:col>54</xdr:col>
      <xdr:colOff>6350</xdr:colOff>
      <xdr:row>143</xdr:row>
      <xdr:rowOff>6350</xdr:rowOff>
    </xdr:to>
    <xdr:pic>
      <xdr:nvPicPr>
        <xdr:cNvPr id="286" name="Grafik 285">
          <a:extLst>
            <a:ext uri="{FF2B5EF4-FFF2-40B4-BE49-F238E27FC236}">
              <a16:creationId xmlns:a16="http://schemas.microsoft.com/office/drawing/2014/main" id="{9EBA7E51-FBE2-4C37-901F-53010B94A8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6162000"/>
          <a:ext cx="190500" cy="190500"/>
        </a:xfrm>
        <a:prstGeom prst="rect">
          <a:avLst/>
        </a:prstGeom>
      </xdr:spPr>
    </xdr:pic>
    <xdr:clientData/>
  </xdr:twoCellAnchor>
  <xdr:oneCellAnchor>
    <xdr:from>
      <xdr:col>53</xdr:col>
      <xdr:colOff>0</xdr:colOff>
      <xdr:row>287</xdr:row>
      <xdr:rowOff>0</xdr:rowOff>
    </xdr:from>
    <xdr:ext cx="190500" cy="190500"/>
    <xdr:pic>
      <xdr:nvPicPr>
        <xdr:cNvPr id="287" name="Grafik 286">
          <a:extLst>
            <a:ext uri="{FF2B5EF4-FFF2-40B4-BE49-F238E27FC236}">
              <a16:creationId xmlns:a16="http://schemas.microsoft.com/office/drawing/2014/main" id="{DF42C990-E391-4A6D-8429-F8F601D1E3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26162000"/>
          <a:ext cx="190500" cy="190500"/>
        </a:xfrm>
        <a:prstGeom prst="rect">
          <a:avLst/>
        </a:prstGeom>
      </xdr:spPr>
    </xdr:pic>
    <xdr:clientData/>
  </xdr:oneCellAnchor>
  <xdr:twoCellAnchor editAs="oneCell">
    <xdr:from>
      <xdr:col>52</xdr:col>
      <xdr:colOff>0</xdr:colOff>
      <xdr:row>287</xdr:row>
      <xdr:rowOff>0</xdr:rowOff>
    </xdr:from>
    <xdr:to>
      <xdr:col>53</xdr:col>
      <xdr:colOff>6350</xdr:colOff>
      <xdr:row>288</xdr:row>
      <xdr:rowOff>6350</xdr:rowOff>
    </xdr:to>
    <xdr:pic>
      <xdr:nvPicPr>
        <xdr:cNvPr id="288" name="Grafik 287">
          <a:extLst>
            <a:ext uri="{FF2B5EF4-FFF2-40B4-BE49-F238E27FC236}">
              <a16:creationId xmlns:a16="http://schemas.microsoft.com/office/drawing/2014/main" id="{615A06AD-CFD8-4637-A979-807C318A01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711400" y="47155100"/>
          <a:ext cx="190500" cy="190500"/>
        </a:xfrm>
        <a:prstGeom prst="rect">
          <a:avLst/>
        </a:prstGeom>
      </xdr:spPr>
    </xdr:pic>
    <xdr:clientData/>
  </xdr:twoCellAnchor>
  <xdr:oneCellAnchor>
    <xdr:from>
      <xdr:col>53</xdr:col>
      <xdr:colOff>0</xdr:colOff>
      <xdr:row>287</xdr:row>
      <xdr:rowOff>0</xdr:rowOff>
    </xdr:from>
    <xdr:ext cx="190500" cy="190500"/>
    <xdr:pic>
      <xdr:nvPicPr>
        <xdr:cNvPr id="284" name="Grafik 283">
          <a:extLst>
            <a:ext uri="{FF2B5EF4-FFF2-40B4-BE49-F238E27FC236}">
              <a16:creationId xmlns:a16="http://schemas.microsoft.com/office/drawing/2014/main" id="{068FBB3E-D707-4596-83F4-D8D13DDCBB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46970950"/>
          <a:ext cx="190500" cy="190500"/>
        </a:xfrm>
        <a:prstGeom prst="rect">
          <a:avLst/>
        </a:prstGeom>
      </xdr:spPr>
    </xdr:pic>
    <xdr:clientData/>
  </xdr:oneCellAnchor>
  <xdr:oneCellAnchor>
    <xdr:from>
      <xdr:col>53</xdr:col>
      <xdr:colOff>0</xdr:colOff>
      <xdr:row>288</xdr:row>
      <xdr:rowOff>0</xdr:rowOff>
    </xdr:from>
    <xdr:ext cx="190500" cy="190500"/>
    <xdr:pic>
      <xdr:nvPicPr>
        <xdr:cNvPr id="289" name="Grafik 288">
          <a:extLst>
            <a:ext uri="{FF2B5EF4-FFF2-40B4-BE49-F238E27FC236}">
              <a16:creationId xmlns:a16="http://schemas.microsoft.com/office/drawing/2014/main" id="{33AFE85F-1B6C-4B5A-ADD4-6EEC95F66B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47155100"/>
          <a:ext cx="190500" cy="190500"/>
        </a:xfrm>
        <a:prstGeom prst="rect">
          <a:avLst/>
        </a:prstGeom>
      </xdr:spPr>
    </xdr:pic>
    <xdr:clientData/>
  </xdr:oneCellAnchor>
  <xdr:twoCellAnchor editAs="oneCell">
    <xdr:from>
      <xdr:col>52</xdr:col>
      <xdr:colOff>0</xdr:colOff>
      <xdr:row>288</xdr:row>
      <xdr:rowOff>0</xdr:rowOff>
    </xdr:from>
    <xdr:to>
      <xdr:col>53</xdr:col>
      <xdr:colOff>6350</xdr:colOff>
      <xdr:row>289</xdr:row>
      <xdr:rowOff>6350</xdr:rowOff>
    </xdr:to>
    <xdr:pic>
      <xdr:nvPicPr>
        <xdr:cNvPr id="290" name="Grafik 289">
          <a:extLst>
            <a:ext uri="{FF2B5EF4-FFF2-40B4-BE49-F238E27FC236}">
              <a16:creationId xmlns:a16="http://schemas.microsoft.com/office/drawing/2014/main" id="{B5B3001E-9B0F-432C-ACA1-C9E1680E43C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711400" y="47339250"/>
          <a:ext cx="190500" cy="190500"/>
        </a:xfrm>
        <a:prstGeom prst="rect">
          <a:avLst/>
        </a:prstGeom>
      </xdr:spPr>
    </xdr:pic>
    <xdr:clientData/>
  </xdr:twoCellAnchor>
  <xdr:oneCellAnchor>
    <xdr:from>
      <xdr:col>50</xdr:col>
      <xdr:colOff>0</xdr:colOff>
      <xdr:row>289</xdr:row>
      <xdr:rowOff>0</xdr:rowOff>
    </xdr:from>
    <xdr:ext cx="190500" cy="190500"/>
    <xdr:pic>
      <xdr:nvPicPr>
        <xdr:cNvPr id="291" name="Grafik 290">
          <a:extLst>
            <a:ext uri="{FF2B5EF4-FFF2-40B4-BE49-F238E27FC236}">
              <a16:creationId xmlns:a16="http://schemas.microsoft.com/office/drawing/2014/main" id="{D4A6AD61-3A7E-4FA4-A470-DA77D09091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7523400"/>
          <a:ext cx="190500" cy="190500"/>
        </a:xfrm>
        <a:prstGeom prst="rect">
          <a:avLst/>
        </a:prstGeom>
      </xdr:spPr>
    </xdr:pic>
    <xdr:clientData/>
  </xdr:oneCellAnchor>
  <xdr:oneCellAnchor>
    <xdr:from>
      <xdr:col>49</xdr:col>
      <xdr:colOff>0</xdr:colOff>
      <xdr:row>290</xdr:row>
      <xdr:rowOff>0</xdr:rowOff>
    </xdr:from>
    <xdr:ext cx="190500" cy="190500"/>
    <xdr:pic>
      <xdr:nvPicPr>
        <xdr:cNvPr id="292" name="Grafik 291">
          <a:extLst>
            <a:ext uri="{FF2B5EF4-FFF2-40B4-BE49-F238E27FC236}">
              <a16:creationId xmlns:a16="http://schemas.microsoft.com/office/drawing/2014/main" id="{23EF5688-52E5-41FB-ACEC-14F20CE11B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7707550"/>
          <a:ext cx="190500" cy="190500"/>
        </a:xfrm>
        <a:prstGeom prst="rect">
          <a:avLst/>
        </a:prstGeom>
      </xdr:spPr>
    </xdr:pic>
    <xdr:clientData/>
  </xdr:oneCellAnchor>
  <xdr:oneCellAnchor>
    <xdr:from>
      <xdr:col>48</xdr:col>
      <xdr:colOff>0</xdr:colOff>
      <xdr:row>291</xdr:row>
      <xdr:rowOff>0</xdr:rowOff>
    </xdr:from>
    <xdr:ext cx="190500" cy="190500"/>
    <xdr:pic>
      <xdr:nvPicPr>
        <xdr:cNvPr id="293" name="Grafik 292">
          <a:extLst>
            <a:ext uri="{FF2B5EF4-FFF2-40B4-BE49-F238E27FC236}">
              <a16:creationId xmlns:a16="http://schemas.microsoft.com/office/drawing/2014/main" id="{1CDFB7DF-92F2-4F9B-9D49-0AE2A74A8C4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47891700"/>
          <a:ext cx="190500" cy="190500"/>
        </a:xfrm>
        <a:prstGeom prst="rect">
          <a:avLst/>
        </a:prstGeom>
      </xdr:spPr>
    </xdr:pic>
    <xdr:clientData/>
  </xdr:oneCellAnchor>
  <xdr:twoCellAnchor editAs="oneCell">
    <xdr:from>
      <xdr:col>48</xdr:col>
      <xdr:colOff>0</xdr:colOff>
      <xdr:row>143</xdr:row>
      <xdr:rowOff>0</xdr:rowOff>
    </xdr:from>
    <xdr:to>
      <xdr:col>49</xdr:col>
      <xdr:colOff>6350</xdr:colOff>
      <xdr:row>144</xdr:row>
      <xdr:rowOff>6350</xdr:rowOff>
    </xdr:to>
    <xdr:pic>
      <xdr:nvPicPr>
        <xdr:cNvPr id="294" name="Grafik 293">
          <a:extLst>
            <a:ext uri="{FF2B5EF4-FFF2-40B4-BE49-F238E27FC236}">
              <a16:creationId xmlns:a16="http://schemas.microsoft.com/office/drawing/2014/main" id="{B031C3C2-72E0-498C-A493-1655A2C3B56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26346150"/>
          <a:ext cx="190500" cy="190500"/>
        </a:xfrm>
        <a:prstGeom prst="rect">
          <a:avLst/>
        </a:prstGeom>
      </xdr:spPr>
    </xdr:pic>
    <xdr:clientData/>
  </xdr:twoCellAnchor>
  <xdr:oneCellAnchor>
    <xdr:from>
      <xdr:col>51</xdr:col>
      <xdr:colOff>0</xdr:colOff>
      <xdr:row>294</xdr:row>
      <xdr:rowOff>0</xdr:rowOff>
    </xdr:from>
    <xdr:ext cx="190500" cy="190500"/>
    <xdr:pic>
      <xdr:nvPicPr>
        <xdr:cNvPr id="295" name="Grafik 294">
          <a:extLst>
            <a:ext uri="{FF2B5EF4-FFF2-40B4-BE49-F238E27FC236}">
              <a16:creationId xmlns:a16="http://schemas.microsoft.com/office/drawing/2014/main" id="{9018CE35-462B-4FBF-A610-62B3EABF41E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8444150"/>
          <a:ext cx="190500" cy="190500"/>
        </a:xfrm>
        <a:prstGeom prst="rect">
          <a:avLst/>
        </a:prstGeom>
      </xdr:spPr>
    </xdr:pic>
    <xdr:clientData/>
  </xdr:oneCellAnchor>
  <xdr:oneCellAnchor>
    <xdr:from>
      <xdr:col>49</xdr:col>
      <xdr:colOff>0</xdr:colOff>
      <xdr:row>293</xdr:row>
      <xdr:rowOff>0</xdr:rowOff>
    </xdr:from>
    <xdr:ext cx="190500" cy="190500"/>
    <xdr:pic>
      <xdr:nvPicPr>
        <xdr:cNvPr id="297" name="Grafik 296">
          <a:extLst>
            <a:ext uri="{FF2B5EF4-FFF2-40B4-BE49-F238E27FC236}">
              <a16:creationId xmlns:a16="http://schemas.microsoft.com/office/drawing/2014/main" id="{01DF8C19-7600-4488-81F4-F39F5DF8E5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8260000"/>
          <a:ext cx="190500" cy="190500"/>
        </a:xfrm>
        <a:prstGeom prst="rect">
          <a:avLst/>
        </a:prstGeom>
      </xdr:spPr>
    </xdr:pic>
    <xdr:clientData/>
  </xdr:oneCellAnchor>
  <xdr:oneCellAnchor>
    <xdr:from>
      <xdr:col>53</xdr:col>
      <xdr:colOff>0</xdr:colOff>
      <xdr:row>292</xdr:row>
      <xdr:rowOff>0</xdr:rowOff>
    </xdr:from>
    <xdr:ext cx="190500" cy="190500"/>
    <xdr:pic>
      <xdr:nvPicPr>
        <xdr:cNvPr id="298" name="Grafik 297">
          <a:extLst>
            <a:ext uri="{FF2B5EF4-FFF2-40B4-BE49-F238E27FC236}">
              <a16:creationId xmlns:a16="http://schemas.microsoft.com/office/drawing/2014/main" id="{E3825FF2-BFAD-41D3-B352-0EC9138F21B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895550" y="48075850"/>
          <a:ext cx="190500" cy="190500"/>
        </a:xfrm>
        <a:prstGeom prst="rect">
          <a:avLst/>
        </a:prstGeom>
      </xdr:spPr>
    </xdr:pic>
    <xdr:clientData/>
  </xdr:oneCellAnchor>
  <xdr:oneCellAnchor>
    <xdr:from>
      <xdr:col>50</xdr:col>
      <xdr:colOff>0</xdr:colOff>
      <xdr:row>292</xdr:row>
      <xdr:rowOff>0</xdr:rowOff>
    </xdr:from>
    <xdr:ext cx="190500" cy="190500"/>
    <xdr:pic>
      <xdr:nvPicPr>
        <xdr:cNvPr id="299" name="Grafik 298">
          <a:extLst>
            <a:ext uri="{FF2B5EF4-FFF2-40B4-BE49-F238E27FC236}">
              <a16:creationId xmlns:a16="http://schemas.microsoft.com/office/drawing/2014/main" id="{E15DA935-EB35-4E5D-BBFE-7069F59153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8075850"/>
          <a:ext cx="190500" cy="190500"/>
        </a:xfrm>
        <a:prstGeom prst="rect">
          <a:avLst/>
        </a:prstGeom>
      </xdr:spPr>
    </xdr:pic>
    <xdr:clientData/>
  </xdr:oneCellAnchor>
  <xdr:oneCellAnchor>
    <xdr:from>
      <xdr:col>50</xdr:col>
      <xdr:colOff>0</xdr:colOff>
      <xdr:row>295</xdr:row>
      <xdr:rowOff>0</xdr:rowOff>
    </xdr:from>
    <xdr:ext cx="190500" cy="190500"/>
    <xdr:pic>
      <xdr:nvPicPr>
        <xdr:cNvPr id="296" name="Grafik 295">
          <a:extLst>
            <a:ext uri="{FF2B5EF4-FFF2-40B4-BE49-F238E27FC236}">
              <a16:creationId xmlns:a16="http://schemas.microsoft.com/office/drawing/2014/main" id="{903E677F-D620-4BD5-8D5D-0071A5C2B6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343100" y="48628300"/>
          <a:ext cx="190500" cy="190500"/>
        </a:xfrm>
        <a:prstGeom prst="rect">
          <a:avLst/>
        </a:prstGeom>
      </xdr:spPr>
    </xdr:pic>
    <xdr:clientData/>
  </xdr:oneCellAnchor>
  <xdr:oneCellAnchor>
    <xdr:from>
      <xdr:col>51</xdr:col>
      <xdr:colOff>0</xdr:colOff>
      <xdr:row>296</xdr:row>
      <xdr:rowOff>0</xdr:rowOff>
    </xdr:from>
    <xdr:ext cx="190500" cy="190500"/>
    <xdr:pic>
      <xdr:nvPicPr>
        <xdr:cNvPr id="300" name="Grafik 299">
          <a:extLst>
            <a:ext uri="{FF2B5EF4-FFF2-40B4-BE49-F238E27FC236}">
              <a16:creationId xmlns:a16="http://schemas.microsoft.com/office/drawing/2014/main" id="{C4FDCC8D-1264-4620-B879-75F768F1FD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527250" y="48812450"/>
          <a:ext cx="190500" cy="190500"/>
        </a:xfrm>
        <a:prstGeom prst="rect">
          <a:avLst/>
        </a:prstGeom>
      </xdr:spPr>
    </xdr:pic>
    <xdr:clientData/>
  </xdr:oneCellAnchor>
  <xdr:twoCellAnchor editAs="oneCell">
    <xdr:from>
      <xdr:col>46</xdr:col>
      <xdr:colOff>0</xdr:colOff>
      <xdr:row>144</xdr:row>
      <xdr:rowOff>0</xdr:rowOff>
    </xdr:from>
    <xdr:to>
      <xdr:col>47</xdr:col>
      <xdr:colOff>6350</xdr:colOff>
      <xdr:row>145</xdr:row>
      <xdr:rowOff>6350</xdr:rowOff>
    </xdr:to>
    <xdr:pic>
      <xdr:nvPicPr>
        <xdr:cNvPr id="301" name="Grafik 300">
          <a:extLst>
            <a:ext uri="{FF2B5EF4-FFF2-40B4-BE49-F238E27FC236}">
              <a16:creationId xmlns:a16="http://schemas.microsoft.com/office/drawing/2014/main" id="{654FD3ED-15F8-4B52-A74A-2A8E4C3094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26530300"/>
          <a:ext cx="190500" cy="190500"/>
        </a:xfrm>
        <a:prstGeom prst="rect">
          <a:avLst/>
        </a:prstGeom>
      </xdr:spPr>
    </xdr:pic>
    <xdr:clientData/>
  </xdr:twoCellAnchor>
  <xdr:oneCellAnchor>
    <xdr:from>
      <xdr:col>46</xdr:col>
      <xdr:colOff>0</xdr:colOff>
      <xdr:row>298</xdr:row>
      <xdr:rowOff>0</xdr:rowOff>
    </xdr:from>
    <xdr:ext cx="190500" cy="190500"/>
    <xdr:pic>
      <xdr:nvPicPr>
        <xdr:cNvPr id="303" name="Grafik 302">
          <a:extLst>
            <a:ext uri="{FF2B5EF4-FFF2-40B4-BE49-F238E27FC236}">
              <a16:creationId xmlns:a16="http://schemas.microsoft.com/office/drawing/2014/main" id="{E3A5CE46-7B5A-4523-9230-FE9F30E53F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26530300"/>
          <a:ext cx="190500" cy="190500"/>
        </a:xfrm>
        <a:prstGeom prst="rect">
          <a:avLst/>
        </a:prstGeom>
      </xdr:spPr>
    </xdr:pic>
    <xdr:clientData/>
  </xdr:oneCellAnchor>
  <xdr:oneCellAnchor>
    <xdr:from>
      <xdr:col>46</xdr:col>
      <xdr:colOff>0</xdr:colOff>
      <xdr:row>297</xdr:row>
      <xdr:rowOff>0</xdr:rowOff>
    </xdr:from>
    <xdr:ext cx="190500" cy="190500"/>
    <xdr:pic>
      <xdr:nvPicPr>
        <xdr:cNvPr id="304" name="Grafik 303">
          <a:extLst>
            <a:ext uri="{FF2B5EF4-FFF2-40B4-BE49-F238E27FC236}">
              <a16:creationId xmlns:a16="http://schemas.microsoft.com/office/drawing/2014/main" id="{D5F1DD00-A75D-4017-AF7D-3BE01B845D6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606500" y="48996600"/>
          <a:ext cx="190500" cy="190500"/>
        </a:xfrm>
        <a:prstGeom prst="rect">
          <a:avLst/>
        </a:prstGeom>
      </xdr:spPr>
    </xdr:pic>
    <xdr:clientData/>
  </xdr:oneCellAnchor>
  <xdr:oneCellAnchor>
    <xdr:from>
      <xdr:col>49</xdr:col>
      <xdr:colOff>0</xdr:colOff>
      <xdr:row>299</xdr:row>
      <xdr:rowOff>0</xdr:rowOff>
    </xdr:from>
    <xdr:ext cx="190500" cy="190500"/>
    <xdr:pic>
      <xdr:nvPicPr>
        <xdr:cNvPr id="305" name="Grafik 304">
          <a:extLst>
            <a:ext uri="{FF2B5EF4-FFF2-40B4-BE49-F238E27FC236}">
              <a16:creationId xmlns:a16="http://schemas.microsoft.com/office/drawing/2014/main" id="{7ADB9A9D-CB28-4C1C-8A1D-4412367CEAB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158950" y="49364900"/>
          <a:ext cx="190500" cy="190500"/>
        </a:xfrm>
        <a:prstGeom prst="rect">
          <a:avLst/>
        </a:prstGeom>
      </xdr:spPr>
    </xdr:pic>
    <xdr:clientData/>
  </xdr:oneCellAnchor>
  <xdr:twoCellAnchor editAs="oneCell">
    <xdr:from>
      <xdr:col>47</xdr:col>
      <xdr:colOff>0</xdr:colOff>
      <xdr:row>300</xdr:row>
      <xdr:rowOff>0</xdr:rowOff>
    </xdr:from>
    <xdr:to>
      <xdr:col>48</xdr:col>
      <xdr:colOff>6350</xdr:colOff>
      <xdr:row>301</xdr:row>
      <xdr:rowOff>6350</xdr:rowOff>
    </xdr:to>
    <xdr:pic>
      <xdr:nvPicPr>
        <xdr:cNvPr id="302" name="Grafik 301">
          <a:extLst>
            <a:ext uri="{FF2B5EF4-FFF2-40B4-BE49-F238E27FC236}">
              <a16:creationId xmlns:a16="http://schemas.microsoft.com/office/drawing/2014/main" id="{DF98AB6A-D6A2-4720-B75F-8B3E685011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49549050"/>
          <a:ext cx="190500" cy="190500"/>
        </a:xfrm>
        <a:prstGeom prst="rect">
          <a:avLst/>
        </a:prstGeom>
      </xdr:spPr>
    </xdr:pic>
    <xdr:clientData/>
  </xdr:twoCellAnchor>
  <xdr:oneCellAnchor>
    <xdr:from>
      <xdr:col>48</xdr:col>
      <xdr:colOff>0</xdr:colOff>
      <xdr:row>301</xdr:row>
      <xdr:rowOff>0</xdr:rowOff>
    </xdr:from>
    <xdr:ext cx="190500" cy="190500"/>
    <xdr:pic>
      <xdr:nvPicPr>
        <xdr:cNvPr id="306" name="Grafik 305">
          <a:extLst>
            <a:ext uri="{FF2B5EF4-FFF2-40B4-BE49-F238E27FC236}">
              <a16:creationId xmlns:a16="http://schemas.microsoft.com/office/drawing/2014/main" id="{B6D10EFA-A669-4352-81A8-1EA40CEBFBA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974800" y="50285650"/>
          <a:ext cx="190500" cy="190500"/>
        </a:xfrm>
        <a:prstGeom prst="rect">
          <a:avLst/>
        </a:prstGeom>
      </xdr:spPr>
    </xdr:pic>
    <xdr:clientData/>
  </xdr:oneCellAnchor>
  <xdr:twoCellAnchor editAs="oneCell">
    <xdr:from>
      <xdr:col>47</xdr:col>
      <xdr:colOff>0</xdr:colOff>
      <xdr:row>302</xdr:row>
      <xdr:rowOff>0</xdr:rowOff>
    </xdr:from>
    <xdr:to>
      <xdr:col>48</xdr:col>
      <xdr:colOff>6350</xdr:colOff>
      <xdr:row>303</xdr:row>
      <xdr:rowOff>6350</xdr:rowOff>
    </xdr:to>
    <xdr:pic>
      <xdr:nvPicPr>
        <xdr:cNvPr id="307" name="Grafik 306">
          <a:extLst>
            <a:ext uri="{FF2B5EF4-FFF2-40B4-BE49-F238E27FC236}">
              <a16:creationId xmlns:a16="http://schemas.microsoft.com/office/drawing/2014/main" id="{270331C0-803B-44DA-B980-486768AA530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790650" y="50469800"/>
          <a:ext cx="190500" cy="190500"/>
        </a:xfrm>
        <a:prstGeom prst="rect">
          <a:avLst/>
        </a:prstGeom>
      </xdr:spPr>
    </xdr:pic>
    <xdr:clientData/>
  </xdr:twoCellAnchor>
  <xdr:oneCellAnchor>
    <xdr:from>
      <xdr:col>48</xdr:col>
      <xdr:colOff>0</xdr:colOff>
      <xdr:row>303</xdr:row>
      <xdr:rowOff>0</xdr:rowOff>
    </xdr:from>
    <xdr:ext cx="190500" cy="190500"/>
    <xdr:pic>
      <xdr:nvPicPr>
        <xdr:cNvPr id="309" name="Grafik 308">
          <a:extLst>
            <a:ext uri="{FF2B5EF4-FFF2-40B4-BE49-F238E27FC236}">
              <a16:creationId xmlns:a16="http://schemas.microsoft.com/office/drawing/2014/main" id="{6CC998C8-D0BB-47D6-BA9C-4A2DFD5524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50653950"/>
          <a:ext cx="190500" cy="190500"/>
        </a:xfrm>
        <a:prstGeom prst="rect">
          <a:avLst/>
        </a:prstGeom>
      </xdr:spPr>
    </xdr:pic>
    <xdr:clientData/>
  </xdr:oneCellAnchor>
  <xdr:oneCellAnchor>
    <xdr:from>
      <xdr:col>48</xdr:col>
      <xdr:colOff>0</xdr:colOff>
      <xdr:row>304</xdr:row>
      <xdr:rowOff>0</xdr:rowOff>
    </xdr:from>
    <xdr:ext cx="190500" cy="190500"/>
    <xdr:pic>
      <xdr:nvPicPr>
        <xdr:cNvPr id="308" name="Grafik 307">
          <a:extLst>
            <a:ext uri="{FF2B5EF4-FFF2-40B4-BE49-F238E27FC236}">
              <a16:creationId xmlns:a16="http://schemas.microsoft.com/office/drawing/2014/main" id="{4E3172F2-EE76-4F41-A42D-11833AF4A9C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50838100"/>
          <a:ext cx="190500" cy="190500"/>
        </a:xfrm>
        <a:prstGeom prst="rect">
          <a:avLst/>
        </a:prstGeom>
      </xdr:spPr>
    </xdr:pic>
    <xdr:clientData/>
  </xdr:oneCellAnchor>
  <xdr:twoCellAnchor>
    <xdr:from>
      <xdr:col>56</xdr:col>
      <xdr:colOff>422275</xdr:colOff>
      <xdr:row>5</xdr:row>
      <xdr:rowOff>0</xdr:rowOff>
    </xdr:from>
    <xdr:to>
      <xdr:col>60</xdr:col>
      <xdr:colOff>222250</xdr:colOff>
      <xdr:row>21</xdr:row>
      <xdr:rowOff>114300</xdr:rowOff>
    </xdr:to>
    <xdr:graphicFrame macro="">
      <xdr:nvGraphicFramePr>
        <xdr:cNvPr id="140" name="Diagramm 139">
          <a:extLst>
            <a:ext uri="{FF2B5EF4-FFF2-40B4-BE49-F238E27FC236}">
              <a16:creationId xmlns:a16="http://schemas.microsoft.com/office/drawing/2014/main" id="{58A83565-E208-4C75-A751-106FA26640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48</xdr:col>
      <xdr:colOff>0</xdr:colOff>
      <xdr:row>145</xdr:row>
      <xdr:rowOff>0</xdr:rowOff>
    </xdr:from>
    <xdr:to>
      <xdr:col>49</xdr:col>
      <xdr:colOff>6350</xdr:colOff>
      <xdr:row>146</xdr:row>
      <xdr:rowOff>6350</xdr:rowOff>
    </xdr:to>
    <xdr:pic>
      <xdr:nvPicPr>
        <xdr:cNvPr id="310" name="Grafik 309">
          <a:extLst>
            <a:ext uri="{FF2B5EF4-FFF2-40B4-BE49-F238E27FC236}">
              <a16:creationId xmlns:a16="http://schemas.microsoft.com/office/drawing/2014/main" id="{2BF4F4CA-70BC-4732-AB13-384944C1FDC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26714450"/>
          <a:ext cx="190500" cy="190500"/>
        </a:xfrm>
        <a:prstGeom prst="rect">
          <a:avLst/>
        </a:prstGeom>
      </xdr:spPr>
    </xdr:pic>
    <xdr:clientData/>
  </xdr:twoCellAnchor>
  <xdr:oneCellAnchor>
    <xdr:from>
      <xdr:col>48</xdr:col>
      <xdr:colOff>0</xdr:colOff>
      <xdr:row>305</xdr:row>
      <xdr:rowOff>0</xdr:rowOff>
    </xdr:from>
    <xdr:ext cx="190500" cy="190500"/>
    <xdr:pic>
      <xdr:nvPicPr>
        <xdr:cNvPr id="311" name="Grafik 310">
          <a:extLst>
            <a:ext uri="{FF2B5EF4-FFF2-40B4-BE49-F238E27FC236}">
              <a16:creationId xmlns:a16="http://schemas.microsoft.com/office/drawing/2014/main" id="{67596F2A-6F67-4B04-8CE2-68AC2CF1D12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51206400"/>
          <a:ext cx="190500" cy="190500"/>
        </a:xfrm>
        <a:prstGeom prst="rect">
          <a:avLst/>
        </a:prstGeom>
      </xdr:spPr>
    </xdr:pic>
    <xdr:clientData/>
  </xdr:oneCellAnchor>
  <xdr:twoCellAnchor editAs="oneCell">
    <xdr:from>
      <xdr:col>53</xdr:col>
      <xdr:colOff>0</xdr:colOff>
      <xdr:row>146</xdr:row>
      <xdr:rowOff>0</xdr:rowOff>
    </xdr:from>
    <xdr:to>
      <xdr:col>54</xdr:col>
      <xdr:colOff>6350</xdr:colOff>
      <xdr:row>147</xdr:row>
      <xdr:rowOff>6350</xdr:rowOff>
    </xdr:to>
    <xdr:pic>
      <xdr:nvPicPr>
        <xdr:cNvPr id="312" name="Grafik 311">
          <a:extLst>
            <a:ext uri="{FF2B5EF4-FFF2-40B4-BE49-F238E27FC236}">
              <a16:creationId xmlns:a16="http://schemas.microsoft.com/office/drawing/2014/main" id="{454891A3-4BFC-46CD-A198-AA5473938A1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90750" y="26898600"/>
          <a:ext cx="190500" cy="190500"/>
        </a:xfrm>
        <a:prstGeom prst="rect">
          <a:avLst/>
        </a:prstGeom>
      </xdr:spPr>
    </xdr:pic>
    <xdr:clientData/>
  </xdr:twoCellAnchor>
  <xdr:oneCellAnchor>
    <xdr:from>
      <xdr:col>48</xdr:col>
      <xdr:colOff>0</xdr:colOff>
      <xdr:row>305</xdr:row>
      <xdr:rowOff>0</xdr:rowOff>
    </xdr:from>
    <xdr:ext cx="190500" cy="190500"/>
    <xdr:pic>
      <xdr:nvPicPr>
        <xdr:cNvPr id="313" name="Grafik 312">
          <a:extLst>
            <a:ext uri="{FF2B5EF4-FFF2-40B4-BE49-F238E27FC236}">
              <a16:creationId xmlns:a16="http://schemas.microsoft.com/office/drawing/2014/main" id="{CDCB17AA-AF86-4439-B426-0DC3492377E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26714450"/>
          <a:ext cx="190500" cy="190500"/>
        </a:xfrm>
        <a:prstGeom prst="rect">
          <a:avLst/>
        </a:prstGeom>
      </xdr:spPr>
    </xdr:pic>
    <xdr:clientData/>
  </xdr:oneCellAnchor>
  <xdr:oneCellAnchor>
    <xdr:from>
      <xdr:col>53</xdr:col>
      <xdr:colOff>0</xdr:colOff>
      <xdr:row>306</xdr:row>
      <xdr:rowOff>0</xdr:rowOff>
    </xdr:from>
    <xdr:ext cx="190500" cy="190500"/>
    <xdr:pic>
      <xdr:nvPicPr>
        <xdr:cNvPr id="314" name="Grafik 313">
          <a:extLst>
            <a:ext uri="{FF2B5EF4-FFF2-40B4-BE49-F238E27FC236}">
              <a16:creationId xmlns:a16="http://schemas.microsoft.com/office/drawing/2014/main" id="{0EEDBBA9-D109-4372-BFCF-E1DE24E3CA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90750" y="26898600"/>
          <a:ext cx="190500" cy="190500"/>
        </a:xfrm>
        <a:prstGeom prst="rect">
          <a:avLst/>
        </a:prstGeom>
      </xdr:spPr>
    </xdr:pic>
    <xdr:clientData/>
  </xdr:oneCellAnchor>
  <xdr:twoCellAnchor editAs="oneCell">
    <xdr:from>
      <xdr:col>49</xdr:col>
      <xdr:colOff>0</xdr:colOff>
      <xdr:row>147</xdr:row>
      <xdr:rowOff>0</xdr:rowOff>
    </xdr:from>
    <xdr:to>
      <xdr:col>50</xdr:col>
      <xdr:colOff>6350</xdr:colOff>
      <xdr:row>148</xdr:row>
      <xdr:rowOff>6350</xdr:rowOff>
    </xdr:to>
    <xdr:pic>
      <xdr:nvPicPr>
        <xdr:cNvPr id="315" name="Grafik 314">
          <a:extLst>
            <a:ext uri="{FF2B5EF4-FFF2-40B4-BE49-F238E27FC236}">
              <a16:creationId xmlns:a16="http://schemas.microsoft.com/office/drawing/2014/main" id="{58E227B0-1D1E-401A-B072-D39F5218BA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54150" y="27082750"/>
          <a:ext cx="190500" cy="190500"/>
        </a:xfrm>
        <a:prstGeom prst="rect">
          <a:avLst/>
        </a:prstGeom>
      </xdr:spPr>
    </xdr:pic>
    <xdr:clientData/>
  </xdr:twoCellAnchor>
  <xdr:oneCellAnchor>
    <xdr:from>
      <xdr:col>53</xdr:col>
      <xdr:colOff>0</xdr:colOff>
      <xdr:row>306</xdr:row>
      <xdr:rowOff>0</xdr:rowOff>
    </xdr:from>
    <xdr:ext cx="190500" cy="190500"/>
    <xdr:pic>
      <xdr:nvPicPr>
        <xdr:cNvPr id="316" name="Grafik 315">
          <a:extLst>
            <a:ext uri="{FF2B5EF4-FFF2-40B4-BE49-F238E27FC236}">
              <a16:creationId xmlns:a16="http://schemas.microsoft.com/office/drawing/2014/main" id="{6CC9AE16-AC58-4E3C-98FB-B18F7751DCF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590750" y="26898600"/>
          <a:ext cx="190500" cy="190500"/>
        </a:xfrm>
        <a:prstGeom prst="rect">
          <a:avLst/>
        </a:prstGeom>
      </xdr:spPr>
    </xdr:pic>
    <xdr:clientData/>
  </xdr:oneCellAnchor>
  <xdr:oneCellAnchor>
    <xdr:from>
      <xdr:col>49</xdr:col>
      <xdr:colOff>0</xdr:colOff>
      <xdr:row>307</xdr:row>
      <xdr:rowOff>0</xdr:rowOff>
    </xdr:from>
    <xdr:ext cx="190500" cy="190500"/>
    <xdr:pic>
      <xdr:nvPicPr>
        <xdr:cNvPr id="317" name="Grafik 316">
          <a:extLst>
            <a:ext uri="{FF2B5EF4-FFF2-40B4-BE49-F238E27FC236}">
              <a16:creationId xmlns:a16="http://schemas.microsoft.com/office/drawing/2014/main" id="{407040BD-E38D-45EA-AFA4-86BEDB943D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54150" y="27082750"/>
          <a:ext cx="190500" cy="190500"/>
        </a:xfrm>
        <a:prstGeom prst="rect">
          <a:avLst/>
        </a:prstGeom>
      </xdr:spPr>
    </xdr:pic>
    <xdr:clientData/>
  </xdr:oneCellAnchor>
  <xdr:oneCellAnchor>
    <xdr:from>
      <xdr:col>50</xdr:col>
      <xdr:colOff>0</xdr:colOff>
      <xdr:row>179</xdr:row>
      <xdr:rowOff>0</xdr:rowOff>
    </xdr:from>
    <xdr:ext cx="190500" cy="190500"/>
    <xdr:pic>
      <xdr:nvPicPr>
        <xdr:cNvPr id="318" name="Grafik 317">
          <a:extLst>
            <a:ext uri="{FF2B5EF4-FFF2-40B4-BE49-F238E27FC236}">
              <a16:creationId xmlns:a16="http://schemas.microsoft.com/office/drawing/2014/main" id="{2F4978FA-A38A-4BA5-B039-C42585B2D2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038300" y="39420800"/>
          <a:ext cx="190500" cy="190500"/>
        </a:xfrm>
        <a:prstGeom prst="rect">
          <a:avLst/>
        </a:prstGeom>
      </xdr:spPr>
    </xdr:pic>
    <xdr:clientData/>
  </xdr:oneCellAnchor>
  <xdr:oneCellAnchor>
    <xdr:from>
      <xdr:col>48</xdr:col>
      <xdr:colOff>0</xdr:colOff>
      <xdr:row>180</xdr:row>
      <xdr:rowOff>0</xdr:rowOff>
    </xdr:from>
    <xdr:ext cx="190500" cy="190500"/>
    <xdr:pic>
      <xdr:nvPicPr>
        <xdr:cNvPr id="319" name="Grafik 318">
          <a:extLst>
            <a:ext uri="{FF2B5EF4-FFF2-40B4-BE49-F238E27FC236}">
              <a16:creationId xmlns:a16="http://schemas.microsoft.com/office/drawing/2014/main" id="{38722C9F-1856-4DA3-B4AA-649F63C0468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70000" y="39604950"/>
          <a:ext cx="190500" cy="190500"/>
        </a:xfrm>
        <a:prstGeom prst="rect">
          <a:avLst/>
        </a:prstGeom>
      </xdr:spPr>
    </xdr:pic>
    <xdr:clientData/>
  </xdr:oneCellAnchor>
  <xdr:oneCellAnchor>
    <xdr:from>
      <xdr:col>50</xdr:col>
      <xdr:colOff>0</xdr:colOff>
      <xdr:row>189</xdr:row>
      <xdr:rowOff>0</xdr:rowOff>
    </xdr:from>
    <xdr:ext cx="190500" cy="190500"/>
    <xdr:pic>
      <xdr:nvPicPr>
        <xdr:cNvPr id="322" name="Grafik 321">
          <a:extLst>
            <a:ext uri="{FF2B5EF4-FFF2-40B4-BE49-F238E27FC236}">
              <a16:creationId xmlns:a16="http://schemas.microsoft.com/office/drawing/2014/main" id="{CAC21136-7098-4902-B2FE-A39C53FDB6E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063700" y="48628300"/>
          <a:ext cx="190500" cy="190500"/>
        </a:xfrm>
        <a:prstGeom prst="rect">
          <a:avLst/>
        </a:prstGeom>
      </xdr:spPr>
    </xdr:pic>
    <xdr:clientData/>
  </xdr:oneCellAnchor>
  <xdr:oneCellAnchor>
    <xdr:from>
      <xdr:col>47</xdr:col>
      <xdr:colOff>0</xdr:colOff>
      <xdr:row>198</xdr:row>
      <xdr:rowOff>0</xdr:rowOff>
    </xdr:from>
    <xdr:ext cx="190500" cy="190500"/>
    <xdr:pic>
      <xdr:nvPicPr>
        <xdr:cNvPr id="323" name="Grafik 322">
          <a:extLst>
            <a:ext uri="{FF2B5EF4-FFF2-40B4-BE49-F238E27FC236}">
              <a16:creationId xmlns:a16="http://schemas.microsoft.com/office/drawing/2014/main" id="{79C21403-454E-4F81-B006-1C47A466E15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11250" y="50838100"/>
          <a:ext cx="190500" cy="190500"/>
        </a:xfrm>
        <a:prstGeom prst="rect">
          <a:avLst/>
        </a:prstGeom>
      </xdr:spPr>
    </xdr:pic>
    <xdr:clientData/>
  </xdr:oneCellAnchor>
  <xdr:oneCellAnchor>
    <xdr:from>
      <xdr:col>48</xdr:col>
      <xdr:colOff>0</xdr:colOff>
      <xdr:row>199</xdr:row>
      <xdr:rowOff>0</xdr:rowOff>
    </xdr:from>
    <xdr:ext cx="190500" cy="190500"/>
    <xdr:pic>
      <xdr:nvPicPr>
        <xdr:cNvPr id="324" name="Grafik 323">
          <a:extLst>
            <a:ext uri="{FF2B5EF4-FFF2-40B4-BE49-F238E27FC236}">
              <a16:creationId xmlns:a16="http://schemas.microsoft.com/office/drawing/2014/main" id="{BF828CB7-29BD-4864-95E4-960D5DD6F22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95400" y="51022250"/>
          <a:ext cx="190500" cy="190500"/>
        </a:xfrm>
        <a:prstGeom prst="rect">
          <a:avLst/>
        </a:prstGeom>
      </xdr:spPr>
    </xdr:pic>
    <xdr:clientData/>
  </xdr:oneCellAnchor>
  <xdr:twoCellAnchor editAs="oneCell">
    <xdr:from>
      <xdr:col>48</xdr:col>
      <xdr:colOff>0</xdr:colOff>
      <xdr:row>148</xdr:row>
      <xdr:rowOff>0</xdr:rowOff>
    </xdr:from>
    <xdr:to>
      <xdr:col>49</xdr:col>
      <xdr:colOff>6350</xdr:colOff>
      <xdr:row>149</xdr:row>
      <xdr:rowOff>6350</xdr:rowOff>
    </xdr:to>
    <xdr:pic>
      <xdr:nvPicPr>
        <xdr:cNvPr id="325" name="Grafik 324">
          <a:extLst>
            <a:ext uri="{FF2B5EF4-FFF2-40B4-BE49-F238E27FC236}">
              <a16:creationId xmlns:a16="http://schemas.microsoft.com/office/drawing/2014/main" id="{574CA9CA-9ADA-4628-9597-9E2643A66C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95400" y="27266900"/>
          <a:ext cx="190500" cy="190500"/>
        </a:xfrm>
        <a:prstGeom prst="rect">
          <a:avLst/>
        </a:prstGeom>
      </xdr:spPr>
    </xdr:pic>
    <xdr:clientData/>
  </xdr:twoCellAnchor>
  <xdr:oneCellAnchor>
    <xdr:from>
      <xdr:col>49</xdr:col>
      <xdr:colOff>0</xdr:colOff>
      <xdr:row>307</xdr:row>
      <xdr:rowOff>0</xdr:rowOff>
    </xdr:from>
    <xdr:ext cx="190500" cy="190500"/>
    <xdr:pic>
      <xdr:nvPicPr>
        <xdr:cNvPr id="326" name="Grafik 325">
          <a:extLst>
            <a:ext uri="{FF2B5EF4-FFF2-40B4-BE49-F238E27FC236}">
              <a16:creationId xmlns:a16="http://schemas.microsoft.com/office/drawing/2014/main" id="{EA09D030-A754-41FF-86A1-DBBA7FDF97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79550" y="27082750"/>
          <a:ext cx="190500" cy="190500"/>
        </a:xfrm>
        <a:prstGeom prst="rect">
          <a:avLst/>
        </a:prstGeom>
      </xdr:spPr>
    </xdr:pic>
    <xdr:clientData/>
  </xdr:oneCellAnchor>
  <xdr:oneCellAnchor>
    <xdr:from>
      <xdr:col>48</xdr:col>
      <xdr:colOff>0</xdr:colOff>
      <xdr:row>308</xdr:row>
      <xdr:rowOff>0</xdr:rowOff>
    </xdr:from>
    <xdr:ext cx="190500" cy="190500"/>
    <xdr:pic>
      <xdr:nvPicPr>
        <xdr:cNvPr id="327" name="Grafik 326">
          <a:extLst>
            <a:ext uri="{FF2B5EF4-FFF2-40B4-BE49-F238E27FC236}">
              <a16:creationId xmlns:a16="http://schemas.microsoft.com/office/drawing/2014/main" id="{FF49CD94-C9A1-415B-9C2B-F2D8EAA0554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695400" y="27266900"/>
          <a:ext cx="190500" cy="190500"/>
        </a:xfrm>
        <a:prstGeom prst="rect">
          <a:avLst/>
        </a:prstGeom>
      </xdr:spPr>
    </xdr:pic>
    <xdr:clientData/>
  </xdr:oneCellAnchor>
  <xdr:oneCellAnchor>
    <xdr:from>
      <xdr:col>50</xdr:col>
      <xdr:colOff>0</xdr:colOff>
      <xdr:row>150</xdr:row>
      <xdr:rowOff>0</xdr:rowOff>
    </xdr:from>
    <xdr:ext cx="190500" cy="190500"/>
    <xdr:pic>
      <xdr:nvPicPr>
        <xdr:cNvPr id="119" name="Grafik 118">
          <a:extLst>
            <a:ext uri="{FF2B5EF4-FFF2-40B4-BE49-F238E27FC236}">
              <a16:creationId xmlns:a16="http://schemas.microsoft.com/office/drawing/2014/main" id="{B9E2B9AD-1605-4E4B-BEF4-2581443FB3A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27451050"/>
          <a:ext cx="190500" cy="190500"/>
        </a:xfrm>
        <a:prstGeom prst="rect">
          <a:avLst/>
        </a:prstGeom>
      </xdr:spPr>
    </xdr:pic>
    <xdr:clientData/>
  </xdr:oneCellAnchor>
  <xdr:oneCellAnchor>
    <xdr:from>
      <xdr:col>53</xdr:col>
      <xdr:colOff>0</xdr:colOff>
      <xdr:row>150</xdr:row>
      <xdr:rowOff>0</xdr:rowOff>
    </xdr:from>
    <xdr:ext cx="190500" cy="190500"/>
    <xdr:pic>
      <xdr:nvPicPr>
        <xdr:cNvPr id="144" name="Grafik 143">
          <a:extLst>
            <a:ext uri="{FF2B5EF4-FFF2-40B4-BE49-F238E27FC236}">
              <a16:creationId xmlns:a16="http://schemas.microsoft.com/office/drawing/2014/main" id="{9987831D-D434-468E-BF15-84DB8D9CFA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6898600"/>
          <a:ext cx="190500" cy="190500"/>
        </a:xfrm>
        <a:prstGeom prst="rect">
          <a:avLst/>
        </a:prstGeom>
      </xdr:spPr>
    </xdr:pic>
    <xdr:clientData/>
  </xdr:oneCellAnchor>
  <xdr:oneCellAnchor>
    <xdr:from>
      <xdr:col>51</xdr:col>
      <xdr:colOff>0</xdr:colOff>
      <xdr:row>190</xdr:row>
      <xdr:rowOff>0</xdr:rowOff>
    </xdr:from>
    <xdr:ext cx="190500" cy="190500"/>
    <xdr:pic>
      <xdr:nvPicPr>
        <xdr:cNvPr id="145" name="Grafik 144">
          <a:extLst>
            <a:ext uri="{FF2B5EF4-FFF2-40B4-BE49-F238E27FC236}">
              <a16:creationId xmlns:a16="http://schemas.microsoft.com/office/drawing/2014/main" id="{47BE3961-B04B-4642-930F-619D7EB3055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298650" y="34080450"/>
          <a:ext cx="190500" cy="190500"/>
        </a:xfrm>
        <a:prstGeom prst="rect">
          <a:avLst/>
        </a:prstGeom>
      </xdr:spPr>
    </xdr:pic>
    <xdr:clientData/>
  </xdr:oneCellAnchor>
  <xdr:oneCellAnchor>
    <xdr:from>
      <xdr:col>48</xdr:col>
      <xdr:colOff>0</xdr:colOff>
      <xdr:row>191</xdr:row>
      <xdr:rowOff>0</xdr:rowOff>
    </xdr:from>
    <xdr:ext cx="190500" cy="190500"/>
    <xdr:pic>
      <xdr:nvPicPr>
        <xdr:cNvPr id="146" name="Grafik 145">
          <a:extLst>
            <a:ext uri="{FF2B5EF4-FFF2-40B4-BE49-F238E27FC236}">
              <a16:creationId xmlns:a16="http://schemas.microsoft.com/office/drawing/2014/main" id="{7AC0007B-6E63-4882-9655-3833D96F570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33896300"/>
          <a:ext cx="190500" cy="190500"/>
        </a:xfrm>
        <a:prstGeom prst="rect">
          <a:avLst/>
        </a:prstGeom>
      </xdr:spPr>
    </xdr:pic>
    <xdr:clientData/>
  </xdr:oneCellAnchor>
  <xdr:oneCellAnchor>
    <xdr:from>
      <xdr:col>47</xdr:col>
      <xdr:colOff>0</xdr:colOff>
      <xdr:row>192</xdr:row>
      <xdr:rowOff>0</xdr:rowOff>
    </xdr:from>
    <xdr:ext cx="190500" cy="190500"/>
    <xdr:pic>
      <xdr:nvPicPr>
        <xdr:cNvPr id="147" name="Grafik 146">
          <a:extLst>
            <a:ext uri="{FF2B5EF4-FFF2-40B4-BE49-F238E27FC236}">
              <a16:creationId xmlns:a16="http://schemas.microsoft.com/office/drawing/2014/main" id="{1E85D4FA-8C02-4ED8-A046-2F5DFA4071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36474400"/>
          <a:ext cx="190500" cy="190500"/>
        </a:xfrm>
        <a:prstGeom prst="rect">
          <a:avLst/>
        </a:prstGeom>
      </xdr:spPr>
    </xdr:pic>
    <xdr:clientData/>
  </xdr:oneCellAnchor>
  <xdr:oneCellAnchor>
    <xdr:from>
      <xdr:col>47</xdr:col>
      <xdr:colOff>0</xdr:colOff>
      <xdr:row>192</xdr:row>
      <xdr:rowOff>0</xdr:rowOff>
    </xdr:from>
    <xdr:ext cx="190500" cy="190500"/>
    <xdr:pic>
      <xdr:nvPicPr>
        <xdr:cNvPr id="148" name="Grafik 147">
          <a:extLst>
            <a:ext uri="{FF2B5EF4-FFF2-40B4-BE49-F238E27FC236}">
              <a16:creationId xmlns:a16="http://schemas.microsoft.com/office/drawing/2014/main" id="{B162D02C-EDEB-4591-AA66-EE6283C64C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36474400"/>
          <a:ext cx="190500" cy="190500"/>
        </a:xfrm>
        <a:prstGeom prst="rect">
          <a:avLst/>
        </a:prstGeom>
      </xdr:spPr>
    </xdr:pic>
    <xdr:clientData/>
  </xdr:oneCellAnchor>
  <xdr:oneCellAnchor>
    <xdr:from>
      <xdr:col>49</xdr:col>
      <xdr:colOff>0</xdr:colOff>
      <xdr:row>309</xdr:row>
      <xdr:rowOff>0</xdr:rowOff>
    </xdr:from>
    <xdr:ext cx="190500" cy="190500"/>
    <xdr:pic>
      <xdr:nvPicPr>
        <xdr:cNvPr id="149" name="Grafik 148">
          <a:extLst>
            <a:ext uri="{FF2B5EF4-FFF2-40B4-BE49-F238E27FC236}">
              <a16:creationId xmlns:a16="http://schemas.microsoft.com/office/drawing/2014/main" id="{4CE7C016-9D95-4D64-9335-4665137405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6546750"/>
          <a:ext cx="190500" cy="190500"/>
        </a:xfrm>
        <a:prstGeom prst="rect">
          <a:avLst/>
        </a:prstGeom>
      </xdr:spPr>
    </xdr:pic>
    <xdr:clientData/>
  </xdr:oneCellAnchor>
  <xdr:oneCellAnchor>
    <xdr:from>
      <xdr:col>49</xdr:col>
      <xdr:colOff>0</xdr:colOff>
      <xdr:row>309</xdr:row>
      <xdr:rowOff>0</xdr:rowOff>
    </xdr:from>
    <xdr:ext cx="190500" cy="190500"/>
    <xdr:pic>
      <xdr:nvPicPr>
        <xdr:cNvPr id="150" name="Grafik 149">
          <a:extLst>
            <a:ext uri="{FF2B5EF4-FFF2-40B4-BE49-F238E27FC236}">
              <a16:creationId xmlns:a16="http://schemas.microsoft.com/office/drawing/2014/main" id="{F2C95500-877D-4B26-BC54-DAA553CBA9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6546750"/>
          <a:ext cx="190500" cy="190500"/>
        </a:xfrm>
        <a:prstGeom prst="rect">
          <a:avLst/>
        </a:prstGeom>
      </xdr:spPr>
    </xdr:pic>
    <xdr:clientData/>
  </xdr:oneCellAnchor>
  <xdr:oneCellAnchor>
    <xdr:from>
      <xdr:col>48</xdr:col>
      <xdr:colOff>0</xdr:colOff>
      <xdr:row>310</xdr:row>
      <xdr:rowOff>0</xdr:rowOff>
    </xdr:from>
    <xdr:ext cx="190500" cy="190500"/>
    <xdr:pic>
      <xdr:nvPicPr>
        <xdr:cNvPr id="151" name="Grafik 150">
          <a:extLst>
            <a:ext uri="{FF2B5EF4-FFF2-40B4-BE49-F238E27FC236}">
              <a16:creationId xmlns:a16="http://schemas.microsoft.com/office/drawing/2014/main" id="{53F7B1FE-6961-44BA-8C3B-6BCD54CAA59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48</xdr:col>
      <xdr:colOff>0</xdr:colOff>
      <xdr:row>311</xdr:row>
      <xdr:rowOff>0</xdr:rowOff>
    </xdr:from>
    <xdr:ext cx="190500" cy="190500"/>
    <xdr:pic>
      <xdr:nvPicPr>
        <xdr:cNvPr id="152" name="Grafik 151">
          <a:extLst>
            <a:ext uri="{FF2B5EF4-FFF2-40B4-BE49-F238E27FC236}">
              <a16:creationId xmlns:a16="http://schemas.microsoft.com/office/drawing/2014/main" id="{07FC2501-D296-4E80-8841-7B6C8BB4E87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48</xdr:col>
      <xdr:colOff>0</xdr:colOff>
      <xdr:row>312</xdr:row>
      <xdr:rowOff>0</xdr:rowOff>
    </xdr:from>
    <xdr:ext cx="190500" cy="190500"/>
    <xdr:pic>
      <xdr:nvPicPr>
        <xdr:cNvPr id="153" name="Grafik 152">
          <a:extLst>
            <a:ext uri="{FF2B5EF4-FFF2-40B4-BE49-F238E27FC236}">
              <a16:creationId xmlns:a16="http://schemas.microsoft.com/office/drawing/2014/main" id="{51BFCAE0-83D5-4667-912A-14A8418E3D9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48</xdr:col>
      <xdr:colOff>0</xdr:colOff>
      <xdr:row>313</xdr:row>
      <xdr:rowOff>0</xdr:rowOff>
    </xdr:from>
    <xdr:ext cx="190500" cy="190500"/>
    <xdr:pic>
      <xdr:nvPicPr>
        <xdr:cNvPr id="154" name="Grafik 153">
          <a:extLst>
            <a:ext uri="{FF2B5EF4-FFF2-40B4-BE49-F238E27FC236}">
              <a16:creationId xmlns:a16="http://schemas.microsoft.com/office/drawing/2014/main" id="{F19B0C0D-F173-4C19-A787-245EE3DBF2E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48</xdr:col>
      <xdr:colOff>0</xdr:colOff>
      <xdr:row>314</xdr:row>
      <xdr:rowOff>0</xdr:rowOff>
    </xdr:from>
    <xdr:ext cx="190500" cy="190500"/>
    <xdr:pic>
      <xdr:nvPicPr>
        <xdr:cNvPr id="155" name="Grafik 154">
          <a:extLst>
            <a:ext uri="{FF2B5EF4-FFF2-40B4-BE49-F238E27FC236}">
              <a16:creationId xmlns:a16="http://schemas.microsoft.com/office/drawing/2014/main" id="{573CE838-C65D-4C05-8BCC-A9ADFEC4AFB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48</xdr:col>
      <xdr:colOff>0</xdr:colOff>
      <xdr:row>314</xdr:row>
      <xdr:rowOff>0</xdr:rowOff>
    </xdr:from>
    <xdr:ext cx="190500" cy="190500"/>
    <xdr:pic>
      <xdr:nvPicPr>
        <xdr:cNvPr id="156" name="Grafik 155">
          <a:extLst>
            <a:ext uri="{FF2B5EF4-FFF2-40B4-BE49-F238E27FC236}">
              <a16:creationId xmlns:a16="http://schemas.microsoft.com/office/drawing/2014/main" id="{08018027-73D4-4BDD-8BD6-E85F2E6031A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6730900"/>
          <a:ext cx="190500" cy="190500"/>
        </a:xfrm>
        <a:prstGeom prst="rect">
          <a:avLst/>
        </a:prstGeom>
      </xdr:spPr>
    </xdr:pic>
    <xdr:clientData/>
  </xdr:oneCellAnchor>
  <xdr:oneCellAnchor>
    <xdr:from>
      <xdr:col>49</xdr:col>
      <xdr:colOff>0</xdr:colOff>
      <xdr:row>316</xdr:row>
      <xdr:rowOff>0</xdr:rowOff>
    </xdr:from>
    <xdr:ext cx="190500" cy="190500"/>
    <xdr:pic>
      <xdr:nvPicPr>
        <xdr:cNvPr id="160" name="Grafik 159">
          <a:extLst>
            <a:ext uri="{FF2B5EF4-FFF2-40B4-BE49-F238E27FC236}">
              <a16:creationId xmlns:a16="http://schemas.microsoft.com/office/drawing/2014/main" id="{27C3ED29-C762-467D-BD33-4D5AC013DE3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6915050"/>
          <a:ext cx="190500" cy="190500"/>
        </a:xfrm>
        <a:prstGeom prst="rect">
          <a:avLst/>
        </a:prstGeom>
      </xdr:spPr>
    </xdr:pic>
    <xdr:clientData/>
  </xdr:oneCellAnchor>
  <xdr:oneCellAnchor>
    <xdr:from>
      <xdr:col>49</xdr:col>
      <xdr:colOff>0</xdr:colOff>
      <xdr:row>316</xdr:row>
      <xdr:rowOff>0</xdr:rowOff>
    </xdr:from>
    <xdr:ext cx="190500" cy="190500"/>
    <xdr:pic>
      <xdr:nvPicPr>
        <xdr:cNvPr id="161" name="Grafik 160">
          <a:extLst>
            <a:ext uri="{FF2B5EF4-FFF2-40B4-BE49-F238E27FC236}">
              <a16:creationId xmlns:a16="http://schemas.microsoft.com/office/drawing/2014/main" id="{4BD759D1-9C7E-4C31-BD9D-5C49383325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6915050"/>
          <a:ext cx="190500" cy="190500"/>
        </a:xfrm>
        <a:prstGeom prst="rect">
          <a:avLst/>
        </a:prstGeom>
      </xdr:spPr>
    </xdr:pic>
    <xdr:clientData/>
  </xdr:oneCellAnchor>
  <xdr:oneCellAnchor>
    <xdr:from>
      <xdr:col>47</xdr:col>
      <xdr:colOff>0</xdr:colOff>
      <xdr:row>317</xdr:row>
      <xdr:rowOff>0</xdr:rowOff>
    </xdr:from>
    <xdr:ext cx="190500" cy="190500"/>
    <xdr:pic>
      <xdr:nvPicPr>
        <xdr:cNvPr id="173" name="Grafik 172">
          <a:extLst>
            <a:ext uri="{FF2B5EF4-FFF2-40B4-BE49-F238E27FC236}">
              <a16:creationId xmlns:a16="http://schemas.microsoft.com/office/drawing/2014/main" id="{DBDA1210-CF23-42DB-91D8-2C3EC577CA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5626000"/>
          <a:ext cx="190500" cy="190500"/>
        </a:xfrm>
        <a:prstGeom prst="rect">
          <a:avLst/>
        </a:prstGeom>
      </xdr:spPr>
    </xdr:pic>
    <xdr:clientData/>
  </xdr:oneCellAnchor>
  <xdr:oneCellAnchor>
    <xdr:from>
      <xdr:col>47</xdr:col>
      <xdr:colOff>0</xdr:colOff>
      <xdr:row>318</xdr:row>
      <xdr:rowOff>0</xdr:rowOff>
    </xdr:from>
    <xdr:ext cx="190500" cy="190500"/>
    <xdr:pic>
      <xdr:nvPicPr>
        <xdr:cNvPr id="180" name="Grafik 179">
          <a:extLst>
            <a:ext uri="{FF2B5EF4-FFF2-40B4-BE49-F238E27FC236}">
              <a16:creationId xmlns:a16="http://schemas.microsoft.com/office/drawing/2014/main" id="{6DE1F7C1-1076-466A-AD38-35AEF2B5DCB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5626000"/>
          <a:ext cx="190500" cy="190500"/>
        </a:xfrm>
        <a:prstGeom prst="rect">
          <a:avLst/>
        </a:prstGeom>
      </xdr:spPr>
    </xdr:pic>
    <xdr:clientData/>
  </xdr:oneCellAnchor>
  <xdr:oneCellAnchor>
    <xdr:from>
      <xdr:col>47</xdr:col>
      <xdr:colOff>0</xdr:colOff>
      <xdr:row>319</xdr:row>
      <xdr:rowOff>0</xdr:rowOff>
    </xdr:from>
    <xdr:ext cx="190500" cy="190500"/>
    <xdr:pic>
      <xdr:nvPicPr>
        <xdr:cNvPr id="181" name="Grafik 180">
          <a:extLst>
            <a:ext uri="{FF2B5EF4-FFF2-40B4-BE49-F238E27FC236}">
              <a16:creationId xmlns:a16="http://schemas.microsoft.com/office/drawing/2014/main" id="{3454588D-F5B6-4DA9-8899-CF3B9425199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5626000"/>
          <a:ext cx="190500" cy="190500"/>
        </a:xfrm>
        <a:prstGeom prst="rect">
          <a:avLst/>
        </a:prstGeom>
      </xdr:spPr>
    </xdr:pic>
    <xdr:clientData/>
  </xdr:oneCellAnchor>
  <xdr:oneCellAnchor>
    <xdr:from>
      <xdr:col>53</xdr:col>
      <xdr:colOff>0</xdr:colOff>
      <xdr:row>320</xdr:row>
      <xdr:rowOff>0</xdr:rowOff>
    </xdr:from>
    <xdr:ext cx="190500" cy="190500"/>
    <xdr:pic>
      <xdr:nvPicPr>
        <xdr:cNvPr id="182" name="Grafik 181">
          <a:extLst>
            <a:ext uri="{FF2B5EF4-FFF2-40B4-BE49-F238E27FC236}">
              <a16:creationId xmlns:a16="http://schemas.microsoft.com/office/drawing/2014/main" id="{D73C551C-E678-4F73-A64B-3B8A190AA7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56362600"/>
          <a:ext cx="190500" cy="190500"/>
        </a:xfrm>
        <a:prstGeom prst="rect">
          <a:avLst/>
        </a:prstGeom>
      </xdr:spPr>
    </xdr:pic>
    <xdr:clientData/>
  </xdr:oneCellAnchor>
  <xdr:oneCellAnchor>
    <xdr:from>
      <xdr:col>53</xdr:col>
      <xdr:colOff>0</xdr:colOff>
      <xdr:row>320</xdr:row>
      <xdr:rowOff>0</xdr:rowOff>
    </xdr:from>
    <xdr:ext cx="190500" cy="190500"/>
    <xdr:pic>
      <xdr:nvPicPr>
        <xdr:cNvPr id="183" name="Grafik 182">
          <a:extLst>
            <a:ext uri="{FF2B5EF4-FFF2-40B4-BE49-F238E27FC236}">
              <a16:creationId xmlns:a16="http://schemas.microsoft.com/office/drawing/2014/main" id="{8F366CE3-ED6B-49A5-8315-7F0666DDB7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56362600"/>
          <a:ext cx="190500" cy="190500"/>
        </a:xfrm>
        <a:prstGeom prst="rect">
          <a:avLst/>
        </a:prstGeom>
      </xdr:spPr>
    </xdr:pic>
    <xdr:clientData/>
  </xdr:oneCellAnchor>
  <xdr:oneCellAnchor>
    <xdr:from>
      <xdr:col>48</xdr:col>
      <xdr:colOff>0</xdr:colOff>
      <xdr:row>321</xdr:row>
      <xdr:rowOff>0</xdr:rowOff>
    </xdr:from>
    <xdr:ext cx="190500" cy="190500"/>
    <xdr:pic>
      <xdr:nvPicPr>
        <xdr:cNvPr id="213" name="Grafik 212">
          <a:extLst>
            <a:ext uri="{FF2B5EF4-FFF2-40B4-BE49-F238E27FC236}">
              <a16:creationId xmlns:a16="http://schemas.microsoft.com/office/drawing/2014/main" id="{077B5DB5-560B-42F8-A5ED-28B8E0F5D1C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7835800"/>
          <a:ext cx="190500" cy="190500"/>
        </a:xfrm>
        <a:prstGeom prst="rect">
          <a:avLst/>
        </a:prstGeom>
      </xdr:spPr>
    </xdr:pic>
    <xdr:clientData/>
  </xdr:oneCellAnchor>
  <xdr:oneCellAnchor>
    <xdr:from>
      <xdr:col>48</xdr:col>
      <xdr:colOff>0</xdr:colOff>
      <xdr:row>321</xdr:row>
      <xdr:rowOff>0</xdr:rowOff>
    </xdr:from>
    <xdr:ext cx="190500" cy="190500"/>
    <xdr:pic>
      <xdr:nvPicPr>
        <xdr:cNvPr id="242" name="Grafik 241">
          <a:extLst>
            <a:ext uri="{FF2B5EF4-FFF2-40B4-BE49-F238E27FC236}">
              <a16:creationId xmlns:a16="http://schemas.microsoft.com/office/drawing/2014/main" id="{3FA714FE-2664-4767-A9FC-12652BB698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7835800"/>
          <a:ext cx="190500" cy="190500"/>
        </a:xfrm>
        <a:prstGeom prst="rect">
          <a:avLst/>
        </a:prstGeom>
      </xdr:spPr>
    </xdr:pic>
    <xdr:clientData/>
  </xdr:oneCellAnchor>
  <xdr:oneCellAnchor>
    <xdr:from>
      <xdr:col>47</xdr:col>
      <xdr:colOff>0</xdr:colOff>
      <xdr:row>322</xdr:row>
      <xdr:rowOff>0</xdr:rowOff>
    </xdr:from>
    <xdr:ext cx="190500" cy="190500"/>
    <xdr:pic>
      <xdr:nvPicPr>
        <xdr:cNvPr id="330" name="Grafik 329">
          <a:extLst>
            <a:ext uri="{FF2B5EF4-FFF2-40B4-BE49-F238E27FC236}">
              <a16:creationId xmlns:a16="http://schemas.microsoft.com/office/drawing/2014/main" id="{A5FC87F8-7DD7-41F6-8795-B2411FDEB99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8756550"/>
          <a:ext cx="190500" cy="190500"/>
        </a:xfrm>
        <a:prstGeom prst="rect">
          <a:avLst/>
        </a:prstGeom>
      </xdr:spPr>
    </xdr:pic>
    <xdr:clientData/>
  </xdr:oneCellAnchor>
  <xdr:oneCellAnchor>
    <xdr:from>
      <xdr:col>52</xdr:col>
      <xdr:colOff>0</xdr:colOff>
      <xdr:row>323</xdr:row>
      <xdr:rowOff>0</xdr:rowOff>
    </xdr:from>
    <xdr:ext cx="190500" cy="190500"/>
    <xdr:pic>
      <xdr:nvPicPr>
        <xdr:cNvPr id="332" name="Grafik 331">
          <a:extLst>
            <a:ext uri="{FF2B5EF4-FFF2-40B4-BE49-F238E27FC236}">
              <a16:creationId xmlns:a16="http://schemas.microsoft.com/office/drawing/2014/main" id="{77E8A5C7-5D2C-449A-8791-584A439C93A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482800" y="53047900"/>
          <a:ext cx="190500" cy="190500"/>
        </a:xfrm>
        <a:prstGeom prst="rect">
          <a:avLst/>
        </a:prstGeom>
      </xdr:spPr>
    </xdr:pic>
    <xdr:clientData/>
  </xdr:oneCellAnchor>
  <xdr:oneCellAnchor>
    <xdr:from>
      <xdr:col>52</xdr:col>
      <xdr:colOff>0</xdr:colOff>
      <xdr:row>324</xdr:row>
      <xdr:rowOff>0</xdr:rowOff>
    </xdr:from>
    <xdr:ext cx="190500" cy="190500"/>
    <xdr:pic>
      <xdr:nvPicPr>
        <xdr:cNvPr id="334" name="Grafik 333">
          <a:extLst>
            <a:ext uri="{FF2B5EF4-FFF2-40B4-BE49-F238E27FC236}">
              <a16:creationId xmlns:a16="http://schemas.microsoft.com/office/drawing/2014/main" id="{C350E0F7-A3B1-417B-817B-B4BA7108B6E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482800" y="53047900"/>
          <a:ext cx="190500" cy="190500"/>
        </a:xfrm>
        <a:prstGeom prst="rect">
          <a:avLst/>
        </a:prstGeom>
      </xdr:spPr>
    </xdr:pic>
    <xdr:clientData/>
  </xdr:oneCellAnchor>
  <xdr:oneCellAnchor>
    <xdr:from>
      <xdr:col>47</xdr:col>
      <xdr:colOff>0</xdr:colOff>
      <xdr:row>325</xdr:row>
      <xdr:rowOff>0</xdr:rowOff>
    </xdr:from>
    <xdr:ext cx="190500" cy="190500"/>
    <xdr:pic>
      <xdr:nvPicPr>
        <xdr:cNvPr id="335" name="Grafik 334">
          <a:extLst>
            <a:ext uri="{FF2B5EF4-FFF2-40B4-BE49-F238E27FC236}">
              <a16:creationId xmlns:a16="http://schemas.microsoft.com/office/drawing/2014/main" id="{A58E809E-14B1-4129-9E08-2BBB8313D6D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9309000"/>
          <a:ext cx="190500" cy="190500"/>
        </a:xfrm>
        <a:prstGeom prst="rect">
          <a:avLst/>
        </a:prstGeom>
      </xdr:spPr>
    </xdr:pic>
    <xdr:clientData/>
  </xdr:oneCellAnchor>
  <xdr:oneCellAnchor>
    <xdr:from>
      <xdr:col>45</xdr:col>
      <xdr:colOff>0</xdr:colOff>
      <xdr:row>326</xdr:row>
      <xdr:rowOff>0</xdr:rowOff>
    </xdr:from>
    <xdr:ext cx="190500" cy="190500"/>
    <xdr:pic>
      <xdr:nvPicPr>
        <xdr:cNvPr id="336" name="Grafik 335">
          <a:extLst>
            <a:ext uri="{FF2B5EF4-FFF2-40B4-BE49-F238E27FC236}">
              <a16:creationId xmlns:a16="http://schemas.microsoft.com/office/drawing/2014/main" id="{5048CF3D-6B64-4D83-93EA-E2867ABAE9D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193750" y="48260000"/>
          <a:ext cx="190500" cy="190500"/>
        </a:xfrm>
        <a:prstGeom prst="rect">
          <a:avLst/>
        </a:prstGeom>
      </xdr:spPr>
    </xdr:pic>
    <xdr:clientData/>
  </xdr:oneCellAnchor>
  <xdr:oneCellAnchor>
    <xdr:from>
      <xdr:col>48</xdr:col>
      <xdr:colOff>0</xdr:colOff>
      <xdr:row>327</xdr:row>
      <xdr:rowOff>0</xdr:rowOff>
    </xdr:from>
    <xdr:ext cx="190500" cy="190500"/>
    <xdr:pic>
      <xdr:nvPicPr>
        <xdr:cNvPr id="337" name="Grafik 336">
          <a:extLst>
            <a:ext uri="{FF2B5EF4-FFF2-40B4-BE49-F238E27FC236}">
              <a16:creationId xmlns:a16="http://schemas.microsoft.com/office/drawing/2014/main" id="{1070A4C7-DD28-4A2C-BC12-D396122504E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9124850"/>
          <a:ext cx="190500" cy="190500"/>
        </a:xfrm>
        <a:prstGeom prst="rect">
          <a:avLst/>
        </a:prstGeom>
      </xdr:spPr>
    </xdr:pic>
    <xdr:clientData/>
  </xdr:oneCellAnchor>
  <xdr:oneCellAnchor>
    <xdr:from>
      <xdr:col>48</xdr:col>
      <xdr:colOff>0</xdr:colOff>
      <xdr:row>327</xdr:row>
      <xdr:rowOff>0</xdr:rowOff>
    </xdr:from>
    <xdr:ext cx="190500" cy="190500"/>
    <xdr:pic>
      <xdr:nvPicPr>
        <xdr:cNvPr id="338" name="Grafik 337">
          <a:extLst>
            <a:ext uri="{FF2B5EF4-FFF2-40B4-BE49-F238E27FC236}">
              <a16:creationId xmlns:a16="http://schemas.microsoft.com/office/drawing/2014/main" id="{E21DAAE4-E5E7-4BC1-A5C3-06687A82C3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59124850"/>
          <a:ext cx="190500" cy="190500"/>
        </a:xfrm>
        <a:prstGeom prst="rect">
          <a:avLst/>
        </a:prstGeom>
      </xdr:spPr>
    </xdr:pic>
    <xdr:clientData/>
  </xdr:oneCellAnchor>
  <xdr:oneCellAnchor>
    <xdr:from>
      <xdr:col>45</xdr:col>
      <xdr:colOff>0</xdr:colOff>
      <xdr:row>328</xdr:row>
      <xdr:rowOff>0</xdr:rowOff>
    </xdr:from>
    <xdr:ext cx="190500" cy="190500"/>
    <xdr:pic>
      <xdr:nvPicPr>
        <xdr:cNvPr id="339" name="Grafik 338">
          <a:extLst>
            <a:ext uri="{FF2B5EF4-FFF2-40B4-BE49-F238E27FC236}">
              <a16:creationId xmlns:a16="http://schemas.microsoft.com/office/drawing/2014/main" id="{5FF239C9-8463-4916-8FEC-955568AAB8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193750" y="60045600"/>
          <a:ext cx="190500" cy="190500"/>
        </a:xfrm>
        <a:prstGeom prst="rect">
          <a:avLst/>
        </a:prstGeom>
      </xdr:spPr>
    </xdr:pic>
    <xdr:clientData/>
  </xdr:oneCellAnchor>
  <xdr:oneCellAnchor>
    <xdr:from>
      <xdr:col>47</xdr:col>
      <xdr:colOff>0</xdr:colOff>
      <xdr:row>329</xdr:row>
      <xdr:rowOff>0</xdr:rowOff>
    </xdr:from>
    <xdr:ext cx="190500" cy="190500"/>
    <xdr:pic>
      <xdr:nvPicPr>
        <xdr:cNvPr id="340" name="Grafik 339">
          <a:extLst>
            <a:ext uri="{FF2B5EF4-FFF2-40B4-BE49-F238E27FC236}">
              <a16:creationId xmlns:a16="http://schemas.microsoft.com/office/drawing/2014/main" id="{CA7A53D3-1CC7-472F-B753-DF9CD1CEEF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59861450"/>
          <a:ext cx="190500" cy="190500"/>
        </a:xfrm>
        <a:prstGeom prst="rect">
          <a:avLst/>
        </a:prstGeom>
      </xdr:spPr>
    </xdr:pic>
    <xdr:clientData/>
  </xdr:oneCellAnchor>
  <xdr:oneCellAnchor>
    <xdr:from>
      <xdr:col>49</xdr:col>
      <xdr:colOff>0</xdr:colOff>
      <xdr:row>330</xdr:row>
      <xdr:rowOff>0</xdr:rowOff>
    </xdr:from>
    <xdr:ext cx="190500" cy="190500"/>
    <xdr:pic>
      <xdr:nvPicPr>
        <xdr:cNvPr id="343" name="Grafik 342">
          <a:extLst>
            <a:ext uri="{FF2B5EF4-FFF2-40B4-BE49-F238E27FC236}">
              <a16:creationId xmlns:a16="http://schemas.microsoft.com/office/drawing/2014/main" id="{527640D3-EBF6-45E0-9CEF-06E78CA219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8204100"/>
          <a:ext cx="190500" cy="190500"/>
        </a:xfrm>
        <a:prstGeom prst="rect">
          <a:avLst/>
        </a:prstGeom>
      </xdr:spPr>
    </xdr:pic>
    <xdr:clientData/>
  </xdr:oneCellAnchor>
  <xdr:oneCellAnchor>
    <xdr:from>
      <xdr:col>49</xdr:col>
      <xdr:colOff>0</xdr:colOff>
      <xdr:row>330</xdr:row>
      <xdr:rowOff>0</xdr:rowOff>
    </xdr:from>
    <xdr:ext cx="190500" cy="190500"/>
    <xdr:pic>
      <xdr:nvPicPr>
        <xdr:cNvPr id="344" name="Grafik 343">
          <a:extLst>
            <a:ext uri="{FF2B5EF4-FFF2-40B4-BE49-F238E27FC236}">
              <a16:creationId xmlns:a16="http://schemas.microsoft.com/office/drawing/2014/main" id="{2C45ED9A-3234-4AC5-A21D-21CF613C84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8204100"/>
          <a:ext cx="190500" cy="190500"/>
        </a:xfrm>
        <a:prstGeom prst="rect">
          <a:avLst/>
        </a:prstGeom>
      </xdr:spPr>
    </xdr:pic>
    <xdr:clientData/>
  </xdr:oneCellAnchor>
  <xdr:oneCellAnchor>
    <xdr:from>
      <xdr:col>49</xdr:col>
      <xdr:colOff>0</xdr:colOff>
      <xdr:row>315</xdr:row>
      <xdr:rowOff>0</xdr:rowOff>
    </xdr:from>
    <xdr:ext cx="190500" cy="190500"/>
    <xdr:pic>
      <xdr:nvPicPr>
        <xdr:cNvPr id="345" name="Grafik 344">
          <a:extLst>
            <a:ext uri="{FF2B5EF4-FFF2-40B4-BE49-F238E27FC236}">
              <a16:creationId xmlns:a16="http://schemas.microsoft.com/office/drawing/2014/main" id="{F2280E9D-E896-44E8-8720-67C673A9A4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58019950"/>
          <a:ext cx="190500" cy="190500"/>
        </a:xfrm>
        <a:prstGeom prst="rect">
          <a:avLst/>
        </a:prstGeom>
      </xdr:spPr>
    </xdr:pic>
    <xdr:clientData/>
  </xdr:oneCellAnchor>
  <xdr:oneCellAnchor>
    <xdr:from>
      <xdr:col>50</xdr:col>
      <xdr:colOff>0</xdr:colOff>
      <xdr:row>331</xdr:row>
      <xdr:rowOff>0</xdr:rowOff>
    </xdr:from>
    <xdr:ext cx="190500" cy="190500"/>
    <xdr:pic>
      <xdr:nvPicPr>
        <xdr:cNvPr id="346" name="Grafik 345">
          <a:extLst>
            <a:ext uri="{FF2B5EF4-FFF2-40B4-BE49-F238E27FC236}">
              <a16:creationId xmlns:a16="http://schemas.microsoft.com/office/drawing/2014/main" id="{50D9BE29-E1D2-4661-916D-B2860CB4958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54336950"/>
          <a:ext cx="190500" cy="190500"/>
        </a:xfrm>
        <a:prstGeom prst="rect">
          <a:avLst/>
        </a:prstGeom>
      </xdr:spPr>
    </xdr:pic>
    <xdr:clientData/>
  </xdr:oneCellAnchor>
  <xdr:oneCellAnchor>
    <xdr:from>
      <xdr:col>45</xdr:col>
      <xdr:colOff>0</xdr:colOff>
      <xdr:row>332</xdr:row>
      <xdr:rowOff>0</xdr:rowOff>
    </xdr:from>
    <xdr:ext cx="190500" cy="190500"/>
    <xdr:pic>
      <xdr:nvPicPr>
        <xdr:cNvPr id="347" name="Grafik 346">
          <a:extLst>
            <a:ext uri="{FF2B5EF4-FFF2-40B4-BE49-F238E27FC236}">
              <a16:creationId xmlns:a16="http://schemas.microsoft.com/office/drawing/2014/main" id="{16E7B80C-8DD1-42FF-BA2D-3EDDCAA5FCC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193750" y="61150500"/>
          <a:ext cx="190500" cy="190500"/>
        </a:xfrm>
        <a:prstGeom prst="rect">
          <a:avLst/>
        </a:prstGeom>
      </xdr:spPr>
    </xdr:pic>
    <xdr:clientData/>
  </xdr:oneCellAnchor>
  <xdr:oneCellAnchor>
    <xdr:from>
      <xdr:col>53</xdr:col>
      <xdr:colOff>0</xdr:colOff>
      <xdr:row>152</xdr:row>
      <xdr:rowOff>0</xdr:rowOff>
    </xdr:from>
    <xdr:ext cx="190500" cy="190500"/>
    <xdr:pic>
      <xdr:nvPicPr>
        <xdr:cNvPr id="348" name="Grafik 347">
          <a:extLst>
            <a:ext uri="{FF2B5EF4-FFF2-40B4-BE49-F238E27FC236}">
              <a16:creationId xmlns:a16="http://schemas.microsoft.com/office/drawing/2014/main" id="{CB6C0790-49A2-40D2-A3BD-BA8D3DEB5B1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8003500"/>
          <a:ext cx="190500" cy="190500"/>
        </a:xfrm>
        <a:prstGeom prst="rect">
          <a:avLst/>
        </a:prstGeom>
      </xdr:spPr>
    </xdr:pic>
    <xdr:clientData/>
  </xdr:oneCellAnchor>
  <xdr:oneCellAnchor>
    <xdr:from>
      <xdr:col>50</xdr:col>
      <xdr:colOff>0</xdr:colOff>
      <xdr:row>152</xdr:row>
      <xdr:rowOff>0</xdr:rowOff>
    </xdr:from>
    <xdr:ext cx="190500" cy="190500"/>
    <xdr:pic>
      <xdr:nvPicPr>
        <xdr:cNvPr id="350" name="Grafik 349">
          <a:extLst>
            <a:ext uri="{FF2B5EF4-FFF2-40B4-BE49-F238E27FC236}">
              <a16:creationId xmlns:a16="http://schemas.microsoft.com/office/drawing/2014/main" id="{59B42561-4393-4791-998E-820B335A703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27635200"/>
          <a:ext cx="190500" cy="190500"/>
        </a:xfrm>
        <a:prstGeom prst="rect">
          <a:avLst/>
        </a:prstGeom>
      </xdr:spPr>
    </xdr:pic>
    <xdr:clientData/>
  </xdr:oneCellAnchor>
  <xdr:oneCellAnchor>
    <xdr:from>
      <xdr:col>50</xdr:col>
      <xdr:colOff>0</xdr:colOff>
      <xdr:row>149</xdr:row>
      <xdr:rowOff>0</xdr:rowOff>
    </xdr:from>
    <xdr:ext cx="190500" cy="190500"/>
    <xdr:pic>
      <xdr:nvPicPr>
        <xdr:cNvPr id="351" name="Grafik 350">
          <a:extLst>
            <a:ext uri="{FF2B5EF4-FFF2-40B4-BE49-F238E27FC236}">
              <a16:creationId xmlns:a16="http://schemas.microsoft.com/office/drawing/2014/main" id="{83DA31FB-D2C8-41EE-A998-6D2A489B055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27451050"/>
          <a:ext cx="190500" cy="190500"/>
        </a:xfrm>
        <a:prstGeom prst="rect">
          <a:avLst/>
        </a:prstGeom>
      </xdr:spPr>
    </xdr:pic>
    <xdr:clientData/>
  </xdr:oneCellAnchor>
  <xdr:oneCellAnchor>
    <xdr:from>
      <xdr:col>53</xdr:col>
      <xdr:colOff>0</xdr:colOff>
      <xdr:row>157</xdr:row>
      <xdr:rowOff>0</xdr:rowOff>
    </xdr:from>
    <xdr:ext cx="190500" cy="190500"/>
    <xdr:pic>
      <xdr:nvPicPr>
        <xdr:cNvPr id="352" name="Grafik 351">
          <a:extLst>
            <a:ext uri="{FF2B5EF4-FFF2-40B4-BE49-F238E27FC236}">
              <a16:creationId xmlns:a16="http://schemas.microsoft.com/office/drawing/2014/main" id="{A0FC2F2C-48AB-4C09-8A92-CB83779E6DF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8924250"/>
          <a:ext cx="190500" cy="190500"/>
        </a:xfrm>
        <a:prstGeom prst="rect">
          <a:avLst/>
        </a:prstGeom>
      </xdr:spPr>
    </xdr:pic>
    <xdr:clientData/>
  </xdr:oneCellAnchor>
  <xdr:oneCellAnchor>
    <xdr:from>
      <xdr:col>50</xdr:col>
      <xdr:colOff>0</xdr:colOff>
      <xdr:row>157</xdr:row>
      <xdr:rowOff>0</xdr:rowOff>
    </xdr:from>
    <xdr:ext cx="190500" cy="190500"/>
    <xdr:pic>
      <xdr:nvPicPr>
        <xdr:cNvPr id="353" name="Grafik 352">
          <a:extLst>
            <a:ext uri="{FF2B5EF4-FFF2-40B4-BE49-F238E27FC236}">
              <a16:creationId xmlns:a16="http://schemas.microsoft.com/office/drawing/2014/main" id="{77CC3566-2410-482C-AA04-E70015AC8FD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28003500"/>
          <a:ext cx="190500" cy="190500"/>
        </a:xfrm>
        <a:prstGeom prst="rect">
          <a:avLst/>
        </a:prstGeom>
      </xdr:spPr>
    </xdr:pic>
    <xdr:clientData/>
  </xdr:oneCellAnchor>
  <xdr:oneCellAnchor>
    <xdr:from>
      <xdr:col>53</xdr:col>
      <xdr:colOff>0</xdr:colOff>
      <xdr:row>151</xdr:row>
      <xdr:rowOff>0</xdr:rowOff>
    </xdr:from>
    <xdr:ext cx="190500" cy="190500"/>
    <xdr:pic>
      <xdr:nvPicPr>
        <xdr:cNvPr id="354" name="Grafik 353">
          <a:extLst>
            <a:ext uri="{FF2B5EF4-FFF2-40B4-BE49-F238E27FC236}">
              <a16:creationId xmlns:a16="http://schemas.microsoft.com/office/drawing/2014/main" id="{7137CAD9-D97E-4131-ABD4-1037A71308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7819350"/>
          <a:ext cx="190500" cy="190500"/>
        </a:xfrm>
        <a:prstGeom prst="rect">
          <a:avLst/>
        </a:prstGeom>
      </xdr:spPr>
    </xdr:pic>
    <xdr:clientData/>
  </xdr:oneCellAnchor>
  <xdr:oneCellAnchor>
    <xdr:from>
      <xdr:col>51</xdr:col>
      <xdr:colOff>0</xdr:colOff>
      <xdr:row>154</xdr:row>
      <xdr:rowOff>0</xdr:rowOff>
    </xdr:from>
    <xdr:ext cx="190500" cy="190500"/>
    <xdr:pic>
      <xdr:nvPicPr>
        <xdr:cNvPr id="355" name="Grafik 354">
          <a:extLst>
            <a:ext uri="{FF2B5EF4-FFF2-40B4-BE49-F238E27FC236}">
              <a16:creationId xmlns:a16="http://schemas.microsoft.com/office/drawing/2014/main" id="{4D398389-22A5-4E22-85C9-64507187BE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7298650" y="25425400"/>
          <a:ext cx="190500" cy="190500"/>
        </a:xfrm>
        <a:prstGeom prst="rect">
          <a:avLst/>
        </a:prstGeom>
      </xdr:spPr>
    </xdr:pic>
    <xdr:clientData/>
  </xdr:oneCellAnchor>
  <xdr:oneCellAnchor>
    <xdr:from>
      <xdr:col>53</xdr:col>
      <xdr:colOff>0</xdr:colOff>
      <xdr:row>155</xdr:row>
      <xdr:rowOff>0</xdr:rowOff>
    </xdr:from>
    <xdr:ext cx="190500" cy="190500"/>
    <xdr:pic>
      <xdr:nvPicPr>
        <xdr:cNvPr id="356" name="Grafik 355">
          <a:extLst>
            <a:ext uri="{FF2B5EF4-FFF2-40B4-BE49-F238E27FC236}">
              <a16:creationId xmlns:a16="http://schemas.microsoft.com/office/drawing/2014/main" id="{A3897BC7-A982-46FA-865A-3503480201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8555950"/>
          <a:ext cx="190500" cy="190500"/>
        </a:xfrm>
        <a:prstGeom prst="rect">
          <a:avLst/>
        </a:prstGeom>
      </xdr:spPr>
    </xdr:pic>
    <xdr:clientData/>
  </xdr:oneCellAnchor>
  <xdr:oneCellAnchor>
    <xdr:from>
      <xdr:col>46</xdr:col>
      <xdr:colOff>0</xdr:colOff>
      <xdr:row>156</xdr:row>
      <xdr:rowOff>0</xdr:rowOff>
    </xdr:from>
    <xdr:ext cx="190500" cy="190500"/>
    <xdr:pic>
      <xdr:nvPicPr>
        <xdr:cNvPr id="357" name="Grafik 356">
          <a:extLst>
            <a:ext uri="{FF2B5EF4-FFF2-40B4-BE49-F238E27FC236}">
              <a16:creationId xmlns:a16="http://schemas.microsoft.com/office/drawing/2014/main" id="{BAAF2F18-219F-4F95-81D2-3302F8A307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377900" y="26530300"/>
          <a:ext cx="190500" cy="190500"/>
        </a:xfrm>
        <a:prstGeom prst="rect">
          <a:avLst/>
        </a:prstGeom>
      </xdr:spPr>
    </xdr:pic>
    <xdr:clientData/>
  </xdr:oneCellAnchor>
  <xdr:oneCellAnchor>
    <xdr:from>
      <xdr:col>53</xdr:col>
      <xdr:colOff>0</xdr:colOff>
      <xdr:row>158</xdr:row>
      <xdr:rowOff>0</xdr:rowOff>
    </xdr:from>
    <xdr:ext cx="190500" cy="190500"/>
    <xdr:pic>
      <xdr:nvPicPr>
        <xdr:cNvPr id="358" name="Grafik 357">
          <a:extLst>
            <a:ext uri="{FF2B5EF4-FFF2-40B4-BE49-F238E27FC236}">
              <a16:creationId xmlns:a16="http://schemas.microsoft.com/office/drawing/2014/main" id="{10909620-03CE-455A-8398-79C569D18E0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66950" y="29108400"/>
          <a:ext cx="190500" cy="190500"/>
        </a:xfrm>
        <a:prstGeom prst="rect">
          <a:avLst/>
        </a:prstGeom>
      </xdr:spPr>
    </xdr:pic>
    <xdr:clientData/>
  </xdr:oneCellAnchor>
  <xdr:oneCellAnchor>
    <xdr:from>
      <xdr:col>49</xdr:col>
      <xdr:colOff>0</xdr:colOff>
      <xdr:row>159</xdr:row>
      <xdr:rowOff>0</xdr:rowOff>
    </xdr:from>
    <xdr:ext cx="190500" cy="190500"/>
    <xdr:pic>
      <xdr:nvPicPr>
        <xdr:cNvPr id="359" name="Grafik 358">
          <a:extLst>
            <a:ext uri="{FF2B5EF4-FFF2-40B4-BE49-F238E27FC236}">
              <a16:creationId xmlns:a16="http://schemas.microsoft.com/office/drawing/2014/main" id="{E02C455E-4BB3-444C-852D-A1620738739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27082750"/>
          <a:ext cx="190500" cy="190500"/>
        </a:xfrm>
        <a:prstGeom prst="rect">
          <a:avLst/>
        </a:prstGeom>
      </xdr:spPr>
    </xdr:pic>
    <xdr:clientData/>
  </xdr:oneCellAnchor>
  <xdr:oneCellAnchor>
    <xdr:from>
      <xdr:col>50</xdr:col>
      <xdr:colOff>0</xdr:colOff>
      <xdr:row>160</xdr:row>
      <xdr:rowOff>0</xdr:rowOff>
    </xdr:from>
    <xdr:ext cx="190500" cy="190500"/>
    <xdr:pic>
      <xdr:nvPicPr>
        <xdr:cNvPr id="360" name="Grafik 359">
          <a:extLst>
            <a:ext uri="{FF2B5EF4-FFF2-40B4-BE49-F238E27FC236}">
              <a16:creationId xmlns:a16="http://schemas.microsoft.com/office/drawing/2014/main" id="{9C56E980-AD49-459E-9A9E-AC511C6A8F9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7114500" y="28003500"/>
          <a:ext cx="190500" cy="190500"/>
        </a:xfrm>
        <a:prstGeom prst="rect">
          <a:avLst/>
        </a:prstGeom>
      </xdr:spPr>
    </xdr:pic>
    <xdr:clientData/>
  </xdr:oneCellAnchor>
  <xdr:oneCellAnchor>
    <xdr:from>
      <xdr:col>49</xdr:col>
      <xdr:colOff>0</xdr:colOff>
      <xdr:row>161</xdr:row>
      <xdr:rowOff>0</xdr:rowOff>
    </xdr:from>
    <xdr:ext cx="190500" cy="190500"/>
    <xdr:pic>
      <xdr:nvPicPr>
        <xdr:cNvPr id="361" name="Grafik 360">
          <a:extLst>
            <a:ext uri="{FF2B5EF4-FFF2-40B4-BE49-F238E27FC236}">
              <a16:creationId xmlns:a16="http://schemas.microsoft.com/office/drawing/2014/main" id="{4BC21D29-EAE0-45ED-853E-E93E153AC6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29292550"/>
          <a:ext cx="190500" cy="190500"/>
        </a:xfrm>
        <a:prstGeom prst="rect">
          <a:avLst/>
        </a:prstGeom>
      </xdr:spPr>
    </xdr:pic>
    <xdr:clientData/>
  </xdr:oneCellAnchor>
  <xdr:oneCellAnchor>
    <xdr:from>
      <xdr:col>46</xdr:col>
      <xdr:colOff>0</xdr:colOff>
      <xdr:row>162</xdr:row>
      <xdr:rowOff>0</xdr:rowOff>
    </xdr:from>
    <xdr:ext cx="190500" cy="190500"/>
    <xdr:pic>
      <xdr:nvPicPr>
        <xdr:cNvPr id="362" name="Grafik 361">
          <a:extLst>
            <a:ext uri="{FF2B5EF4-FFF2-40B4-BE49-F238E27FC236}">
              <a16:creationId xmlns:a16="http://schemas.microsoft.com/office/drawing/2014/main" id="{8DB85BDA-9797-41A4-9A34-F84BE4FCEBD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377900" y="28740100"/>
          <a:ext cx="190500" cy="190500"/>
        </a:xfrm>
        <a:prstGeom prst="rect">
          <a:avLst/>
        </a:prstGeom>
      </xdr:spPr>
    </xdr:pic>
    <xdr:clientData/>
  </xdr:oneCellAnchor>
  <xdr:oneCellAnchor>
    <xdr:from>
      <xdr:col>48</xdr:col>
      <xdr:colOff>0</xdr:colOff>
      <xdr:row>163</xdr:row>
      <xdr:rowOff>0</xdr:rowOff>
    </xdr:from>
    <xdr:ext cx="190500" cy="190500"/>
    <xdr:pic>
      <xdr:nvPicPr>
        <xdr:cNvPr id="363" name="Grafik 362">
          <a:extLst>
            <a:ext uri="{FF2B5EF4-FFF2-40B4-BE49-F238E27FC236}">
              <a16:creationId xmlns:a16="http://schemas.microsoft.com/office/drawing/2014/main" id="{B34F9E5F-1B81-4089-9538-EAC90C05ACD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27266900"/>
          <a:ext cx="190500" cy="190500"/>
        </a:xfrm>
        <a:prstGeom prst="rect">
          <a:avLst/>
        </a:prstGeom>
      </xdr:spPr>
    </xdr:pic>
    <xdr:clientData/>
  </xdr:oneCellAnchor>
  <xdr:oneCellAnchor>
    <xdr:from>
      <xdr:col>46</xdr:col>
      <xdr:colOff>0</xdr:colOff>
      <xdr:row>164</xdr:row>
      <xdr:rowOff>0</xdr:rowOff>
    </xdr:from>
    <xdr:ext cx="190500" cy="190500"/>
    <xdr:pic>
      <xdr:nvPicPr>
        <xdr:cNvPr id="364" name="Grafik 363">
          <a:extLst>
            <a:ext uri="{FF2B5EF4-FFF2-40B4-BE49-F238E27FC236}">
              <a16:creationId xmlns:a16="http://schemas.microsoft.com/office/drawing/2014/main" id="{6711509E-3313-4676-A00C-06B05E41FF8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377900" y="28740100"/>
          <a:ext cx="190500" cy="190500"/>
        </a:xfrm>
        <a:prstGeom prst="rect">
          <a:avLst/>
        </a:prstGeom>
      </xdr:spPr>
    </xdr:pic>
    <xdr:clientData/>
  </xdr:oneCellAnchor>
  <xdr:oneCellAnchor>
    <xdr:from>
      <xdr:col>49</xdr:col>
      <xdr:colOff>0</xdr:colOff>
      <xdr:row>165</xdr:row>
      <xdr:rowOff>0</xdr:rowOff>
    </xdr:from>
    <xdr:ext cx="190500" cy="190500"/>
    <xdr:pic>
      <xdr:nvPicPr>
        <xdr:cNvPr id="365" name="Grafik 364">
          <a:extLst>
            <a:ext uri="{FF2B5EF4-FFF2-40B4-BE49-F238E27FC236}">
              <a16:creationId xmlns:a16="http://schemas.microsoft.com/office/drawing/2014/main" id="{039F7E9E-7747-4D77-8769-2074C406A71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930350" y="29660850"/>
          <a:ext cx="190500" cy="190500"/>
        </a:xfrm>
        <a:prstGeom prst="rect">
          <a:avLst/>
        </a:prstGeom>
      </xdr:spPr>
    </xdr:pic>
    <xdr:clientData/>
  </xdr:oneCellAnchor>
  <xdr:oneCellAnchor>
    <xdr:from>
      <xdr:col>46</xdr:col>
      <xdr:colOff>0</xdr:colOff>
      <xdr:row>166</xdr:row>
      <xdr:rowOff>0</xdr:rowOff>
    </xdr:from>
    <xdr:ext cx="190500" cy="190500"/>
    <xdr:pic>
      <xdr:nvPicPr>
        <xdr:cNvPr id="366" name="Grafik 365">
          <a:extLst>
            <a:ext uri="{FF2B5EF4-FFF2-40B4-BE49-F238E27FC236}">
              <a16:creationId xmlns:a16="http://schemas.microsoft.com/office/drawing/2014/main" id="{209BF097-D123-4A3B-8D18-84BEFC2F91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377900" y="30213300"/>
          <a:ext cx="190500" cy="190500"/>
        </a:xfrm>
        <a:prstGeom prst="rect">
          <a:avLst/>
        </a:prstGeom>
      </xdr:spPr>
    </xdr:pic>
    <xdr:clientData/>
  </xdr:oneCellAnchor>
  <xdr:oneCellAnchor>
    <xdr:from>
      <xdr:col>48</xdr:col>
      <xdr:colOff>0</xdr:colOff>
      <xdr:row>167</xdr:row>
      <xdr:rowOff>0</xdr:rowOff>
    </xdr:from>
    <xdr:ext cx="190500" cy="190500"/>
    <xdr:pic>
      <xdr:nvPicPr>
        <xdr:cNvPr id="367" name="Grafik 366">
          <a:extLst>
            <a:ext uri="{FF2B5EF4-FFF2-40B4-BE49-F238E27FC236}">
              <a16:creationId xmlns:a16="http://schemas.microsoft.com/office/drawing/2014/main" id="{700E9B21-BCDB-4775-95F3-7357C41CC02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6746200" y="30029150"/>
          <a:ext cx="190500" cy="190500"/>
        </a:xfrm>
        <a:prstGeom prst="rect">
          <a:avLst/>
        </a:prstGeom>
      </xdr:spPr>
    </xdr:pic>
    <xdr:clientData/>
  </xdr:oneCellAnchor>
  <xdr:oneCellAnchor>
    <xdr:from>
      <xdr:col>47</xdr:col>
      <xdr:colOff>0</xdr:colOff>
      <xdr:row>168</xdr:row>
      <xdr:rowOff>0</xdr:rowOff>
    </xdr:from>
    <xdr:ext cx="190500" cy="190500"/>
    <xdr:pic>
      <xdr:nvPicPr>
        <xdr:cNvPr id="369" name="Grafik 368">
          <a:extLst>
            <a:ext uri="{FF2B5EF4-FFF2-40B4-BE49-F238E27FC236}">
              <a16:creationId xmlns:a16="http://schemas.microsoft.com/office/drawing/2014/main" id="{D1D3F4FC-4387-4E38-8937-0C676E845BD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62050" y="23583900"/>
          <a:ext cx="190500" cy="190500"/>
        </a:xfrm>
        <a:prstGeom prst="rect">
          <a:avLst/>
        </a:prstGeom>
      </xdr:spPr>
    </xdr:pic>
    <xdr:clientData/>
  </xdr:oneCellAnchor>
  <xdr:oneCellAnchor>
    <xdr:from>
      <xdr:col>45</xdr:col>
      <xdr:colOff>0</xdr:colOff>
      <xdr:row>169</xdr:row>
      <xdr:rowOff>0</xdr:rowOff>
    </xdr:from>
    <xdr:ext cx="190500" cy="190500"/>
    <xdr:pic>
      <xdr:nvPicPr>
        <xdr:cNvPr id="370" name="Grafik 369">
          <a:extLst>
            <a:ext uri="{FF2B5EF4-FFF2-40B4-BE49-F238E27FC236}">
              <a16:creationId xmlns:a16="http://schemas.microsoft.com/office/drawing/2014/main" id="{6F6F6DFC-8C27-4BB6-A446-2689F711542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193750" y="32054800"/>
          <a:ext cx="190500" cy="19050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elle01_???od" displayName="Tabelle01_???od" ref="B9:F107" totalsRowShown="0" headerRowDxfId="291" dataDxfId="290">
  <autoFilter ref="B9:F107" xr:uid="{00000000-0009-0000-0100-000006000000}"/>
  <tableColumns count="5">
    <tableColumn id="1" xr3:uid="{00000000-0010-0000-0000-000001000000}" name="L-Nr." dataDxfId="289"/>
    <tableColumn id="2" xr3:uid="{00000000-0010-0000-0000-000002000000}" name="Podcast-Titel" dataDxfId="288"/>
    <tableColumn id="3" xr3:uid="{00000000-0010-0000-0000-000003000000}" name="Folge" dataDxfId="287"/>
    <tableColumn id="4" xr3:uid="{00000000-0010-0000-0000-000004000000}" name="VÖ" dataDxfId="286"/>
    <tableColumn id="5" xr3:uid="{00000000-0010-0000-0000-000005000000}" name="Dauer" dataDxfId="28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elle09_RundA" displayName="Tabelle09_RundA" ref="B914:F981" totalsRowShown="0" headerRowDxfId="226" dataDxfId="225">
  <autoFilter ref="B914:F981" xr:uid="{00000000-0009-0000-0100-000003000000}"/>
  <tableColumns count="5">
    <tableColumn id="1" xr3:uid="{00000000-0010-0000-0800-000001000000}" name="L-Nr." dataDxfId="224"/>
    <tableColumn id="2" xr3:uid="{00000000-0010-0000-0800-000002000000}" name="Podcast-Titel" dataDxfId="223"/>
    <tableColumn id="3" xr3:uid="{00000000-0010-0000-0800-000003000000}" name="Folge" dataDxfId="222"/>
    <tableColumn id="4" xr3:uid="{00000000-0010-0000-0800-000004000000}" name="VÖ" dataDxfId="221"/>
    <tableColumn id="5" xr3:uid="{00000000-0010-0000-0800-000005000000}" name="Dauer" dataDxfId="22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9000000}" name="Tabelle10_2WO" displayName="Tabelle10_2WO" ref="B986:F995" totalsRowShown="0" dataDxfId="219">
  <autoFilter ref="B986:F995" xr:uid="{00000000-0009-0000-0100-000001000000}"/>
  <tableColumns count="5">
    <tableColumn id="1" xr3:uid="{00000000-0010-0000-0900-000001000000}" name="L-Nr." dataDxfId="218"/>
    <tableColumn id="2" xr3:uid="{00000000-0010-0000-0900-000002000000}" name="Podcast-Titel" dataDxfId="217"/>
    <tableColumn id="3" xr3:uid="{00000000-0010-0000-0900-000003000000}" name="Folge" dataDxfId="216"/>
    <tableColumn id="4" xr3:uid="{00000000-0010-0000-0900-000004000000}" name="VÖ" dataDxfId="215"/>
    <tableColumn id="5" xr3:uid="{00000000-0010-0000-0900-000005000000}" name="Dauer" dataDxfId="21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Tabelle11_Zentrale" displayName="Tabelle11_Zentrale" ref="B1000:F1251" totalsRowShown="0" headerRowDxfId="213" dataDxfId="212">
  <autoFilter ref="B1000:F1251" xr:uid="{00000000-0009-0000-0100-000002000000}"/>
  <tableColumns count="5">
    <tableColumn id="1" xr3:uid="{00000000-0010-0000-0A00-000001000000}" name="L-Nr." dataDxfId="211"/>
    <tableColumn id="2" xr3:uid="{00000000-0010-0000-0A00-000002000000}" name="Podcast-Titel" dataDxfId="210"/>
    <tableColumn id="3" xr3:uid="{00000000-0010-0000-0A00-000003000000}" name="Folge" dataDxfId="209"/>
    <tableColumn id="4" xr3:uid="{00000000-0010-0000-0A00-000004000000}" name="VÖ" dataDxfId="208"/>
    <tableColumn id="5" xr3:uid="{00000000-0010-0000-0A00-000005000000}" name="Dauer" dataDxfId="20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elle12_Gebraucht" displayName="Tabelle12_Gebraucht" ref="B1256:F1267" totalsRowShown="0" headerRowDxfId="206" dataDxfId="205">
  <autoFilter ref="B1256:F1267" xr:uid="{00000000-0009-0000-0100-00000F000000}"/>
  <tableColumns count="5">
    <tableColumn id="1" xr3:uid="{00000000-0010-0000-0B00-000001000000}" name="L-Nr." dataDxfId="204"/>
    <tableColumn id="2" xr3:uid="{00000000-0010-0000-0B00-000002000000}" name="Podcast-Titel" dataDxfId="203"/>
    <tableColumn id="3" xr3:uid="{00000000-0010-0000-0B00-000003000000}" name="Folge" dataDxfId="202"/>
    <tableColumn id="4" xr3:uid="{00000000-0010-0000-0B00-000004000000}" name="VÖ" dataDxfId="201"/>
    <tableColumn id="5" xr3:uid="{00000000-0010-0000-0B00-000005000000}" name="Dauer" dataDxfId="20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Tabelle13_Retro" displayName="Tabelle13_Retro" ref="B1272:F1283" totalsRowShown="0" headerRowDxfId="199" dataDxfId="198">
  <autoFilter ref="B1272:F1283" xr:uid="{00000000-0009-0000-0100-000008000000}"/>
  <tableColumns count="5">
    <tableColumn id="1" xr3:uid="{00000000-0010-0000-0C00-000001000000}" name="L-Nr." dataDxfId="197"/>
    <tableColumn id="2" xr3:uid="{00000000-0010-0000-0C00-000002000000}" name="Podcast-Titel" dataDxfId="196"/>
    <tableColumn id="3" xr3:uid="{00000000-0010-0000-0C00-000003000000}" name="Folge" dataDxfId="195"/>
    <tableColumn id="4" xr3:uid="{00000000-0010-0000-0C00-000004000000}" name="VÖ" dataDxfId="194"/>
    <tableColumn id="5" xr3:uid="{00000000-0010-0000-0C00-000005000000}" name="Dauer" dataDxfId="19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elle14_Platz" displayName="Tabelle14_Platz" ref="B1288:F1295" totalsRowShown="0" headerRowDxfId="192" dataDxfId="191">
  <autoFilter ref="B1288:F1295" xr:uid="{00000000-0009-0000-0100-000010000000}"/>
  <tableColumns count="5">
    <tableColumn id="1" xr3:uid="{00000000-0010-0000-0D00-000001000000}" name="L-Nr." dataDxfId="190"/>
    <tableColumn id="2" xr3:uid="{00000000-0010-0000-0D00-000002000000}" name="Podcast-Titel" dataDxfId="189"/>
    <tableColumn id="3" xr3:uid="{00000000-0010-0000-0D00-000003000000}" name="Folge" dataDxfId="188"/>
    <tableColumn id="4" xr3:uid="{00000000-0010-0000-0D00-000004000000}" name="VÖ" dataDxfId="187"/>
    <tableColumn id="5" xr3:uid="{00000000-0010-0000-0D00-000005000000}" name="Dauer" dataDxfId="18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AF239F7-D116-4B53-9E37-41C5B9EF79B5}" name="Tabelle15_Abfahrt" displayName="Tabelle15_Abfahrt" ref="B1300:F1356" totalsRowShown="0" headerRowDxfId="185" dataDxfId="184">
  <autoFilter ref="B1300:F1356" xr:uid="{8AF239F7-D116-4B53-9E37-41C5B9EF79B5}"/>
  <tableColumns count="5">
    <tableColumn id="1" xr3:uid="{63C3C9EF-13CE-40D4-955B-A51BD0B6B6C4}" name="L-Nr." dataDxfId="183"/>
    <tableColumn id="2" xr3:uid="{1E387F5F-22B3-47C8-B8C8-4721129C7F45}" name="Podcast-Titel" dataDxfId="182"/>
    <tableColumn id="3" xr3:uid="{FCB06140-8B4C-4057-A85B-45CF0D8D9B8F}" name="Folge" dataDxfId="181"/>
    <tableColumn id="4" xr3:uid="{CB00C5C1-8DB7-4DEA-BF42-3BEB28CBD4B6}" name="VÖ" dataDxfId="180"/>
    <tableColumn id="5" xr3:uid="{D570C6CF-D48D-4D43-80F3-AB50A9A398DF}" name="Dauer" dataDxfId="17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ADB0BF-8F76-43F0-869E-392FB6BA49B1}" name="Tabelle16_Lampe" displayName="Tabelle16_Lampe" ref="B1361:F1364" totalsRowShown="0" headerRowDxfId="178" dataDxfId="177">
  <autoFilter ref="B1361:F1364" xr:uid="{4262451A-7998-420E-B4C4-B5153898C432}"/>
  <tableColumns count="5">
    <tableColumn id="1" xr3:uid="{1DF61707-8B8B-4C59-B941-50B0B0EE767A}" name="L-Nr." dataDxfId="176"/>
    <tableColumn id="2" xr3:uid="{17B57E34-7BF6-4A83-8F06-6E0585762674}" name="Podcast-Titel" dataDxfId="175"/>
    <tableColumn id="3" xr3:uid="{F55A5695-A002-4477-9B27-4524F5F29047}" name="Folge" dataDxfId="174"/>
    <tableColumn id="4" xr3:uid="{5D780691-0957-4276-A9BE-85092C413A5B}" name="VÖ" dataDxfId="173"/>
    <tableColumn id="5" xr3:uid="{2E9A983C-D427-439B-AC66-76C78B09B996}" name="Dauer" dataDxfId="17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7_Zeichen" displayName="Tabelle17_Zeichen" ref="B1369:F1419" totalsRowShown="0" headerRowDxfId="171" dataDxfId="170">
  <autoFilter ref="B1369:F1419" xr:uid="{00000000-0009-0000-0100-00000E000000}"/>
  <tableColumns count="5">
    <tableColumn id="1" xr3:uid="{00000000-0010-0000-0E00-000001000000}" name="L-Nr." dataDxfId="169"/>
    <tableColumn id="2" xr3:uid="{00000000-0010-0000-0E00-000002000000}" name="Podcast-Titel" dataDxfId="168"/>
    <tableColumn id="3" xr3:uid="{00000000-0010-0000-0E00-000003000000}" name="Folge" dataDxfId="167"/>
    <tableColumn id="4" xr3:uid="{00000000-0010-0000-0E00-000004000000}" name="VÖ" dataDxfId="166"/>
    <tableColumn id="5" xr3:uid="{00000000-0010-0000-0E00-000005000000}" name="Dauer" dataDxfId="16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elle18_Fan" displayName="Tabelle18_Fan" ref="B1424:F1446" totalsRowShown="0" headerRowDxfId="164" dataDxfId="163">
  <autoFilter ref="B1424:F1446" xr:uid="{00000000-0009-0000-0100-000011000000}"/>
  <tableColumns count="5">
    <tableColumn id="1" xr3:uid="{00000000-0010-0000-0F00-000001000000}" name="L-Nr." dataDxfId="162"/>
    <tableColumn id="2" xr3:uid="{00000000-0010-0000-0F00-000002000000}" name="Podcast-Titel" dataDxfId="161"/>
    <tableColumn id="3" xr3:uid="{00000000-0010-0000-0F00-000003000000}" name="Folge" dataDxfId="160"/>
    <tableColumn id="4" xr3:uid="{00000000-0010-0000-0F00-000004000000}" name="VÖ" dataDxfId="159"/>
    <tableColumn id="5" xr3:uid="{00000000-0010-0000-0F00-000005000000}" name="Dauer" dataDxfId="15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elle02_Ohr" displayName="Tabelle02_Ohr" ref="B112:F238" totalsRowShown="0" headerRowDxfId="284" dataDxfId="283" tableBorderDxfId="282">
  <autoFilter ref="B112:F238" xr:uid="{00000000-0009-0000-0100-00000D000000}"/>
  <tableColumns count="5">
    <tableColumn id="1" xr3:uid="{00000000-0010-0000-0100-000001000000}" name="L-Nr." dataDxfId="281"/>
    <tableColumn id="2" xr3:uid="{00000000-0010-0000-0100-000002000000}" name="Podcast-Titel" dataDxfId="280"/>
    <tableColumn id="3" xr3:uid="{00000000-0010-0000-0100-000003000000}" name="Folge" dataDxfId="279"/>
    <tableColumn id="4" xr3:uid="{00000000-0010-0000-0100-000004000000}" name="VÖ" dataDxfId="278"/>
    <tableColumn id="5" xr3:uid="{00000000-0010-0000-0100-000005000000}" name="Dauer" dataDxfId="27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8E5FBC-6580-4ABC-AE47-A761A3A690EA}" name="Tabelle19a_Kaffee" displayName="Tabelle19a_Kaffee" ref="B1451:F1502" totalsRowShown="0" headerRowDxfId="157" dataDxfId="156">
  <autoFilter ref="B1451:F1502" xr:uid="{1278B14E-CB9D-46F1-9F01-F8698EA3F542}"/>
  <tableColumns count="5">
    <tableColumn id="1" xr3:uid="{F6A37E19-3731-4736-A624-0C3BDB470301}" name="L-Nr." dataDxfId="155"/>
    <tableColumn id="2" xr3:uid="{EF7D4C15-E422-4040-8CA2-77D8DFD5506C}" name="Podcast-Titel" dataDxfId="154"/>
    <tableColumn id="3" xr3:uid="{3C0215B9-E53C-4376-A505-C3F549F958E3}" name="Folge" dataDxfId="153"/>
    <tableColumn id="4" xr3:uid="{ECDA22C0-1697-4FD6-9CD4-60E113A21336}" name="VÖ" dataDxfId="152"/>
    <tableColumn id="5" xr3:uid="{CB85F50D-9197-44D5-ACAD-870EF654FDA8}" name="Dauer" dataDxfId="15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2D15049C-79A2-4A9D-9760-83C6AE027807}" name="Tabelle19b_Kaffee" displayName="Tabelle19b_Kaffee" ref="B1505:F1574" totalsRowShown="0" headerRowDxfId="150" dataDxfId="149">
  <autoFilter ref="B1505:F1574" xr:uid="{783CF5E5-CAF9-456C-82CC-733D23B033B4}"/>
  <tableColumns count="5">
    <tableColumn id="1" xr3:uid="{7CF69C3B-8575-498F-9ADA-20D5F281ACD9}" name="L-Nr." dataDxfId="148"/>
    <tableColumn id="2" xr3:uid="{BA2C5EB8-471A-4D38-BD70-3CE055B5F746}" name="Podcast-Titel" dataDxfId="147"/>
    <tableColumn id="3" xr3:uid="{14D1D8CE-4B8C-4DBF-B5E3-BE2ECCE1B48D}" name="Folge" dataDxfId="146"/>
    <tableColumn id="4" xr3:uid="{0A73B92F-F273-48B4-8317-43D62D6F7359}" name="VÖ" dataDxfId="145"/>
    <tableColumn id="5" xr3:uid="{EE58FC28-0B72-477F-BC6D-B9CA6813676A}" name="Dauer" dataDxfId="144"/>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8E84F58-4D1D-4D7C-8A81-F4F6FFBB4001}" name="Tabelle20_Kuchen" displayName="Tabelle20_Kuchen" ref="B1579:F1705" totalsRowShown="0" headerRowDxfId="143" dataDxfId="142">
  <autoFilter ref="B1579:F1705" xr:uid="{1E1CC610-B1CC-4557-88FA-FB0007FC6482}"/>
  <tableColumns count="5">
    <tableColumn id="1" xr3:uid="{D1EF405C-1607-450D-A048-788A180DB43F}" name="L-Nr." dataDxfId="141"/>
    <tableColumn id="2" xr3:uid="{4B9445AD-92E0-45E3-B5A8-7CE193C377A2}" name="Podcast-Titel" dataDxfId="140"/>
    <tableColumn id="3" xr3:uid="{8BB6DF0A-FA64-48AF-9C4F-5DBA0F1A0EA4}" name="Folge" dataDxfId="139"/>
    <tableColumn id="4" xr3:uid="{42F45D14-FADB-490A-BB8A-EF0FF5D152D3}" name="VÖ" dataDxfId="138"/>
    <tableColumn id="5" xr3:uid="{069F45C0-E32B-4C9C-B301-890EF915F587}" name="Dauer" dataDxfId="13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2992371-4DD8-46EC-9239-0B92B2C6B1BF}" name="Tabelle21a_Verstärker" displayName="Tabelle21a_Verstärker" ref="B1710:F1750" totalsRowShown="0" headerRowDxfId="136" dataDxfId="135">
  <autoFilter ref="B1710:F1750" xr:uid="{0CDB8B83-236E-457B-9D9D-E0E4085A922E}"/>
  <tableColumns count="5">
    <tableColumn id="1" xr3:uid="{8CAA67B9-6566-49E4-AAA1-EE31D3AD6490}" name="L-Nr." dataDxfId="134"/>
    <tableColumn id="2" xr3:uid="{E16DC64B-DD74-44D0-B334-6875E572C2DF}" name="Podcast-Titel" dataDxfId="133"/>
    <tableColumn id="3" xr3:uid="{DEDC3E17-7E2F-46A3-A020-9BB1841A4F78}" name="Folge" dataDxfId="132"/>
    <tableColumn id="4" xr3:uid="{FCFD4F7F-D758-4686-BA75-E00898652B8E}" name="VÖ" dataDxfId="131"/>
    <tableColumn id="5" xr3:uid="{F6EAFA79-728E-46FE-B3BE-C53BA0F32674}" name="Dauer" dataDxfId="13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F1E648A-1CD5-451B-8887-467EA27C490C}" name="Tabelle21b_Verstärker" displayName="Tabelle21b_Verstärker" ref="B1753:F1833" totalsRowShown="0" headerRowDxfId="129" dataDxfId="128">
  <autoFilter ref="B1753:F1833" xr:uid="{D0817994-264D-47D8-A273-51BE918A72DE}"/>
  <tableColumns count="5">
    <tableColumn id="1" xr3:uid="{F54CF862-628C-4BDF-914C-3DAA304F2794}" name="L-Nr." dataDxfId="127"/>
    <tableColumn id="2" xr3:uid="{CD991D1C-3CC5-45EF-AE75-AD8D4F4A4537}" name="Podcast-Titel" dataDxfId="126"/>
    <tableColumn id="3" xr3:uid="{239C8E9C-7E19-4ED1-A55A-F97EF69EBA06}" name="Folge" dataDxfId="125"/>
    <tableColumn id="4" xr3:uid="{A8578561-697E-4A18-A852-83AF59EC5591}" name="VÖ" dataDxfId="124"/>
    <tableColumn id="5" xr3:uid="{8C4379A9-7525-43C9-874E-C117A2D80B94}" name="Dauer" dataDxfId="12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BFB82C1-C072-41D1-A118-842FAFA9FA3A}" name="Tabelle22_Rose" displayName="Tabelle22_Rose" ref="B1838:F1855" totalsRowShown="0" headerRowDxfId="122" dataDxfId="121">
  <autoFilter ref="B1838:F1855" xr:uid="{DBFB82C1-C072-41D1-A118-842FAFA9FA3A}"/>
  <tableColumns count="5">
    <tableColumn id="1" xr3:uid="{ADFFCD99-914B-4547-9FF8-CE1652B8CC65}" name="L-Nr." dataDxfId="120"/>
    <tableColumn id="2" xr3:uid="{E382BC4E-3860-41BC-913F-D4D2EB7ABCAB}" name="Podcast-Titel" dataDxfId="119"/>
    <tableColumn id="3" xr3:uid="{DB2D3305-FDAF-4E3F-90A2-60A2AF5084D4}" name="Folge" dataDxfId="118"/>
    <tableColumn id="4" xr3:uid="{A0A39C34-100F-4634-A420-67B78FF31F10}" name="VÖ" dataDxfId="117"/>
    <tableColumn id="5" xr3:uid="{275ACB5E-3E62-4759-B4A7-0F4B7BDC6181}" name="Dauer" dataDxfId="11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BBDC0FE-9AFE-4B63-A05A-40622391BFA2}" name="Tabelle23_Zw3i" displayName="Tabelle23_Zw3i" ref="B1860:F1994" totalsRowShown="0" headerRowDxfId="115" dataDxfId="114">
  <autoFilter ref="B1860:F1994" xr:uid="{5BBDC0FE-9AFE-4B63-A05A-40622391BFA2}"/>
  <tableColumns count="5">
    <tableColumn id="1" xr3:uid="{BDACA96D-F95F-4C6E-BE24-1163148DDD2F}" name="L-Nr." dataDxfId="113"/>
    <tableColumn id="2" xr3:uid="{314CB58B-9F05-445F-91CB-9571D4FFBC91}" name="Podcast-Titel" dataDxfId="112"/>
    <tableColumn id="3" xr3:uid="{184477E8-2ECA-400A-8C18-EF24C4297F6F}" name="Folge" dataDxfId="111"/>
    <tableColumn id="4" xr3:uid="{383334AB-FC3B-4A32-87DC-6E5918622DD7}" name="VÖ" dataDxfId="110"/>
    <tableColumn id="5" xr3:uid="{58126C56-73F7-40B0-B53A-D25689815EB2}" name="Dauer" data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EF24BA4-D1D3-4A4D-AC87-6864AA07CA56}" name="Tabelle26_beachcast" displayName="Tabelle26_beachcast" ref="B2076:F2092" totalsRowShown="0" tableBorderDxfId="108">
  <autoFilter ref="B2076:F2092" xr:uid="{8EF24BA4-D1D3-4A4D-AC87-6864AA07CA56}"/>
  <tableColumns count="5">
    <tableColumn id="1" xr3:uid="{B7BE4D4F-219C-41D8-93AE-95EA468A6379}" name="L-Nr." dataDxfId="107"/>
    <tableColumn id="2" xr3:uid="{D0D9E995-59A1-4A12-9189-34A441BF62CA}" name="Podcast-Titel" dataDxfId="106"/>
    <tableColumn id="3" xr3:uid="{CA0A00C7-D879-4282-92D6-8BDFBFB0BDB9}" name="Folge" dataDxfId="105"/>
    <tableColumn id="4" xr3:uid="{F4E77632-3F71-4B59-8998-F6EEB1BF34EE}" name="VÖ"/>
    <tableColumn id="5" xr3:uid="{260E8A61-D301-4AD4-A64A-DDA7C3DC5F0E}" name="Dauer"/>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236CB08-9E8C-44AE-8007-7E49DE6FCFE8}" name="Tabelle27_DGdB" displayName="Tabelle27_DGdB" ref="B2097:F2114" totalsRowShown="0" tableBorderDxfId="104">
  <autoFilter ref="B2097:F2114" xr:uid="{6236CB08-9E8C-44AE-8007-7E49DE6FCFE8}"/>
  <tableColumns count="5">
    <tableColumn id="1" xr3:uid="{AEF16992-06D1-4D00-A38D-733F0B12F36A}" name="L-Nr." dataDxfId="103"/>
    <tableColumn id="2" xr3:uid="{9C79AA36-1825-4559-B7B9-C35E3B1FAF28}" name="Podcast-Titel" dataDxfId="102"/>
    <tableColumn id="3" xr3:uid="{11C781C0-EC89-44BF-B9AD-D49DEC66B787}" name="Folge" dataDxfId="101"/>
    <tableColumn id="4" xr3:uid="{83429B0C-CAF7-47AE-83BC-23F7473C16B1}" name="VÖ"/>
    <tableColumn id="5" xr3:uid="{8BD15239-271C-4D2F-9FFB-67A2DDC0D80F}" name="Dauer"/>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A1C1592-1E38-43EE-87F7-F0078B5DE22F}" name="Tabelle_DDF_Bobcast" displayName="Tabelle_DDF_Bobcast" ref="B2467:F2535" totalsRowShown="0" headerRowDxfId="100" dataDxfId="99">
  <autoFilter ref="B2467:F2535" xr:uid="{DA1C1592-1E38-43EE-87F7-F0078B5DE22F}"/>
  <tableColumns count="5">
    <tableColumn id="1" xr3:uid="{FB6ABF34-BA23-4E64-8552-88EE63F62947}" name="L-Nr." dataDxfId="98"/>
    <tableColumn id="2" xr3:uid="{2BFD1237-246E-4273-82EA-810B719F674F}" name="Podcast-Titel" dataDxfId="97"/>
    <tableColumn id="3" xr3:uid="{5D9FB1A0-EB68-42BB-AA28-ECD2AC79889A}" name="Folge" dataDxfId="96"/>
    <tableColumn id="4" xr3:uid="{7BE60BAD-12FB-48F0-A2DE-145B02A77A49}" name="VÖ" dataDxfId="95"/>
    <tableColumn id="5" xr3:uid="{EB6D2142-BC69-4B63-9046-C00675F722CA}" name="Dauer" dataDxfId="9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elle03_Talker" displayName="Tabelle03_Talker" ref="B243:F299" totalsRowShown="0" headerRowDxfId="276" dataDxfId="275">
  <autoFilter ref="B243:F299" xr:uid="{00000000-0009-0000-0100-00000B000000}"/>
  <tableColumns count="5">
    <tableColumn id="1" xr3:uid="{00000000-0010-0000-0200-000001000000}" name="L-Nr." dataDxfId="274"/>
    <tableColumn id="2" xr3:uid="{00000000-0010-0000-0200-000002000000}" name="Podcast-Titel" dataDxfId="273"/>
    <tableColumn id="3" xr3:uid="{00000000-0010-0000-0200-000003000000}" name="Folge" dataDxfId="272"/>
    <tableColumn id="4" xr3:uid="{00000000-0010-0000-0200-000004000000}" name="VÖ" dataDxfId="271"/>
    <tableColumn id="5" xr3:uid="{00000000-0010-0000-0200-000005000000}" name="Dauer" dataDxfId="270"/>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99987B9-E28D-4DE4-8D63-11D28283516B}" name="Tabelle_Kids_Podcast" displayName="Tabelle_Kids_Podcast" ref="B2543:F2708" totalsRowShown="0" headerRowDxfId="93" dataDxfId="92">
  <autoFilter ref="B2543:F2708" xr:uid="{499987B9-E28D-4DE4-8D63-11D28283516B}"/>
  <tableColumns count="5">
    <tableColumn id="1" xr3:uid="{E7F066FD-22F8-4628-8E10-E2C40B243CBB}" name="L-Nr." dataDxfId="91"/>
    <tableColumn id="2" xr3:uid="{0FB52BA6-0A4C-48B4-9130-F70E8A89C076}" name="Podcast-Titel" dataDxfId="90"/>
    <tableColumn id="3" xr3:uid="{4A8DFCA4-AC07-44B0-865D-2BB77FA849C5}" name="Folge" dataDxfId="89"/>
    <tableColumn id="4" xr3:uid="{112EA135-FD11-49EB-8654-0E8F68807EB7}" name="VÖ" dataDxfId="88"/>
    <tableColumn id="5" xr3:uid="{40CCC5FD-039A-4181-984C-4E42FD12B198}" name="Dauer" dataDxfId="8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7F690D5-1F98-495F-8638-EE75746045CA}" name="Tabelle_Zentrale_Teilnehmer" displayName="Tabelle_Zentrale_Teilnehmer" ref="L1006:Q1080" totalsRowShown="0" headerRowDxfId="86" dataDxfId="84" headerRowBorderDxfId="85" tableBorderDxfId="83" totalsRowBorderDxfId="82">
  <autoFilter ref="L1006:Q1080" xr:uid="{07F690D5-1F98-495F-8638-EE75746045CA}"/>
  <tableColumns count="6">
    <tableColumn id="1" xr3:uid="{90E02C83-6431-43EF-B37E-042F3AAF836B}" name="Zentrale-Folge" dataDxfId="81"/>
    <tableColumn id="2" xr3:uid="{6559BD49-8DE1-496E-8DFB-49F7470766EB}" name="DDF-Folge" dataDxfId="80"/>
    <tableColumn id="3" xr3:uid="{5D3E7CDC-9DDD-4355-8757-756B6423B585}" name="VÖ" dataDxfId="79"/>
    <tableColumn id="4" xr3:uid="{937A48AE-43B9-4A86-AC63-620FD4CF4FC1}" name="Thomas" dataDxfId="78"/>
    <tableColumn id="5" xr3:uid="{7DA5CA84-2810-47E3-896D-7F7D3F1CC615}" name="Benjamin" dataDxfId="77"/>
    <tableColumn id="6" xr3:uid="{0F74D11B-5FCF-4FCD-86B6-87D02815D44C}" name="Oliver" dataDxfId="7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04E976A-70DA-46D6-876C-49A5322B6A8B}" name="Tabelle25_Doppelpunkt" displayName="Tabelle25_Doppelpunkt" ref="B2062:F2071" totalsRowShown="0" tableBorderDxfId="75">
  <autoFilter ref="B2062:F2071" xr:uid="{B04E976A-70DA-46D6-876C-49A5322B6A8B}"/>
  <tableColumns count="5">
    <tableColumn id="1" xr3:uid="{EE092DBD-9E0C-4C61-865D-CCDAC9E04CBC}" name="L-Nr." dataDxfId="74"/>
    <tableColumn id="2" xr3:uid="{C70899DE-C624-4680-91F1-1DD127279211}" name="Podcast-Titel" dataDxfId="73"/>
    <tableColumn id="3" xr3:uid="{F0D070F2-E895-4727-BE60-653F50A2AEC2}" name="Folge" dataDxfId="72"/>
    <tableColumn id="4" xr3:uid="{295A46B8-70F2-4F7F-A256-328184A3F8AE}" name="VÖ" dataDxfId="71"/>
    <tableColumn id="5" xr3:uid="{F3689EDC-8723-4A73-826F-3493ACDB294B}" name="Dauer"/>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D611DF9-082F-4593-83FA-95F1922615BE}" name="Tabelle24_RBW" displayName="Tabelle24_RBW" ref="B1999:F2057" totalsRowShown="0" headerRowDxfId="70" dataDxfId="69">
  <autoFilter ref="B1999:F2057" xr:uid="{9D611DF9-082F-4593-83FA-95F1922615BE}"/>
  <tableColumns count="5">
    <tableColumn id="1" xr3:uid="{0AD3B97E-B55A-41B0-9962-A765026710E8}" name="L-Nr." dataDxfId="68"/>
    <tableColumn id="2" xr3:uid="{9CD25803-250B-463A-A4EC-A194AE5F8BD8}" name="Podcast-Titel" dataDxfId="67"/>
    <tableColumn id="3" xr3:uid="{3E399328-8119-431E-AD76-83FFE6E7EC08}" name="Folge" dataDxfId="66"/>
    <tableColumn id="4" xr3:uid="{492A91C5-C5F3-4D8D-8E64-13D307D4A356}" name="VÖ" dataDxfId="65"/>
    <tableColumn id="5" xr3:uid="{76A900FA-90B6-437A-9BC3-CBBD5B118045}" name="Dauer" dataDxfId="64"/>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4D85A01-6C1F-412D-A928-15A740B872AD}" name="Tabelle28_RBP" displayName="Tabelle28_RBP" ref="B2119:F2124" totalsRowShown="0" headerRowDxfId="63" dataDxfId="62">
  <autoFilter ref="B2119:F2124" xr:uid="{94D85A01-6C1F-412D-A928-15A740B872AD}"/>
  <tableColumns count="5">
    <tableColumn id="1" xr3:uid="{5D59C3AC-1C79-4DC2-BB59-C2CA11B93EAF}" name="L-Nr." dataDxfId="61"/>
    <tableColumn id="2" xr3:uid="{E8D93A41-EE55-4C7C-B017-3CB509FE4FA9}" name="Podcast-Titel" dataDxfId="60"/>
    <tableColumn id="3" xr3:uid="{739B1E9D-C6A7-481C-B1FE-087CBDC47D8C}" name="Folge" dataDxfId="59"/>
    <tableColumn id="4" xr3:uid="{74374A86-374D-4826-8A7F-9DF49A9E3203}" name="VÖ" dataDxfId="58"/>
    <tableColumn id="5" xr3:uid="{5FCC1B1C-5B3E-4170-ABB7-1F474A2BFCAE}" name="Dauer" dataDxfId="5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0000000}" name="Tabelle_Synopsis" displayName="Tabelle_Synopsis" ref="B6:K34" totalsRowShown="0" headerRowDxfId="56" dataDxfId="55" tableBorderDxfId="54">
  <autoFilter ref="B6:K34" xr:uid="{00000000-0009-0000-0100-00000A000000}"/>
  <tableColumns count="10">
    <tableColumn id="1" xr3:uid="{00000000-0010-0000-1000-000001000000}" name="Nr." dataDxfId="53"/>
    <tableColumn id="2" xr3:uid="{00000000-0010-0000-1000-000002000000}" name="Name" dataDxfId="52"/>
    <tableColumn id="3" xr3:uid="{00000000-0010-0000-1000-000003000000}" name="Zeitraum" dataDxfId="51"/>
    <tableColumn id="9" xr3:uid="{00000000-0010-0000-1000-000009000000}" name="Std. Σ gesamt" dataDxfId="50">
      <calculatedColumnFormula>SUM(Podcasts!F10:'Podcasts'!F107)</calculatedColumnFormula>
    </tableColumn>
    <tableColumn id="11" xr3:uid="{00000000-0010-0000-1000-00000B000000}" name="alle Ø gesamt" dataDxfId="49">
      <calculatedColumnFormula>DATEDIF(Podcasts!E10,Podcasts!E107,"D")/Podcasts!B107-Podcasts!B10+1</calculatedColumnFormula>
    </tableColumn>
    <tableColumn id="5" xr3:uid="{00000000-0010-0000-1000-000005000000}" name="Std. Σ DDF regulär" dataDxfId="48">
      <calculatedColumnFormula>SUMIF(Podcasts!D10:'Podcasts'!D107, "&gt;0", Podcasts!F10:'Podcasts'!F107)</calculatedColumnFormula>
    </tableColumn>
    <tableColumn id="6" xr3:uid="{00000000-0010-0000-1000-000006000000}" name="Std. Ø DDF regulär" dataDxfId="47">
      <calculatedColumnFormula>G7/(200-J7)</calculatedColumnFormula>
    </tableColumn>
    <tableColumn id="10" xr3:uid="{00000000-0010-0000-1000-00000A000000}" name="alle Ø DDF regulär" dataDxfId="46"/>
    <tableColumn id="7" xr3:uid="{00000000-0010-0000-1000-000007000000}" name=" Anzahl: nur regulär (bis 200)" dataDxfId="45"/>
    <tableColumn id="8" xr3:uid="{00000000-0010-0000-1000-000008000000}" name=" Anzahl: 1. Zahl regulär (2. Zahl regulär + Sonderfolgen)" dataDxfId="44"/>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BD27792-94DE-4691-819E-C0E70156FE4C}" name="Tabelle_OF_Positionen" displayName="Tabelle_OF_Positionen" ref="AS5:BD333" totalsRowShown="0" headerRowDxfId="43" dataDxfId="41" headerRowBorderDxfId="42" tableBorderDxfId="40" totalsRowBorderDxfId="39">
  <autoFilter ref="AS5:BD333" xr:uid="{CBD27792-94DE-4691-819E-C0E70156FE4C}"/>
  <tableColumns count="12">
    <tableColumn id="1" xr3:uid="{A3BB87BB-A7C8-4B9A-91BB-B3A677B5242D}" name="Folge" dataDxfId="38"/>
    <tableColumn id="2" xr3:uid="{AE0C18BD-9599-4BF3-8660-9F56A21233CE}" name="1" dataDxfId="37"/>
    <tableColumn id="3" xr3:uid="{F26BDBC9-C80C-484D-BB0B-319CB558675B}" name="2" dataDxfId="36"/>
    <tableColumn id="4" xr3:uid="{62C417B3-A04C-4452-AE60-B8D96EAFCE16}" name="3" dataDxfId="35"/>
    <tableColumn id="5" xr3:uid="{C58A98B6-9466-44E6-9000-10BC9DBF2ABD}" name="4" dataDxfId="34"/>
    <tableColumn id="6" xr3:uid="{C0FC7447-1053-4A2A-979D-35150328ECBA}" name="5" dataDxfId="33"/>
    <tableColumn id="7" xr3:uid="{F94A3540-2A41-4615-8C1A-AB12D2F3EF86}" name="6" dataDxfId="32"/>
    <tableColumn id="8" xr3:uid="{3ED9DE98-41FA-4AF2-9BF3-01ADBB0F84F5}" name="7" dataDxfId="31"/>
    <tableColumn id="9" xr3:uid="{DF2A8A60-A1DD-4FFC-BEDC-103875D99392}" name="8" dataDxfId="30"/>
    <tableColumn id="10" xr3:uid="{3DED6D28-085E-4C74-82CC-EBAFF59F0E92}" name="9" dataDxfId="29"/>
    <tableColumn id="12" xr3:uid="{D3B2862F-A902-4BA7-BF10-44254BC55CE2}" name="x%" dataDxfId="28"/>
    <tableColumn id="13" xr3:uid="{42400BE5-5C39-41C1-A0BD-49E2B5C6AC15}" name="y%" dataDxfId="2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elle4a_Fürst" displayName="Tabelle4a_Fürst" ref="B304:F326" totalsRowShown="0" headerRowDxfId="269" dataDxfId="268">
  <autoFilter ref="B304:F326" xr:uid="{00000000-0009-0000-0100-000007000000}"/>
  <tableColumns count="5">
    <tableColumn id="1" xr3:uid="{00000000-0010-0000-0300-000001000000}" name="L-Nr." dataDxfId="267"/>
    <tableColumn id="2" xr3:uid="{00000000-0010-0000-0300-000002000000}" name="Podcast-Titel" dataDxfId="266"/>
    <tableColumn id="3" xr3:uid="{00000000-0010-0000-0300-000003000000}" name="Folge" dataDxfId="265"/>
    <tableColumn id="4" xr3:uid="{00000000-0010-0000-0300-000004000000}" name="VÖ" dataDxfId="264"/>
    <tableColumn id="5" xr3:uid="{00000000-0010-0000-0300-000005000000}" name="Dauer" dataDxfId="26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Tabelle4b_Fürst" displayName="Tabelle4b_Fürst" ref="B329:F473" totalsRowShown="0" headerRowDxfId="262" dataDxfId="261" tableBorderDxfId="260">
  <autoFilter ref="B329:F473" xr:uid="{00000000-0009-0000-0100-000009000000}"/>
  <tableColumns count="5">
    <tableColumn id="1" xr3:uid="{00000000-0010-0000-0400-000001000000}" name="Platz" dataDxfId="259"/>
    <tableColumn id="2" xr3:uid="{00000000-0010-0000-0400-000002000000}" name="Podcast Haschimitenfürst aufgeteilt (Ranking Folge 1-166)" dataDxfId="258"/>
    <tableColumn id="3" xr3:uid="{00000000-0010-0000-0400-000003000000}" name="Folge" dataDxfId="257"/>
    <tableColumn id="4" xr3:uid="{00000000-0010-0000-0400-000004000000}" name="VÖ" dataDxfId="256"/>
    <tableColumn id="5" xr3:uid="{00000000-0010-0000-0400-000005000000}" name="Dauer" dataDxfId="25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elle05_Hoerst" displayName="Tabelle05_Hoerst" ref="B478:F488" totalsRowShown="0" headerRowDxfId="254" dataDxfId="253">
  <autoFilter ref="B478:F488" xr:uid="{00000000-0009-0000-0100-00000C000000}"/>
  <tableColumns count="5">
    <tableColumn id="1" xr3:uid="{00000000-0010-0000-0500-000001000000}" name="L-Nr." dataDxfId="252"/>
    <tableColumn id="2" xr3:uid="{00000000-0010-0000-0500-000002000000}" name="Podcast-Titel" dataDxfId="251"/>
    <tableColumn id="3" xr3:uid="{00000000-0010-0000-0500-000003000000}" name="Folge" dataDxfId="250"/>
    <tableColumn id="4" xr3:uid="{00000000-0010-0000-0500-000004000000}" name="VÖ" dataDxfId="249"/>
    <tableColumn id="5" xr3:uid="{00000000-0010-0000-0500-000005000000}" name="Dauer" dataDxfId="24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elle06_Schrott" displayName="Tabelle06_Schrott" ref="B493:F518" totalsRowShown="0" headerRowDxfId="247" dataDxfId="246">
  <autoFilter ref="B493:F518" xr:uid="{00000000-0009-0000-0100-000005000000}"/>
  <tableColumns count="5">
    <tableColumn id="1" xr3:uid="{00000000-0010-0000-0600-000001000000}" name="L-Nr." dataDxfId="245"/>
    <tableColumn id="2" xr3:uid="{00000000-0010-0000-0600-000002000000}" name="Podcast-Titel" dataDxfId="244"/>
    <tableColumn id="3" xr3:uid="{00000000-0010-0000-0600-000003000000}" name="Folge" dataDxfId="243"/>
    <tableColumn id="4" xr3:uid="{00000000-0010-0000-0600-000004000000}" name="VÖ" dataDxfId="242"/>
    <tableColumn id="5" xr3:uid="{00000000-0010-0000-0600-000005000000}" name="Dauer" dataDxfId="24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3D5940-0D5A-4F3F-A1AE-62FEBC3724EE}" name="Tabelle07_Keller" displayName="Tabelle07_Keller" ref="B523:F532" totalsRowShown="0" headerRowDxfId="240" dataDxfId="239">
  <autoFilter ref="B523:F532" xr:uid="{EE3D5940-0D5A-4F3F-A1AE-62FEBC3724EE}"/>
  <tableColumns count="5">
    <tableColumn id="1" xr3:uid="{BCF35D81-BFE4-4CF9-8FEC-342914B448A9}" name="L-Nr." dataDxfId="238"/>
    <tableColumn id="2" xr3:uid="{5DEB76E1-3805-4FE8-A58B-99748BDB7BFF}" name="Podcast-Titel" dataDxfId="237"/>
    <tableColumn id="3" xr3:uid="{9E4A63B6-DC4D-458A-B6CD-A3B4A3D8133D}" name="Folge" dataDxfId="236"/>
    <tableColumn id="4" xr3:uid="{20075D2B-5240-489F-8B61-15BC1084EC63}" name="VÖ" dataDxfId="235"/>
    <tableColumn id="5" xr3:uid="{8B41D373-8874-4993-B878-A6B67AF14CED}" name="Dauer" dataDxfId="23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elle08_SSP" displayName="Tabelle08_SSP" ref="B537:F909" totalsRowShown="0" headerRowDxfId="233" dataDxfId="232">
  <autoFilter ref="B537:F909" xr:uid="{00000000-0009-0000-0100-000004000000}"/>
  <tableColumns count="5">
    <tableColumn id="1" xr3:uid="{00000000-0010-0000-0700-000001000000}" name="L-Nr." dataDxfId="231"/>
    <tableColumn id="2" xr3:uid="{00000000-0010-0000-0700-000002000000}" name="Podcast-Titel" dataDxfId="230"/>
    <tableColumn id="3" xr3:uid="{00000000-0010-0000-0700-000003000000}" name="Folge" dataDxfId="229"/>
    <tableColumn id="4" xr3:uid="{00000000-0010-0000-0700-000004000000}" name="VÖ" dataDxfId="228"/>
    <tableColumn id="5" xr3:uid="{00000000-0010-0000-0700-000005000000}" name="Dauer" dataDxfId="227"/>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unteranfuehrungszeichen.wordpress.com/" TargetMode="External"/><Relationship Id="rId299" Type="http://schemas.openxmlformats.org/officeDocument/2006/relationships/hyperlink" Target="http://www.youtube.com/watch?v=vF0bfIdez-g" TargetMode="External"/><Relationship Id="rId21" Type="http://schemas.openxmlformats.org/officeDocument/2006/relationships/hyperlink" Target="http://www.youtube.com/watch?v=SLh74D1P3uE" TargetMode="External"/><Relationship Id="rId63" Type="http://schemas.openxmlformats.org/officeDocument/2006/relationships/hyperlink" Target="http://www.youtube.com/watch?v=O4wZW7quXhI" TargetMode="External"/><Relationship Id="rId159" Type="http://schemas.openxmlformats.org/officeDocument/2006/relationships/hyperlink" Target="http://rocketbeans.tv/mediathek/podcast/352/Hoerspielplatz" TargetMode="External"/><Relationship Id="rId324" Type="http://schemas.openxmlformats.org/officeDocument/2006/relationships/hyperlink" Target="http://www.whocast.de/" TargetMode="External"/><Relationship Id="rId366" Type="http://schemas.openxmlformats.org/officeDocument/2006/relationships/hyperlink" Target="https://stitcher2.acast.com/livestitches/216719c33ea176c32dd1d13198a2dcd6.mp3?aid=6346a7d6f597f1001130645d&amp;chid=f711305f-014c-411d-8b46-5a09e46243bf&amp;ci=T7d-8V2wa92kt49Qznb34WTJNH909SXcqf5ID_q_i5yzRZRVhEv6xw%3D%3D&amp;pf=rss&amp;range=bytes%3D0-&amp;sv=sphinx%401.154.0&amp;uid=6c8c9df0f233a41c6db828de535f4823&amp;Expires=1679781538739&amp;Key-Pair-Id=K38CTQXUSD0VVB&amp;Signature=XkD1JyDeDqqlWtMMDGZHQXMmtMQzuVGxbbKUJipanei1GsexlmhJFIoMTUy1ebt9zuS3yW4e~VsDg1B07x2g3x7Gek1hAzi-TKlvws7gIvi3eQ~5uFtiB~nC5sooMYT7ZloBgn4ZMvVxQTAFiWDzYY2Ga2oq2OsAJH~ilOkWBSRSIPsfPyI4zMEvRNeFU1zgu6aJoPhdGiGeJ9u0qARmAjMGnC7Ccy~4pU2rtdbWxOeAwGppQ6BXLxGFRSQcwQB0Q4~IPFZT22XhJrdW1MoymJXEgKYzl1DNgObqZt6~wsxzEtacC6kqpujx5fkD8-Dh1ilE1ynpTrPNGyHPXrjv5g__" TargetMode="External"/><Relationship Id="rId170" Type="http://schemas.openxmlformats.org/officeDocument/2006/relationships/hyperlink" Target="http://www.tolkiengesellschaft.de/der-verein/vereinspublikationen/tolkcast/" TargetMode="External"/><Relationship Id="rId226" Type="http://schemas.openxmlformats.org/officeDocument/2006/relationships/hyperlink" Target="http://www.youtube.com/watch?v=p7h3wbhmkW8" TargetMode="External"/><Relationship Id="rId433" Type="http://schemas.openxmlformats.org/officeDocument/2006/relationships/table" Target="../tables/table11.xml"/><Relationship Id="rId268" Type="http://schemas.openxmlformats.org/officeDocument/2006/relationships/hyperlink" Target="http://disko80.buzzsprout.com/" TargetMode="External"/><Relationship Id="rId32" Type="http://schemas.openxmlformats.org/officeDocument/2006/relationships/hyperlink" Target="http://www.youtube.com/watch?v=2cL7LPqFJNc" TargetMode="External"/><Relationship Id="rId74" Type="http://schemas.openxmlformats.org/officeDocument/2006/relationships/hyperlink" Target="http://www.youtube.com/watch?v=tIfo8F5B1b8" TargetMode="External"/><Relationship Id="rId128" Type="http://schemas.openxmlformats.org/officeDocument/2006/relationships/hyperlink" Target="http://www.youtube.com/watch?v=478bmx_tBoM" TargetMode="External"/><Relationship Id="rId335" Type="http://schemas.openxmlformats.org/officeDocument/2006/relationships/hyperlink" Target="http://podcasters.spotify.com/pod/show/beachcast/" TargetMode="External"/><Relationship Id="rId377" Type="http://schemas.openxmlformats.org/officeDocument/2006/relationships/hyperlink" Target="https://podcasts.apple.com/de/podcast/birthe-wolter-die-drei-fragezeichen-sind-besser-als-sex/id1599061214?i=1000571388264" TargetMode="External"/><Relationship Id="rId5" Type="http://schemas.openxmlformats.org/officeDocument/2006/relationships/hyperlink" Target="http://haschimitenfuerst.blogspot.de/" TargetMode="External"/><Relationship Id="rId181" Type="http://schemas.openxmlformats.org/officeDocument/2006/relationships/hyperlink" Target="http://www.youtube.com/watch?v=rwwh8hRvQhU" TargetMode="External"/><Relationship Id="rId237" Type="http://schemas.openxmlformats.org/officeDocument/2006/relationships/hyperlink" Target="http://anchor.fm/dreiarchiv" TargetMode="External"/><Relationship Id="rId402" Type="http://schemas.openxmlformats.org/officeDocument/2006/relationships/hyperlink" Target="http://open.spotify.com/show/3eka4CgbqoLBwBpbEx6Udw" TargetMode="External"/><Relationship Id="rId279" Type="http://schemas.openxmlformats.org/officeDocument/2006/relationships/hyperlink" Target="http://youtu.be/npHEQwjB8HU" TargetMode="External"/><Relationship Id="rId444" Type="http://schemas.openxmlformats.org/officeDocument/2006/relationships/table" Target="../tables/table22.xml"/><Relationship Id="rId43" Type="http://schemas.openxmlformats.org/officeDocument/2006/relationships/hyperlink" Target="http://www.youtube.com/watch?v=qqHEEtp1mXI" TargetMode="External"/><Relationship Id="rId139" Type="http://schemas.openxmlformats.org/officeDocument/2006/relationships/hyperlink" Target="http://www.youtube.com/watch?v=HTuhrlDNqxM" TargetMode="External"/><Relationship Id="rId290" Type="http://schemas.openxmlformats.org/officeDocument/2006/relationships/hyperlink" Target="http://anchor.fm/dreiarchiv/episodes/Folge-8-Wie-war-nochmal-der-Name--feat--Mach-den-Verstrker-an-e1lknfj" TargetMode="External"/><Relationship Id="rId304" Type="http://schemas.openxmlformats.org/officeDocument/2006/relationships/hyperlink" Target="http://www.nerdizismus.de/episoden/" TargetMode="External"/><Relationship Id="rId346" Type="http://schemas.openxmlformats.org/officeDocument/2006/relationships/hyperlink" Target="https://sphinx.acast.com/p/open/s/6318c63f6c187b00135fb38b/e/633abb046f68d700125bcb38/media.mp3" TargetMode="External"/><Relationship Id="rId388" Type="http://schemas.openxmlformats.org/officeDocument/2006/relationships/hyperlink" Target="https://dreiraetselleichen.podigee.io/11-gefahrlicher-mix-2" TargetMode="External"/><Relationship Id="rId85" Type="http://schemas.openxmlformats.org/officeDocument/2006/relationships/hyperlink" Target="http://www.youtube.com/watch?v=u_KJ5mEfOdA" TargetMode="External"/><Relationship Id="rId150" Type="http://schemas.openxmlformats.org/officeDocument/2006/relationships/hyperlink" Target="http://www.youtube.com/watch?v=s4zk1HU5WXM" TargetMode="External"/><Relationship Id="rId192" Type="http://schemas.openxmlformats.org/officeDocument/2006/relationships/hyperlink" Target="http://www.youtube.com/watch?v=bRGvhDQ5xko" TargetMode="External"/><Relationship Id="rId206" Type="http://schemas.openxmlformats.org/officeDocument/2006/relationships/hyperlink" Target="http://buchplausch.podigee.io/" TargetMode="External"/><Relationship Id="rId413" Type="http://schemas.openxmlformats.org/officeDocument/2006/relationships/hyperlink" Target="http://vinylopresso.ch/2023/09/vinylopresso-der-vinylist-fan-special-zu-den-drei-fragezeichen-mit-andre-minninger/" TargetMode="External"/><Relationship Id="rId248" Type="http://schemas.openxmlformats.org/officeDocument/2006/relationships/hyperlink" Target="http://hoerspielkeller.de/podcast/folge-4-warum-peter-ein-bisschen-dumm-ist/" TargetMode="External"/><Relationship Id="rId455" Type="http://schemas.openxmlformats.org/officeDocument/2006/relationships/table" Target="../tables/table33.xml"/><Relationship Id="rId12" Type="http://schemas.openxmlformats.org/officeDocument/2006/relationships/hyperlink" Target="http://hoerspieltipps.net/ohrcast/" TargetMode="External"/><Relationship Id="rId108" Type="http://schemas.openxmlformats.org/officeDocument/2006/relationships/hyperlink" Target="http://www.youtube.com/watch?v=BaiZjRFXnhI" TargetMode="External"/><Relationship Id="rId315" Type="http://schemas.openxmlformats.org/officeDocument/2006/relationships/hyperlink" Target="http://www.nerdvana-podcast.de/nerdvana-v1-30/" TargetMode="External"/><Relationship Id="rId357" Type="http://schemas.openxmlformats.org/officeDocument/2006/relationships/hyperlink" Target="https://sphinx.acast.com/p/open/s/6318c63f6c187b00135fb38b/e/6418b161315ebd0011176a6d/media.mp3" TargetMode="External"/><Relationship Id="rId54" Type="http://schemas.openxmlformats.org/officeDocument/2006/relationships/hyperlink" Target="http://www.youtube.com/watch?v=JciXIxleqR8" TargetMode="External"/><Relationship Id="rId96" Type="http://schemas.openxmlformats.org/officeDocument/2006/relationships/hyperlink" Target="http://www.youtube.com/watch?v=ldoqGO7dDos" TargetMode="External"/><Relationship Id="rId161" Type="http://schemas.openxmlformats.org/officeDocument/2006/relationships/hyperlink" Target="http://anchor.fm/mathildaskirschkuchen" TargetMode="External"/><Relationship Id="rId217" Type="http://schemas.openxmlformats.org/officeDocument/2006/relationships/hyperlink" Target="http://washoerstduso.wordpress.com/alle-folgen/" TargetMode="External"/><Relationship Id="rId399" Type="http://schemas.openxmlformats.org/officeDocument/2006/relationships/hyperlink" Target="https://www.youtube.com/watch?v=EmZsgfHYEQ8" TargetMode="External"/><Relationship Id="rId259" Type="http://schemas.openxmlformats.org/officeDocument/2006/relationships/hyperlink" Target="http://www.br.de/mediathek/podcast/das-kalenderblatt/12-10-1979-das-erste-hoerspiel-von-die-drei-erscheint/1240xxx" TargetMode="External"/><Relationship Id="rId424" Type="http://schemas.openxmlformats.org/officeDocument/2006/relationships/table" Target="../tables/table2.xml"/><Relationship Id="rId23" Type="http://schemas.openxmlformats.org/officeDocument/2006/relationships/hyperlink" Target="http://www.youtube.com/watch?v=In_pr7vgxUE" TargetMode="External"/><Relationship Id="rId119" Type="http://schemas.openxmlformats.org/officeDocument/2006/relationships/hyperlink" Target="http://www.youtube.com/watch?v=W6GCQd0XBKQ" TargetMode="External"/><Relationship Id="rId270" Type="http://schemas.openxmlformats.org/officeDocument/2006/relationships/hyperlink" Target="http://www.youtube.com/watch?v=fqfTqVOWtRs" TargetMode="External"/><Relationship Id="rId326" Type="http://schemas.openxmlformats.org/officeDocument/2006/relationships/hyperlink" Target="https://www.whocast.de/2019/07/14/whocast-391-und-der-fluch-des-urins/" TargetMode="External"/><Relationship Id="rId65" Type="http://schemas.openxmlformats.org/officeDocument/2006/relationships/hyperlink" Target="http://www.youtube.com/watch?v=s1D9lP9GXXw" TargetMode="External"/><Relationship Id="rId130" Type="http://schemas.openxmlformats.org/officeDocument/2006/relationships/hyperlink" Target="http://www.youtube.com/watch?v=rK7mQqVwgxc" TargetMode="External"/><Relationship Id="rId368" Type="http://schemas.openxmlformats.org/officeDocument/2006/relationships/hyperlink" Target="https://dreiraetselleichen.podigee.io/4-der-heimliche-fehler" TargetMode="External"/><Relationship Id="rId172" Type="http://schemas.openxmlformats.org/officeDocument/2006/relationships/hyperlink" Target="http://serialdads.podigee.io/14-drei-fragezeichen" TargetMode="External"/><Relationship Id="rId228" Type="http://schemas.openxmlformats.org/officeDocument/2006/relationships/hyperlink" Target="http://www.youtube.com/watch?v=9sm1uyZtXmw" TargetMode="External"/><Relationship Id="rId435" Type="http://schemas.openxmlformats.org/officeDocument/2006/relationships/table" Target="../tables/table13.xml"/><Relationship Id="rId281" Type="http://schemas.openxmlformats.org/officeDocument/2006/relationships/hyperlink" Target="https://dreiraetselleichen.podigee.io/1-geheimaktepodcast" TargetMode="External"/><Relationship Id="rId337" Type="http://schemas.openxmlformats.org/officeDocument/2006/relationships/hyperlink" Target="http://www.podcast.de/podcast/3048610/die-dritte-abfahrt" TargetMode="External"/><Relationship Id="rId34" Type="http://schemas.openxmlformats.org/officeDocument/2006/relationships/hyperlink" Target="http://www.youtube.com/watch?v=KIb79Xp-XR4" TargetMode="External"/><Relationship Id="rId76" Type="http://schemas.openxmlformats.org/officeDocument/2006/relationships/hyperlink" Target="http://www.youtube.com/watch?v=lpP5WE1VPkI" TargetMode="External"/><Relationship Id="rId141" Type="http://schemas.openxmlformats.org/officeDocument/2006/relationships/hyperlink" Target="http://www.youtube.com/watch?v=UUhw6Q855K4" TargetMode="External"/><Relationship Id="rId379" Type="http://schemas.openxmlformats.org/officeDocument/2006/relationships/hyperlink" Target="https://podcasts.apple.com/my/podcast/die-allererste-folge-superpapagei-vs-wetterelefant/id1599061214?i=1000593854298" TargetMode="External"/><Relationship Id="rId7" Type="http://schemas.openxmlformats.org/officeDocument/2006/relationships/hyperlink" Target="http://www.retroabteil.de/die-drei-fragezeichen/" TargetMode="External"/><Relationship Id="rId183" Type="http://schemas.openxmlformats.org/officeDocument/2006/relationships/hyperlink" Target="http://www.youtube.com/watch?v=0Bf8kecLhb0" TargetMode="External"/><Relationship Id="rId239" Type="http://schemas.openxmlformats.org/officeDocument/2006/relationships/hyperlink" Target="http://www.podcast.de/podcast/872078/schulzis-plauderecke" TargetMode="External"/><Relationship Id="rId390" Type="http://schemas.openxmlformats.org/officeDocument/2006/relationships/hyperlink" Target="https://sphinx.acast.com/p/open/s/6318c63f6c187b00135fb38b/e/642ff881c065610011969395/media.mp3" TargetMode="External"/><Relationship Id="rId404" Type="http://schemas.openxmlformats.org/officeDocument/2006/relationships/hyperlink" Target="http://www.youtube.com/watch?v=zCBp6XDcaJo" TargetMode="External"/><Relationship Id="rId446" Type="http://schemas.openxmlformats.org/officeDocument/2006/relationships/table" Target="../tables/table24.xml"/><Relationship Id="rId250" Type="http://schemas.openxmlformats.org/officeDocument/2006/relationships/hyperlink" Target="http://hoerspielkeller.de/podcast/folge-2-again-andrews/" TargetMode="External"/><Relationship Id="rId292" Type="http://schemas.openxmlformats.org/officeDocument/2006/relationships/hyperlink" Target="http://dervinylist.com/2022/09/30/podcast-die-drei-fan-special-9-karin-lieneweg/" TargetMode="External"/><Relationship Id="rId306" Type="http://schemas.openxmlformats.org/officeDocument/2006/relationships/hyperlink" Target="http://wellenerdpol.podigee.io/16-podcast-12-die-drei-fragezeichen" TargetMode="External"/><Relationship Id="rId45" Type="http://schemas.openxmlformats.org/officeDocument/2006/relationships/hyperlink" Target="http://www.youtube.com/watch?v=K5ZcJKUhm8M" TargetMode="External"/><Relationship Id="rId87" Type="http://schemas.openxmlformats.org/officeDocument/2006/relationships/hyperlink" Target="http://www.youtube.com/watch?v=3F1qmHAN-UA" TargetMode="External"/><Relationship Id="rId110" Type="http://schemas.openxmlformats.org/officeDocument/2006/relationships/hyperlink" Target="http://www.youtube.com/watch?v=BaiZjRFXnhI" TargetMode="External"/><Relationship Id="rId348" Type="http://schemas.openxmlformats.org/officeDocument/2006/relationships/hyperlink" Target="https://sphinx.acast.com/p/open/s/6318c63f6c187b00135fb38b/e/636641f558f85600128588cf/media.mp3" TargetMode="External"/><Relationship Id="rId152" Type="http://schemas.openxmlformats.org/officeDocument/2006/relationships/hyperlink" Target="http://www.youtube.com/watch?v=n4JFq0VaBv8" TargetMode="External"/><Relationship Id="rId194" Type="http://schemas.openxmlformats.org/officeDocument/2006/relationships/hyperlink" Target="http://anchor.fm/diezw3i" TargetMode="External"/><Relationship Id="rId208" Type="http://schemas.openxmlformats.org/officeDocument/2006/relationships/hyperlink" Target="http://buchplausch.podigee.io/51-folge-35-die-drei-interview-mit-einem-fan" TargetMode="External"/><Relationship Id="rId415" Type="http://schemas.openxmlformats.org/officeDocument/2006/relationships/hyperlink" Target="http://vinylopresso.ch/2023/12/vp103-vinylopresso-amp-der-vinylist-fan-special-zu-den-drei-fragezeichen-mit-kari-erlhoff/" TargetMode="External"/><Relationship Id="rId457" Type="http://schemas.openxmlformats.org/officeDocument/2006/relationships/comments" Target="../comments1.xml"/><Relationship Id="rId261" Type="http://schemas.openxmlformats.org/officeDocument/2006/relationships/hyperlink" Target="https://anchor.fm/dreiarchiv/episodes/Folge-4-Bobs-Reisetagebuch-feat--Christian-e1fjslm" TargetMode="External"/><Relationship Id="rId14" Type="http://schemas.openxmlformats.org/officeDocument/2006/relationships/hyperlink" Target="http://www.flipthetruck.com/2019/09/17/podcast-142-die-drei-fragezeichen/" TargetMode="External"/><Relationship Id="rId56" Type="http://schemas.openxmlformats.org/officeDocument/2006/relationships/hyperlink" Target="http://www.youtube.com/watch?v=G3CCcr4n6t8" TargetMode="External"/><Relationship Id="rId317" Type="http://schemas.openxmlformats.org/officeDocument/2006/relationships/hyperlink" Target="http://rocky-beach-time.podspot.de/files/audioshow3.mp3" TargetMode="External"/><Relationship Id="rId359" Type="http://schemas.openxmlformats.org/officeDocument/2006/relationships/hyperlink" Target="http://www.youtube.com/watch?v=dLunByUU7ts" TargetMode="External"/><Relationship Id="rId98" Type="http://schemas.openxmlformats.org/officeDocument/2006/relationships/hyperlink" Target="http://www.youtube.com/watch?v=xyzI1z1n-o8" TargetMode="External"/><Relationship Id="rId121" Type="http://schemas.openxmlformats.org/officeDocument/2006/relationships/hyperlink" Target="https://www.youtube.com/watch?v=5XmyVw6v-Fw" TargetMode="External"/><Relationship Id="rId163" Type="http://schemas.openxmlformats.org/officeDocument/2006/relationships/hyperlink" Target="http://anchor.fm/kaffee-klatsch" TargetMode="External"/><Relationship Id="rId219" Type="http://schemas.openxmlformats.org/officeDocument/2006/relationships/hyperlink" Target="http://hoerspieltipps.net/serien/die_drei____.html" TargetMode="External"/><Relationship Id="rId370" Type="http://schemas.openxmlformats.org/officeDocument/2006/relationships/hyperlink" Target="http://www.youtube.com/watch?v=ISWsMAWtlRU" TargetMode="External"/><Relationship Id="rId426" Type="http://schemas.openxmlformats.org/officeDocument/2006/relationships/table" Target="../tables/table4.xml"/><Relationship Id="rId230" Type="http://schemas.openxmlformats.org/officeDocument/2006/relationships/hyperlink" Target="http://www.youtube.com/watch?v=PAs4xZJTMF8" TargetMode="External"/><Relationship Id="rId25" Type="http://schemas.openxmlformats.org/officeDocument/2006/relationships/hyperlink" Target="http://youtu.be/dATJAF12OBA" TargetMode="External"/><Relationship Id="rId67" Type="http://schemas.openxmlformats.org/officeDocument/2006/relationships/hyperlink" Target="http://www.youtube.com/watch?v=rjQ8RWaufQU" TargetMode="External"/><Relationship Id="rId272" Type="http://schemas.openxmlformats.org/officeDocument/2006/relationships/hyperlink" Target="http://anchor.fm/dreiarchiv/episodes/Folge-6-Blacky-und-gute-Fanhrspiele-feat--Blackythepirat-e1ioc4q" TargetMode="External"/><Relationship Id="rId328" Type="http://schemas.openxmlformats.org/officeDocument/2006/relationships/hyperlink" Target="http://www.hoerbarium-podcast.de/" TargetMode="External"/><Relationship Id="rId132" Type="http://schemas.openxmlformats.org/officeDocument/2006/relationships/hyperlink" Target="http://www.youtube.com/watch?v=1WxUlWlZUyg" TargetMode="External"/><Relationship Id="rId174" Type="http://schemas.openxmlformats.org/officeDocument/2006/relationships/hyperlink" Target="https://stitcher.acast.com/livestitches/398694d4-adfe-42e6-ab86-813b6979a999/0bbac3bb61dc00e78f9bb43db8a64a3d.mp3?aid=398694d4-adfe-42e6-ab86-813b6979a999&amp;chid=f711305f-014c-411d-8b46-5a09e46243bf&amp;ci=RpGZbFV6yBauw8OfZh-wbT3_zjjHCPhiUdveqD4PKSfczTr3igXtvQ%3D%3D&amp;pf=rss&amp;range=bytes%3D0-&amp;sv=sphinx%401.51.0&amp;uid=dc07e2f4b3e5f8a1cb64ffefef3b534f&amp;Expires=1621210254&amp;Signature=bvfMNQDoXGGLysy8PY%7EKc6eotoIb9Px77eBg5QMxHeBNND%7EJpl6HA-l0CJnV0JTAWGFZJWOjiQRnhO0H5%7EAVLf7k4k7awkYwgHMu9y93-4fdeoPqbhUQFqRCanDP4nBOSHF1JikVnLht6SACwBqLax%7E32C%7ExqDcz1gqYYBu-IGZy0m06lRN63nwJ8otwEarXjIck0DxCmixlPHh4By4avn%7EgqVWRuWd64cVF0Qgsad6REuB332zkKlkInTgjd5Ogk0wDk9Eat%7Eal7bc9yDbwNz9BOq17%7ElxrirxecZTA1vif4qenjVCF6JtdthQMqJ7LXumzMGkUTXIo1csiyPFD-w__&amp;Key-Pair-Id=APKAJXAFARUOTJQ3BLOQ" TargetMode="External"/><Relationship Id="rId381" Type="http://schemas.openxmlformats.org/officeDocument/2006/relationships/hyperlink" Target="https://dreiraetselleichen.podigee.io/6-06-podcast-im-park" TargetMode="External"/><Relationship Id="rId241" Type="http://schemas.openxmlformats.org/officeDocument/2006/relationships/hyperlink" Target="http://www.podcast.de/episode/588077365/heikedine-koerting-stellt-sich-eurem-fragenmarathon-teil-2" TargetMode="External"/><Relationship Id="rId437" Type="http://schemas.openxmlformats.org/officeDocument/2006/relationships/table" Target="../tables/table15.xml"/><Relationship Id="rId36" Type="http://schemas.openxmlformats.org/officeDocument/2006/relationships/hyperlink" Target="http://www.youtube.com/watch?v=kjCZE4XWdsg" TargetMode="External"/><Relationship Id="rId283" Type="http://schemas.openxmlformats.org/officeDocument/2006/relationships/hyperlink" Target="https://dreiraetselleichen.podigee.io/3-die-super-folge-drei" TargetMode="External"/><Relationship Id="rId339" Type="http://schemas.openxmlformats.org/officeDocument/2006/relationships/hyperlink" Target="http://open.spotify.com/show/6xXN9mjJ86rGw3Mz0AM0sZ" TargetMode="External"/><Relationship Id="rId78" Type="http://schemas.openxmlformats.org/officeDocument/2006/relationships/hyperlink" Target="http://www.youtube.com/watch?v=ZzJM0_gghtA" TargetMode="External"/><Relationship Id="rId101" Type="http://schemas.openxmlformats.org/officeDocument/2006/relationships/hyperlink" Target="http://www.youtube.com/watch?v=_WIvio6_02U" TargetMode="External"/><Relationship Id="rId143" Type="http://schemas.openxmlformats.org/officeDocument/2006/relationships/hyperlink" Target="http://www.youtube.com/watch?v=7A-cEL-lA_I" TargetMode="External"/><Relationship Id="rId185" Type="http://schemas.openxmlformats.org/officeDocument/2006/relationships/hyperlink" Target="http://www.youtube.com/watch?v=KyLY9dqiJkM" TargetMode="External"/><Relationship Id="rId350" Type="http://schemas.openxmlformats.org/officeDocument/2006/relationships/hyperlink" Target="https://sphinx.acast.com/p/open/s/6318c63f6c187b00135fb38b/e/637ffe6371631f0010c8430d/media.mp3" TargetMode="External"/><Relationship Id="rId406" Type="http://schemas.openxmlformats.org/officeDocument/2006/relationships/hyperlink" Target="https://www.youtube.com/watch?v=_2_sVPVFtoI" TargetMode="External"/><Relationship Id="rId9" Type="http://schemas.openxmlformats.org/officeDocument/2006/relationships/hyperlink" Target="http://washoerstduso.wordpress.com/" TargetMode="External"/><Relationship Id="rId210" Type="http://schemas.openxmlformats.org/officeDocument/2006/relationships/hyperlink" Target="http://ruehrcast.de/2018/03/ruehrcast-folge-10-die-drei-fragezeichen-und-die-spur-des-queeren-elements-maerz-2018/" TargetMode="External"/><Relationship Id="rId392" Type="http://schemas.openxmlformats.org/officeDocument/2006/relationships/hyperlink" Target="http://open.spotify.com/show/4AIutPV1pG0tDrjYGI4dMy" TargetMode="External"/><Relationship Id="rId448" Type="http://schemas.openxmlformats.org/officeDocument/2006/relationships/table" Target="../tables/table26.xml"/><Relationship Id="rId252" Type="http://schemas.openxmlformats.org/officeDocument/2006/relationships/hyperlink" Target="http://hoerspielkeller.de/podcast/folge-8-der-dumme-ist-verliebt/" TargetMode="External"/><Relationship Id="rId294" Type="http://schemas.openxmlformats.org/officeDocument/2006/relationships/hyperlink" Target="http://anchor.fm/dreiarchiv/episodes/Folge-9-Das-Geheimnis-der-3--Bcher-feat--Marco-Sonnleitner-e1pa4ru" TargetMode="External"/><Relationship Id="rId308" Type="http://schemas.openxmlformats.org/officeDocument/2006/relationships/hyperlink" Target="https://www.hoerma-podcast.de/hoerma-005-podwichtelgeschenk-mit-den/" TargetMode="External"/><Relationship Id="rId47" Type="http://schemas.openxmlformats.org/officeDocument/2006/relationships/hyperlink" Target="http://www.youtube.com/watch?v=pbGY-y35HCo" TargetMode="External"/><Relationship Id="rId89" Type="http://schemas.openxmlformats.org/officeDocument/2006/relationships/hyperlink" Target="http://www.youtube.com/watch?v=0vt2XbsZpNQ" TargetMode="External"/><Relationship Id="rId112" Type="http://schemas.openxmlformats.org/officeDocument/2006/relationships/hyperlink" Target="http://www.youtube.com/watch?v=PXeiKQ2jFrc" TargetMode="External"/><Relationship Id="rId154" Type="http://schemas.openxmlformats.org/officeDocument/2006/relationships/hyperlink" Target="http://open.spotify.com/show/2uEauPMtqC1W1O2iNkJgBz" TargetMode="External"/><Relationship Id="rId361" Type="http://schemas.openxmlformats.org/officeDocument/2006/relationships/hyperlink" Target="http://www.youtube.com/watch?v=wTaxkSvywrI" TargetMode="External"/><Relationship Id="rId196" Type="http://schemas.openxmlformats.org/officeDocument/2006/relationships/hyperlink" Target="http://www.youtube.com/watch?v=zg_PY4L4Gv8" TargetMode="External"/><Relationship Id="rId417" Type="http://schemas.openxmlformats.org/officeDocument/2006/relationships/hyperlink" Target="http://open.spotify.com/show/4vyafADyS1ykP3MzvEwaqC" TargetMode="External"/><Relationship Id="rId16" Type="http://schemas.openxmlformats.org/officeDocument/2006/relationships/hyperlink" Target="http://www.youtube.com/watch?v=brbyJ-DbiEo" TargetMode="External"/><Relationship Id="rId221" Type="http://schemas.openxmlformats.org/officeDocument/2006/relationships/hyperlink" Target="http://washoerstduso.wordpress.com/?s=fragezeichen" TargetMode="External"/><Relationship Id="rId263" Type="http://schemas.openxmlformats.org/officeDocument/2006/relationships/hyperlink" Target="http://www.youtube.com/watch?v=_UcY4Vi9ihA" TargetMode="External"/><Relationship Id="rId319" Type="http://schemas.openxmlformats.org/officeDocument/2006/relationships/hyperlink" Target="http://www.razyboard.com/system/morethread-nr1dezember2006-diedreifragezeichen-1680709-4166219-0.html" TargetMode="External"/><Relationship Id="rId58" Type="http://schemas.openxmlformats.org/officeDocument/2006/relationships/hyperlink" Target="http://www.youtube.com/watch?v=AADkDdBw-28" TargetMode="External"/><Relationship Id="rId123" Type="http://schemas.openxmlformats.org/officeDocument/2006/relationships/hyperlink" Target="http://www.youtube.com/watch?v=tMjKt9ih4aw" TargetMode="External"/><Relationship Id="rId330" Type="http://schemas.openxmlformats.org/officeDocument/2006/relationships/hyperlink" Target="http://www.hoerbarium-podcast.de/podcast/hoerbarium-15/" TargetMode="External"/><Relationship Id="rId165" Type="http://schemas.openxmlformats.org/officeDocument/2006/relationships/hyperlink" Target="http://www.youtube.com/watch?v=HnBWd7iNyew" TargetMode="External"/><Relationship Id="rId372" Type="http://schemas.openxmlformats.org/officeDocument/2006/relationships/hyperlink" Target="http://www.youtube.com/watch?v=kybDg0GoZ8w" TargetMode="External"/><Relationship Id="rId428" Type="http://schemas.openxmlformats.org/officeDocument/2006/relationships/table" Target="../tables/table6.xml"/><Relationship Id="rId232" Type="http://schemas.openxmlformats.org/officeDocument/2006/relationships/hyperlink" Target="http://vinylopresso.ch/2022/02/podcast-vinylopresso-der-vinylist-fan-special-zu-den-drei/" TargetMode="External"/><Relationship Id="rId274" Type="http://schemas.openxmlformats.org/officeDocument/2006/relationships/hyperlink" Target="https://www.instagram.com/tv/CQrClXVKulu/" TargetMode="External"/><Relationship Id="rId27" Type="http://schemas.openxmlformats.org/officeDocument/2006/relationships/hyperlink" Target="http://www.youtube.com/watch?v=CRbT1_Y3fkM" TargetMode="External"/><Relationship Id="rId69" Type="http://schemas.openxmlformats.org/officeDocument/2006/relationships/hyperlink" Target="http://www.youtube.com/watch?v=TDc8c2Q5rKo" TargetMode="External"/><Relationship Id="rId134" Type="http://schemas.openxmlformats.org/officeDocument/2006/relationships/hyperlink" Target="http://www.youtube.com/watch?v=nBAk6HQs2dQ" TargetMode="External"/><Relationship Id="rId80" Type="http://schemas.openxmlformats.org/officeDocument/2006/relationships/hyperlink" Target="http://www.youtube.com/watch?v=Ez-Gq1VCjD4" TargetMode="External"/><Relationship Id="rId176" Type="http://schemas.openxmlformats.org/officeDocument/2006/relationships/hyperlink" Target="https://stitcher.acast.com/livestitches/4e6fc20b-166f-4f65-9209-0b63745388f7/c757544e6bdd60d238fff21f9fddc77a.mp3?aid=4e6fc20b-166f-4f65-9209-0b63745388f7&amp;chid=f711305f-014c-411d-8b46-5a09e46243bf&amp;ci=LdbQqt-Vu-vOrjJUAAk0VJKRNr0rtVccp2JUHeFOv0Qvh1b_UtH0uA%3D%3D&amp;pf=rss&amp;range=bytes%3D0-&amp;sv=sphinx%401.51.0&amp;uid=20400a2457a3c1e6ea7c5b80d7c07f30&amp;Expires=1621210504&amp;Signature=b7Vusf6n-JFeQlsaPnqB7pUePGoOFHYc2vayguiRWMEVuVcz2QXIijSwhhW1rnaAXPdQRAixYy1fKmeTXaM0JEahk2cq1FZMZHLn3NUZdQqY4yeLq0ohXBdReYnO%7Egi-1ydb-40tFZSmjpmX%7Et8cWFTjUAIFFS2KStb28QdS9k%7Em0mdtVjutM6nCoFYBrJudofCf2U764fMxpj5HYKt91GXsbwIU-8LbiOR8MnfZczLG0UGJmoqpFlfoMEBM-zgJeX1Gqd7AWDxo0kv48-X5ykHVC8QjFChQeq%7EndBjrNoBUvksrQpfkKsTqWeX%7E%7ERq1a81vgVMehQHUV14NRzR0bg__&amp;Key-Pair-Id=APKAJXAFARUOTJQ3BLOQ" TargetMode="External"/><Relationship Id="rId341" Type="http://schemas.openxmlformats.org/officeDocument/2006/relationships/hyperlink" Target="https://sphinx.acast.com/p/open/s/6318c63f6c187b00135fb38b/e/d52c8642-7201-4371-9676-e965e82df3ef/media.mp3" TargetMode="External"/><Relationship Id="rId383" Type="http://schemas.openxmlformats.org/officeDocument/2006/relationships/hyperlink" Target="https://dreiraetselleichen.podigee.io/8-08-der-verschwundene-satz" TargetMode="External"/><Relationship Id="rId439" Type="http://schemas.openxmlformats.org/officeDocument/2006/relationships/table" Target="../tables/table17.xml"/><Relationship Id="rId201" Type="http://schemas.openxmlformats.org/officeDocument/2006/relationships/hyperlink" Target="http://www.youtube.com/watch?v=gXqt2sIUg90" TargetMode="External"/><Relationship Id="rId243" Type="http://schemas.openxmlformats.org/officeDocument/2006/relationships/hyperlink" Target="http://www.youtube.com/watch?v=mSxEdySDhoU" TargetMode="External"/><Relationship Id="rId285" Type="http://schemas.openxmlformats.org/officeDocument/2006/relationships/hyperlink" Target="https://play.acast.com/s/horspielplatz/folge-3-oliver-rohrbeck-die-stimme-von-justus-jonas-von-die-" TargetMode="External"/><Relationship Id="rId450" Type="http://schemas.openxmlformats.org/officeDocument/2006/relationships/table" Target="../tables/table28.xml"/><Relationship Id="rId38" Type="http://schemas.openxmlformats.org/officeDocument/2006/relationships/hyperlink" Target="http://www.youtube.com/watch?v=PoxjbHmj4ws" TargetMode="External"/><Relationship Id="rId103" Type="http://schemas.openxmlformats.org/officeDocument/2006/relationships/hyperlink" Target="http://www.youtube.com/watch?v=CIoCVn3om_4" TargetMode="External"/><Relationship Id="rId310" Type="http://schemas.openxmlformats.org/officeDocument/2006/relationships/hyperlink" Target="http://younginthe80s.de/episode-34-die-drei/" TargetMode="External"/><Relationship Id="rId91" Type="http://schemas.openxmlformats.org/officeDocument/2006/relationships/hyperlink" Target="http://www.youtube.com/watch?v=V9_Nh46Yiwg" TargetMode="External"/><Relationship Id="rId145" Type="http://schemas.openxmlformats.org/officeDocument/2006/relationships/hyperlink" Target="http://www.youtube.com/watch?v=a_6TxsrX0tA" TargetMode="External"/><Relationship Id="rId187" Type="http://schemas.openxmlformats.org/officeDocument/2006/relationships/hyperlink" Target="http://www.youtube.com/watch?v=1K9LILfAKgk" TargetMode="External"/><Relationship Id="rId352" Type="http://schemas.openxmlformats.org/officeDocument/2006/relationships/hyperlink" Target="https://sphinx.acast.com/p/open/s/6318c63f6c187b00135fb38b/e/638d201ce003300011fab602/media.mp3" TargetMode="External"/><Relationship Id="rId394" Type="http://schemas.openxmlformats.org/officeDocument/2006/relationships/hyperlink" Target="http://www.youtube.com/watch?v=wHH23rdH8aA" TargetMode="External"/><Relationship Id="rId408" Type="http://schemas.openxmlformats.org/officeDocument/2006/relationships/hyperlink" Target="https://docs.google.com/spreadsheets/d/1Au7j8kAYGdcI4fAb5GGBjFhWcGs3omnsrI4tQG7u_BM" TargetMode="External"/><Relationship Id="rId212" Type="http://schemas.openxmlformats.org/officeDocument/2006/relationships/hyperlink" Target="http://kkt-podcast.de/%20(ab%2002.10.2021)" TargetMode="External"/><Relationship Id="rId254" Type="http://schemas.openxmlformats.org/officeDocument/2006/relationships/hyperlink" Target="http://hoerspielkeller.de/podcast/folge-6-justus-hat-1-aua/" TargetMode="External"/><Relationship Id="rId49" Type="http://schemas.openxmlformats.org/officeDocument/2006/relationships/hyperlink" Target="http://www.youtube.com/watch?v=gbCD23xYEwY" TargetMode="External"/><Relationship Id="rId114" Type="http://schemas.openxmlformats.org/officeDocument/2006/relationships/hyperlink" Target="http://www.youtube.com/watch?v=qGcnUwQTGuE" TargetMode="External"/><Relationship Id="rId296" Type="http://schemas.openxmlformats.org/officeDocument/2006/relationships/hyperlink" Target="http://www.youtube.com/watch?v=h7XiA3VOs5s" TargetMode="External"/><Relationship Id="rId60" Type="http://schemas.openxmlformats.org/officeDocument/2006/relationships/hyperlink" Target="http://www.youtube.com/watch?v=mov_8UbV-ns" TargetMode="External"/><Relationship Id="rId156" Type="http://schemas.openxmlformats.org/officeDocument/2006/relationships/hyperlink" Target="http://open.spotify.com/episode/00LPVmvb5JdbOcGqeSFwzD" TargetMode="External"/><Relationship Id="rId198" Type="http://schemas.openxmlformats.org/officeDocument/2006/relationships/hyperlink" Target="http://open.spotify.com/show/62WeVRywJwJiWFAGsOamt5" TargetMode="External"/><Relationship Id="rId321" Type="http://schemas.openxmlformats.org/officeDocument/2006/relationships/hyperlink" Target="http://jcast.podspot.de/" TargetMode="External"/><Relationship Id="rId363" Type="http://schemas.openxmlformats.org/officeDocument/2006/relationships/hyperlink" Target="http://vinylopresso.ch/2023/02/vp078-vinylopresso-der-vinylist-fan-special-zu-den-drei-fragezeichen-mit-malte-janssen/" TargetMode="External"/><Relationship Id="rId419" Type="http://schemas.openxmlformats.org/officeDocument/2006/relationships/hyperlink" Target="https://www.youtube.com/watch?v=27J61LVWG3A" TargetMode="External"/><Relationship Id="rId223" Type="http://schemas.openxmlformats.org/officeDocument/2006/relationships/hyperlink" Target="http://www.youtube.com/watch?v=9KG3VIkAAAk" TargetMode="External"/><Relationship Id="rId430" Type="http://schemas.openxmlformats.org/officeDocument/2006/relationships/table" Target="../tables/table8.xml"/><Relationship Id="rId18" Type="http://schemas.openxmlformats.org/officeDocument/2006/relationships/hyperlink" Target="http://www.youtube.com/watch?v=_02G96C7BjU" TargetMode="External"/><Relationship Id="rId265" Type="http://schemas.openxmlformats.org/officeDocument/2006/relationships/hyperlink" Target="http://vinylopresso.ch/2022/04/vinylopresso-der-vinylist-fan-special-zu-den-drei-fragezeichen-mit-christoph-dittert/" TargetMode="External"/><Relationship Id="rId125" Type="http://schemas.openxmlformats.org/officeDocument/2006/relationships/hyperlink" Target="http://www.youtube.com/watch?v=96cO16Cx4pI" TargetMode="External"/><Relationship Id="rId167" Type="http://schemas.openxmlformats.org/officeDocument/2006/relationships/hyperlink" Target="http://podcast.argon-verlag.de/podcasts/tonspur/" TargetMode="External"/><Relationship Id="rId332" Type="http://schemas.openxmlformats.org/officeDocument/2006/relationships/hyperlink" Target="http://www1.wdr.de/stichtag/" TargetMode="External"/><Relationship Id="rId374" Type="http://schemas.openxmlformats.org/officeDocument/2006/relationships/hyperlink" Target="http://www.youtube.com/watch?v=lfq7MNnGz90" TargetMode="External"/><Relationship Id="rId71" Type="http://schemas.openxmlformats.org/officeDocument/2006/relationships/hyperlink" Target="http://www.youtube.com/watch?v=vEt5BMT7_ms" TargetMode="External"/><Relationship Id="rId234" Type="http://schemas.openxmlformats.org/officeDocument/2006/relationships/hyperlink" Target="http://anchor.fm/dreiarchiv/episodes/Folge-3-Der-Abrei-Kalender-und-William-M--Grey-feat--Nele-e1dlg3q" TargetMode="External"/><Relationship Id="rId2" Type="http://schemas.openxmlformats.org/officeDocument/2006/relationships/hyperlink" Target="http://www.youtube.com/channel/UCLK4k-NjboJxUfkUR0TWbgw" TargetMode="External"/><Relationship Id="rId29" Type="http://schemas.openxmlformats.org/officeDocument/2006/relationships/hyperlink" Target="http://www.youtube.com/watch?v=8Clq1eCZH_U" TargetMode="External"/><Relationship Id="rId255" Type="http://schemas.openxmlformats.org/officeDocument/2006/relationships/hyperlink" Target="http://dietosendehollywoodschaukel.podigee.io/12-gemaelde" TargetMode="External"/><Relationship Id="rId276" Type="http://schemas.openxmlformats.org/officeDocument/2006/relationships/hyperlink" Target="http://www.deutschlandfunkkultur.de/das-podcastmagazin-100.html" TargetMode="External"/><Relationship Id="rId297" Type="http://schemas.openxmlformats.org/officeDocument/2006/relationships/hyperlink" Target="http://www.youtube.com/watch?v=yZMP83X_Ffk" TargetMode="External"/><Relationship Id="rId441" Type="http://schemas.openxmlformats.org/officeDocument/2006/relationships/table" Target="../tables/table19.xml"/><Relationship Id="rId40" Type="http://schemas.openxmlformats.org/officeDocument/2006/relationships/hyperlink" Target="http://www.youtube.com/watch?v=EZ_y01UYrnQ" TargetMode="External"/><Relationship Id="rId115" Type="http://schemas.openxmlformats.org/officeDocument/2006/relationships/hyperlink" Target="http://www.youtube.com/watch?v=0ksZqWw55tc" TargetMode="External"/><Relationship Id="rId136" Type="http://schemas.openxmlformats.org/officeDocument/2006/relationships/hyperlink" Target="http://www.youtube.com/watch?v=-nuMkv1XgsM" TargetMode="External"/><Relationship Id="rId157" Type="http://schemas.openxmlformats.org/officeDocument/2006/relationships/hyperlink" Target="http://www.der-sumpf.de/im-sumpf-des-verbrechens-von-rocky-beach/" TargetMode="External"/><Relationship Id="rId178" Type="http://schemas.openxmlformats.org/officeDocument/2006/relationships/hyperlink" Target="http://www.vatersohnpodcast.de/" TargetMode="External"/><Relationship Id="rId301" Type="http://schemas.openxmlformats.org/officeDocument/2006/relationships/hyperlink" Target="http://couchpirat.de/piratentalk-podcast-009-todeslug-2-0-oder-die-drei-fragezeichen-im-bann-des-drachen/" TargetMode="External"/><Relationship Id="rId322" Type="http://schemas.openxmlformats.org/officeDocument/2006/relationships/hyperlink" Target="https://jcast.podspot.de/post/jcast-19-die-drei-fragezeichen/" TargetMode="External"/><Relationship Id="rId343" Type="http://schemas.openxmlformats.org/officeDocument/2006/relationships/hyperlink" Target="https://sphinx.acast.com/p/open/s/6318c63f6c187b00135fb38b/e/e0962505-5e94-4ad0-a158-9a478327b0df/media.mp3" TargetMode="External"/><Relationship Id="rId364" Type="http://schemas.openxmlformats.org/officeDocument/2006/relationships/hyperlink" Target="http://www.youtube.com/watch?v=LTD4ryfzyy8" TargetMode="External"/><Relationship Id="rId61" Type="http://schemas.openxmlformats.org/officeDocument/2006/relationships/hyperlink" Target="http://www.youtube.com/watch?v=mov_8UbV-ns" TargetMode="External"/><Relationship Id="rId82" Type="http://schemas.openxmlformats.org/officeDocument/2006/relationships/hyperlink" Target="http://www.youtube.com/watch?v=0ksZqWw55tc" TargetMode="External"/><Relationship Id="rId199" Type="http://schemas.openxmlformats.org/officeDocument/2006/relationships/hyperlink" Target="https://play.acast.com/s/horspielplatz/folge18-kaischwind-regisseurder-live-tourenundhumor-forscher" TargetMode="External"/><Relationship Id="rId203" Type="http://schemas.openxmlformats.org/officeDocument/2006/relationships/hyperlink" Target="http://literaturkritik.de/podcast/LitKrit-Podcast-Folge-1.mp3" TargetMode="External"/><Relationship Id="rId385" Type="http://schemas.openxmlformats.org/officeDocument/2006/relationships/hyperlink" Target="https://dreiraetselleichen.podigee.io/10-verhextes-handy" TargetMode="External"/><Relationship Id="rId19" Type="http://schemas.openxmlformats.org/officeDocument/2006/relationships/hyperlink" Target="http://www.youtube.com/watch?v=S_X4mTgHhWo" TargetMode="External"/><Relationship Id="rId224" Type="http://schemas.openxmlformats.org/officeDocument/2006/relationships/hyperlink" Target="http://www.youtube.com/watch?v=ipM9HE-Zzoo" TargetMode="External"/><Relationship Id="rId245" Type="http://schemas.openxmlformats.org/officeDocument/2006/relationships/hyperlink" Target="http://washoerstduso.wordpress.com/alle-folgen/" TargetMode="External"/><Relationship Id="rId266" Type="http://schemas.openxmlformats.org/officeDocument/2006/relationships/hyperlink" Target="https://dervinylist.com/2022/04/01/podcast-fan-special-zu-die-drei-fragezeichen/" TargetMode="External"/><Relationship Id="rId287" Type="http://schemas.openxmlformats.org/officeDocument/2006/relationships/hyperlink" Target="http://dervinylist.com/2022/07/08/podcast-fan-special-zu-den-drei-fragezeichen-folge-6/" TargetMode="External"/><Relationship Id="rId410" Type="http://schemas.openxmlformats.org/officeDocument/2006/relationships/hyperlink" Target="http://www.youtube.com/watch?v=HziEZpP-nVE" TargetMode="External"/><Relationship Id="rId431" Type="http://schemas.openxmlformats.org/officeDocument/2006/relationships/table" Target="../tables/table9.xml"/><Relationship Id="rId452" Type="http://schemas.openxmlformats.org/officeDocument/2006/relationships/table" Target="../tables/table30.xml"/><Relationship Id="rId30" Type="http://schemas.openxmlformats.org/officeDocument/2006/relationships/hyperlink" Target="http://www.youtube.com/watch?v=XahEUVMGBiI" TargetMode="External"/><Relationship Id="rId105" Type="http://schemas.openxmlformats.org/officeDocument/2006/relationships/hyperlink" Target="http://www.youtube.com/watch?v=_vafcyrM7vA" TargetMode="External"/><Relationship Id="rId126" Type="http://schemas.openxmlformats.org/officeDocument/2006/relationships/hyperlink" Target="http://www.youtube.com/watch?v=4ZWw8LULczs" TargetMode="External"/><Relationship Id="rId147" Type="http://schemas.openxmlformats.org/officeDocument/2006/relationships/hyperlink" Target="http://www.kassettenbox.de/podcast/" TargetMode="External"/><Relationship Id="rId168" Type="http://schemas.openxmlformats.org/officeDocument/2006/relationships/hyperlink" Target="http://podcast.argon-verlag.de/podcasts/tonspur/14-jens-wawrczeck/" TargetMode="External"/><Relationship Id="rId312" Type="http://schemas.openxmlformats.org/officeDocument/2006/relationships/hyperlink" Target="http://younginthe80s.de/episode-2-horspiele/" TargetMode="External"/><Relationship Id="rId333" Type="http://schemas.openxmlformats.org/officeDocument/2006/relationships/hyperlink" Target="http://www1.wdr.de/radio/index.html?channel=stichtag" TargetMode="External"/><Relationship Id="rId354" Type="http://schemas.openxmlformats.org/officeDocument/2006/relationships/hyperlink" Target="https://sphinx.acast.com/p/open/s/6318c63f6c187b00135fb38b/e/63b5935308aab50011333605/media.mp3" TargetMode="External"/><Relationship Id="rId51" Type="http://schemas.openxmlformats.org/officeDocument/2006/relationships/hyperlink" Target="http://www.youtube.com/watch?v=NpO5iHOSUBk" TargetMode="External"/><Relationship Id="rId72" Type="http://schemas.openxmlformats.org/officeDocument/2006/relationships/hyperlink" Target="http://www.youtube.com/watch?v=vEt5BMT7_ms" TargetMode="External"/><Relationship Id="rId93" Type="http://schemas.openxmlformats.org/officeDocument/2006/relationships/hyperlink" Target="http://www.youtube.com/watch?v=uACN2UNNtLE" TargetMode="External"/><Relationship Id="rId189" Type="http://schemas.openxmlformats.org/officeDocument/2006/relationships/hyperlink" Target="http://www.youtube.com/watch?v=YKn81rkXFr8" TargetMode="External"/><Relationship Id="rId375" Type="http://schemas.openxmlformats.org/officeDocument/2006/relationships/hyperlink" Target="http://rekorder.podigee.io/" TargetMode="External"/><Relationship Id="rId396" Type="http://schemas.openxmlformats.org/officeDocument/2006/relationships/hyperlink" Target="http://www.youtube.com/watch?v=TtRFWZipCHU" TargetMode="External"/><Relationship Id="rId3" Type="http://schemas.openxmlformats.org/officeDocument/2006/relationships/hyperlink" Target="http://www.rescherschen-und-arschiv.de/" TargetMode="External"/><Relationship Id="rId214" Type="http://schemas.openxmlformats.org/officeDocument/2006/relationships/hyperlink" Target="https://www.instagram.com/tv/CLuRDl7KoM1/" TargetMode="External"/><Relationship Id="rId235" Type="http://schemas.openxmlformats.org/officeDocument/2006/relationships/hyperlink" Target="http://anchor.fm/dreiarchiv/episodes/Folge-2-Die-Hrspielwelt-als-Blinde-erleben-feat--Carina-e1c32sj" TargetMode="External"/><Relationship Id="rId256" Type="http://schemas.openxmlformats.org/officeDocument/2006/relationships/hyperlink" Target="http://dietosendehollywoodschaukel.podigee.io/" TargetMode="External"/><Relationship Id="rId277" Type="http://schemas.openxmlformats.org/officeDocument/2006/relationships/hyperlink" Target="http://www.youtube.com/watch?v=hZ9aGdo0AHQ" TargetMode="External"/><Relationship Id="rId298" Type="http://schemas.openxmlformats.org/officeDocument/2006/relationships/hyperlink" Target="http://dervinylist.com/2022/12/16/podcast-die-drei-jan-friedrich-conrad/" TargetMode="External"/><Relationship Id="rId400" Type="http://schemas.openxmlformats.org/officeDocument/2006/relationships/hyperlink" Target="https://sphinx.acast.com/p/open/s/6318c63f6c187b00135fb38b/e/6453eedf7a1e290011f25c8a/media.mp3" TargetMode="External"/><Relationship Id="rId421" Type="http://schemas.openxmlformats.org/officeDocument/2006/relationships/drawing" Target="../drawings/drawing1.xml"/><Relationship Id="rId442" Type="http://schemas.openxmlformats.org/officeDocument/2006/relationships/table" Target="../tables/table20.xml"/><Relationship Id="rId116" Type="http://schemas.openxmlformats.org/officeDocument/2006/relationships/hyperlink" Target="http://schrottplatz-podcast.jimdofree.com/" TargetMode="External"/><Relationship Id="rId137" Type="http://schemas.openxmlformats.org/officeDocument/2006/relationships/hyperlink" Target="http://www.youtube.com/watch?v=MfTCeSEWXkM" TargetMode="External"/><Relationship Id="rId158" Type="http://schemas.openxmlformats.org/officeDocument/2006/relationships/hyperlink" Target="http://www.der-sumpf.de/im-sumpf-des-verbrechens-von-rocky-beach/" TargetMode="External"/><Relationship Id="rId302" Type="http://schemas.openxmlformats.org/officeDocument/2006/relationships/hyperlink" Target="http://www.nerdizismus.de/die-2-drei-fragezeichen-hoerspiele-nerds-nerdizismus-folge-40/" TargetMode="External"/><Relationship Id="rId323" Type="http://schemas.openxmlformats.org/officeDocument/2006/relationships/hyperlink" Target="https://www.itm.nrw/jcast-19-Die-drei-Fragezeichen/" TargetMode="External"/><Relationship Id="rId344" Type="http://schemas.openxmlformats.org/officeDocument/2006/relationships/hyperlink" Target="view-source:https://feeds.acast.com/public/shows/6318c63f6c187b00135fb38b" TargetMode="External"/><Relationship Id="rId20" Type="http://schemas.openxmlformats.org/officeDocument/2006/relationships/hyperlink" Target="http://www.youtube.com/watch?v=GHJY9_6PDQA" TargetMode="External"/><Relationship Id="rId41" Type="http://schemas.openxmlformats.org/officeDocument/2006/relationships/hyperlink" Target="http://www.youtube.com/watch?v=QpYoUP2Uax0" TargetMode="External"/><Relationship Id="rId62" Type="http://schemas.openxmlformats.org/officeDocument/2006/relationships/hyperlink" Target="http://www.youtube.com/watch?v=s1D9lP9GXXw" TargetMode="External"/><Relationship Id="rId83" Type="http://schemas.openxmlformats.org/officeDocument/2006/relationships/hyperlink" Target="http://www.youtube.com/watch?v=u_KJ5mEfOdA" TargetMode="External"/><Relationship Id="rId179" Type="http://schemas.openxmlformats.org/officeDocument/2006/relationships/hyperlink" Target="http://www.youtube.com/watch?v=ozBkLcyTMzc" TargetMode="External"/><Relationship Id="rId365" Type="http://schemas.openxmlformats.org/officeDocument/2006/relationships/hyperlink" Target="http://www.youtube.com/watch?v=Yhurx5trYpw" TargetMode="External"/><Relationship Id="rId386" Type="http://schemas.openxmlformats.org/officeDocument/2006/relationships/hyperlink" Target="https://dreiraetselleichen.podigee.io/12-und-der-feierteufel" TargetMode="External"/><Relationship Id="rId190" Type="http://schemas.openxmlformats.org/officeDocument/2006/relationships/hyperlink" Target="https://play.acast.com/s/horspielplatz/folge17-christianrodenwald-vomdrei--fanzumgefeiertenautor" TargetMode="External"/><Relationship Id="rId204" Type="http://schemas.openxmlformats.org/officeDocument/2006/relationships/hyperlink" Target="http://literaturkritik.de/public/mitarbeiterinfo.php?rez_id=5628" TargetMode="External"/><Relationship Id="rId225" Type="http://schemas.openxmlformats.org/officeDocument/2006/relationships/hyperlink" Target="http://www.youtube.com/watch?v=CczCDnwctK8" TargetMode="External"/><Relationship Id="rId246" Type="http://schemas.openxmlformats.org/officeDocument/2006/relationships/hyperlink" Target="http://hoerspielkeller.de/podcast/folge-7-wie-packe-ich-eine-mumie-in-1-auto-sommer-special/" TargetMode="External"/><Relationship Id="rId267" Type="http://schemas.openxmlformats.org/officeDocument/2006/relationships/hyperlink" Target="http://disko80.buzzsprout.com/1754816/10015629-special-guest-andreas-frohlich-die-drei" TargetMode="External"/><Relationship Id="rId288" Type="http://schemas.openxmlformats.org/officeDocument/2006/relationships/hyperlink" Target="http://dervinylist.com/2022/08/05/podcast-fan-special-zu-den-drei-fragezeichen-folge-7/" TargetMode="External"/><Relationship Id="rId411" Type="http://schemas.openxmlformats.org/officeDocument/2006/relationships/hyperlink" Target="http://www.youtube.com/watch?v=Ttvw0L1MH2I" TargetMode="External"/><Relationship Id="rId432" Type="http://schemas.openxmlformats.org/officeDocument/2006/relationships/table" Target="../tables/table10.xml"/><Relationship Id="rId453" Type="http://schemas.openxmlformats.org/officeDocument/2006/relationships/table" Target="../tables/table31.xml"/><Relationship Id="rId106" Type="http://schemas.openxmlformats.org/officeDocument/2006/relationships/hyperlink" Target="http://www.youtube.com/watch?v=nFf4dvI-tac" TargetMode="External"/><Relationship Id="rId127" Type="http://schemas.openxmlformats.org/officeDocument/2006/relationships/hyperlink" Target="http://www.youtube.com/watch?v=eb_Oi9O4EOk" TargetMode="External"/><Relationship Id="rId313" Type="http://schemas.openxmlformats.org/officeDocument/2006/relationships/hyperlink" Target="http://www.drei-fragezeichen-zentrale.de/audioshow.html" TargetMode="External"/><Relationship Id="rId10" Type="http://schemas.openxmlformats.org/officeDocument/2006/relationships/hyperlink" Target="http://ddf.8qm.de/" TargetMode="External"/><Relationship Id="rId31" Type="http://schemas.openxmlformats.org/officeDocument/2006/relationships/hyperlink" Target="http://www.youtube.com/watch?v=TjbfNy4_bFo" TargetMode="External"/><Relationship Id="rId52" Type="http://schemas.openxmlformats.org/officeDocument/2006/relationships/hyperlink" Target="http://www.youtube.com/watch?v=WpgDZQ_6Zmc" TargetMode="External"/><Relationship Id="rId73" Type="http://schemas.openxmlformats.org/officeDocument/2006/relationships/hyperlink" Target="http://www.youtube.com/watch?v=tIfo8F5B1b8" TargetMode="External"/><Relationship Id="rId94" Type="http://schemas.openxmlformats.org/officeDocument/2006/relationships/hyperlink" Target="http://www.youtube.com/watch?v=Or7LFmgwxsI" TargetMode="External"/><Relationship Id="rId148" Type="http://schemas.openxmlformats.org/officeDocument/2006/relationships/hyperlink" Target="http://www.kassettenbox.de/2020/06/folge-2-das-tastaturklackern/" TargetMode="External"/><Relationship Id="rId169" Type="http://schemas.openxmlformats.org/officeDocument/2006/relationships/hyperlink" Target="http://podcast.argon-verlag.de/podcasts/tonspur/13-andreas-froehlich/" TargetMode="External"/><Relationship Id="rId334" Type="http://schemas.openxmlformats.org/officeDocument/2006/relationships/hyperlink" Target="http://www.rocky-beach-time.podspot.de/" TargetMode="External"/><Relationship Id="rId355" Type="http://schemas.openxmlformats.org/officeDocument/2006/relationships/hyperlink" Target="https://sphinx.acast.com/p/open/s/6318c63f6c187b00135fb38b/e/63dc0c77c5658d001192d6d6/media.mp3" TargetMode="External"/><Relationship Id="rId376" Type="http://schemas.openxmlformats.org/officeDocument/2006/relationships/hyperlink" Target="https://podcasts.apple.com/de/podcast/jannik-sch%C3%BCmann-ein-fall-f%C3%BCr-justus/id1599061214?i=1000560628283" TargetMode="External"/><Relationship Id="rId397" Type="http://schemas.openxmlformats.org/officeDocument/2006/relationships/hyperlink" Target="http://rnn1kz.podcaster.de/hoerspiele-sehen-der-theater-ex-libris-podcast/media/Die_Drei_Fragezeichen.m4a" TargetMode="External"/><Relationship Id="rId4" Type="http://schemas.openxmlformats.org/officeDocument/2006/relationships/hyperlink" Target="http://schrottcast.tumblr.com/" TargetMode="External"/><Relationship Id="rId180" Type="http://schemas.openxmlformats.org/officeDocument/2006/relationships/hyperlink" Target="http://www.youtube.com/watch?v=Q1Jyn25OLNY" TargetMode="External"/><Relationship Id="rId215" Type="http://schemas.openxmlformats.org/officeDocument/2006/relationships/hyperlink" Target="http://www.vierohren.de/category/fragezeichenpod/" TargetMode="External"/><Relationship Id="rId236" Type="http://schemas.openxmlformats.org/officeDocument/2006/relationships/hyperlink" Target="http://anchor.fm/dreiarchiv/episodes/Folge-1-Die-Sache-mit-dem-Zauberspiegel-feat--Thore-e1c1s18" TargetMode="External"/><Relationship Id="rId257" Type="http://schemas.openxmlformats.org/officeDocument/2006/relationships/hyperlink" Target="http://www.br.de/mediathek/podcast/das-kalenderblatt/12-10-1979-das-erste-hoerspiel-von-die-drei-erscheint-1/1807072" TargetMode="External"/><Relationship Id="rId278" Type="http://schemas.openxmlformats.org/officeDocument/2006/relationships/hyperlink" Target="http://www.youtube.com/watch?v=eKGKYKzhML0" TargetMode="External"/><Relationship Id="rId401" Type="http://schemas.openxmlformats.org/officeDocument/2006/relationships/hyperlink" Target="http://www.youtube.com/watch?v=wTfy6WRuAxY" TargetMode="External"/><Relationship Id="rId422" Type="http://schemas.openxmlformats.org/officeDocument/2006/relationships/vmlDrawing" Target="../drawings/vmlDrawing1.vml"/><Relationship Id="rId443" Type="http://schemas.openxmlformats.org/officeDocument/2006/relationships/table" Target="../tables/table21.xml"/><Relationship Id="rId303" Type="http://schemas.openxmlformats.org/officeDocument/2006/relationships/hyperlink" Target="http://couchpirat.de/category/medien/podcasts/" TargetMode="External"/><Relationship Id="rId42" Type="http://schemas.openxmlformats.org/officeDocument/2006/relationships/hyperlink" Target="http://www.youtube.com/watch?v=KRWsRivP9k8" TargetMode="External"/><Relationship Id="rId84" Type="http://schemas.openxmlformats.org/officeDocument/2006/relationships/hyperlink" Target="http://www.youtube.com/watch?v=u_KJ5mEfOdA" TargetMode="External"/><Relationship Id="rId138" Type="http://schemas.openxmlformats.org/officeDocument/2006/relationships/hyperlink" Target="http://www.youtube.com/watch?v=6JXMCeTjYyY" TargetMode="External"/><Relationship Id="rId345" Type="http://schemas.openxmlformats.org/officeDocument/2006/relationships/hyperlink" Target="https://sphinx.acast.com/p/open/s/6318c63f6c187b00135fb38b/e/632ee39b2eae270012de06be/media.mp3" TargetMode="External"/><Relationship Id="rId387" Type="http://schemas.openxmlformats.org/officeDocument/2006/relationships/hyperlink" Target="https://dreiraetselleichen.podigee.io/13-der-goldene-schwerdtfeger" TargetMode="External"/><Relationship Id="rId191" Type="http://schemas.openxmlformats.org/officeDocument/2006/relationships/hyperlink" Target="http://www.youtube.com/watch?v=7TTarhDKcjg" TargetMode="External"/><Relationship Id="rId205" Type="http://schemas.openxmlformats.org/officeDocument/2006/relationships/hyperlink" Target="http://anchor.fm/diezweifragezeichen/" TargetMode="External"/><Relationship Id="rId247" Type="http://schemas.openxmlformats.org/officeDocument/2006/relationships/hyperlink" Target="http://hoerspielkeller.de/podcast/folge-5-europa-die-recycelten-sounds/" TargetMode="External"/><Relationship Id="rId412" Type="http://schemas.openxmlformats.org/officeDocument/2006/relationships/hyperlink" Target="http://www.youtube.com/watch?v=Ttvw0L1MH2I" TargetMode="External"/><Relationship Id="rId107" Type="http://schemas.openxmlformats.org/officeDocument/2006/relationships/hyperlink" Target="http://www.youtube.com/watch?v=nFf4dvI-tac" TargetMode="External"/><Relationship Id="rId289" Type="http://schemas.openxmlformats.org/officeDocument/2006/relationships/hyperlink" Target="http://dervinylist.com/2022/09/02/podcast-die-drei-fan-special-8-heikedine-korting/" TargetMode="External"/><Relationship Id="rId454" Type="http://schemas.openxmlformats.org/officeDocument/2006/relationships/table" Target="../tables/table32.xml"/><Relationship Id="rId11" Type="http://schemas.openxmlformats.org/officeDocument/2006/relationships/hyperlink" Target="http://www.spezialgelagert.de/" TargetMode="External"/><Relationship Id="rId53" Type="http://schemas.openxmlformats.org/officeDocument/2006/relationships/hyperlink" Target="http://www.youtube.com/watch?v=WpgDZQ_6Zmc" TargetMode="External"/><Relationship Id="rId149" Type="http://schemas.openxmlformats.org/officeDocument/2006/relationships/hyperlink" Target="http://podcasters.spotify.com/pod/show/diedreifanatiker" TargetMode="External"/><Relationship Id="rId314" Type="http://schemas.openxmlformats.org/officeDocument/2006/relationships/hyperlink" Target="http://grekey.funpic.de/Podcast.html" TargetMode="External"/><Relationship Id="rId356" Type="http://schemas.openxmlformats.org/officeDocument/2006/relationships/hyperlink" Target="https://sphinx.acast.com/p/open/s/6318c63f6c187b00135fb38b/e/64059506fb69bb0011003391/media.mp3" TargetMode="External"/><Relationship Id="rId398" Type="http://schemas.openxmlformats.org/officeDocument/2006/relationships/hyperlink" Target="http://tiemann.tv/theater-ex-libris/381-hoerspiele-sehen-der-theater-ex-libris-podcast.html" TargetMode="External"/><Relationship Id="rId95" Type="http://schemas.openxmlformats.org/officeDocument/2006/relationships/hyperlink" Target="http://www.youtube.com/watch?v=Or7LFmgwxsI" TargetMode="External"/><Relationship Id="rId160" Type="http://schemas.openxmlformats.org/officeDocument/2006/relationships/hyperlink" Target="http://www.youtube.com/watch?v=27Hd3onP6FA" TargetMode="External"/><Relationship Id="rId216" Type="http://schemas.openxmlformats.org/officeDocument/2006/relationships/hyperlink" Target="http://hoerspieltipps.net/ohrcast/ohrcast.html" TargetMode="External"/><Relationship Id="rId423" Type="http://schemas.openxmlformats.org/officeDocument/2006/relationships/table" Target="../tables/table1.xml"/><Relationship Id="rId258" Type="http://schemas.openxmlformats.org/officeDocument/2006/relationships/hyperlink" Target="http://www.br.de/mediathek/podcast/das-kalenderblatt/alle/674" TargetMode="External"/><Relationship Id="rId22" Type="http://schemas.openxmlformats.org/officeDocument/2006/relationships/hyperlink" Target="http://www.youtube.com/watch?v=V2VnQCkAG40" TargetMode="External"/><Relationship Id="rId64" Type="http://schemas.openxmlformats.org/officeDocument/2006/relationships/hyperlink" Target="http://www.youtube.com/watch?v=O4wZW7quXhI" TargetMode="External"/><Relationship Id="rId118" Type="http://schemas.openxmlformats.org/officeDocument/2006/relationships/hyperlink" Target="http://www.youtube.com/watch?v=W6GCQd0XBKQ" TargetMode="External"/><Relationship Id="rId325" Type="http://schemas.openxmlformats.org/officeDocument/2006/relationships/hyperlink" Target="https://www.whocast.de/2010/11/09/whocast-175-kleiner-nachschlag/" TargetMode="External"/><Relationship Id="rId367" Type="http://schemas.openxmlformats.org/officeDocument/2006/relationships/hyperlink" Target="https://sphinx.acast.com/p/acast/s/horspielplatz/e/6356ca78c4525f00132807db/media.mp3" TargetMode="External"/><Relationship Id="rId171" Type="http://schemas.openxmlformats.org/officeDocument/2006/relationships/hyperlink" Target="http://www.tolkiengesellschaft.de/41665/neue-tolkcast-folge-das-geht-zu-tief-ins-vereins-fufu/" TargetMode="External"/><Relationship Id="rId227" Type="http://schemas.openxmlformats.org/officeDocument/2006/relationships/hyperlink" Target="http://www.youtube.com/watch?v=Tl-bolObedE" TargetMode="External"/><Relationship Id="rId269" Type="http://schemas.openxmlformats.org/officeDocument/2006/relationships/hyperlink" Target="http://disko80.buzzsprout.com/1754816/10100006-special-guest-andreas-frohlich-die-drei-teil-2" TargetMode="External"/><Relationship Id="rId434" Type="http://schemas.openxmlformats.org/officeDocument/2006/relationships/table" Target="../tables/table12.xml"/><Relationship Id="rId33" Type="http://schemas.openxmlformats.org/officeDocument/2006/relationships/hyperlink" Target="http://www.youtube.com/watch?v=KIb79Xp-XR4" TargetMode="External"/><Relationship Id="rId129" Type="http://schemas.openxmlformats.org/officeDocument/2006/relationships/hyperlink" Target="http://www.youtube.com/watch?v=067VTpQLSug" TargetMode="External"/><Relationship Id="rId280" Type="http://schemas.openxmlformats.org/officeDocument/2006/relationships/hyperlink" Target="http://dreiraetselleichen.podigee.io/" TargetMode="External"/><Relationship Id="rId336" Type="http://schemas.openxmlformats.org/officeDocument/2006/relationships/hyperlink" Target="http://dasgeheimnisderbuecher.podigee.io/" TargetMode="External"/><Relationship Id="rId75" Type="http://schemas.openxmlformats.org/officeDocument/2006/relationships/hyperlink" Target="http://www.youtube.com/watch?v=tIfo8F5B1b8" TargetMode="External"/><Relationship Id="rId140" Type="http://schemas.openxmlformats.org/officeDocument/2006/relationships/hyperlink" Target="http://www.youtube.com/watch?v=vQ2Y7BANJgA" TargetMode="External"/><Relationship Id="rId182" Type="http://schemas.openxmlformats.org/officeDocument/2006/relationships/hyperlink" Target="http://www.youtube.com/watch?v=rJFL51Tu0Vw" TargetMode="External"/><Relationship Id="rId378" Type="http://schemas.openxmlformats.org/officeDocument/2006/relationships/hyperlink" Target="https://podcasts.apple.com/de/podcast/oliver-rohrbeck-das-ber%C3%BChmteste-satzzeichen-der-welt/id1599061214?i=1000579509393" TargetMode="External"/><Relationship Id="rId403" Type="http://schemas.openxmlformats.org/officeDocument/2006/relationships/hyperlink" Target="http://www.youtube.com/watch?v=QnZvzOFWl1I" TargetMode="External"/><Relationship Id="rId6" Type="http://schemas.openxmlformats.org/officeDocument/2006/relationships/hyperlink" Target="http://fragezeichenpod.podcaster.de/" TargetMode="External"/><Relationship Id="rId238" Type="http://schemas.openxmlformats.org/officeDocument/2006/relationships/hyperlink" Target="http://shows.acast.com/haschimitenfurst-der-bobcast" TargetMode="External"/><Relationship Id="rId445" Type="http://schemas.openxmlformats.org/officeDocument/2006/relationships/table" Target="../tables/table23.xml"/><Relationship Id="rId291" Type="http://schemas.openxmlformats.org/officeDocument/2006/relationships/hyperlink" Target="http://anchor.fm/dreiarchiv/episodes/Folge-7-Minifolge-Ratespiel-e1k6m4k" TargetMode="External"/><Relationship Id="rId305" Type="http://schemas.openxmlformats.org/officeDocument/2006/relationships/hyperlink" Target="http://wellenerdpol.podigee.io/" TargetMode="External"/><Relationship Id="rId347" Type="http://schemas.openxmlformats.org/officeDocument/2006/relationships/hyperlink" Target="https://sphinx.acast.com/p/open/s/6318c63f6c187b00135fb38b/e/635c10483e31010011b64753/media.mp3" TargetMode="External"/><Relationship Id="rId44" Type="http://schemas.openxmlformats.org/officeDocument/2006/relationships/hyperlink" Target="http://www.youtube.com/watch?v=Fg28WfuT50Q" TargetMode="External"/><Relationship Id="rId86" Type="http://schemas.openxmlformats.org/officeDocument/2006/relationships/hyperlink" Target="http://www.youtube.com/watch?v=3F1qmHAN-UA" TargetMode="External"/><Relationship Id="rId151" Type="http://schemas.openxmlformats.org/officeDocument/2006/relationships/hyperlink" Target="http://www.youtube.com/watch?v=6hh62BpBTeU" TargetMode="External"/><Relationship Id="rId389" Type="http://schemas.openxmlformats.org/officeDocument/2006/relationships/hyperlink" Target="https://dreiraetselleichen.podigee.io/14-neue-episode" TargetMode="External"/><Relationship Id="rId193" Type="http://schemas.openxmlformats.org/officeDocument/2006/relationships/hyperlink" Target="http://www.youtube.com/watch?v=xojSXaPxb4k" TargetMode="External"/><Relationship Id="rId207" Type="http://schemas.openxmlformats.org/officeDocument/2006/relationships/hyperlink" Target="http://buchplausch.podigee.io/55-folge-39-wie-entstehen-die-drei-eigentlich-im-interview-mit-anne-pagel-von-kosmos" TargetMode="External"/><Relationship Id="rId249" Type="http://schemas.openxmlformats.org/officeDocument/2006/relationships/hyperlink" Target="http://hoerspielkeller.de/podcast/folge-3-die-mehrzahl-von-titus-183/" TargetMode="External"/><Relationship Id="rId414" Type="http://schemas.openxmlformats.org/officeDocument/2006/relationships/hyperlink" Target="http://vinylopresso.ch/2023/10/vp100-vinylopresso-amp-der-vinylist-fan-special-zu-den-drei-fragezeichen-und-die-geheimnisvollen-rothenbaum-tapes/" TargetMode="External"/><Relationship Id="rId456" Type="http://schemas.openxmlformats.org/officeDocument/2006/relationships/table" Target="../tables/table34.xml"/><Relationship Id="rId13" Type="http://schemas.openxmlformats.org/officeDocument/2006/relationships/hyperlink" Target="http://www.gebrauchtwarenpodcast.de/" TargetMode="External"/><Relationship Id="rId109" Type="http://schemas.openxmlformats.org/officeDocument/2006/relationships/hyperlink" Target="http://www.youtube.com/watch?v=BaiZjRFXnhI" TargetMode="External"/><Relationship Id="rId260" Type="http://schemas.openxmlformats.org/officeDocument/2006/relationships/hyperlink" Target="http://www.youtube.com/watch?v=roZpPDrAH4E" TargetMode="External"/><Relationship Id="rId316" Type="http://schemas.openxmlformats.org/officeDocument/2006/relationships/hyperlink" Target="http://www.nerdvana-podcast.de/" TargetMode="External"/><Relationship Id="rId55" Type="http://schemas.openxmlformats.org/officeDocument/2006/relationships/hyperlink" Target="http://www.youtube.com/watch?v=JciXIxleqR8" TargetMode="External"/><Relationship Id="rId97" Type="http://schemas.openxmlformats.org/officeDocument/2006/relationships/hyperlink" Target="http://www.youtube.com/watch?v=TRjuhrEPAu0" TargetMode="External"/><Relationship Id="rId120" Type="http://schemas.openxmlformats.org/officeDocument/2006/relationships/hyperlink" Target="http://www.youtube.com/watch?v=P_oqRYQ02gA" TargetMode="External"/><Relationship Id="rId358" Type="http://schemas.openxmlformats.org/officeDocument/2006/relationships/hyperlink" Target="http://www.youtube.com/watch?v=yMo0WT3T73U" TargetMode="External"/><Relationship Id="rId162" Type="http://schemas.openxmlformats.org/officeDocument/2006/relationships/hyperlink" Target="http://www.youtube.com/watch?v=m6wKvgOgCR8&amp;t" TargetMode="External"/><Relationship Id="rId218" Type="http://schemas.openxmlformats.org/officeDocument/2006/relationships/hyperlink" Target="http://talker-lounge.de/tag/die-drei-fragezeichen/" TargetMode="External"/><Relationship Id="rId425" Type="http://schemas.openxmlformats.org/officeDocument/2006/relationships/table" Target="../tables/table3.xml"/><Relationship Id="rId271" Type="http://schemas.openxmlformats.org/officeDocument/2006/relationships/hyperlink" Target="http://www.youtube.com/watch?v=aT9pJeGn7pA" TargetMode="External"/><Relationship Id="rId24" Type="http://schemas.openxmlformats.org/officeDocument/2006/relationships/hyperlink" Target="http://www.youtube.com/watch?v=_tYK53SpRBc" TargetMode="External"/><Relationship Id="rId66" Type="http://schemas.openxmlformats.org/officeDocument/2006/relationships/hyperlink" Target="http://www.youtube.com/watch?v=rjQ8RWaufQU" TargetMode="External"/><Relationship Id="rId131" Type="http://schemas.openxmlformats.org/officeDocument/2006/relationships/hyperlink" Target="http://www.youtube.com/watch?v=PkWrWmA0ytY" TargetMode="External"/><Relationship Id="rId327" Type="http://schemas.openxmlformats.org/officeDocument/2006/relationships/hyperlink" Target="http://www.hoerbarium-podcast.de/podcast/hoerbarium-11/" TargetMode="External"/><Relationship Id="rId369" Type="http://schemas.openxmlformats.org/officeDocument/2006/relationships/hyperlink" Target="https://open.acast.com/public/streams/6318c63f6c187b00135fb38b/episodes/6420941bf2426b00115cdfe6.mp3" TargetMode="External"/><Relationship Id="rId173" Type="http://schemas.openxmlformats.org/officeDocument/2006/relationships/hyperlink" Target="http://serialdads.podigee.io/" TargetMode="External"/><Relationship Id="rId229" Type="http://schemas.openxmlformats.org/officeDocument/2006/relationships/hyperlink" Target="http://www.youtube.com/watch?v=iRmXNCZ3LW8" TargetMode="External"/><Relationship Id="rId380" Type="http://schemas.openxmlformats.org/officeDocument/2006/relationships/hyperlink" Target="https://dreiraetselleichen.podigee.io/5-05-master-of-stress" TargetMode="External"/><Relationship Id="rId436" Type="http://schemas.openxmlformats.org/officeDocument/2006/relationships/table" Target="../tables/table14.xml"/><Relationship Id="rId240" Type="http://schemas.openxmlformats.org/officeDocument/2006/relationships/hyperlink" Target="http://www.podcast.de/episode/587789022/heikedine-koerting-stellt-sich-eurem-fragenmarathon-1teil" TargetMode="External"/><Relationship Id="rId35" Type="http://schemas.openxmlformats.org/officeDocument/2006/relationships/hyperlink" Target="http://www.youtube.com/watch?v=LGuROhQb1Ug" TargetMode="External"/><Relationship Id="rId77" Type="http://schemas.openxmlformats.org/officeDocument/2006/relationships/hyperlink" Target="http://www.youtube.com/watch?v=lpP5WE1VPkI" TargetMode="External"/><Relationship Id="rId100" Type="http://schemas.openxmlformats.org/officeDocument/2006/relationships/hyperlink" Target="http://www.youtube.com/watch?v=_WIvio6_02U" TargetMode="External"/><Relationship Id="rId282" Type="http://schemas.openxmlformats.org/officeDocument/2006/relationships/hyperlink" Target="https://dreiraetselleichen.podigee.io/2-new-episode" TargetMode="External"/><Relationship Id="rId338" Type="http://schemas.openxmlformats.org/officeDocument/2006/relationships/hyperlink" Target="http://www.podcast.de/podcast/764751/abfahrt-a2" TargetMode="External"/><Relationship Id="rId8" Type="http://schemas.openxmlformats.org/officeDocument/2006/relationships/hyperlink" Target="http://talker-lounge.de/podcasts/" TargetMode="External"/><Relationship Id="rId142" Type="http://schemas.openxmlformats.org/officeDocument/2006/relationships/hyperlink" Target="http://www.youtube.com/watch?v=Ut8kkvuxrls" TargetMode="External"/><Relationship Id="rId184" Type="http://schemas.openxmlformats.org/officeDocument/2006/relationships/hyperlink" Target="http://www.youtube.com/watch?v=DA3JErq8Q_Q" TargetMode="External"/><Relationship Id="rId391" Type="http://schemas.openxmlformats.org/officeDocument/2006/relationships/hyperlink" Target="http://podcasters.spotify.com/pod/show/doppelpunktdreifrag/" TargetMode="External"/><Relationship Id="rId405" Type="http://schemas.openxmlformats.org/officeDocument/2006/relationships/hyperlink" Target="https://shows.acast.com/diggytalk/episodes/christian-rodenwald-die-welt-der-drei-fragezeichen-2" TargetMode="External"/><Relationship Id="rId447" Type="http://schemas.openxmlformats.org/officeDocument/2006/relationships/table" Target="../tables/table25.xml"/><Relationship Id="rId251" Type="http://schemas.openxmlformats.org/officeDocument/2006/relationships/hyperlink" Target="http://hoerspielkeller.de/podcast/folge-1-warum-bob-ein-papa-soehnchen-ist/" TargetMode="External"/><Relationship Id="rId46" Type="http://schemas.openxmlformats.org/officeDocument/2006/relationships/hyperlink" Target="http://www.youtube.com/watch?v=049YPcogyh4" TargetMode="External"/><Relationship Id="rId293" Type="http://schemas.openxmlformats.org/officeDocument/2006/relationships/hyperlink" Target="http://www.youtube.com/watch?v=oh3ZhorAte8" TargetMode="External"/><Relationship Id="rId307" Type="http://schemas.openxmlformats.org/officeDocument/2006/relationships/hyperlink" Target="http://www.hoerma-podcast.de/" TargetMode="External"/><Relationship Id="rId349" Type="http://schemas.openxmlformats.org/officeDocument/2006/relationships/hyperlink" Target="https://sphinx.acast.com/p/open/s/6318c63f6c187b00135fb38b/e/637569a6f4bd8a00113c6df2/media.mp3" TargetMode="External"/><Relationship Id="rId88" Type="http://schemas.openxmlformats.org/officeDocument/2006/relationships/hyperlink" Target="http://www.youtube.com/watch?v=3F1qmHAN-UA" TargetMode="External"/><Relationship Id="rId111" Type="http://schemas.openxmlformats.org/officeDocument/2006/relationships/hyperlink" Target="http://www.youtube.com/watch?v=Fg28WfuT50Q" TargetMode="External"/><Relationship Id="rId153" Type="http://schemas.openxmlformats.org/officeDocument/2006/relationships/hyperlink" Target="http://www.youtube.com/watch?v=qHrkK223nn0" TargetMode="External"/><Relationship Id="rId195" Type="http://schemas.openxmlformats.org/officeDocument/2006/relationships/hyperlink" Target="http://www.youtube.com/watch?v=m6sIvqJDSVQ" TargetMode="External"/><Relationship Id="rId209" Type="http://schemas.openxmlformats.org/officeDocument/2006/relationships/hyperlink" Target="http://buchplausch.podigee.io/62-folge-46-im-gesprach-mit-kari-erlhoff-eine-drei-autorin" TargetMode="External"/><Relationship Id="rId360" Type="http://schemas.openxmlformats.org/officeDocument/2006/relationships/hyperlink" Target="http://www.youtube.com/watch?v=nNn4r4QzVtI" TargetMode="External"/><Relationship Id="rId416" Type="http://schemas.openxmlformats.org/officeDocument/2006/relationships/hyperlink" Target="http://www.youtube.com/watch?v=21s4CAzQgaE" TargetMode="External"/><Relationship Id="rId220" Type="http://schemas.openxmlformats.org/officeDocument/2006/relationships/hyperlink" Target="http://talker-lounge.de/podcasts/index.html" TargetMode="External"/><Relationship Id="rId15" Type="http://schemas.openxmlformats.org/officeDocument/2006/relationships/hyperlink" Target="http://www.flipthetruck.com/category/podcasts/" TargetMode="External"/><Relationship Id="rId57" Type="http://schemas.openxmlformats.org/officeDocument/2006/relationships/hyperlink" Target="http://www.youtube.com/watch?v=G3CCcr4n6t8" TargetMode="External"/><Relationship Id="rId262" Type="http://schemas.openxmlformats.org/officeDocument/2006/relationships/hyperlink" Target="http://vinylopresso.ch/2022/03/vinylopresso-der-vinylist-fan-special-zu-den-die-drei-fragezeichen/" TargetMode="External"/><Relationship Id="rId318" Type="http://schemas.openxmlformats.org/officeDocument/2006/relationships/hyperlink" Target="http://www.razyboard.com/system/morethread-nr2januar2007-diedreifragezeichen-1680709-4169073-0.html" TargetMode="External"/><Relationship Id="rId99" Type="http://schemas.openxmlformats.org/officeDocument/2006/relationships/hyperlink" Target="http://www.youtube.com/watch?v=xyzI1z1n-o8" TargetMode="External"/><Relationship Id="rId122" Type="http://schemas.openxmlformats.org/officeDocument/2006/relationships/hyperlink" Target="http://www.youtube.com/watch?v=m98JLzjszUo" TargetMode="External"/><Relationship Id="rId164" Type="http://schemas.openxmlformats.org/officeDocument/2006/relationships/hyperlink" Target="http://podcasters.spotify.com/pod/show/taschenlampen" TargetMode="External"/><Relationship Id="rId371" Type="http://schemas.openxmlformats.org/officeDocument/2006/relationships/hyperlink" Target="http://www.youtube.com/watch?v=mjsFkoolQUo" TargetMode="External"/><Relationship Id="rId427" Type="http://schemas.openxmlformats.org/officeDocument/2006/relationships/table" Target="../tables/table5.xml"/><Relationship Id="rId26" Type="http://schemas.openxmlformats.org/officeDocument/2006/relationships/hyperlink" Target="http://www.youtube.com/watch?v=f9T_rYbCUUs" TargetMode="External"/><Relationship Id="rId231" Type="http://schemas.openxmlformats.org/officeDocument/2006/relationships/hyperlink" Target="http://www.youtube.com/watch?v=LrczRHios3Q" TargetMode="External"/><Relationship Id="rId273" Type="http://schemas.openxmlformats.org/officeDocument/2006/relationships/hyperlink" Target="http://vinylopresso.ch/2022/05/vinylopresso-der-vinylist-fan-special-zu-den-drei-fragezeichen-mit-kerstin-draeger/" TargetMode="External"/><Relationship Id="rId329" Type="http://schemas.openxmlformats.org/officeDocument/2006/relationships/hyperlink" Target="http://www.hoerbarium-podcast.de/podcast/hoerbarium-13/" TargetMode="External"/><Relationship Id="rId68" Type="http://schemas.openxmlformats.org/officeDocument/2006/relationships/hyperlink" Target="http://www.youtube.com/watch?v=TDc8c2Q5rKo" TargetMode="External"/><Relationship Id="rId133" Type="http://schemas.openxmlformats.org/officeDocument/2006/relationships/hyperlink" Target="http://www.youtube.com/watch?v=IhKNV6V2tbs" TargetMode="External"/><Relationship Id="rId175" Type="http://schemas.openxmlformats.org/officeDocument/2006/relationships/hyperlink" Target="https://stitcher.acast.com/livestitches/8f725181-98a9-416b-bfb9-74d532555d03/890fa061607b2da00341f53c2bdd8cfa.mp3?aid=8f725181-98a9-416b-bfb9-74d532555d03&amp;chid=f711305f-014c-411d-8b46-5a09e46243bf&amp;ci=aR4x8pU86wWMKAtPv3VaPght67rpCXVIfTKxthhzBm68vwgUiLectQ%3D%3D&amp;pf=rss&amp;range=bytes%3D0-&amp;sv=sphinx%401.51.0&amp;uid=0d9f2e714c122d211689514a0fc14d8d&amp;Expires=1621210437&amp;Signature=qaGefgZdBFoESivTAlVU9wHNU7WHX7hTtKvXCQf0uS4ZUvSike7YRZcZsTY9NptYdXIkZx64iYDGu9MC6oTGlskKM%7EiP9j5MJRTQFaCvEZ9xwT46zZj6tOSisKdUzr3gtQ8Ab5LmeGZKoIVjyYerKBRRPyp1AwgL6TDQnEPVQ2Dwkpt4%7EAV3lZw6n06rmOsNa4vLg%7ECk039K1XpC-TgnYsl6kJmBkZgDtuNsFd7WJfFY2RWBwrT-pov-TZihQT3Bzyr5KE%7EbGvOtKztPTt3X9K1%7EaOXWqOyHZpBHrB3JuKb233Y0kjiujYWMQI6Bm7WzwYvYXsDvC5Kx-hUBJmWIzQ__&amp;Key-Pair-Id=APKAJXAFARUOTJQ3BLOQ" TargetMode="External"/><Relationship Id="rId340" Type="http://schemas.openxmlformats.org/officeDocument/2006/relationships/hyperlink" Target="https://sphinx.acast.com/p/open/s/6318c63f6c187b00135fb38b/e/9d356b76-49ae-43ec-86d2-3bff25ac35f1/media.mp3" TargetMode="External"/><Relationship Id="rId200" Type="http://schemas.openxmlformats.org/officeDocument/2006/relationships/hyperlink" Target="http://www.youtube.com/watch?v=kX0Ry9L1nAk" TargetMode="External"/><Relationship Id="rId382" Type="http://schemas.openxmlformats.org/officeDocument/2006/relationships/hyperlink" Target="https://dreiraetselleichen.podigee.io/7-07-der-gefaehrliche-mix" TargetMode="External"/><Relationship Id="rId438" Type="http://schemas.openxmlformats.org/officeDocument/2006/relationships/table" Target="../tables/table16.xml"/><Relationship Id="rId242" Type="http://schemas.openxmlformats.org/officeDocument/2006/relationships/hyperlink" Target="http://hoerspiel-podcast.podigee.io/" TargetMode="External"/><Relationship Id="rId284" Type="http://schemas.openxmlformats.org/officeDocument/2006/relationships/hyperlink" Target="http://youtu.be/7J8h3vskdiw" TargetMode="External"/><Relationship Id="rId37" Type="http://schemas.openxmlformats.org/officeDocument/2006/relationships/hyperlink" Target="http://www.youtube.com/watch?v=W9n2VSCLEuo" TargetMode="External"/><Relationship Id="rId79" Type="http://schemas.openxmlformats.org/officeDocument/2006/relationships/hyperlink" Target="http://www.youtube.com/watch?v=ZzJM0_gghtA" TargetMode="External"/><Relationship Id="rId102" Type="http://schemas.openxmlformats.org/officeDocument/2006/relationships/hyperlink" Target="http://www.youtube.com/watch?v=_WIvio6_02U" TargetMode="External"/><Relationship Id="rId144" Type="http://schemas.openxmlformats.org/officeDocument/2006/relationships/hyperlink" Target="http://www.youtube.com/watch?v=EWPUtXpFk7M" TargetMode="External"/><Relationship Id="rId90" Type="http://schemas.openxmlformats.org/officeDocument/2006/relationships/hyperlink" Target="http://www.youtube.com/watch?v=0vt2XbsZpNQ" TargetMode="External"/><Relationship Id="rId186" Type="http://schemas.openxmlformats.org/officeDocument/2006/relationships/hyperlink" Target="http://www.youtube.com/watch?v=KVGVTgdZhRM" TargetMode="External"/><Relationship Id="rId351" Type="http://schemas.openxmlformats.org/officeDocument/2006/relationships/hyperlink" Target="https://sphinx.acast.com/p/open/s/6318c63f6c187b00135fb38b/e/638d1fc441e41a0010f6a321/media.mp3" TargetMode="External"/><Relationship Id="rId393" Type="http://schemas.openxmlformats.org/officeDocument/2006/relationships/hyperlink" Target="http://open.spotify.com/show/2uhVIgFrYaGFgsp3QBhVml" TargetMode="External"/><Relationship Id="rId407" Type="http://schemas.openxmlformats.org/officeDocument/2006/relationships/hyperlink" Target="https://cdn.julephosting.de/podcasts/1120-haschimitenfurst-der-bobcast/feed.rss" TargetMode="External"/><Relationship Id="rId449" Type="http://schemas.openxmlformats.org/officeDocument/2006/relationships/table" Target="../tables/table27.xml"/><Relationship Id="rId211" Type="http://schemas.openxmlformats.org/officeDocument/2006/relationships/hyperlink" Target="http://ruehrcast.de/feed/podcast/ruehrcast" TargetMode="External"/><Relationship Id="rId253" Type="http://schemas.openxmlformats.org/officeDocument/2006/relationships/hyperlink" Target="http://hoerspielkeller.de/podcast/folge-9-merchandise-des-todes/" TargetMode="External"/><Relationship Id="rId295" Type="http://schemas.openxmlformats.org/officeDocument/2006/relationships/hyperlink" Target="http://www.youtube.com/watch?v=r7HXniAyAME" TargetMode="External"/><Relationship Id="rId309" Type="http://schemas.openxmlformats.org/officeDocument/2006/relationships/hyperlink" Target="https://www.hoerma-podcast.de/zwischenfolge-die-drei/" TargetMode="External"/><Relationship Id="rId48" Type="http://schemas.openxmlformats.org/officeDocument/2006/relationships/hyperlink" Target="http://www.youtube.com/watch?v=jMikzNbZEEY" TargetMode="External"/><Relationship Id="rId113" Type="http://schemas.openxmlformats.org/officeDocument/2006/relationships/hyperlink" Target="http://www.youtube.com/watch?v=qGcnUwQTGuE" TargetMode="External"/><Relationship Id="rId320" Type="http://schemas.openxmlformats.org/officeDocument/2006/relationships/hyperlink" Target="https://grekey.podspot.de/rss+usm" TargetMode="External"/><Relationship Id="rId155" Type="http://schemas.openxmlformats.org/officeDocument/2006/relationships/hyperlink" Target="http://open.spotify.com/episode/5j4fuUuND5n8viRuQH2GqL" TargetMode="External"/><Relationship Id="rId197" Type="http://schemas.openxmlformats.org/officeDocument/2006/relationships/hyperlink" Target="https://anchor.fm/tropenhaus/episodes/Folge-13-Der-flexende-Vogel-Die-Drei------Spezialgelagerter-Sonderpodcast-e1711rf" TargetMode="External"/><Relationship Id="rId362" Type="http://schemas.openxmlformats.org/officeDocument/2006/relationships/hyperlink" Target="http://vinylopresso.ch/2023/01/vp075-vinylopresso-amp-der-vinylist-fan-special-zu-den-drei-fragezeichen-mit-cally-stronk-und-christian-friedrich/" TargetMode="External"/><Relationship Id="rId418" Type="http://schemas.openxmlformats.org/officeDocument/2006/relationships/hyperlink" Target="http://www.youtube.com/@Rocky-Beach-Podcast-hc2jz" TargetMode="External"/><Relationship Id="rId222" Type="http://schemas.openxmlformats.org/officeDocument/2006/relationships/hyperlink" Target="http://kkt-podcast.de/episoden/" TargetMode="External"/><Relationship Id="rId264" Type="http://schemas.openxmlformats.org/officeDocument/2006/relationships/hyperlink" Target="http://anchor.fm/dreiarchiv/episodes/Folge-5-Escaperooms-und-die-Zw3i-e1gj2t8" TargetMode="External"/><Relationship Id="rId17" Type="http://schemas.openxmlformats.org/officeDocument/2006/relationships/hyperlink" Target="http://www.youtube.com/watch?v=iGGfIJQQ8OA" TargetMode="External"/><Relationship Id="rId59" Type="http://schemas.openxmlformats.org/officeDocument/2006/relationships/hyperlink" Target="http://www.youtube.com/watch?v=AADkDdBw-28" TargetMode="External"/><Relationship Id="rId124" Type="http://schemas.openxmlformats.org/officeDocument/2006/relationships/hyperlink" Target="http://www.youtube.com/watch?v=9N_resAitFc" TargetMode="External"/><Relationship Id="rId70" Type="http://schemas.openxmlformats.org/officeDocument/2006/relationships/hyperlink" Target="http://www.youtube.com/watch?v=RX3aN_IXECg" TargetMode="External"/><Relationship Id="rId166" Type="http://schemas.openxmlformats.org/officeDocument/2006/relationships/hyperlink" Target="http://www.podcast.de/podcast/1041303" TargetMode="External"/><Relationship Id="rId331" Type="http://schemas.openxmlformats.org/officeDocument/2006/relationships/hyperlink" Target="http://www.hoerbarium-podcast.de/podcast/hoerbarium-18/" TargetMode="External"/><Relationship Id="rId373" Type="http://schemas.openxmlformats.org/officeDocument/2006/relationships/hyperlink" Target="http://www.youtube.com/watch?v=iKKGdpcTiRk" TargetMode="External"/><Relationship Id="rId429" Type="http://schemas.openxmlformats.org/officeDocument/2006/relationships/table" Target="../tables/table7.xml"/><Relationship Id="rId1" Type="http://schemas.openxmlformats.org/officeDocument/2006/relationships/hyperlink" Target="http://die-zentrale.podigee.io/" TargetMode="External"/><Relationship Id="rId233" Type="http://schemas.openxmlformats.org/officeDocument/2006/relationships/hyperlink" Target="http://vinylopresso.ch/das-vinylopresso-podcast-archiv/" TargetMode="External"/><Relationship Id="rId440" Type="http://schemas.openxmlformats.org/officeDocument/2006/relationships/table" Target="../tables/table18.xml"/><Relationship Id="rId28" Type="http://schemas.openxmlformats.org/officeDocument/2006/relationships/hyperlink" Target="http://www.youtube.com/watch?v=sn7SKgtAnUY" TargetMode="External"/><Relationship Id="rId275" Type="http://schemas.openxmlformats.org/officeDocument/2006/relationships/hyperlink" Target="http://vinylopresso.ch/2022/06/vinylopresso-der-vinylist-fan-special-zu-den-drei-fragezeichen-mit-kai-schwind/" TargetMode="External"/><Relationship Id="rId300" Type="http://schemas.openxmlformats.org/officeDocument/2006/relationships/hyperlink" Target="https://couchpirat.de/piratentalk-podcast-007-lbm18-ein-fall-im-nichts-und-ein-affiger-moerder/" TargetMode="External"/><Relationship Id="rId81" Type="http://schemas.openxmlformats.org/officeDocument/2006/relationships/hyperlink" Target="http://www.youtube.com/watch?v=Ez-Gq1VCjD4" TargetMode="External"/><Relationship Id="rId135" Type="http://schemas.openxmlformats.org/officeDocument/2006/relationships/hyperlink" Target="http://www.youtube.com/watch?v=ZvYIBEwpOQw" TargetMode="External"/><Relationship Id="rId177" Type="http://schemas.openxmlformats.org/officeDocument/2006/relationships/hyperlink" Target="http://www.vatersohnpodcast.de/2020/02/23/die-drei/" TargetMode="External"/><Relationship Id="rId342" Type="http://schemas.openxmlformats.org/officeDocument/2006/relationships/hyperlink" Target="https://sphinx.acast.com/p/open/s/6318c63f6c187b00135fb38b/e/596ff4d8-16f3-46f5-97e9-60d208de7301/media.mp3" TargetMode="External"/><Relationship Id="rId384" Type="http://schemas.openxmlformats.org/officeDocument/2006/relationships/hyperlink" Target="https://dreiraetselleichen.podigee.io/9-die-silberne-stimme" TargetMode="External"/><Relationship Id="rId202" Type="http://schemas.openxmlformats.org/officeDocument/2006/relationships/hyperlink" Target="http://www.youtube.com/watch?v=qfq_uVbaMoY" TargetMode="External"/><Relationship Id="rId244" Type="http://schemas.openxmlformats.org/officeDocument/2006/relationships/hyperlink" Target="http://hoerspielkeller.de/podcast/" TargetMode="External"/><Relationship Id="rId39" Type="http://schemas.openxmlformats.org/officeDocument/2006/relationships/hyperlink" Target="http://www.youtube.com/watch?v=ZNHp56uzQds" TargetMode="External"/><Relationship Id="rId286" Type="http://schemas.openxmlformats.org/officeDocument/2006/relationships/hyperlink" Target="https://play.acast.com/s/horspielplatz/folge-5-twitch-star-shurjoka-uber-ihre-spate-liebe-zur-die-d" TargetMode="External"/><Relationship Id="rId451" Type="http://schemas.openxmlformats.org/officeDocument/2006/relationships/table" Target="../tables/table29.xml"/><Relationship Id="rId50" Type="http://schemas.openxmlformats.org/officeDocument/2006/relationships/hyperlink" Target="http://www.youtube.com/watch?v=BaiZjRFXnhI" TargetMode="External"/><Relationship Id="rId104" Type="http://schemas.openxmlformats.org/officeDocument/2006/relationships/hyperlink" Target="http://www.youtube.com/watch?v=CIoCVn3om_4" TargetMode="External"/><Relationship Id="rId146" Type="http://schemas.openxmlformats.org/officeDocument/2006/relationships/hyperlink" Target="https://www.youtube.com/watch?v=uunkDjJdn3A" TargetMode="External"/><Relationship Id="rId188" Type="http://schemas.openxmlformats.org/officeDocument/2006/relationships/hyperlink" Target="http://www.youtube.com/watch?v=w8GEOYVqXaI" TargetMode="External"/><Relationship Id="rId311" Type="http://schemas.openxmlformats.org/officeDocument/2006/relationships/hyperlink" Target="http://younginthe80s.de/episoden/" TargetMode="External"/><Relationship Id="rId353" Type="http://schemas.openxmlformats.org/officeDocument/2006/relationships/hyperlink" Target="https://sphinx.acast.com/p/open/s/6318c63f6c187b00135fb38b/e/63a6e8f482094f00104afc42/media.mp3" TargetMode="External"/><Relationship Id="rId395" Type="http://schemas.openxmlformats.org/officeDocument/2006/relationships/hyperlink" Target="http://www.youtube.com/watch?v=myeZH4iR2dU" TargetMode="External"/><Relationship Id="rId409" Type="http://schemas.openxmlformats.org/officeDocument/2006/relationships/hyperlink" Target="http://www.youtube.com/watch?v=5h1q7Hz1EhQ" TargetMode="External"/><Relationship Id="rId92" Type="http://schemas.openxmlformats.org/officeDocument/2006/relationships/hyperlink" Target="http://www.youtube.com/watch?v=uACN2UNNtLE" TargetMode="External"/><Relationship Id="rId213" Type="http://schemas.openxmlformats.org/officeDocument/2006/relationships/hyperlink" Target="http://podcasts.apple.com/de/podcast/mach-den-verst&#228;rker-an/id1556335156" TargetMode="External"/><Relationship Id="rId420" Type="http://schemas.openxmlformats.org/officeDocument/2006/relationships/hyperlink" Target="http://www.youtube.com/watch?v=8ageMjuCV7k"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chrottcast.tumblr.com/" TargetMode="External"/><Relationship Id="rId13" Type="http://schemas.openxmlformats.org/officeDocument/2006/relationships/hyperlink" Target="https://talker-lounge.de/tag/die-drei-fragezeichen/" TargetMode="External"/><Relationship Id="rId18" Type="http://schemas.openxmlformats.org/officeDocument/2006/relationships/hyperlink" Target="https://anchor.fm/taschenlampen" TargetMode="External"/><Relationship Id="rId26" Type="http://schemas.openxmlformats.org/officeDocument/2006/relationships/hyperlink" Target="https://open.spotify.com/show/1EGX3oM7F8paWh5zXmBdLq" TargetMode="External"/><Relationship Id="rId3" Type="http://schemas.openxmlformats.org/officeDocument/2006/relationships/hyperlink" Target="https://die-zentrale.podigee.io/" TargetMode="External"/><Relationship Id="rId21" Type="http://schemas.openxmlformats.org/officeDocument/2006/relationships/hyperlink" Target="https://hoerspiel-podcast.podigee.io/" TargetMode="External"/><Relationship Id="rId7" Type="http://schemas.openxmlformats.org/officeDocument/2006/relationships/hyperlink" Target="https://www.retroabteil.de/die-drei-fragezeichen/" TargetMode="External"/><Relationship Id="rId12" Type="http://schemas.openxmlformats.org/officeDocument/2006/relationships/hyperlink" Target="https://haschimitenfuerst.blogspot.de/" TargetMode="External"/><Relationship Id="rId17" Type="http://schemas.openxmlformats.org/officeDocument/2006/relationships/hyperlink" Target="https://www.instagram.com/kaffeeklatsch_vom_gwc/" TargetMode="External"/><Relationship Id="rId25" Type="http://schemas.openxmlformats.org/officeDocument/2006/relationships/hyperlink" Target="https://dasgeheimnisderbuecher.podigee.io/" TargetMode="External"/><Relationship Id="rId2" Type="http://schemas.openxmlformats.org/officeDocument/2006/relationships/hyperlink" Target="https://unteranfuehrungszeichen.wordpress.com/" TargetMode="External"/><Relationship Id="rId16" Type="http://schemas.openxmlformats.org/officeDocument/2006/relationships/hyperlink" Target="https://anchor.fm/diedreifanatiker" TargetMode="External"/><Relationship Id="rId20" Type="http://schemas.openxmlformats.org/officeDocument/2006/relationships/hyperlink" Target="https://podtail.com/de/podcast/die-zw3i/" TargetMode="External"/><Relationship Id="rId1" Type="http://schemas.openxmlformats.org/officeDocument/2006/relationships/hyperlink" Target="https://www.instagram.com/mathildaskirschkuchen/" TargetMode="External"/><Relationship Id="rId6" Type="http://schemas.openxmlformats.org/officeDocument/2006/relationships/hyperlink" Target="https://schrottplatz-podcast.jimdofree.com/" TargetMode="External"/><Relationship Id="rId11" Type="http://schemas.openxmlformats.org/officeDocument/2006/relationships/hyperlink" Target="https://www.spezialgelagert.de/" TargetMode="External"/><Relationship Id="rId24" Type="http://schemas.openxmlformats.org/officeDocument/2006/relationships/hyperlink" Target="https://podcasters.spotify.com/pod/show/beachcast/" TargetMode="External"/><Relationship Id="rId5" Type="http://schemas.openxmlformats.org/officeDocument/2006/relationships/hyperlink" Target="https://hoerspieltipps.net/serien/die_drei____.html" TargetMode="External"/><Relationship Id="rId15" Type="http://schemas.openxmlformats.org/officeDocument/2006/relationships/hyperlink" Target="https://fragezeichenpod.podcaster.de/" TargetMode="External"/><Relationship Id="rId23" Type="http://schemas.openxmlformats.org/officeDocument/2006/relationships/hyperlink" Target="https://www.podcast.de/podcast/3048610/die-dritte-abfahrt" TargetMode="External"/><Relationship Id="rId28" Type="http://schemas.openxmlformats.org/officeDocument/2006/relationships/hyperlink" Target="https://open.spotify.com/show/4vyafADyS1ykP3MzvEwaqC" TargetMode="External"/><Relationship Id="rId10" Type="http://schemas.openxmlformats.org/officeDocument/2006/relationships/hyperlink" Target="https://www.gebrauchtwarenpodcast.de/" TargetMode="External"/><Relationship Id="rId19" Type="http://schemas.openxmlformats.org/officeDocument/2006/relationships/hyperlink" Target="https://www.podcast.de/podcast/1041303/" TargetMode="External"/><Relationship Id="rId4" Type="http://schemas.openxmlformats.org/officeDocument/2006/relationships/hyperlink" Target="https://www.youtube.com/channel/UCLK4k-NjboJxUfkUR0TWbgw" TargetMode="External"/><Relationship Id="rId9" Type="http://schemas.openxmlformats.org/officeDocument/2006/relationships/hyperlink" Target="https://www.rescherschen-und-arschiv.de/" TargetMode="External"/><Relationship Id="rId14" Type="http://schemas.openxmlformats.org/officeDocument/2006/relationships/hyperlink" Target="https://washoerstduso.wordpress.com/?s=fragezeichen" TargetMode="External"/><Relationship Id="rId22" Type="http://schemas.openxmlformats.org/officeDocument/2006/relationships/hyperlink" Target="https://hoerspielkeller.de/podcast/" TargetMode="External"/><Relationship Id="rId27" Type="http://schemas.openxmlformats.org/officeDocument/2006/relationships/hyperlink" Target="https://open.spotify.com/show/3eka4CgbqoLBwBpbEx6Udw"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8qm.de/ddf/dl/DDF-Podcast_SSP-OF.xlsm" TargetMode="External"/><Relationship Id="rId1" Type="http://schemas.openxmlformats.org/officeDocument/2006/relationships/hyperlink" Target="https://spezialgelagert.de/podcast-folgen/folgenvoting/" TargetMode="External"/><Relationship Id="rId6" Type="http://schemas.openxmlformats.org/officeDocument/2006/relationships/comments" Target="../comments3.xml"/><Relationship Id="rId5" Type="http://schemas.openxmlformats.org/officeDocument/2006/relationships/table" Target="../tables/table36.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outlinePr summaryBelow="0"/>
  </sheetPr>
  <dimension ref="A1:Q2714"/>
  <sheetViews>
    <sheetView showGridLines="0" showRowColHeaders="0" tabSelected="1" zoomScaleNormal="100" workbookViewId="0">
      <selection activeCell="B2" sqref="B2:F2"/>
    </sheetView>
  </sheetViews>
  <sheetFormatPr baseColWidth="10" defaultColWidth="11.453125" defaultRowHeight="14.5" outlineLevelRow="1"/>
  <cols>
    <col min="1" max="1" width="4.26953125" customWidth="1"/>
    <col min="2" max="2" width="7.1796875" customWidth="1"/>
    <col min="3" max="3" width="68.453125" customWidth="1"/>
    <col min="4" max="4" width="8" customWidth="1"/>
    <col min="5" max="5" width="18" customWidth="1"/>
    <col min="6" max="6" width="9.7265625" customWidth="1"/>
    <col min="7" max="7" width="4.26953125" customWidth="1"/>
    <col min="9" max="9" width="11.453125" customWidth="1"/>
    <col min="10" max="10" width="11.453125" hidden="1" customWidth="1"/>
    <col min="11" max="11" width="11.453125" customWidth="1"/>
    <col min="12" max="14" width="5.453125" customWidth="1"/>
    <col min="15" max="15" width="7.453125" customWidth="1"/>
    <col min="16" max="16" width="8.36328125" customWidth="1"/>
    <col min="17" max="17" width="7.453125" customWidth="1"/>
  </cols>
  <sheetData>
    <row r="1" spans="1:10" ht="15" thickBot="1">
      <c r="A1" s="28"/>
      <c r="B1" s="28"/>
      <c r="C1" s="28"/>
      <c r="D1" s="28"/>
      <c r="E1" s="28"/>
      <c r="F1" s="28"/>
      <c r="G1" s="28"/>
    </row>
    <row r="2" spans="1:10" ht="15" thickBot="1">
      <c r="A2" s="28"/>
      <c r="B2" s="758" t="s">
        <v>3093</v>
      </c>
      <c r="C2" s="759"/>
      <c r="D2" s="759"/>
      <c r="E2" s="759"/>
      <c r="F2" s="760"/>
      <c r="G2" s="28"/>
    </row>
    <row r="3" spans="1:10" ht="1.5" customHeight="1">
      <c r="A3" s="28"/>
      <c r="B3" s="97"/>
      <c r="C3" s="97"/>
      <c r="D3" s="97"/>
      <c r="E3" s="97"/>
      <c r="F3" s="97"/>
      <c r="G3" s="28"/>
    </row>
    <row r="4" spans="1:10">
      <c r="A4" s="28"/>
      <c r="B4" s="28"/>
      <c r="C4" s="65" t="s">
        <v>856</v>
      </c>
      <c r="D4" s="29"/>
      <c r="E4" s="30"/>
      <c r="F4" s="31"/>
      <c r="G4" s="28"/>
    </row>
    <row r="5" spans="1:10">
      <c r="A5" s="28"/>
      <c r="B5" s="28"/>
      <c r="C5" s="28" t="s">
        <v>4452</v>
      </c>
      <c r="D5" s="29"/>
      <c r="E5" s="30"/>
      <c r="F5" s="31"/>
      <c r="G5" s="28"/>
    </row>
    <row r="6" spans="1:10">
      <c r="A6" s="28"/>
      <c r="B6" s="28"/>
      <c r="C6" s="642" t="s">
        <v>4022</v>
      </c>
      <c r="D6" s="29"/>
      <c r="E6" s="30"/>
      <c r="F6" s="31"/>
      <c r="G6" s="28"/>
      <c r="J6" s="179" t="s">
        <v>4023</v>
      </c>
    </row>
    <row r="7" spans="1:10">
      <c r="A7" s="28"/>
      <c r="B7" s="33"/>
      <c r="C7" s="34" t="s">
        <v>1398</v>
      </c>
      <c r="D7" s="35"/>
      <c r="E7" s="36"/>
      <c r="F7" s="41"/>
      <c r="G7" s="38"/>
      <c r="J7" s="179" t="s">
        <v>1231</v>
      </c>
    </row>
    <row r="8" spans="1:10" collapsed="1">
      <c r="A8" s="28"/>
      <c r="B8" s="38"/>
      <c r="C8" s="229" t="s">
        <v>2364</v>
      </c>
      <c r="D8" s="302" t="s">
        <v>1269</v>
      </c>
      <c r="E8" s="30"/>
      <c r="F8" s="31"/>
      <c r="G8" s="38"/>
    </row>
    <row r="9" spans="1:10" hidden="1" outlineLevel="1">
      <c r="A9" s="28"/>
      <c r="B9" s="20" t="s">
        <v>5</v>
      </c>
      <c r="C9" s="21" t="s">
        <v>6</v>
      </c>
      <c r="D9" s="22" t="s">
        <v>4</v>
      </c>
      <c r="E9" s="137" t="s">
        <v>8</v>
      </c>
      <c r="F9" s="478" t="s">
        <v>7</v>
      </c>
      <c r="G9" s="38"/>
    </row>
    <row r="10" spans="1:10" hidden="1" outlineLevel="1">
      <c r="A10" s="28"/>
      <c r="B10" s="1">
        <v>1</v>
      </c>
      <c r="C10" s="5" t="s">
        <v>214</v>
      </c>
      <c r="D10" s="2">
        <v>0</v>
      </c>
      <c r="E10" s="3">
        <v>40817</v>
      </c>
      <c r="F10" s="479">
        <v>9.2592592592592585E-4</v>
      </c>
      <c r="G10" s="38"/>
      <c r="H10" s="273" t="s">
        <v>2038</v>
      </c>
      <c r="J10" t="s">
        <v>197</v>
      </c>
    </row>
    <row r="11" spans="1:10" hidden="1" outlineLevel="1">
      <c r="A11" s="28"/>
      <c r="B11" s="1">
        <v>2</v>
      </c>
      <c r="C11" s="5" t="s">
        <v>137</v>
      </c>
      <c r="D11" s="2">
        <v>149</v>
      </c>
      <c r="E11" s="3">
        <v>40866</v>
      </c>
      <c r="F11" s="188">
        <v>3.5057870370370371E-2</v>
      </c>
      <c r="G11" s="38"/>
      <c r="H11" s="273" t="s">
        <v>2039</v>
      </c>
      <c r="J11" t="s">
        <v>197</v>
      </c>
    </row>
    <row r="12" spans="1:10" hidden="1" outlineLevel="1">
      <c r="A12" s="28"/>
      <c r="B12" s="1">
        <v>3</v>
      </c>
      <c r="C12" s="5" t="s">
        <v>138</v>
      </c>
      <c r="D12" s="2">
        <v>17</v>
      </c>
      <c r="E12" s="3">
        <v>40881</v>
      </c>
      <c r="F12" s="188">
        <v>2.5428240740740741E-2</v>
      </c>
      <c r="G12" s="38"/>
      <c r="H12" s="273" t="s">
        <v>2040</v>
      </c>
      <c r="J12" t="s">
        <v>197</v>
      </c>
    </row>
    <row r="13" spans="1:10" hidden="1" outlineLevel="1">
      <c r="A13" s="28"/>
      <c r="B13" s="1">
        <v>4</v>
      </c>
      <c r="C13" s="5" t="s">
        <v>2381</v>
      </c>
      <c r="D13" s="2">
        <v>12</v>
      </c>
      <c r="E13" s="3">
        <v>40905</v>
      </c>
      <c r="F13" s="188">
        <v>3.2812500000000001E-2</v>
      </c>
      <c r="G13" s="38"/>
      <c r="H13" s="273" t="s">
        <v>2041</v>
      </c>
      <c r="J13" t="s">
        <v>197</v>
      </c>
    </row>
    <row r="14" spans="1:10" hidden="1" outlineLevel="1">
      <c r="A14" s="28"/>
      <c r="B14" s="1">
        <v>5</v>
      </c>
      <c r="C14" s="5" t="s">
        <v>139</v>
      </c>
      <c r="D14" s="2">
        <v>92</v>
      </c>
      <c r="E14" s="3">
        <v>40919</v>
      </c>
      <c r="F14" s="188">
        <v>2.3761574074074074E-2</v>
      </c>
      <c r="G14" s="38"/>
      <c r="H14" s="273" t="s">
        <v>2042</v>
      </c>
      <c r="J14" t="s">
        <v>197</v>
      </c>
    </row>
    <row r="15" spans="1:10" hidden="1" outlineLevel="1">
      <c r="A15" s="28"/>
      <c r="B15" s="1">
        <v>6</v>
      </c>
      <c r="C15" s="5" t="s">
        <v>140</v>
      </c>
      <c r="D15" s="2">
        <v>116</v>
      </c>
      <c r="E15" s="3">
        <v>40932</v>
      </c>
      <c r="F15" s="188">
        <v>3.0266203703703708E-2</v>
      </c>
      <c r="G15" s="38"/>
      <c r="H15" s="273" t="s">
        <v>2043</v>
      </c>
      <c r="J15" t="s">
        <v>197</v>
      </c>
    </row>
    <row r="16" spans="1:10" hidden="1" outlineLevel="1">
      <c r="A16" s="28"/>
      <c r="B16" s="1">
        <v>7</v>
      </c>
      <c r="C16" s="5" t="s">
        <v>482</v>
      </c>
      <c r="D16" s="2">
        <v>0</v>
      </c>
      <c r="E16" s="3">
        <v>40936</v>
      </c>
      <c r="F16" s="188">
        <v>1.861111111111111E-2</v>
      </c>
      <c r="G16" s="38"/>
      <c r="H16" s="273" t="s">
        <v>2044</v>
      </c>
      <c r="J16" t="s">
        <v>197</v>
      </c>
    </row>
    <row r="17" spans="1:12" hidden="1" outlineLevel="1">
      <c r="A17" s="28"/>
      <c r="B17" s="1">
        <v>8</v>
      </c>
      <c r="C17" s="5" t="s">
        <v>483</v>
      </c>
      <c r="D17" s="2">
        <v>0</v>
      </c>
      <c r="E17" s="3">
        <v>40952</v>
      </c>
      <c r="F17" s="188">
        <v>6.4583333333333333E-3</v>
      </c>
      <c r="G17" s="38"/>
      <c r="H17" s="273" t="s">
        <v>2045</v>
      </c>
      <c r="J17" t="s">
        <v>197</v>
      </c>
    </row>
    <row r="18" spans="1:12" hidden="1" outlineLevel="1">
      <c r="A18" s="28"/>
      <c r="B18" s="1">
        <v>9</v>
      </c>
      <c r="C18" s="5" t="s">
        <v>403</v>
      </c>
      <c r="D18" s="2">
        <v>28</v>
      </c>
      <c r="E18" s="3">
        <v>40966</v>
      </c>
      <c r="F18" s="479">
        <v>2.7662037037037041E-2</v>
      </c>
      <c r="G18" s="38"/>
      <c r="H18" s="273" t="s">
        <v>2046</v>
      </c>
      <c r="J18" t="s">
        <v>197</v>
      </c>
    </row>
    <row r="19" spans="1:12" hidden="1" outlineLevel="1">
      <c r="A19" s="28"/>
      <c r="B19" s="1">
        <v>10</v>
      </c>
      <c r="C19" s="5" t="s">
        <v>158</v>
      </c>
      <c r="D19" s="2">
        <v>0</v>
      </c>
      <c r="E19" s="3">
        <v>40968</v>
      </c>
      <c r="F19" s="188">
        <v>2.7777777777777779E-3</v>
      </c>
      <c r="G19" s="38"/>
      <c r="H19" s="273" t="s">
        <v>2047</v>
      </c>
      <c r="J19" t="s">
        <v>197</v>
      </c>
    </row>
    <row r="20" spans="1:12" hidden="1" outlineLevel="1">
      <c r="A20" s="28"/>
      <c r="B20" s="1">
        <v>11</v>
      </c>
      <c r="C20" s="5" t="s">
        <v>141</v>
      </c>
      <c r="D20" s="2">
        <v>45</v>
      </c>
      <c r="E20" s="3">
        <v>40981</v>
      </c>
      <c r="F20" s="188">
        <v>1.5717592592592592E-2</v>
      </c>
      <c r="G20" s="480"/>
      <c r="H20" s="273" t="s">
        <v>2048</v>
      </c>
      <c r="I20" s="105"/>
      <c r="J20" t="s">
        <v>197</v>
      </c>
      <c r="K20" s="105"/>
      <c r="L20" s="105"/>
    </row>
    <row r="21" spans="1:12" hidden="1" outlineLevel="1">
      <c r="A21" s="28"/>
      <c r="B21" s="1">
        <v>12</v>
      </c>
      <c r="C21" s="5" t="s">
        <v>2382</v>
      </c>
      <c r="D21" s="2">
        <v>47</v>
      </c>
      <c r="E21" s="3">
        <v>41006</v>
      </c>
      <c r="F21" s="188">
        <v>5.0578703703703709E-2</v>
      </c>
      <c r="G21" s="38"/>
      <c r="H21" s="273" t="s">
        <v>2049</v>
      </c>
      <c r="J21" t="s">
        <v>197</v>
      </c>
    </row>
    <row r="22" spans="1:12" hidden="1" outlineLevel="1">
      <c r="A22" s="28"/>
      <c r="B22" s="1">
        <v>13</v>
      </c>
      <c r="C22" s="5" t="s">
        <v>142</v>
      </c>
      <c r="D22" s="2">
        <v>49</v>
      </c>
      <c r="E22" s="3">
        <v>41035</v>
      </c>
      <c r="F22" s="188">
        <v>3.3472222222222223E-2</v>
      </c>
      <c r="G22" s="38"/>
      <c r="H22" s="273" t="s">
        <v>2050</v>
      </c>
      <c r="J22" t="s">
        <v>197</v>
      </c>
    </row>
    <row r="23" spans="1:12" hidden="1" outlineLevel="1">
      <c r="A23" s="28"/>
      <c r="B23" s="1">
        <v>14</v>
      </c>
      <c r="C23" s="5" t="s">
        <v>484</v>
      </c>
      <c r="D23" s="6" t="s">
        <v>2033</v>
      </c>
      <c r="E23" s="3">
        <v>41044</v>
      </c>
      <c r="F23" s="188">
        <v>1.4930555555555556E-2</v>
      </c>
      <c r="G23" s="38"/>
      <c r="H23" s="273" t="s">
        <v>2051</v>
      </c>
      <c r="J23" t="s">
        <v>197</v>
      </c>
    </row>
    <row r="24" spans="1:12" hidden="1" outlineLevel="1">
      <c r="A24" s="28"/>
      <c r="B24" s="1">
        <v>15</v>
      </c>
      <c r="C24" s="5" t="s">
        <v>159</v>
      </c>
      <c r="D24" s="2">
        <v>154</v>
      </c>
      <c r="E24" s="3">
        <v>41047</v>
      </c>
      <c r="F24" s="188">
        <v>5.061342592592593E-2</v>
      </c>
      <c r="G24" s="38"/>
      <c r="H24" s="273" t="s">
        <v>2052</v>
      </c>
      <c r="J24" t="s">
        <v>197</v>
      </c>
    </row>
    <row r="25" spans="1:12" hidden="1" outlineLevel="1">
      <c r="A25" s="28"/>
      <c r="B25" s="1">
        <v>16</v>
      </c>
      <c r="C25" s="5" t="s">
        <v>2383</v>
      </c>
      <c r="D25" s="2">
        <v>8</v>
      </c>
      <c r="E25" s="3">
        <v>41077</v>
      </c>
      <c r="F25" s="188">
        <v>3.7986111111111116E-2</v>
      </c>
      <c r="G25" s="38"/>
      <c r="H25" s="273" t="s">
        <v>2053</v>
      </c>
      <c r="J25" t="s">
        <v>197</v>
      </c>
    </row>
    <row r="26" spans="1:12" hidden="1" outlineLevel="1">
      <c r="A26" s="28"/>
      <c r="B26" s="1">
        <v>17</v>
      </c>
      <c r="C26" s="5" t="s">
        <v>2384</v>
      </c>
      <c r="D26" s="2">
        <v>33</v>
      </c>
      <c r="E26" s="3">
        <v>41084</v>
      </c>
      <c r="F26" s="188">
        <v>3.5057870370370371E-2</v>
      </c>
      <c r="G26" s="38"/>
      <c r="H26" s="273" t="s">
        <v>2054</v>
      </c>
      <c r="J26" t="s">
        <v>197</v>
      </c>
    </row>
    <row r="27" spans="1:12" hidden="1" outlineLevel="1">
      <c r="A27" s="28"/>
      <c r="B27" s="1">
        <v>18</v>
      </c>
      <c r="C27" s="5" t="s">
        <v>404</v>
      </c>
      <c r="D27" s="2">
        <v>0</v>
      </c>
      <c r="E27" s="3">
        <v>41090</v>
      </c>
      <c r="F27" s="479">
        <v>3.472222222222222E-3</v>
      </c>
      <c r="G27" s="38"/>
      <c r="H27" s="273" t="s">
        <v>2055</v>
      </c>
      <c r="J27" t="s">
        <v>197</v>
      </c>
    </row>
    <row r="28" spans="1:12" hidden="1" outlineLevel="1">
      <c r="A28" s="28"/>
      <c r="B28" s="1">
        <v>19</v>
      </c>
      <c r="C28" s="5" t="s">
        <v>160</v>
      </c>
      <c r="D28" s="6" t="s">
        <v>2034</v>
      </c>
      <c r="E28" s="3">
        <v>41115</v>
      </c>
      <c r="F28" s="188">
        <v>1.7430555555555557E-2</v>
      </c>
      <c r="G28" s="38"/>
      <c r="H28" s="273" t="s">
        <v>2056</v>
      </c>
      <c r="J28" t="s">
        <v>197</v>
      </c>
    </row>
    <row r="29" spans="1:12" hidden="1" outlineLevel="1">
      <c r="A29" s="28"/>
      <c r="B29" s="1">
        <v>20</v>
      </c>
      <c r="C29" s="5" t="s">
        <v>2385</v>
      </c>
      <c r="D29" s="2">
        <v>155</v>
      </c>
      <c r="E29" s="3">
        <v>41162</v>
      </c>
      <c r="F29" s="188">
        <v>4.1666666666666664E-2</v>
      </c>
      <c r="G29" s="38"/>
      <c r="H29" s="273" t="s">
        <v>2057</v>
      </c>
      <c r="J29" t="s">
        <v>197</v>
      </c>
    </row>
    <row r="30" spans="1:12" hidden="1" outlineLevel="1">
      <c r="A30" s="28"/>
      <c r="B30" s="1">
        <v>21</v>
      </c>
      <c r="C30" s="5" t="s">
        <v>161</v>
      </c>
      <c r="D30" s="2">
        <v>0</v>
      </c>
      <c r="E30" s="3">
        <v>41178</v>
      </c>
      <c r="F30" s="188">
        <v>1.3888888888888888E-2</v>
      </c>
      <c r="G30" s="38"/>
      <c r="H30" s="273" t="s">
        <v>2058</v>
      </c>
      <c r="J30" t="s">
        <v>197</v>
      </c>
    </row>
    <row r="31" spans="1:12" hidden="1" outlineLevel="1">
      <c r="A31" s="28"/>
      <c r="B31" s="1">
        <v>22</v>
      </c>
      <c r="C31" s="5" t="s">
        <v>1394</v>
      </c>
      <c r="D31" s="2">
        <v>21</v>
      </c>
      <c r="E31" s="3">
        <v>41233</v>
      </c>
      <c r="F31" s="479">
        <v>4.3750000000000004E-2</v>
      </c>
      <c r="G31" s="38"/>
      <c r="H31" s="273" t="s">
        <v>2059</v>
      </c>
      <c r="J31" t="s">
        <v>197</v>
      </c>
    </row>
    <row r="32" spans="1:12" hidden="1" outlineLevel="1">
      <c r="A32" s="28"/>
      <c r="B32" s="1">
        <v>23</v>
      </c>
      <c r="C32" s="5" t="s">
        <v>405</v>
      </c>
      <c r="D32" s="6" t="s">
        <v>218</v>
      </c>
      <c r="E32" s="3">
        <v>41244</v>
      </c>
      <c r="F32" s="188">
        <v>3.8194444444444443E-3</v>
      </c>
      <c r="G32" s="38"/>
      <c r="H32" s="273" t="s">
        <v>2060</v>
      </c>
      <c r="J32" t="s">
        <v>197</v>
      </c>
    </row>
    <row r="33" spans="1:10" hidden="1" outlineLevel="1">
      <c r="A33" s="28"/>
      <c r="B33" s="1">
        <v>24</v>
      </c>
      <c r="C33" s="5" t="s">
        <v>162</v>
      </c>
      <c r="D33" s="6" t="s">
        <v>143</v>
      </c>
      <c r="E33" s="3">
        <v>41245</v>
      </c>
      <c r="F33" s="188">
        <v>1.4722222222222222E-2</v>
      </c>
      <c r="G33" s="38"/>
      <c r="H33" s="273" t="s">
        <v>2061</v>
      </c>
      <c r="J33" t="s">
        <v>197</v>
      </c>
    </row>
    <row r="34" spans="1:10" hidden="1" outlineLevel="1">
      <c r="A34" s="28"/>
      <c r="B34" s="1">
        <v>25</v>
      </c>
      <c r="C34" s="5" t="s">
        <v>163</v>
      </c>
      <c r="D34" s="6" t="s">
        <v>144</v>
      </c>
      <c r="E34" s="3">
        <v>41247</v>
      </c>
      <c r="F34" s="188">
        <v>1.2094907407407408E-2</v>
      </c>
      <c r="G34" s="38"/>
      <c r="H34" s="273" t="s">
        <v>2062</v>
      </c>
      <c r="J34" t="s">
        <v>197</v>
      </c>
    </row>
    <row r="35" spans="1:10" hidden="1" outlineLevel="1">
      <c r="A35" s="28"/>
      <c r="B35" s="1">
        <v>26</v>
      </c>
      <c r="C35" s="5" t="s">
        <v>164</v>
      </c>
      <c r="D35" s="6" t="s">
        <v>145</v>
      </c>
      <c r="E35" s="3">
        <v>41249</v>
      </c>
      <c r="F35" s="188">
        <v>8.5416666666666679E-3</v>
      </c>
      <c r="G35" s="38"/>
      <c r="H35" s="273" t="s">
        <v>2063</v>
      </c>
      <c r="J35" t="s">
        <v>197</v>
      </c>
    </row>
    <row r="36" spans="1:10" hidden="1" outlineLevel="1">
      <c r="A36" s="28"/>
      <c r="B36" s="1">
        <v>27</v>
      </c>
      <c r="C36" s="5" t="s">
        <v>165</v>
      </c>
      <c r="D36" s="6" t="s">
        <v>146</v>
      </c>
      <c r="E36" s="3">
        <v>41251</v>
      </c>
      <c r="F36" s="188">
        <v>1.8391203703703705E-2</v>
      </c>
      <c r="G36" s="38"/>
      <c r="H36" s="273" t="s">
        <v>2064</v>
      </c>
      <c r="J36" t="s">
        <v>197</v>
      </c>
    </row>
    <row r="37" spans="1:10" hidden="1" outlineLevel="1">
      <c r="A37" s="28"/>
      <c r="B37" s="1">
        <v>28</v>
      </c>
      <c r="C37" s="5" t="s">
        <v>166</v>
      </c>
      <c r="D37" s="6" t="s">
        <v>147</v>
      </c>
      <c r="E37" s="3">
        <v>41253</v>
      </c>
      <c r="F37" s="188">
        <v>1.5625E-2</v>
      </c>
      <c r="G37" s="38"/>
      <c r="H37" s="273" t="s">
        <v>2065</v>
      </c>
      <c r="J37" t="s">
        <v>197</v>
      </c>
    </row>
    <row r="38" spans="1:10" hidden="1" outlineLevel="1">
      <c r="A38" s="28"/>
      <c r="B38" s="1">
        <v>29</v>
      </c>
      <c r="C38" s="5" t="s">
        <v>167</v>
      </c>
      <c r="D38" s="6" t="s">
        <v>148</v>
      </c>
      <c r="E38" s="3">
        <v>41255</v>
      </c>
      <c r="F38" s="188">
        <v>9.9537037037037042E-3</v>
      </c>
      <c r="G38" s="38"/>
      <c r="H38" s="273" t="s">
        <v>2066</v>
      </c>
      <c r="J38" t="s">
        <v>197</v>
      </c>
    </row>
    <row r="39" spans="1:10" hidden="1" outlineLevel="1">
      <c r="A39" s="28"/>
      <c r="B39" s="1">
        <v>30</v>
      </c>
      <c r="C39" s="5" t="s">
        <v>168</v>
      </c>
      <c r="D39" s="6" t="s">
        <v>149</v>
      </c>
      <c r="E39" s="3">
        <v>41257</v>
      </c>
      <c r="F39" s="188">
        <v>1.1099537037037038E-2</v>
      </c>
      <c r="G39" s="38"/>
      <c r="H39" s="273" t="s">
        <v>2067</v>
      </c>
      <c r="J39" t="s">
        <v>197</v>
      </c>
    </row>
    <row r="40" spans="1:10" hidden="1" outlineLevel="1">
      <c r="A40" s="28"/>
      <c r="B40" s="1">
        <v>31</v>
      </c>
      <c r="C40" s="5" t="s">
        <v>169</v>
      </c>
      <c r="D40" s="6" t="s">
        <v>150</v>
      </c>
      <c r="E40" s="3">
        <v>41259</v>
      </c>
      <c r="F40" s="188">
        <v>7.6388888888888886E-3</v>
      </c>
      <c r="G40" s="38"/>
      <c r="H40" s="273" t="s">
        <v>2068</v>
      </c>
      <c r="J40" t="s">
        <v>197</v>
      </c>
    </row>
    <row r="41" spans="1:10" hidden="1" outlineLevel="1">
      <c r="A41" s="28"/>
      <c r="B41" s="1">
        <v>32</v>
      </c>
      <c r="C41" s="5" t="s">
        <v>170</v>
      </c>
      <c r="D41" s="6" t="s">
        <v>151</v>
      </c>
      <c r="E41" s="3">
        <v>41261</v>
      </c>
      <c r="F41" s="188">
        <v>1.0995370370370371E-2</v>
      </c>
      <c r="G41" s="38"/>
      <c r="H41" s="273" t="s">
        <v>2069</v>
      </c>
      <c r="J41" t="s">
        <v>197</v>
      </c>
    </row>
    <row r="42" spans="1:10" hidden="1" outlineLevel="1">
      <c r="A42" s="28"/>
      <c r="B42" s="1">
        <v>33</v>
      </c>
      <c r="C42" s="5" t="s">
        <v>171</v>
      </c>
      <c r="D42" s="6" t="s">
        <v>152</v>
      </c>
      <c r="E42" s="3">
        <v>41263</v>
      </c>
      <c r="F42" s="188">
        <v>1.2604166666666666E-2</v>
      </c>
      <c r="G42" s="38"/>
      <c r="H42" s="273" t="s">
        <v>2070</v>
      </c>
      <c r="J42" t="s">
        <v>197</v>
      </c>
    </row>
    <row r="43" spans="1:10" hidden="1" outlineLevel="1">
      <c r="A43" s="28"/>
      <c r="B43" s="1">
        <v>34</v>
      </c>
      <c r="C43" s="5" t="s">
        <v>172</v>
      </c>
      <c r="D43" s="6" t="s">
        <v>153</v>
      </c>
      <c r="E43" s="3">
        <v>41265</v>
      </c>
      <c r="F43" s="188">
        <v>1.1446759259259261E-2</v>
      </c>
      <c r="G43" s="38"/>
      <c r="H43" s="273" t="s">
        <v>2071</v>
      </c>
      <c r="J43" t="s">
        <v>197</v>
      </c>
    </row>
    <row r="44" spans="1:10" hidden="1" outlineLevel="1">
      <c r="A44" s="28"/>
      <c r="B44" s="1">
        <v>35</v>
      </c>
      <c r="C44" s="5" t="s">
        <v>173</v>
      </c>
      <c r="D44" s="6" t="s">
        <v>154</v>
      </c>
      <c r="E44" s="3">
        <v>41267</v>
      </c>
      <c r="F44" s="188">
        <v>2.6620370370370374E-2</v>
      </c>
      <c r="G44" s="38"/>
      <c r="H44" s="273" t="s">
        <v>2072</v>
      </c>
      <c r="J44" t="s">
        <v>197</v>
      </c>
    </row>
    <row r="45" spans="1:10" hidden="1" outlineLevel="1">
      <c r="A45" s="28"/>
      <c r="B45" s="1">
        <v>36</v>
      </c>
      <c r="C45" s="5" t="s">
        <v>2386</v>
      </c>
      <c r="D45" s="2">
        <v>3</v>
      </c>
      <c r="E45" s="3">
        <v>41281</v>
      </c>
      <c r="F45" s="188">
        <v>3.3842592592592598E-2</v>
      </c>
      <c r="G45" s="38"/>
      <c r="H45" s="273" t="s">
        <v>2073</v>
      </c>
      <c r="J45" t="s">
        <v>197</v>
      </c>
    </row>
    <row r="46" spans="1:10" hidden="1" outlineLevel="1">
      <c r="A46" s="28"/>
      <c r="B46" s="1">
        <v>37</v>
      </c>
      <c r="C46" s="5" t="s">
        <v>480</v>
      </c>
      <c r="D46" s="6" t="s">
        <v>736</v>
      </c>
      <c r="E46" s="3">
        <v>41304</v>
      </c>
      <c r="F46" s="479">
        <v>1.3888888888888888E-2</v>
      </c>
      <c r="G46" s="38"/>
      <c r="H46" s="274" t="s">
        <v>2074</v>
      </c>
      <c r="J46" t="s">
        <v>197</v>
      </c>
    </row>
    <row r="47" spans="1:10" hidden="1" outlineLevel="1">
      <c r="A47" s="28"/>
      <c r="B47" s="1">
        <v>38</v>
      </c>
      <c r="C47" s="5" t="s">
        <v>174</v>
      </c>
      <c r="D47" s="2">
        <v>159</v>
      </c>
      <c r="E47" s="3">
        <v>41307</v>
      </c>
      <c r="F47" s="188">
        <v>4.2349537037037033E-2</v>
      </c>
      <c r="G47" s="38"/>
      <c r="H47" s="273" t="s">
        <v>2075</v>
      </c>
      <c r="J47" t="s">
        <v>197</v>
      </c>
    </row>
    <row r="48" spans="1:10" hidden="1" outlineLevel="1">
      <c r="A48" s="28"/>
      <c r="B48" s="1">
        <v>39</v>
      </c>
      <c r="C48" s="5" t="s">
        <v>506</v>
      </c>
      <c r="D48" s="6" t="s">
        <v>155</v>
      </c>
      <c r="E48" s="3">
        <v>41326</v>
      </c>
      <c r="F48" s="188">
        <v>0</v>
      </c>
      <c r="G48" s="38"/>
      <c r="H48" s="275" t="s">
        <v>2076</v>
      </c>
      <c r="J48" t="s">
        <v>197</v>
      </c>
    </row>
    <row r="49" spans="1:10" hidden="1" outlineLevel="1">
      <c r="A49" s="28"/>
      <c r="B49" s="1">
        <v>40</v>
      </c>
      <c r="C49" s="5" t="s">
        <v>481</v>
      </c>
      <c r="D49" s="6" t="s">
        <v>2035</v>
      </c>
      <c r="E49" s="3">
        <v>41347</v>
      </c>
      <c r="F49" s="188">
        <v>4.4201388888888887E-2</v>
      </c>
      <c r="G49" s="38"/>
      <c r="H49" s="273" t="s">
        <v>2077</v>
      </c>
      <c r="J49" t="s">
        <v>197</v>
      </c>
    </row>
    <row r="50" spans="1:10" hidden="1" outlineLevel="1">
      <c r="A50" s="28"/>
      <c r="B50" s="1">
        <v>41</v>
      </c>
      <c r="C50" s="5" t="s">
        <v>215</v>
      </c>
      <c r="D50" s="6" t="s">
        <v>514</v>
      </c>
      <c r="E50" s="3">
        <v>41376</v>
      </c>
      <c r="F50" s="188">
        <v>3.2986111111111111E-3</v>
      </c>
      <c r="G50" s="38"/>
      <c r="H50" s="275"/>
      <c r="J50" t="s">
        <v>197</v>
      </c>
    </row>
    <row r="51" spans="1:10" hidden="1" outlineLevel="1">
      <c r="A51" s="28"/>
      <c r="B51" s="1">
        <v>42</v>
      </c>
      <c r="C51" s="5" t="s">
        <v>175</v>
      </c>
      <c r="D51" s="2">
        <v>37</v>
      </c>
      <c r="E51" s="3">
        <v>41378</v>
      </c>
      <c r="F51" s="188">
        <v>4.0428240740740744E-2</v>
      </c>
      <c r="G51" s="38"/>
      <c r="H51" s="273" t="s">
        <v>2078</v>
      </c>
      <c r="J51" t="s">
        <v>197</v>
      </c>
    </row>
    <row r="52" spans="1:10" hidden="1" outlineLevel="1">
      <c r="A52" s="28"/>
      <c r="B52" s="1">
        <v>43</v>
      </c>
      <c r="C52" s="5" t="s">
        <v>216</v>
      </c>
      <c r="D52" s="2">
        <v>0</v>
      </c>
      <c r="E52" s="3">
        <v>41391</v>
      </c>
      <c r="F52" s="188">
        <v>3.0879629629629632E-2</v>
      </c>
      <c r="G52" s="38"/>
      <c r="H52" s="275"/>
      <c r="J52" t="s">
        <v>197</v>
      </c>
    </row>
    <row r="53" spans="1:10" hidden="1" outlineLevel="1">
      <c r="A53" s="28"/>
      <c r="B53" s="1">
        <v>44</v>
      </c>
      <c r="C53" s="5" t="s">
        <v>176</v>
      </c>
      <c r="D53" s="6" t="s">
        <v>156</v>
      </c>
      <c r="E53" s="3">
        <v>41393</v>
      </c>
      <c r="F53" s="188">
        <v>1.0231481481481482E-2</v>
      </c>
      <c r="G53" s="38"/>
      <c r="H53" s="275"/>
      <c r="J53" t="s">
        <v>197</v>
      </c>
    </row>
    <row r="54" spans="1:10" hidden="1" outlineLevel="1">
      <c r="A54" s="28"/>
      <c r="B54" s="1">
        <v>45</v>
      </c>
      <c r="C54" s="5" t="s">
        <v>177</v>
      </c>
      <c r="D54" s="2">
        <v>101</v>
      </c>
      <c r="E54" s="3">
        <v>41443</v>
      </c>
      <c r="F54" s="479">
        <v>4.1666666666666664E-2</v>
      </c>
      <c r="G54" s="38"/>
      <c r="H54" s="275"/>
      <c r="J54" t="s">
        <v>197</v>
      </c>
    </row>
    <row r="55" spans="1:10" hidden="1" outlineLevel="1">
      <c r="A55" s="28"/>
      <c r="B55" s="1">
        <v>46</v>
      </c>
      <c r="C55" s="5" t="s">
        <v>178</v>
      </c>
      <c r="D55" s="2">
        <v>10</v>
      </c>
      <c r="E55" s="3">
        <v>41458</v>
      </c>
      <c r="F55" s="188">
        <v>4.8923611111111105E-2</v>
      </c>
      <c r="G55" s="38"/>
      <c r="H55" s="273" t="s">
        <v>2079</v>
      </c>
      <c r="J55" t="s">
        <v>197</v>
      </c>
    </row>
    <row r="56" spans="1:10" hidden="1" outlineLevel="1">
      <c r="A56" s="28"/>
      <c r="B56" s="1">
        <v>47</v>
      </c>
      <c r="C56" s="5" t="s">
        <v>179</v>
      </c>
      <c r="D56" s="2">
        <v>76</v>
      </c>
      <c r="E56" s="3">
        <v>41477</v>
      </c>
      <c r="F56" s="188">
        <v>3.2152777777777773E-2</v>
      </c>
      <c r="G56" s="38"/>
      <c r="H56" s="273" t="s">
        <v>2080</v>
      </c>
      <c r="J56" t="s">
        <v>197</v>
      </c>
    </row>
    <row r="57" spans="1:10" hidden="1" outlineLevel="1">
      <c r="A57" s="28"/>
      <c r="B57" s="1">
        <v>48</v>
      </c>
      <c r="C57" s="5" t="s">
        <v>2000</v>
      </c>
      <c r="D57" s="2">
        <v>163</v>
      </c>
      <c r="E57" s="3">
        <v>41518</v>
      </c>
      <c r="F57" s="188">
        <v>4.6006944444444448E-2</v>
      </c>
      <c r="G57" s="38"/>
      <c r="H57" s="275"/>
      <c r="J57" t="s">
        <v>197</v>
      </c>
    </row>
    <row r="58" spans="1:10" hidden="1" outlineLevel="1">
      <c r="A58" s="28"/>
      <c r="B58" s="1">
        <v>49</v>
      </c>
      <c r="C58" s="5" t="s">
        <v>180</v>
      </c>
      <c r="D58" s="2">
        <v>99</v>
      </c>
      <c r="E58" s="3">
        <v>41541</v>
      </c>
      <c r="F58" s="188">
        <v>4.4444444444444446E-2</v>
      </c>
      <c r="G58" s="38"/>
      <c r="H58" s="275"/>
      <c r="J58" t="s">
        <v>197</v>
      </c>
    </row>
    <row r="59" spans="1:10" hidden="1" outlineLevel="1">
      <c r="A59" s="28"/>
      <c r="B59" s="1">
        <v>50</v>
      </c>
      <c r="C59" s="5" t="s">
        <v>217</v>
      </c>
      <c r="D59" s="2">
        <v>0</v>
      </c>
      <c r="E59" s="3">
        <v>41552</v>
      </c>
      <c r="F59" s="188">
        <v>3.7453703703703704E-2</v>
      </c>
      <c r="G59" s="38"/>
      <c r="H59" s="275"/>
      <c r="J59" t="s">
        <v>197</v>
      </c>
    </row>
    <row r="60" spans="1:10" hidden="1" outlineLevel="1">
      <c r="A60" s="28"/>
      <c r="B60" s="1">
        <v>51</v>
      </c>
      <c r="C60" s="5" t="s">
        <v>1342</v>
      </c>
      <c r="D60" s="2">
        <v>164</v>
      </c>
      <c r="E60" s="3">
        <v>41576</v>
      </c>
      <c r="F60" s="188">
        <v>4.1539351851851855E-2</v>
      </c>
      <c r="G60" s="38"/>
      <c r="H60" s="273" t="s">
        <v>2081</v>
      </c>
      <c r="J60" t="s">
        <v>197</v>
      </c>
    </row>
    <row r="61" spans="1:10" hidden="1" outlineLevel="1">
      <c r="A61" s="28"/>
      <c r="B61" s="1">
        <v>52</v>
      </c>
      <c r="C61" s="5" t="s">
        <v>406</v>
      </c>
      <c r="D61" s="2">
        <v>0</v>
      </c>
      <c r="E61" s="3">
        <v>41594</v>
      </c>
      <c r="F61" s="188">
        <v>0</v>
      </c>
      <c r="G61" s="38"/>
      <c r="H61" s="275" t="s">
        <v>2076</v>
      </c>
      <c r="J61" t="s">
        <v>197</v>
      </c>
    </row>
    <row r="62" spans="1:10" hidden="1" outlineLevel="1">
      <c r="A62" s="28"/>
      <c r="B62" s="1">
        <v>53</v>
      </c>
      <c r="C62" s="5" t="s">
        <v>219</v>
      </c>
      <c r="D62" s="2">
        <v>0</v>
      </c>
      <c r="E62" s="3">
        <v>41604</v>
      </c>
      <c r="F62" s="188">
        <v>0</v>
      </c>
      <c r="G62" s="38"/>
      <c r="H62" s="275" t="s">
        <v>2076</v>
      </c>
      <c r="J62" t="s">
        <v>197</v>
      </c>
    </row>
    <row r="63" spans="1:10" hidden="1" outlineLevel="1">
      <c r="A63" s="28"/>
      <c r="B63" s="1">
        <v>54</v>
      </c>
      <c r="C63" s="5" t="s">
        <v>181</v>
      </c>
      <c r="D63" s="6" t="s">
        <v>2036</v>
      </c>
      <c r="E63" s="3">
        <v>41604</v>
      </c>
      <c r="F63" s="188">
        <v>2.2835648148148147E-2</v>
      </c>
      <c r="G63" s="38"/>
      <c r="H63" s="273" t="s">
        <v>2082</v>
      </c>
      <c r="J63" t="s">
        <v>197</v>
      </c>
    </row>
    <row r="64" spans="1:10" hidden="1" outlineLevel="1">
      <c r="A64" s="28"/>
      <c r="B64" s="1">
        <v>55</v>
      </c>
      <c r="C64" s="5" t="s">
        <v>1343</v>
      </c>
      <c r="D64" s="2">
        <v>165</v>
      </c>
      <c r="E64" s="3">
        <v>41609</v>
      </c>
      <c r="F64" s="479">
        <v>4.1666666666666664E-2</v>
      </c>
      <c r="G64" s="38"/>
      <c r="J64" t="s">
        <v>197</v>
      </c>
    </row>
    <row r="65" spans="1:10" hidden="1" outlineLevel="1">
      <c r="A65" s="28"/>
      <c r="B65" s="1">
        <v>56</v>
      </c>
      <c r="C65" s="5" t="s">
        <v>182</v>
      </c>
      <c r="D65" s="6" t="s">
        <v>2037</v>
      </c>
      <c r="E65" s="3">
        <v>41612</v>
      </c>
      <c r="F65" s="188">
        <v>1.0891203703703703E-2</v>
      </c>
      <c r="G65" s="38"/>
      <c r="J65" t="s">
        <v>197</v>
      </c>
    </row>
    <row r="66" spans="1:10" hidden="1" outlineLevel="1">
      <c r="A66" s="28"/>
      <c r="B66" s="1">
        <v>57</v>
      </c>
      <c r="C66" s="5" t="s">
        <v>183</v>
      </c>
      <c r="D66" s="6" t="s">
        <v>110</v>
      </c>
      <c r="E66" s="3">
        <v>41615</v>
      </c>
      <c r="F66" s="188">
        <v>3.7442129629629624E-2</v>
      </c>
      <c r="G66" s="38"/>
      <c r="J66" t="s">
        <v>197</v>
      </c>
    </row>
    <row r="67" spans="1:10" hidden="1" outlineLevel="1">
      <c r="A67" s="28"/>
      <c r="B67" s="1">
        <v>58</v>
      </c>
      <c r="C67" s="5" t="s">
        <v>184</v>
      </c>
      <c r="D67" s="6" t="s">
        <v>110</v>
      </c>
      <c r="E67" s="3">
        <v>41618</v>
      </c>
      <c r="F67" s="188">
        <v>2.8182870370370372E-2</v>
      </c>
      <c r="G67" s="38"/>
      <c r="J67" t="s">
        <v>197</v>
      </c>
    </row>
    <row r="68" spans="1:10" hidden="1" outlineLevel="1">
      <c r="A68" s="28"/>
      <c r="B68" s="1">
        <v>59</v>
      </c>
      <c r="C68" s="5" t="s">
        <v>185</v>
      </c>
      <c r="D68" s="6" t="s">
        <v>110</v>
      </c>
      <c r="E68" s="3">
        <v>41624</v>
      </c>
      <c r="F68" s="188">
        <v>3.0775462962962966E-2</v>
      </c>
      <c r="G68" s="38"/>
      <c r="J68" t="s">
        <v>197</v>
      </c>
    </row>
    <row r="69" spans="1:10" hidden="1" outlineLevel="1">
      <c r="A69" s="28"/>
      <c r="B69" s="1">
        <v>60</v>
      </c>
      <c r="C69" s="5" t="s">
        <v>186</v>
      </c>
      <c r="D69" s="2">
        <v>11</v>
      </c>
      <c r="E69" s="3">
        <v>41632</v>
      </c>
      <c r="F69" s="188">
        <v>3.6435185185185189E-2</v>
      </c>
      <c r="G69" s="38"/>
      <c r="J69" t="s">
        <v>197</v>
      </c>
    </row>
    <row r="70" spans="1:10" hidden="1" outlineLevel="1">
      <c r="A70" s="28"/>
      <c r="B70" s="1">
        <v>61</v>
      </c>
      <c r="C70" s="5" t="s">
        <v>187</v>
      </c>
      <c r="D70" s="2">
        <v>24</v>
      </c>
      <c r="E70" s="3">
        <v>41705</v>
      </c>
      <c r="F70" s="188">
        <v>4.2777777777777776E-2</v>
      </c>
      <c r="G70" s="38"/>
      <c r="J70" t="s">
        <v>197</v>
      </c>
    </row>
    <row r="71" spans="1:10" hidden="1" outlineLevel="1">
      <c r="A71" s="28"/>
      <c r="B71" s="1">
        <v>62</v>
      </c>
      <c r="C71" s="5" t="s">
        <v>188</v>
      </c>
      <c r="D71" s="6" t="s">
        <v>155</v>
      </c>
      <c r="E71" s="3">
        <v>41725</v>
      </c>
      <c r="F71" s="188">
        <v>2.3715277777777776E-2</v>
      </c>
      <c r="G71" s="38"/>
      <c r="J71" t="s">
        <v>197</v>
      </c>
    </row>
    <row r="72" spans="1:10" hidden="1" outlineLevel="1">
      <c r="A72" s="28"/>
      <c r="B72" s="1">
        <v>63</v>
      </c>
      <c r="C72" s="5" t="s">
        <v>1344</v>
      </c>
      <c r="D72" s="2">
        <v>0</v>
      </c>
      <c r="E72" s="3">
        <v>41816</v>
      </c>
      <c r="F72" s="188">
        <v>9.2476851851851852E-3</v>
      </c>
      <c r="G72" s="38"/>
      <c r="J72" t="s">
        <v>197</v>
      </c>
    </row>
    <row r="73" spans="1:10" hidden="1" outlineLevel="1">
      <c r="A73" s="28"/>
      <c r="B73" s="1">
        <v>64</v>
      </c>
      <c r="C73" s="5" t="s">
        <v>2387</v>
      </c>
      <c r="D73" s="2">
        <v>11</v>
      </c>
      <c r="E73" s="3">
        <v>41896</v>
      </c>
      <c r="F73" s="188">
        <v>3.532407407407407E-2</v>
      </c>
      <c r="G73" s="38"/>
      <c r="J73" t="s">
        <v>197</v>
      </c>
    </row>
    <row r="74" spans="1:10" hidden="1" outlineLevel="1">
      <c r="A74" s="28"/>
      <c r="B74" s="1">
        <v>65</v>
      </c>
      <c r="C74" s="5" t="s">
        <v>2388</v>
      </c>
      <c r="D74" s="2">
        <v>4</v>
      </c>
      <c r="E74" s="3">
        <v>42186</v>
      </c>
      <c r="F74" s="188">
        <v>5.7164351851851848E-2</v>
      </c>
      <c r="G74" s="38"/>
      <c r="J74" t="s">
        <v>197</v>
      </c>
    </row>
    <row r="75" spans="1:10" hidden="1" outlineLevel="1">
      <c r="A75" s="28"/>
      <c r="B75" s="1">
        <v>66</v>
      </c>
      <c r="C75" s="5" t="s">
        <v>2389</v>
      </c>
      <c r="D75" s="2">
        <v>176</v>
      </c>
      <c r="E75" s="3">
        <v>42262</v>
      </c>
      <c r="F75" s="188">
        <v>5.4305555555555551E-2</v>
      </c>
      <c r="G75" s="38"/>
      <c r="J75" t="s">
        <v>197</v>
      </c>
    </row>
    <row r="76" spans="1:10" hidden="1" outlineLevel="1">
      <c r="A76" s="28"/>
      <c r="B76" s="1">
        <v>67</v>
      </c>
      <c r="C76" s="5" t="s">
        <v>189</v>
      </c>
      <c r="D76" s="2">
        <v>151</v>
      </c>
      <c r="E76" s="3">
        <v>42337</v>
      </c>
      <c r="F76" s="188">
        <v>6.039351851851852E-2</v>
      </c>
      <c r="G76" s="38"/>
      <c r="J76" t="s">
        <v>197</v>
      </c>
    </row>
    <row r="77" spans="1:10" hidden="1" outlineLevel="1">
      <c r="A77" s="28"/>
      <c r="B77" s="1">
        <v>68</v>
      </c>
      <c r="C77" s="5" t="s">
        <v>190</v>
      </c>
      <c r="D77" s="2">
        <v>0</v>
      </c>
      <c r="E77" s="3">
        <v>42342</v>
      </c>
      <c r="F77" s="188">
        <v>1.9259259259259261E-2</v>
      </c>
      <c r="G77" s="38"/>
      <c r="J77" t="s">
        <v>197</v>
      </c>
    </row>
    <row r="78" spans="1:10" hidden="1" outlineLevel="1">
      <c r="A78" s="28"/>
      <c r="B78" s="1">
        <v>69</v>
      </c>
      <c r="C78" s="5" t="s">
        <v>191</v>
      </c>
      <c r="D78" s="6" t="s">
        <v>157</v>
      </c>
      <c r="E78" s="3">
        <v>42362</v>
      </c>
      <c r="F78" s="188">
        <v>3.184027777777778E-2</v>
      </c>
      <c r="G78" s="38"/>
      <c r="J78" t="s">
        <v>197</v>
      </c>
    </row>
    <row r="79" spans="1:10" hidden="1" outlineLevel="1">
      <c r="A79" s="28"/>
      <c r="B79" s="1">
        <v>70</v>
      </c>
      <c r="C79" s="5" t="s">
        <v>192</v>
      </c>
      <c r="D79" s="2">
        <v>179</v>
      </c>
      <c r="E79" s="3">
        <v>42442</v>
      </c>
      <c r="F79" s="188">
        <v>5.7962962962962959E-2</v>
      </c>
      <c r="G79" s="38"/>
      <c r="J79" t="s">
        <v>197</v>
      </c>
    </row>
    <row r="80" spans="1:10" hidden="1" outlineLevel="1">
      <c r="A80" s="28"/>
      <c r="B80" s="1">
        <v>71</v>
      </c>
      <c r="C80" s="5" t="s">
        <v>408</v>
      </c>
      <c r="D80" s="2">
        <v>0</v>
      </c>
      <c r="E80" s="3">
        <v>42453</v>
      </c>
      <c r="F80" s="188">
        <v>2.4652777777777776E-3</v>
      </c>
      <c r="G80" s="38"/>
      <c r="J80" t="s">
        <v>197</v>
      </c>
    </row>
    <row r="81" spans="1:10" hidden="1" outlineLevel="1">
      <c r="A81" s="28"/>
      <c r="B81" s="1">
        <v>72</v>
      </c>
      <c r="C81" s="5" t="s">
        <v>193</v>
      </c>
      <c r="D81" s="2">
        <v>52</v>
      </c>
      <c r="E81" s="3">
        <v>42463</v>
      </c>
      <c r="F81" s="188">
        <v>5.7951388888888893E-2</v>
      </c>
      <c r="G81" s="38"/>
      <c r="J81" t="s">
        <v>197</v>
      </c>
    </row>
    <row r="82" spans="1:10" hidden="1" outlineLevel="1">
      <c r="A82" s="28"/>
      <c r="B82" s="1">
        <v>73</v>
      </c>
      <c r="C82" s="5" t="s">
        <v>4071</v>
      </c>
      <c r="D82" s="2">
        <v>130</v>
      </c>
      <c r="E82" s="3">
        <v>42526</v>
      </c>
      <c r="F82" s="188">
        <v>5.5208333333333333E-3</v>
      </c>
      <c r="G82" s="38"/>
      <c r="J82" t="s">
        <v>197</v>
      </c>
    </row>
    <row r="83" spans="1:10" hidden="1" outlineLevel="1">
      <c r="A83" s="28"/>
      <c r="B83" s="1">
        <v>74</v>
      </c>
      <c r="C83" s="5" t="s">
        <v>194</v>
      </c>
      <c r="D83" s="2">
        <v>46</v>
      </c>
      <c r="E83" s="3">
        <v>42577</v>
      </c>
      <c r="F83" s="188">
        <v>5.2685185185185189E-2</v>
      </c>
      <c r="G83" s="38"/>
      <c r="J83" t="s">
        <v>197</v>
      </c>
    </row>
    <row r="84" spans="1:10" hidden="1" outlineLevel="1">
      <c r="A84" s="28"/>
      <c r="B84" s="1">
        <v>75</v>
      </c>
      <c r="C84" s="5" t="s">
        <v>195</v>
      </c>
      <c r="D84" s="2">
        <v>184</v>
      </c>
      <c r="E84" s="3">
        <v>42927</v>
      </c>
      <c r="F84" s="188">
        <v>5.5358796296296288E-2</v>
      </c>
      <c r="G84" s="38"/>
      <c r="J84" t="s">
        <v>197</v>
      </c>
    </row>
    <row r="85" spans="1:10" hidden="1" outlineLevel="1">
      <c r="A85" s="28"/>
      <c r="B85" s="1">
        <v>76</v>
      </c>
      <c r="C85" s="5" t="s">
        <v>2392</v>
      </c>
      <c r="D85" s="2">
        <v>85</v>
      </c>
      <c r="E85" s="3">
        <v>42974</v>
      </c>
      <c r="F85" s="188">
        <v>6.508101851851851E-2</v>
      </c>
      <c r="G85" s="38"/>
      <c r="J85" t="s">
        <v>197</v>
      </c>
    </row>
    <row r="86" spans="1:10" hidden="1" outlineLevel="1">
      <c r="A86" s="28"/>
      <c r="B86" s="1">
        <v>77</v>
      </c>
      <c r="C86" s="5" t="s">
        <v>2390</v>
      </c>
      <c r="D86" s="2">
        <v>0</v>
      </c>
      <c r="E86" s="3">
        <v>42996</v>
      </c>
      <c r="F86" s="188">
        <v>4.4537037037037042E-2</v>
      </c>
      <c r="G86" s="38"/>
      <c r="J86" t="s">
        <v>197</v>
      </c>
    </row>
    <row r="87" spans="1:10" hidden="1" outlineLevel="1">
      <c r="A87" s="28"/>
      <c r="B87" s="1">
        <v>78</v>
      </c>
      <c r="C87" s="5" t="s">
        <v>2391</v>
      </c>
      <c r="D87" s="2">
        <v>86</v>
      </c>
      <c r="E87" s="3">
        <v>43023</v>
      </c>
      <c r="F87" s="188">
        <v>6.2523148148148147E-2</v>
      </c>
      <c r="G87" s="38"/>
      <c r="J87" t="s">
        <v>197</v>
      </c>
    </row>
    <row r="88" spans="1:10" hidden="1" outlineLevel="1">
      <c r="A88" s="28"/>
      <c r="B88" s="1">
        <v>79</v>
      </c>
      <c r="C88" s="5" t="s">
        <v>410</v>
      </c>
      <c r="D88" s="2">
        <v>189</v>
      </c>
      <c r="E88" s="3">
        <v>43052</v>
      </c>
      <c r="F88" s="188">
        <v>8.0069444444444443E-2</v>
      </c>
      <c r="G88" s="38"/>
      <c r="J88" t="s">
        <v>197</v>
      </c>
    </row>
    <row r="89" spans="1:10" hidden="1" outlineLevel="1">
      <c r="A89" s="28"/>
      <c r="B89" s="1">
        <v>80</v>
      </c>
      <c r="C89" s="5" t="s">
        <v>213</v>
      </c>
      <c r="D89" s="2">
        <v>30</v>
      </c>
      <c r="E89" s="3">
        <v>43093</v>
      </c>
      <c r="F89" s="188">
        <v>2.1099537037037038E-2</v>
      </c>
      <c r="G89" s="38"/>
      <c r="J89" t="s">
        <v>197</v>
      </c>
    </row>
    <row r="90" spans="1:10" hidden="1" outlineLevel="1">
      <c r="A90" s="28"/>
      <c r="B90" s="1">
        <v>81</v>
      </c>
      <c r="C90" s="5" t="s">
        <v>1345</v>
      </c>
      <c r="D90" s="2">
        <v>4</v>
      </c>
      <c r="E90" s="3">
        <v>43169</v>
      </c>
      <c r="F90" s="188">
        <v>2.8819444444444443E-2</v>
      </c>
      <c r="G90" s="38"/>
      <c r="J90" t="s">
        <v>197</v>
      </c>
    </row>
    <row r="91" spans="1:10" hidden="1" outlineLevel="1">
      <c r="A91" s="28"/>
      <c r="B91" s="1">
        <v>82</v>
      </c>
      <c r="C91" s="5" t="s">
        <v>2393</v>
      </c>
      <c r="D91" s="2">
        <v>5</v>
      </c>
      <c r="E91" s="3">
        <v>43333</v>
      </c>
      <c r="F91" s="188">
        <v>6.4050925925925928E-2</v>
      </c>
      <c r="G91" s="38"/>
      <c r="J91" t="s">
        <v>197</v>
      </c>
    </row>
    <row r="92" spans="1:10" hidden="1" outlineLevel="1">
      <c r="A92" s="28"/>
      <c r="B92" s="1">
        <v>83</v>
      </c>
      <c r="C92" s="5" t="s">
        <v>2394</v>
      </c>
      <c r="D92" s="2">
        <v>103</v>
      </c>
      <c r="E92" s="3">
        <v>43429</v>
      </c>
      <c r="F92" s="188">
        <v>0.10118055555555555</v>
      </c>
      <c r="G92" s="38"/>
      <c r="J92" t="s">
        <v>197</v>
      </c>
    </row>
    <row r="93" spans="1:10" hidden="1" outlineLevel="1">
      <c r="A93" s="28"/>
      <c r="B93" s="1">
        <v>84</v>
      </c>
      <c r="C93" s="5" t="s">
        <v>407</v>
      </c>
      <c r="D93" s="2">
        <v>194</v>
      </c>
      <c r="E93" s="3">
        <v>43457</v>
      </c>
      <c r="F93" s="188">
        <v>8.0358796296296289E-2</v>
      </c>
      <c r="G93" s="38"/>
      <c r="J93" t="s">
        <v>197</v>
      </c>
    </row>
    <row r="94" spans="1:10" hidden="1" outlineLevel="1">
      <c r="A94" s="28"/>
      <c r="B94" s="1">
        <v>85</v>
      </c>
      <c r="C94" s="5" t="s">
        <v>196</v>
      </c>
      <c r="D94" s="2">
        <v>88</v>
      </c>
      <c r="E94" s="3">
        <v>43458</v>
      </c>
      <c r="F94" s="188">
        <v>2.6840277777777779E-2</v>
      </c>
      <c r="G94" s="38"/>
      <c r="J94" t="s">
        <v>197</v>
      </c>
    </row>
    <row r="95" spans="1:10" hidden="1" outlineLevel="1">
      <c r="A95" s="28"/>
      <c r="B95" s="1">
        <v>86</v>
      </c>
      <c r="C95" s="5" t="s">
        <v>409</v>
      </c>
      <c r="D95" s="2">
        <v>0</v>
      </c>
      <c r="E95" s="3">
        <v>43467</v>
      </c>
      <c r="F95" s="188">
        <v>7.4884259259259262E-2</v>
      </c>
      <c r="G95" s="38"/>
      <c r="J95" t="s">
        <v>197</v>
      </c>
    </row>
    <row r="96" spans="1:10" hidden="1" outlineLevel="1">
      <c r="A96" s="28"/>
      <c r="B96" s="1">
        <v>87</v>
      </c>
      <c r="C96" s="5" t="s">
        <v>1916</v>
      </c>
      <c r="D96" s="2">
        <v>89</v>
      </c>
      <c r="E96" s="3">
        <v>44270</v>
      </c>
      <c r="F96" s="188">
        <v>5.9317129629629629E-2</v>
      </c>
      <c r="G96" s="38"/>
      <c r="J96" t="s">
        <v>197</v>
      </c>
    </row>
    <row r="97" spans="1:10" hidden="1" outlineLevel="1">
      <c r="A97" s="28"/>
      <c r="B97" s="1">
        <v>88</v>
      </c>
      <c r="C97" s="5" t="s">
        <v>2819</v>
      </c>
      <c r="D97" s="2">
        <v>1</v>
      </c>
      <c r="E97" s="3">
        <v>44621</v>
      </c>
      <c r="F97" s="188">
        <v>6.2638888888888897E-2</v>
      </c>
      <c r="G97" s="38"/>
      <c r="J97" t="s">
        <v>197</v>
      </c>
    </row>
    <row r="98" spans="1:10" hidden="1" outlineLevel="1">
      <c r="A98" s="28"/>
      <c r="B98" s="76">
        <v>89</v>
      </c>
      <c r="C98" s="77" t="s">
        <v>2971</v>
      </c>
      <c r="D98" s="78">
        <v>0</v>
      </c>
      <c r="E98" s="548">
        <v>44621</v>
      </c>
      <c r="F98" s="529">
        <v>0</v>
      </c>
      <c r="G98" s="38"/>
      <c r="J98" t="s">
        <v>197</v>
      </c>
    </row>
    <row r="99" spans="1:10" hidden="1" outlineLevel="1">
      <c r="A99" s="28"/>
      <c r="B99" s="76">
        <v>90</v>
      </c>
      <c r="C99" s="77" t="s">
        <v>2972</v>
      </c>
      <c r="D99" s="78">
        <v>0</v>
      </c>
      <c r="E99" s="548">
        <v>44621</v>
      </c>
      <c r="F99" s="529">
        <v>0</v>
      </c>
      <c r="G99" s="38"/>
      <c r="J99" t="s">
        <v>197</v>
      </c>
    </row>
    <row r="100" spans="1:10" hidden="1" outlineLevel="1">
      <c r="A100" s="28"/>
      <c r="B100" s="76">
        <v>91</v>
      </c>
      <c r="C100" s="77" t="s">
        <v>2973</v>
      </c>
      <c r="D100" s="78">
        <v>0</v>
      </c>
      <c r="E100" s="548">
        <v>44621</v>
      </c>
      <c r="F100" s="529">
        <v>0</v>
      </c>
      <c r="G100" s="38"/>
      <c r="J100" t="s">
        <v>197</v>
      </c>
    </row>
    <row r="101" spans="1:10" hidden="1" outlineLevel="1">
      <c r="A101" s="28"/>
      <c r="B101" s="1">
        <v>92</v>
      </c>
      <c r="C101" s="5" t="s">
        <v>3963</v>
      </c>
      <c r="D101" s="2">
        <v>0</v>
      </c>
      <c r="E101" s="3">
        <v>45078</v>
      </c>
      <c r="F101" s="188">
        <v>6.7407407407407416E-2</v>
      </c>
      <c r="G101" s="38"/>
      <c r="J101" t="s">
        <v>197</v>
      </c>
    </row>
    <row r="102" spans="1:10" hidden="1" outlineLevel="1">
      <c r="A102" s="28"/>
      <c r="B102" s="1">
        <v>93</v>
      </c>
      <c r="C102" s="5" t="s">
        <v>4065</v>
      </c>
      <c r="D102" s="2">
        <v>199</v>
      </c>
      <c r="E102" s="3">
        <v>45105</v>
      </c>
      <c r="F102" s="188">
        <v>6.1932870370370374E-2</v>
      </c>
      <c r="G102" s="38"/>
      <c r="J102" t="s">
        <v>197</v>
      </c>
    </row>
    <row r="103" spans="1:10" hidden="1" outlineLevel="1">
      <c r="A103" s="28"/>
      <c r="B103" s="1">
        <v>94</v>
      </c>
      <c r="C103" s="5" t="s">
        <v>4066</v>
      </c>
      <c r="D103" s="2">
        <v>223</v>
      </c>
      <c r="E103" s="3">
        <v>45154</v>
      </c>
      <c r="F103" s="188">
        <v>7.7129629629629631E-2</v>
      </c>
      <c r="G103" s="38"/>
      <c r="J103" t="s">
        <v>197</v>
      </c>
    </row>
    <row r="104" spans="1:10" hidden="1" outlineLevel="1">
      <c r="A104" s="28"/>
      <c r="B104" s="1">
        <v>95</v>
      </c>
      <c r="C104" s="5" t="s">
        <v>4146</v>
      </c>
      <c r="D104" s="2">
        <v>24</v>
      </c>
      <c r="E104" s="3">
        <v>45189</v>
      </c>
      <c r="F104" s="188">
        <v>6.5405092592592584E-2</v>
      </c>
      <c r="G104" s="38"/>
      <c r="J104" t="s">
        <v>197</v>
      </c>
    </row>
    <row r="105" spans="1:10" hidden="1" outlineLevel="1">
      <c r="A105" s="28"/>
      <c r="B105" s="1">
        <v>96</v>
      </c>
      <c r="C105" s="5" t="s">
        <v>4312</v>
      </c>
      <c r="D105" s="2">
        <v>43</v>
      </c>
      <c r="E105" s="3">
        <v>45235</v>
      </c>
      <c r="F105" s="188">
        <v>7.0856481481481479E-2</v>
      </c>
      <c r="G105" s="38"/>
      <c r="J105" t="s">
        <v>197</v>
      </c>
    </row>
    <row r="106" spans="1:10" hidden="1" outlineLevel="1">
      <c r="A106" s="28"/>
      <c r="B106" s="1">
        <v>97</v>
      </c>
      <c r="C106" s="5" t="s">
        <v>4384</v>
      </c>
      <c r="D106" s="2">
        <v>190</v>
      </c>
      <c r="E106" s="3">
        <v>45298</v>
      </c>
      <c r="F106" s="188">
        <v>5.451388888888889E-2</v>
      </c>
      <c r="G106" s="38"/>
      <c r="J106" t="s">
        <v>197</v>
      </c>
    </row>
    <row r="107" spans="1:10" hidden="1" outlineLevel="1">
      <c r="A107" s="28"/>
      <c r="B107" s="1">
        <v>98</v>
      </c>
      <c r="C107" s="8" t="s">
        <v>4413</v>
      </c>
      <c r="D107" s="9">
        <v>225</v>
      </c>
      <c r="E107" s="10">
        <v>45344</v>
      </c>
      <c r="F107" s="648">
        <v>4.6979166666666662E-2</v>
      </c>
      <c r="G107" s="38"/>
      <c r="J107" t="s">
        <v>197</v>
      </c>
    </row>
    <row r="108" spans="1:10">
      <c r="A108" s="28"/>
      <c r="B108" s="40"/>
      <c r="C108" s="40"/>
      <c r="D108" s="35"/>
      <c r="E108" s="36"/>
      <c r="F108" s="41"/>
      <c r="G108" s="28"/>
    </row>
    <row r="109" spans="1:10">
      <c r="A109" s="28"/>
      <c r="B109" s="28"/>
      <c r="C109" s="28"/>
      <c r="D109" s="29"/>
      <c r="E109" s="30"/>
      <c r="F109" s="31"/>
      <c r="G109" s="28"/>
    </row>
    <row r="110" spans="1:10">
      <c r="A110" s="28"/>
      <c r="B110" s="33"/>
      <c r="C110" s="90" t="s">
        <v>1400</v>
      </c>
      <c r="D110" s="35"/>
      <c r="E110" s="50"/>
      <c r="F110" s="51"/>
      <c r="G110" s="38"/>
    </row>
    <row r="111" spans="1:10" collapsed="1">
      <c r="A111" s="28"/>
      <c r="B111" s="38"/>
      <c r="C111" s="229" t="s">
        <v>2366</v>
      </c>
      <c r="D111" s="303" t="s">
        <v>488</v>
      </c>
      <c r="E111" s="303" t="s">
        <v>632</v>
      </c>
      <c r="F111" s="31"/>
      <c r="G111" s="38"/>
    </row>
    <row r="112" spans="1:10" hidden="1" outlineLevel="1">
      <c r="A112" s="28"/>
      <c r="B112" s="20" t="s">
        <v>5</v>
      </c>
      <c r="C112" s="21" t="s">
        <v>6</v>
      </c>
      <c r="D112" s="22" t="s">
        <v>4</v>
      </c>
      <c r="E112" s="137" t="s">
        <v>8</v>
      </c>
      <c r="F112" s="478" t="s">
        <v>7</v>
      </c>
      <c r="G112" s="38"/>
    </row>
    <row r="113" spans="1:10" hidden="1" outlineLevel="1">
      <c r="A113" s="28"/>
      <c r="B113" s="1">
        <v>1</v>
      </c>
      <c r="C113" s="187" t="s">
        <v>1404</v>
      </c>
      <c r="D113" s="6">
        <v>150</v>
      </c>
      <c r="E113" s="3">
        <v>40881</v>
      </c>
      <c r="F113" s="188">
        <v>9.0277777777777784E-4</v>
      </c>
      <c r="G113" s="38"/>
      <c r="J113" t="s">
        <v>636</v>
      </c>
    </row>
    <row r="114" spans="1:10" hidden="1" outlineLevel="1">
      <c r="A114" s="28"/>
      <c r="B114" s="1">
        <v>2</v>
      </c>
      <c r="C114" s="187" t="s">
        <v>1403</v>
      </c>
      <c r="D114" s="6" t="s">
        <v>373</v>
      </c>
      <c r="E114" s="3">
        <v>40881</v>
      </c>
      <c r="F114" s="188">
        <v>9.0277777777777784E-4</v>
      </c>
      <c r="G114" s="28"/>
      <c r="J114" t="s">
        <v>636</v>
      </c>
    </row>
    <row r="115" spans="1:10" hidden="1" outlineLevel="1">
      <c r="A115" s="28"/>
      <c r="B115" s="1">
        <v>3</v>
      </c>
      <c r="C115" s="187" t="s">
        <v>1402</v>
      </c>
      <c r="D115" s="6">
        <v>151</v>
      </c>
      <c r="E115" s="3">
        <v>40938</v>
      </c>
      <c r="F115" s="188">
        <v>8.564814814814815E-4</v>
      </c>
      <c r="G115" s="28"/>
      <c r="J115" t="s">
        <v>636</v>
      </c>
    </row>
    <row r="116" spans="1:10" hidden="1" outlineLevel="1">
      <c r="A116" s="28"/>
      <c r="B116" s="5">
        <v>4</v>
      </c>
      <c r="C116" s="187" t="s">
        <v>1401</v>
      </c>
      <c r="D116" s="6" t="s">
        <v>698</v>
      </c>
      <c r="E116" s="3">
        <v>40938</v>
      </c>
      <c r="F116" s="188">
        <v>1.4814814814814814E-3</v>
      </c>
      <c r="G116" s="28"/>
      <c r="J116" t="s">
        <v>636</v>
      </c>
    </row>
    <row r="117" spans="1:10" hidden="1" outlineLevel="1">
      <c r="A117" s="28"/>
      <c r="B117" s="5">
        <v>5</v>
      </c>
      <c r="C117" s="187" t="s">
        <v>695</v>
      </c>
      <c r="D117" s="6">
        <v>152</v>
      </c>
      <c r="E117" s="3">
        <v>40987</v>
      </c>
      <c r="F117" s="188">
        <v>1.3078703703703705E-3</v>
      </c>
      <c r="G117" s="28"/>
      <c r="J117" t="s">
        <v>636</v>
      </c>
    </row>
    <row r="118" spans="1:10" hidden="1" outlineLevel="1">
      <c r="A118" s="28"/>
      <c r="B118" s="5">
        <v>6</v>
      </c>
      <c r="C118" s="187" t="s">
        <v>697</v>
      </c>
      <c r="D118" s="6" t="s">
        <v>696</v>
      </c>
      <c r="E118" s="3">
        <v>40987</v>
      </c>
      <c r="F118" s="188">
        <v>1.1689814814814816E-3</v>
      </c>
      <c r="G118" s="28"/>
      <c r="J118" t="s">
        <v>636</v>
      </c>
    </row>
    <row r="119" spans="1:10" hidden="1" outlineLevel="1">
      <c r="A119" s="28"/>
      <c r="B119" s="5">
        <v>7</v>
      </c>
      <c r="C119" s="187" t="s">
        <v>731</v>
      </c>
      <c r="D119" s="6">
        <v>153</v>
      </c>
      <c r="E119" s="3">
        <v>41026</v>
      </c>
      <c r="F119" s="188">
        <v>1.7592592592592592E-3</v>
      </c>
      <c r="G119" s="28"/>
      <c r="J119" t="s">
        <v>636</v>
      </c>
    </row>
    <row r="120" spans="1:10" hidden="1" outlineLevel="1">
      <c r="A120" s="28"/>
      <c r="B120" s="5">
        <v>8</v>
      </c>
      <c r="C120" s="187" t="s">
        <v>733</v>
      </c>
      <c r="D120" s="6" t="s">
        <v>732</v>
      </c>
      <c r="E120" s="3">
        <v>41026</v>
      </c>
      <c r="F120" s="188">
        <v>7.175925925925927E-4</v>
      </c>
      <c r="G120" s="28"/>
      <c r="J120" t="s">
        <v>636</v>
      </c>
    </row>
    <row r="121" spans="1:10" hidden="1" outlineLevel="1">
      <c r="A121" s="28"/>
      <c r="B121" s="5">
        <v>9</v>
      </c>
      <c r="C121" s="187" t="s">
        <v>730</v>
      </c>
      <c r="D121" s="6">
        <v>154</v>
      </c>
      <c r="E121" s="3">
        <v>41059</v>
      </c>
      <c r="F121" s="188">
        <v>1.4814814814814814E-3</v>
      </c>
      <c r="G121" s="28"/>
      <c r="J121" t="s">
        <v>636</v>
      </c>
    </row>
    <row r="122" spans="1:10" hidden="1" outlineLevel="1">
      <c r="A122" s="28"/>
      <c r="B122" s="5">
        <v>10</v>
      </c>
      <c r="C122" s="187" t="s">
        <v>728</v>
      </c>
      <c r="D122" s="6">
        <v>155</v>
      </c>
      <c r="E122" s="3">
        <v>41151</v>
      </c>
      <c r="F122" s="188">
        <v>7.8703703703703705E-4</v>
      </c>
      <c r="G122" s="28"/>
      <c r="J122" t="s">
        <v>636</v>
      </c>
    </row>
    <row r="123" spans="1:10" hidden="1" outlineLevel="1">
      <c r="A123" s="28"/>
      <c r="B123" s="5">
        <v>11</v>
      </c>
      <c r="C123" s="187" t="s">
        <v>729</v>
      </c>
      <c r="D123" s="6">
        <v>156</v>
      </c>
      <c r="E123" s="3">
        <v>41151</v>
      </c>
      <c r="F123" s="188">
        <v>8.9120370370370362E-4</v>
      </c>
      <c r="G123" s="28"/>
      <c r="J123" t="s">
        <v>636</v>
      </c>
    </row>
    <row r="124" spans="1:10" hidden="1" outlineLevel="1">
      <c r="A124" s="28"/>
      <c r="B124" s="5">
        <v>12</v>
      </c>
      <c r="C124" s="187" t="s">
        <v>724</v>
      </c>
      <c r="D124" s="6" t="s">
        <v>218</v>
      </c>
      <c r="E124" s="3">
        <v>41209</v>
      </c>
      <c r="F124" s="188">
        <v>1.6550925925925926E-3</v>
      </c>
      <c r="G124" s="28"/>
      <c r="J124" t="s">
        <v>636</v>
      </c>
    </row>
    <row r="125" spans="1:10" hidden="1" outlineLevel="1">
      <c r="A125" s="28"/>
      <c r="B125" s="5">
        <v>13</v>
      </c>
      <c r="C125" s="187" t="s">
        <v>725</v>
      </c>
      <c r="D125" s="6">
        <v>157</v>
      </c>
      <c r="E125" s="3">
        <v>41209</v>
      </c>
      <c r="F125" s="188">
        <v>2.8703703703703708E-3</v>
      </c>
      <c r="G125" s="28"/>
      <c r="J125" t="s">
        <v>636</v>
      </c>
    </row>
    <row r="126" spans="1:10" hidden="1" outlineLevel="1">
      <c r="A126" s="28"/>
      <c r="B126" s="5">
        <v>14</v>
      </c>
      <c r="C126" s="187" t="s">
        <v>727</v>
      </c>
      <c r="D126" s="6" t="s">
        <v>726</v>
      </c>
      <c r="E126" s="3">
        <v>41209</v>
      </c>
      <c r="F126" s="188">
        <v>1.0995370370370371E-3</v>
      </c>
      <c r="G126" s="28"/>
      <c r="J126" t="s">
        <v>636</v>
      </c>
    </row>
    <row r="127" spans="1:10" hidden="1" outlineLevel="1">
      <c r="A127" s="28"/>
      <c r="B127" s="5">
        <v>15</v>
      </c>
      <c r="C127" s="187" t="s">
        <v>721</v>
      </c>
      <c r="D127" s="6">
        <v>158</v>
      </c>
      <c r="E127" s="3">
        <v>41639</v>
      </c>
      <c r="F127" s="188">
        <v>1.6666666666666668E-3</v>
      </c>
      <c r="G127" s="28"/>
      <c r="J127" t="s">
        <v>636</v>
      </c>
    </row>
    <row r="128" spans="1:10" hidden="1" outlineLevel="1">
      <c r="A128" s="28"/>
      <c r="B128" s="5">
        <v>16</v>
      </c>
      <c r="C128" s="187" t="s">
        <v>723</v>
      </c>
      <c r="D128" s="6" t="s">
        <v>722</v>
      </c>
      <c r="E128" s="3">
        <v>41639</v>
      </c>
      <c r="F128" s="188">
        <v>1.0416666666666667E-3</v>
      </c>
      <c r="G128" s="28"/>
      <c r="J128" t="s">
        <v>636</v>
      </c>
    </row>
    <row r="129" spans="1:10" hidden="1" outlineLevel="1">
      <c r="A129" s="28"/>
      <c r="B129" s="5">
        <v>17</v>
      </c>
      <c r="C129" s="187" t="s">
        <v>720</v>
      </c>
      <c r="D129" s="6">
        <v>159</v>
      </c>
      <c r="E129" s="3">
        <v>41304</v>
      </c>
      <c r="F129" s="188">
        <v>2.5347222222222221E-3</v>
      </c>
      <c r="G129" s="28"/>
      <c r="J129" t="s">
        <v>636</v>
      </c>
    </row>
    <row r="130" spans="1:10" hidden="1" outlineLevel="1">
      <c r="A130" s="28"/>
      <c r="B130" s="5">
        <v>18</v>
      </c>
      <c r="C130" s="187" t="s">
        <v>719</v>
      </c>
      <c r="D130" s="6" t="s">
        <v>718</v>
      </c>
      <c r="E130" s="3">
        <v>41336</v>
      </c>
      <c r="F130" s="188">
        <v>1.1921296296296296E-3</v>
      </c>
      <c r="G130" s="28"/>
      <c r="J130" t="s">
        <v>636</v>
      </c>
    </row>
    <row r="131" spans="1:10" hidden="1" outlineLevel="1">
      <c r="A131" s="28"/>
      <c r="B131" s="5">
        <v>19</v>
      </c>
      <c r="C131" s="187" t="s">
        <v>487</v>
      </c>
      <c r="D131" s="6" t="s">
        <v>155</v>
      </c>
      <c r="E131" s="3">
        <v>41336</v>
      </c>
      <c r="F131" s="188">
        <v>1.9027777777777779E-2</v>
      </c>
      <c r="G131" s="28"/>
      <c r="J131" t="s">
        <v>636</v>
      </c>
    </row>
    <row r="132" spans="1:10" hidden="1" outlineLevel="1">
      <c r="A132" s="28"/>
      <c r="B132" s="5">
        <v>20</v>
      </c>
      <c r="C132" s="187" t="s">
        <v>715</v>
      </c>
      <c r="D132" s="6">
        <v>160</v>
      </c>
      <c r="E132" s="3">
        <v>41363</v>
      </c>
      <c r="F132" s="188">
        <v>1.4467592592592594E-3</v>
      </c>
      <c r="G132" s="28"/>
      <c r="J132" t="s">
        <v>636</v>
      </c>
    </row>
    <row r="133" spans="1:10" hidden="1" outlineLevel="1">
      <c r="A133" s="28"/>
      <c r="B133" s="5">
        <v>21</v>
      </c>
      <c r="C133" s="187" t="s">
        <v>717</v>
      </c>
      <c r="D133" s="6" t="s">
        <v>716</v>
      </c>
      <c r="E133" s="3">
        <v>41363</v>
      </c>
      <c r="F133" s="188">
        <v>1.3773148148148147E-3</v>
      </c>
      <c r="G133" s="28"/>
      <c r="J133" t="s">
        <v>636</v>
      </c>
    </row>
    <row r="134" spans="1:10" hidden="1" outlineLevel="1">
      <c r="A134" s="28"/>
      <c r="B134" s="5">
        <v>22</v>
      </c>
      <c r="C134" s="187" t="s">
        <v>713</v>
      </c>
      <c r="D134" s="6">
        <v>161</v>
      </c>
      <c r="E134" s="3">
        <v>41423</v>
      </c>
      <c r="F134" s="188">
        <v>9.0277777777777784E-4</v>
      </c>
      <c r="G134" s="28"/>
      <c r="J134" t="s">
        <v>636</v>
      </c>
    </row>
    <row r="135" spans="1:10" hidden="1" outlineLevel="1">
      <c r="A135" s="28"/>
      <c r="B135" s="5">
        <v>23</v>
      </c>
      <c r="C135" s="187" t="s">
        <v>714</v>
      </c>
      <c r="D135" s="6" t="s">
        <v>712</v>
      </c>
      <c r="E135" s="3">
        <v>41423</v>
      </c>
      <c r="F135" s="188">
        <v>1.2731481481481483E-3</v>
      </c>
      <c r="G135" s="28"/>
      <c r="J135" t="s">
        <v>636</v>
      </c>
    </row>
    <row r="136" spans="1:10" hidden="1" outlineLevel="1">
      <c r="A136" s="28"/>
      <c r="B136" s="5">
        <v>24</v>
      </c>
      <c r="C136" s="187" t="s">
        <v>711</v>
      </c>
      <c r="D136" s="6">
        <v>162</v>
      </c>
      <c r="E136" s="3">
        <v>41474</v>
      </c>
      <c r="F136" s="188">
        <v>1.5856481481481479E-3</v>
      </c>
      <c r="G136" s="28"/>
      <c r="J136" t="s">
        <v>636</v>
      </c>
    </row>
    <row r="137" spans="1:10" hidden="1" outlineLevel="1">
      <c r="A137" s="28"/>
      <c r="B137" s="5">
        <v>25</v>
      </c>
      <c r="C137" s="187" t="s">
        <v>708</v>
      </c>
      <c r="D137" s="6">
        <v>163</v>
      </c>
      <c r="E137" s="3">
        <v>41543</v>
      </c>
      <c r="F137" s="188">
        <v>2.0717592592592593E-3</v>
      </c>
      <c r="G137" s="28"/>
      <c r="J137" t="s">
        <v>636</v>
      </c>
    </row>
    <row r="138" spans="1:10" hidden="1" outlineLevel="1">
      <c r="A138" s="28"/>
      <c r="B138" s="5">
        <v>26</v>
      </c>
      <c r="C138" s="187" t="s">
        <v>710</v>
      </c>
      <c r="D138" s="6" t="s">
        <v>709</v>
      </c>
      <c r="E138" s="3">
        <v>41543</v>
      </c>
      <c r="F138" s="188">
        <v>1.5393518518518519E-3</v>
      </c>
      <c r="G138" s="28"/>
      <c r="J138" t="s">
        <v>636</v>
      </c>
    </row>
    <row r="139" spans="1:10" hidden="1" outlineLevel="1">
      <c r="A139" s="28"/>
      <c r="B139" s="5">
        <v>27</v>
      </c>
      <c r="C139" s="187" t="s">
        <v>704</v>
      </c>
      <c r="D139" s="6">
        <v>164</v>
      </c>
      <c r="E139" s="3">
        <v>41578</v>
      </c>
      <c r="F139" s="188">
        <v>2.5578703703703705E-3</v>
      </c>
      <c r="G139" s="28"/>
      <c r="J139" t="s">
        <v>636</v>
      </c>
    </row>
    <row r="140" spans="1:10" hidden="1" outlineLevel="1">
      <c r="A140" s="28"/>
      <c r="B140" s="5">
        <v>28</v>
      </c>
      <c r="C140" s="187" t="s">
        <v>705</v>
      </c>
      <c r="D140" s="6" t="s">
        <v>110</v>
      </c>
      <c r="E140" s="3">
        <v>41578</v>
      </c>
      <c r="F140" s="188">
        <v>1.2268518518518518E-3</v>
      </c>
      <c r="G140" s="28"/>
      <c r="J140" t="s">
        <v>636</v>
      </c>
    </row>
    <row r="141" spans="1:10" hidden="1" outlineLevel="1">
      <c r="A141" s="28"/>
      <c r="B141" s="5">
        <v>29</v>
      </c>
      <c r="C141" s="187" t="s">
        <v>707</v>
      </c>
      <c r="D141" s="6" t="s">
        <v>706</v>
      </c>
      <c r="E141" s="3">
        <v>41578</v>
      </c>
      <c r="F141" s="188">
        <v>1.0300925925925926E-3</v>
      </c>
      <c r="G141" s="28"/>
      <c r="J141" t="s">
        <v>636</v>
      </c>
    </row>
    <row r="142" spans="1:10" hidden="1" outlineLevel="1">
      <c r="A142" s="28"/>
      <c r="B142" s="5">
        <v>30</v>
      </c>
      <c r="C142" s="187" t="s">
        <v>486</v>
      </c>
      <c r="D142" s="6" t="s">
        <v>155</v>
      </c>
      <c r="E142" s="3">
        <v>41607</v>
      </c>
      <c r="F142" s="188">
        <v>2.4988425925925928E-2</v>
      </c>
      <c r="G142" s="28"/>
      <c r="J142" t="s">
        <v>636</v>
      </c>
    </row>
    <row r="143" spans="1:10" hidden="1" outlineLevel="1">
      <c r="A143" s="28"/>
      <c r="B143" s="5">
        <v>31</v>
      </c>
      <c r="C143" s="187" t="s">
        <v>699</v>
      </c>
      <c r="D143" s="6">
        <v>165</v>
      </c>
      <c r="E143" s="3">
        <v>41636</v>
      </c>
      <c r="F143" s="188">
        <v>1.6203703703703703E-3</v>
      </c>
      <c r="G143" s="28"/>
      <c r="J143" t="s">
        <v>636</v>
      </c>
    </row>
    <row r="144" spans="1:10" hidden="1" outlineLevel="1">
      <c r="A144" s="28"/>
      <c r="B144" s="5">
        <v>32</v>
      </c>
      <c r="C144" s="187" t="s">
        <v>703</v>
      </c>
      <c r="D144" s="6" t="s">
        <v>702</v>
      </c>
      <c r="E144" s="3">
        <v>41636</v>
      </c>
      <c r="F144" s="188">
        <v>2.0601851851851853E-3</v>
      </c>
      <c r="G144" s="28"/>
      <c r="J144" t="s">
        <v>636</v>
      </c>
    </row>
    <row r="145" spans="1:10" hidden="1" outlineLevel="1">
      <c r="A145" s="28"/>
      <c r="B145" s="5">
        <v>33</v>
      </c>
      <c r="C145" s="187" t="s">
        <v>700</v>
      </c>
      <c r="D145" s="6" t="s">
        <v>701</v>
      </c>
      <c r="E145" s="3">
        <v>41636</v>
      </c>
      <c r="F145" s="188">
        <v>1.6435185185185183E-3</v>
      </c>
      <c r="G145" s="28"/>
      <c r="J145" t="s">
        <v>636</v>
      </c>
    </row>
    <row r="146" spans="1:10" hidden="1" outlineLevel="1">
      <c r="A146" s="28"/>
      <c r="B146" s="5">
        <v>34</v>
      </c>
      <c r="C146" s="187" t="s">
        <v>692</v>
      </c>
      <c r="D146" s="6">
        <v>166</v>
      </c>
      <c r="E146" s="3">
        <v>41671</v>
      </c>
      <c r="F146" s="188">
        <v>2.4074074074074076E-3</v>
      </c>
      <c r="G146" s="28"/>
      <c r="J146" t="s">
        <v>636</v>
      </c>
    </row>
    <row r="147" spans="1:10" hidden="1" outlineLevel="1">
      <c r="A147" s="28"/>
      <c r="B147" s="5">
        <v>35</v>
      </c>
      <c r="C147" s="187" t="s">
        <v>694</v>
      </c>
      <c r="D147" s="6" t="s">
        <v>693</v>
      </c>
      <c r="E147" s="3">
        <v>41671</v>
      </c>
      <c r="F147" s="188">
        <v>1.4814814814814814E-3</v>
      </c>
      <c r="G147" s="28"/>
      <c r="J147" t="s">
        <v>636</v>
      </c>
    </row>
    <row r="148" spans="1:10" hidden="1" outlineLevel="1">
      <c r="A148" s="28"/>
      <c r="B148" s="5">
        <v>36</v>
      </c>
      <c r="C148" s="187" t="s">
        <v>687</v>
      </c>
      <c r="D148" s="6">
        <v>167</v>
      </c>
      <c r="E148" s="3">
        <v>41729</v>
      </c>
      <c r="F148" s="188">
        <v>2.1759259259259258E-3</v>
      </c>
      <c r="G148" s="28"/>
      <c r="J148" t="s">
        <v>636</v>
      </c>
    </row>
    <row r="149" spans="1:10" hidden="1" outlineLevel="1">
      <c r="A149" s="28"/>
      <c r="B149" s="5">
        <v>37</v>
      </c>
      <c r="C149" s="187" t="s">
        <v>688</v>
      </c>
      <c r="D149" s="6" t="s">
        <v>691</v>
      </c>
      <c r="E149" s="3">
        <v>41729</v>
      </c>
      <c r="F149" s="188">
        <v>2.0949074074074073E-3</v>
      </c>
      <c r="G149" s="28"/>
      <c r="J149" t="s">
        <v>636</v>
      </c>
    </row>
    <row r="150" spans="1:10" hidden="1" outlineLevel="1">
      <c r="A150" s="28"/>
      <c r="B150" s="5">
        <v>38</v>
      </c>
      <c r="C150" s="187" t="s">
        <v>689</v>
      </c>
      <c r="D150" s="6" t="s">
        <v>690</v>
      </c>
      <c r="E150" s="3">
        <v>41729</v>
      </c>
      <c r="F150" s="188">
        <v>2.1296296296296298E-3</v>
      </c>
      <c r="G150" s="28"/>
      <c r="J150" t="s">
        <v>636</v>
      </c>
    </row>
    <row r="151" spans="1:10" hidden="1" outlineLevel="1">
      <c r="A151" s="28"/>
      <c r="B151" s="5">
        <v>39</v>
      </c>
      <c r="C151" s="187" t="s">
        <v>686</v>
      </c>
      <c r="D151" s="6">
        <v>168</v>
      </c>
      <c r="E151" s="3">
        <v>41788</v>
      </c>
      <c r="F151" s="188">
        <v>3.9930555555555561E-3</v>
      </c>
      <c r="G151" s="28"/>
      <c r="J151" t="s">
        <v>636</v>
      </c>
    </row>
    <row r="152" spans="1:10" hidden="1" outlineLevel="1">
      <c r="A152" s="28"/>
      <c r="B152" s="5">
        <v>40</v>
      </c>
      <c r="C152" s="187" t="s">
        <v>685</v>
      </c>
      <c r="D152" s="6" t="s">
        <v>684</v>
      </c>
      <c r="E152" s="3">
        <v>41788</v>
      </c>
      <c r="F152" s="188">
        <v>1.3078703703703705E-3</v>
      </c>
      <c r="G152" s="28"/>
      <c r="J152" t="s">
        <v>636</v>
      </c>
    </row>
    <row r="153" spans="1:10" hidden="1" outlineLevel="1">
      <c r="A153" s="28"/>
      <c r="B153" s="5">
        <v>41</v>
      </c>
      <c r="C153" s="187" t="s">
        <v>683</v>
      </c>
      <c r="D153" s="6">
        <v>169</v>
      </c>
      <c r="E153" s="3">
        <v>41849</v>
      </c>
      <c r="F153" s="188">
        <v>9.7222222222222209E-4</v>
      </c>
      <c r="G153" s="28"/>
      <c r="J153" t="s">
        <v>636</v>
      </c>
    </row>
    <row r="154" spans="1:10" hidden="1" outlineLevel="1">
      <c r="A154" s="28"/>
      <c r="B154" s="5">
        <v>42</v>
      </c>
      <c r="C154" s="187" t="s">
        <v>680</v>
      </c>
      <c r="D154" s="6">
        <v>170</v>
      </c>
      <c r="E154" s="3">
        <v>41913</v>
      </c>
      <c r="F154" s="188">
        <v>1.8865740740740742E-3</v>
      </c>
      <c r="G154" s="28"/>
      <c r="J154" t="s">
        <v>636</v>
      </c>
    </row>
    <row r="155" spans="1:10" hidden="1" outlineLevel="1">
      <c r="A155" s="28"/>
      <c r="B155" s="5">
        <v>43</v>
      </c>
      <c r="C155" s="187" t="s">
        <v>682</v>
      </c>
      <c r="D155" s="6" t="s">
        <v>681</v>
      </c>
      <c r="E155" s="3">
        <v>41913</v>
      </c>
      <c r="F155" s="188">
        <v>2.2106481481481478E-3</v>
      </c>
      <c r="G155" s="28"/>
      <c r="J155" t="s">
        <v>636</v>
      </c>
    </row>
    <row r="156" spans="1:10" hidden="1" outlineLevel="1">
      <c r="A156" s="28"/>
      <c r="B156" s="5">
        <v>44</v>
      </c>
      <c r="C156" s="187" t="s">
        <v>678</v>
      </c>
      <c r="D156" s="6">
        <v>171</v>
      </c>
      <c r="E156" s="3">
        <v>41945</v>
      </c>
      <c r="F156" s="188">
        <v>1.5277777777777779E-3</v>
      </c>
      <c r="G156" s="28"/>
      <c r="J156" t="s">
        <v>636</v>
      </c>
    </row>
    <row r="157" spans="1:10" hidden="1" outlineLevel="1">
      <c r="A157" s="28"/>
      <c r="B157" s="5">
        <v>45</v>
      </c>
      <c r="C157" s="187" t="s">
        <v>679</v>
      </c>
      <c r="D157" s="6" t="s">
        <v>155</v>
      </c>
      <c r="E157" s="3">
        <v>41945</v>
      </c>
      <c r="F157" s="188">
        <v>4.8379629629629632E-3</v>
      </c>
      <c r="G157" s="28"/>
      <c r="J157" t="s">
        <v>636</v>
      </c>
    </row>
    <row r="158" spans="1:10" hidden="1" outlineLevel="1">
      <c r="A158" s="28"/>
      <c r="B158" s="5">
        <v>46</v>
      </c>
      <c r="C158" s="187" t="s">
        <v>673</v>
      </c>
      <c r="D158" s="6">
        <v>172</v>
      </c>
      <c r="E158" s="3">
        <v>41994</v>
      </c>
      <c r="F158" s="188">
        <v>1.8055555555555557E-3</v>
      </c>
      <c r="G158" s="28"/>
      <c r="J158" t="s">
        <v>636</v>
      </c>
    </row>
    <row r="159" spans="1:10" hidden="1" outlineLevel="1">
      <c r="A159" s="28"/>
      <c r="B159" s="5">
        <v>47</v>
      </c>
      <c r="C159" s="187" t="s">
        <v>674</v>
      </c>
      <c r="D159" s="6" t="s">
        <v>675</v>
      </c>
      <c r="E159" s="3">
        <v>41994</v>
      </c>
      <c r="F159" s="188">
        <v>2.1180555555555553E-3</v>
      </c>
      <c r="G159" s="28"/>
      <c r="J159" t="s">
        <v>636</v>
      </c>
    </row>
    <row r="160" spans="1:10" hidden="1" outlineLevel="1">
      <c r="A160" s="28"/>
      <c r="B160" s="5">
        <v>48</v>
      </c>
      <c r="C160" s="187" t="s">
        <v>672</v>
      </c>
      <c r="D160" s="6">
        <v>173</v>
      </c>
      <c r="E160" s="3">
        <v>42037</v>
      </c>
      <c r="F160" s="188">
        <v>1.5624999999999999E-3</v>
      </c>
      <c r="G160" s="28"/>
      <c r="J160" t="s">
        <v>636</v>
      </c>
    </row>
    <row r="161" spans="1:10" hidden="1" outlineLevel="1">
      <c r="A161" s="28"/>
      <c r="B161" s="5">
        <v>49</v>
      </c>
      <c r="C161" s="187" t="s">
        <v>677</v>
      </c>
      <c r="D161" s="6" t="s">
        <v>676</v>
      </c>
      <c r="E161" s="3">
        <v>42037</v>
      </c>
      <c r="F161" s="188">
        <v>2.2800925925925927E-3</v>
      </c>
      <c r="G161" s="28"/>
      <c r="J161" t="s">
        <v>636</v>
      </c>
    </row>
    <row r="162" spans="1:10" hidden="1" outlineLevel="1">
      <c r="A162" s="28"/>
      <c r="B162" s="5">
        <v>50</v>
      </c>
      <c r="C162" s="187" t="s">
        <v>669</v>
      </c>
      <c r="D162" s="6">
        <v>174</v>
      </c>
      <c r="E162" s="3">
        <v>42095</v>
      </c>
      <c r="F162" s="188">
        <v>1.712962962962963E-3</v>
      </c>
      <c r="G162" s="28"/>
      <c r="J162" t="s">
        <v>636</v>
      </c>
    </row>
    <row r="163" spans="1:10" hidden="1" outlineLevel="1">
      <c r="A163" s="28"/>
      <c r="B163" s="5">
        <v>51</v>
      </c>
      <c r="C163" s="187" t="s">
        <v>670</v>
      </c>
      <c r="D163" s="6" t="s">
        <v>671</v>
      </c>
      <c r="E163" s="3">
        <v>42095</v>
      </c>
      <c r="F163" s="188">
        <v>1.3194444444444443E-3</v>
      </c>
      <c r="G163" s="28"/>
      <c r="J163" t="s">
        <v>636</v>
      </c>
    </row>
    <row r="164" spans="1:10" hidden="1" outlineLevel="1">
      <c r="A164" s="28"/>
      <c r="B164" s="5">
        <v>52</v>
      </c>
      <c r="C164" s="187" t="s">
        <v>667</v>
      </c>
      <c r="D164" s="6">
        <v>175</v>
      </c>
      <c r="E164" s="3">
        <v>42158</v>
      </c>
      <c r="F164" s="188">
        <v>8.9699074074074073E-3</v>
      </c>
      <c r="G164" s="28"/>
      <c r="J164" t="s">
        <v>636</v>
      </c>
    </row>
    <row r="165" spans="1:10" hidden="1" outlineLevel="1">
      <c r="A165" s="28"/>
      <c r="B165" s="5">
        <v>53</v>
      </c>
      <c r="C165" s="187" t="s">
        <v>668</v>
      </c>
      <c r="D165" s="6" t="s">
        <v>666</v>
      </c>
      <c r="E165" s="3">
        <v>42158</v>
      </c>
      <c r="F165" s="188">
        <v>2.0023148148148148E-3</v>
      </c>
      <c r="G165" s="28"/>
      <c r="J165" t="s">
        <v>636</v>
      </c>
    </row>
    <row r="166" spans="1:10" hidden="1" outlineLevel="1">
      <c r="A166" s="28"/>
      <c r="B166" s="5">
        <v>54</v>
      </c>
      <c r="C166" s="187" t="s">
        <v>663</v>
      </c>
      <c r="D166" s="6">
        <v>176</v>
      </c>
      <c r="E166" s="3">
        <v>42223</v>
      </c>
      <c r="F166" s="188">
        <v>2.0717592592592593E-3</v>
      </c>
      <c r="G166" s="28"/>
      <c r="J166" t="s">
        <v>636</v>
      </c>
    </row>
    <row r="167" spans="1:10" hidden="1" outlineLevel="1">
      <c r="A167" s="28"/>
      <c r="B167" s="5">
        <v>55</v>
      </c>
      <c r="C167" s="187" t="s">
        <v>665</v>
      </c>
      <c r="D167" s="6" t="s">
        <v>664</v>
      </c>
      <c r="E167" s="3">
        <v>42223</v>
      </c>
      <c r="F167" s="188">
        <v>1.4120370370370369E-3</v>
      </c>
      <c r="G167" s="28"/>
      <c r="J167" t="s">
        <v>636</v>
      </c>
    </row>
    <row r="168" spans="1:10" hidden="1" outlineLevel="1">
      <c r="A168" s="28"/>
      <c r="B168" s="5">
        <v>56</v>
      </c>
      <c r="C168" s="187" t="s">
        <v>660</v>
      </c>
      <c r="D168" s="6">
        <v>177</v>
      </c>
      <c r="E168" s="3">
        <v>42315</v>
      </c>
      <c r="F168" s="188">
        <v>4.2592592592592595E-3</v>
      </c>
      <c r="G168" s="28"/>
      <c r="J168" t="s">
        <v>636</v>
      </c>
    </row>
    <row r="169" spans="1:10" hidden="1" outlineLevel="1">
      <c r="A169" s="28"/>
      <c r="B169" s="5">
        <v>57</v>
      </c>
      <c r="C169" s="187" t="s">
        <v>662</v>
      </c>
      <c r="D169" s="6" t="s">
        <v>661</v>
      </c>
      <c r="E169" s="3">
        <v>42315</v>
      </c>
      <c r="F169" s="188">
        <v>2.0486111111111113E-3</v>
      </c>
      <c r="G169" s="28"/>
      <c r="J169" t="s">
        <v>636</v>
      </c>
    </row>
    <row r="170" spans="1:10" hidden="1" outlineLevel="1">
      <c r="A170" s="28"/>
      <c r="B170" s="5">
        <v>58</v>
      </c>
      <c r="C170" s="187" t="s">
        <v>657</v>
      </c>
      <c r="D170" s="6">
        <v>178</v>
      </c>
      <c r="E170" s="3">
        <v>42383</v>
      </c>
      <c r="F170" s="188">
        <v>1.689814814814815E-3</v>
      </c>
      <c r="G170" s="28"/>
      <c r="J170" t="s">
        <v>636</v>
      </c>
    </row>
    <row r="171" spans="1:10" hidden="1" outlineLevel="1">
      <c r="A171" s="28"/>
      <c r="B171" s="5">
        <v>59</v>
      </c>
      <c r="C171" s="187" t="s">
        <v>659</v>
      </c>
      <c r="D171" s="6" t="s">
        <v>658</v>
      </c>
      <c r="E171" s="3">
        <v>42383</v>
      </c>
      <c r="F171" s="188">
        <v>2.1643518518518518E-3</v>
      </c>
      <c r="G171" s="28"/>
      <c r="J171" t="s">
        <v>636</v>
      </c>
    </row>
    <row r="172" spans="1:10" hidden="1" outlineLevel="1">
      <c r="A172" s="28"/>
      <c r="B172" s="5">
        <v>60</v>
      </c>
      <c r="C172" s="187" t="s">
        <v>656</v>
      </c>
      <c r="D172" s="6">
        <v>179</v>
      </c>
      <c r="E172" s="3">
        <v>42405</v>
      </c>
      <c r="F172" s="188">
        <v>2.6967592592592594E-3</v>
      </c>
      <c r="G172" s="28"/>
      <c r="J172" t="s">
        <v>636</v>
      </c>
    </row>
    <row r="173" spans="1:10" hidden="1" outlineLevel="1">
      <c r="A173" s="28"/>
      <c r="B173" s="5">
        <v>61</v>
      </c>
      <c r="C173" s="187" t="s">
        <v>655</v>
      </c>
      <c r="D173" s="6">
        <v>180</v>
      </c>
      <c r="E173" s="3">
        <v>42471</v>
      </c>
      <c r="F173" s="188">
        <v>1.8055555555555557E-3</v>
      </c>
      <c r="G173" s="28"/>
      <c r="J173" t="s">
        <v>636</v>
      </c>
    </row>
    <row r="174" spans="1:10" hidden="1" outlineLevel="1">
      <c r="A174" s="28"/>
      <c r="B174" s="5">
        <v>62</v>
      </c>
      <c r="C174" s="187" t="s">
        <v>735</v>
      </c>
      <c r="D174" s="6" t="s">
        <v>734</v>
      </c>
      <c r="E174" s="3">
        <v>42471</v>
      </c>
      <c r="F174" s="188">
        <v>1.7013888888888892E-3</v>
      </c>
      <c r="G174" s="28"/>
      <c r="J174" t="s">
        <v>636</v>
      </c>
    </row>
    <row r="175" spans="1:10" hidden="1" outlineLevel="1">
      <c r="A175" s="28"/>
      <c r="B175" s="5">
        <v>63</v>
      </c>
      <c r="C175" s="187" t="s">
        <v>737</v>
      </c>
      <c r="D175" s="6" t="s">
        <v>736</v>
      </c>
      <c r="E175" s="3">
        <v>42471</v>
      </c>
      <c r="F175" s="188">
        <v>2.6620370370370374E-3</v>
      </c>
      <c r="G175" s="28"/>
      <c r="J175" t="s">
        <v>636</v>
      </c>
    </row>
    <row r="176" spans="1:10" hidden="1" outlineLevel="1">
      <c r="A176" s="28"/>
      <c r="B176" s="5">
        <v>64</v>
      </c>
      <c r="C176" s="187" t="s">
        <v>739</v>
      </c>
      <c r="D176" s="6" t="s">
        <v>738</v>
      </c>
      <c r="E176" s="3">
        <v>42471</v>
      </c>
      <c r="F176" s="188">
        <v>6.018518518518519E-4</v>
      </c>
      <c r="G176" s="28"/>
      <c r="J176" t="s">
        <v>636</v>
      </c>
    </row>
    <row r="177" spans="1:10" hidden="1" outlineLevel="1">
      <c r="A177" s="28"/>
      <c r="B177" s="5">
        <v>65</v>
      </c>
      <c r="C177" s="187" t="s">
        <v>653</v>
      </c>
      <c r="D177" s="6">
        <v>181</v>
      </c>
      <c r="E177" s="3">
        <v>42528</v>
      </c>
      <c r="F177" s="188">
        <v>1.736111111111111E-3</v>
      </c>
      <c r="G177" s="28"/>
      <c r="J177" t="s">
        <v>636</v>
      </c>
    </row>
    <row r="178" spans="1:10" hidden="1" outlineLevel="1">
      <c r="A178" s="28"/>
      <c r="B178" s="5">
        <v>66</v>
      </c>
      <c r="C178" s="187" t="s">
        <v>654</v>
      </c>
      <c r="D178" s="6">
        <v>182</v>
      </c>
      <c r="E178" s="3">
        <v>42629</v>
      </c>
      <c r="F178" s="188">
        <v>1.7824074074074072E-3</v>
      </c>
      <c r="G178" s="28"/>
      <c r="J178" t="s">
        <v>636</v>
      </c>
    </row>
    <row r="179" spans="1:10" hidden="1" outlineLevel="1">
      <c r="A179" s="28"/>
      <c r="B179" s="5">
        <v>67</v>
      </c>
      <c r="C179" s="187" t="s">
        <v>652</v>
      </c>
      <c r="D179" s="6">
        <v>183</v>
      </c>
      <c r="E179" s="3">
        <v>42657</v>
      </c>
      <c r="F179" s="188">
        <v>4.3518518518518515E-3</v>
      </c>
      <c r="G179" s="28"/>
      <c r="J179" t="s">
        <v>636</v>
      </c>
    </row>
    <row r="180" spans="1:10" hidden="1" outlineLevel="1">
      <c r="A180" s="28"/>
      <c r="B180" s="5">
        <v>68</v>
      </c>
      <c r="C180" s="187" t="s">
        <v>747</v>
      </c>
      <c r="D180" s="6" t="s">
        <v>746</v>
      </c>
      <c r="E180" s="3">
        <v>42722</v>
      </c>
      <c r="F180" s="188">
        <v>3.1481481481481482E-3</v>
      </c>
      <c r="G180" s="28"/>
      <c r="J180" t="s">
        <v>636</v>
      </c>
    </row>
    <row r="181" spans="1:10" hidden="1" outlineLevel="1">
      <c r="A181" s="28"/>
      <c r="B181" s="5">
        <v>69</v>
      </c>
      <c r="C181" s="187" t="s">
        <v>749</v>
      </c>
      <c r="D181" s="6" t="s">
        <v>748</v>
      </c>
      <c r="E181" s="3">
        <v>42722</v>
      </c>
      <c r="F181" s="188">
        <v>2.0833333333333333E-3</v>
      </c>
      <c r="G181" s="28"/>
      <c r="J181" t="s">
        <v>636</v>
      </c>
    </row>
    <row r="182" spans="1:10" hidden="1" outlineLevel="1">
      <c r="A182" s="28"/>
      <c r="B182" s="5">
        <v>70</v>
      </c>
      <c r="C182" s="187" t="s">
        <v>650</v>
      </c>
      <c r="D182" s="6">
        <v>185</v>
      </c>
      <c r="E182" s="3">
        <v>42783</v>
      </c>
      <c r="F182" s="188">
        <v>2.2800925925925927E-3</v>
      </c>
      <c r="G182" s="28"/>
      <c r="J182" t="s">
        <v>636</v>
      </c>
    </row>
    <row r="183" spans="1:10" hidden="1" outlineLevel="1">
      <c r="A183" s="28"/>
      <c r="B183" s="5">
        <v>71</v>
      </c>
      <c r="C183" s="187" t="s">
        <v>651</v>
      </c>
      <c r="D183" s="6">
        <v>184</v>
      </c>
      <c r="E183" s="3">
        <v>42783</v>
      </c>
      <c r="F183" s="188">
        <v>2.0717592592592593E-3</v>
      </c>
      <c r="G183" s="28"/>
      <c r="J183" t="s">
        <v>636</v>
      </c>
    </row>
    <row r="184" spans="1:10" hidden="1" outlineLevel="1">
      <c r="A184" s="28"/>
      <c r="B184" s="5">
        <v>72</v>
      </c>
      <c r="C184" s="187" t="s">
        <v>649</v>
      </c>
      <c r="D184" s="6">
        <v>186</v>
      </c>
      <c r="E184" s="3">
        <v>42846</v>
      </c>
      <c r="F184" s="188">
        <v>3.6342592592592594E-3</v>
      </c>
      <c r="G184" s="28"/>
      <c r="J184" t="s">
        <v>636</v>
      </c>
    </row>
    <row r="185" spans="1:10" hidden="1" outlineLevel="1">
      <c r="A185" s="28"/>
      <c r="B185" s="5">
        <v>73</v>
      </c>
      <c r="C185" s="187" t="s">
        <v>740</v>
      </c>
      <c r="D185" s="6" t="s">
        <v>741</v>
      </c>
      <c r="E185" s="3">
        <v>42846</v>
      </c>
      <c r="F185" s="188">
        <v>2.0717592592592593E-3</v>
      </c>
      <c r="G185" s="28"/>
      <c r="J185" t="s">
        <v>636</v>
      </c>
    </row>
    <row r="186" spans="1:10" hidden="1" outlineLevel="1">
      <c r="A186" s="28"/>
      <c r="B186" s="5">
        <v>74</v>
      </c>
      <c r="C186" s="187" t="s">
        <v>647</v>
      </c>
      <c r="D186" s="6">
        <v>187</v>
      </c>
      <c r="E186" s="3">
        <v>42955</v>
      </c>
      <c r="F186" s="188">
        <v>1.9097222222222222E-3</v>
      </c>
      <c r="G186" s="28"/>
      <c r="J186" t="s">
        <v>636</v>
      </c>
    </row>
    <row r="187" spans="1:10" hidden="1" outlineLevel="1">
      <c r="A187" s="28"/>
      <c r="B187" s="5">
        <v>75</v>
      </c>
      <c r="C187" s="187" t="s">
        <v>648</v>
      </c>
      <c r="D187" s="6" t="s">
        <v>635</v>
      </c>
      <c r="E187" s="3">
        <v>42972</v>
      </c>
      <c r="F187" s="188">
        <v>3.3449074074074071E-3</v>
      </c>
      <c r="G187" s="28"/>
      <c r="J187" t="s">
        <v>636</v>
      </c>
    </row>
    <row r="188" spans="1:10" hidden="1" outlineLevel="1">
      <c r="A188" s="28"/>
      <c r="B188" s="5">
        <v>76</v>
      </c>
      <c r="C188" s="187" t="s">
        <v>646</v>
      </c>
      <c r="D188" s="6">
        <v>188</v>
      </c>
      <c r="E188" s="3">
        <v>42977</v>
      </c>
      <c r="F188" s="188">
        <v>2.9976851851851848E-3</v>
      </c>
      <c r="G188" s="28"/>
      <c r="J188" t="s">
        <v>636</v>
      </c>
    </row>
    <row r="189" spans="1:10" hidden="1" outlineLevel="1">
      <c r="A189" s="28"/>
      <c r="B189" s="5">
        <v>77</v>
      </c>
      <c r="C189" s="187" t="s">
        <v>743</v>
      </c>
      <c r="D189" s="6" t="s">
        <v>742</v>
      </c>
      <c r="E189" s="3">
        <v>42999</v>
      </c>
      <c r="F189" s="188">
        <v>3.1944444444444442E-3</v>
      </c>
      <c r="G189" s="28"/>
      <c r="J189" t="s">
        <v>636</v>
      </c>
    </row>
    <row r="190" spans="1:10" hidden="1" outlineLevel="1">
      <c r="A190" s="28"/>
      <c r="B190" s="5">
        <v>78</v>
      </c>
      <c r="C190" s="187" t="s">
        <v>645</v>
      </c>
      <c r="D190" s="6">
        <v>189</v>
      </c>
      <c r="E190" s="3">
        <v>43040</v>
      </c>
      <c r="F190" s="188">
        <v>2.3263888888888887E-3</v>
      </c>
      <c r="G190" s="28"/>
      <c r="J190" t="s">
        <v>636</v>
      </c>
    </row>
    <row r="191" spans="1:10" hidden="1" outlineLevel="1">
      <c r="A191" s="28"/>
      <c r="B191" s="5">
        <v>79</v>
      </c>
      <c r="C191" s="187" t="s">
        <v>644</v>
      </c>
      <c r="D191" s="6">
        <v>190</v>
      </c>
      <c r="E191" s="3">
        <v>43124</v>
      </c>
      <c r="F191" s="188">
        <v>3.0439814814814821E-3</v>
      </c>
      <c r="G191" s="28"/>
      <c r="J191" t="s">
        <v>636</v>
      </c>
    </row>
    <row r="192" spans="1:10" hidden="1" outlineLevel="1">
      <c r="A192" s="28"/>
      <c r="B192" s="5">
        <v>80</v>
      </c>
      <c r="C192" s="187" t="s">
        <v>634</v>
      </c>
      <c r="D192" s="6">
        <v>191</v>
      </c>
      <c r="E192" s="3">
        <v>43154</v>
      </c>
      <c r="F192" s="188">
        <v>2.3958333333333336E-3</v>
      </c>
      <c r="G192" s="28"/>
      <c r="J192" t="s">
        <v>636</v>
      </c>
    </row>
    <row r="193" spans="1:10" hidden="1" outlineLevel="1">
      <c r="A193" s="28"/>
      <c r="B193" s="5">
        <v>81</v>
      </c>
      <c r="C193" s="187" t="s">
        <v>629</v>
      </c>
      <c r="D193" s="6">
        <v>192</v>
      </c>
      <c r="E193" s="3">
        <v>43219</v>
      </c>
      <c r="F193" s="188">
        <v>4.3287037037037035E-3</v>
      </c>
      <c r="G193" s="28"/>
      <c r="J193" t="s">
        <v>636</v>
      </c>
    </row>
    <row r="194" spans="1:10" hidden="1" outlineLevel="1">
      <c r="A194" s="28"/>
      <c r="B194" s="5">
        <v>82</v>
      </c>
      <c r="C194" s="187" t="s">
        <v>628</v>
      </c>
      <c r="D194" s="6">
        <v>193</v>
      </c>
      <c r="E194" s="3">
        <v>43280</v>
      </c>
      <c r="F194" s="188">
        <v>3.8657407407407408E-3</v>
      </c>
      <c r="G194" s="28"/>
      <c r="J194" t="s">
        <v>636</v>
      </c>
    </row>
    <row r="195" spans="1:10" hidden="1" outlineLevel="1">
      <c r="A195" s="28"/>
      <c r="B195" s="5">
        <v>83</v>
      </c>
      <c r="C195" s="187" t="s">
        <v>633</v>
      </c>
      <c r="D195" s="6">
        <v>194</v>
      </c>
      <c r="E195" s="3">
        <v>43336</v>
      </c>
      <c r="F195" s="188">
        <v>2.3379629629629631E-3</v>
      </c>
      <c r="G195" s="28"/>
      <c r="J195" t="s">
        <v>636</v>
      </c>
    </row>
    <row r="196" spans="1:10" hidden="1" outlineLevel="1">
      <c r="A196" s="28"/>
      <c r="B196" s="5">
        <v>84</v>
      </c>
      <c r="C196" s="187" t="s">
        <v>643</v>
      </c>
      <c r="D196" s="6">
        <v>195</v>
      </c>
      <c r="E196" s="3">
        <v>43404</v>
      </c>
      <c r="F196" s="188">
        <v>4.7106481481481478E-3</v>
      </c>
      <c r="G196" s="28"/>
      <c r="J196" t="s">
        <v>636</v>
      </c>
    </row>
    <row r="197" spans="1:10" hidden="1" outlineLevel="1">
      <c r="A197" s="28"/>
      <c r="B197" s="5">
        <v>85</v>
      </c>
      <c r="C197" s="187" t="s">
        <v>642</v>
      </c>
      <c r="D197" s="6" t="s">
        <v>627</v>
      </c>
      <c r="E197" s="3">
        <v>43446</v>
      </c>
      <c r="F197" s="188">
        <v>4.6412037037037038E-3</v>
      </c>
      <c r="G197" s="28"/>
      <c r="J197" t="s">
        <v>636</v>
      </c>
    </row>
    <row r="198" spans="1:10" hidden="1" outlineLevel="1">
      <c r="A198" s="28"/>
      <c r="B198" s="5">
        <v>86</v>
      </c>
      <c r="C198" s="187" t="s">
        <v>641</v>
      </c>
      <c r="D198" s="6">
        <v>196</v>
      </c>
      <c r="E198" s="3">
        <v>43484</v>
      </c>
      <c r="F198" s="188">
        <v>2.7083333333333334E-3</v>
      </c>
      <c r="G198" s="28"/>
      <c r="J198" t="s">
        <v>636</v>
      </c>
    </row>
    <row r="199" spans="1:10" hidden="1" outlineLevel="1">
      <c r="A199" s="28"/>
      <c r="B199" s="5">
        <v>87</v>
      </c>
      <c r="C199" s="187" t="s">
        <v>640</v>
      </c>
      <c r="D199" s="6">
        <v>197</v>
      </c>
      <c r="E199" s="3">
        <v>43540</v>
      </c>
      <c r="F199" s="188">
        <v>2.0023148148148148E-3</v>
      </c>
      <c r="G199" s="28"/>
      <c r="J199" t="s">
        <v>636</v>
      </c>
    </row>
    <row r="200" spans="1:10" hidden="1" outlineLevel="1">
      <c r="A200" s="28"/>
      <c r="B200" s="5">
        <v>88</v>
      </c>
      <c r="C200" s="187" t="s">
        <v>639</v>
      </c>
      <c r="D200" s="6" t="s">
        <v>745</v>
      </c>
      <c r="E200" s="3">
        <v>43555</v>
      </c>
      <c r="F200" s="188">
        <v>2.5000000000000001E-3</v>
      </c>
      <c r="G200" s="28"/>
      <c r="J200" t="s">
        <v>636</v>
      </c>
    </row>
    <row r="201" spans="1:10" hidden="1" outlineLevel="1">
      <c r="A201" s="28"/>
      <c r="B201" s="5">
        <v>89</v>
      </c>
      <c r="C201" s="187" t="s">
        <v>638</v>
      </c>
      <c r="D201" s="6">
        <v>198</v>
      </c>
      <c r="E201" s="3">
        <v>43590</v>
      </c>
      <c r="F201" s="188">
        <v>4.8495370370370368E-3</v>
      </c>
      <c r="G201" s="28"/>
      <c r="J201" t="s">
        <v>636</v>
      </c>
    </row>
    <row r="202" spans="1:10" hidden="1" outlineLevel="1">
      <c r="A202" s="28"/>
      <c r="B202" s="5">
        <v>90</v>
      </c>
      <c r="C202" s="189" t="s">
        <v>626</v>
      </c>
      <c r="D202" s="5">
        <v>199</v>
      </c>
      <c r="E202" s="3">
        <v>43615</v>
      </c>
      <c r="F202" s="188">
        <v>3.3449074074074071E-3</v>
      </c>
      <c r="G202" s="28"/>
      <c r="J202" t="s">
        <v>636</v>
      </c>
    </row>
    <row r="203" spans="1:10" hidden="1" outlineLevel="1">
      <c r="A203" s="28"/>
      <c r="B203" s="5">
        <v>91</v>
      </c>
      <c r="C203" s="187" t="s">
        <v>637</v>
      </c>
      <c r="D203" s="6">
        <v>200</v>
      </c>
      <c r="E203" s="3">
        <v>43748</v>
      </c>
      <c r="F203" s="188">
        <v>5.5092592592592589E-3</v>
      </c>
      <c r="G203" s="28"/>
      <c r="J203" t="s">
        <v>636</v>
      </c>
    </row>
    <row r="204" spans="1:10" hidden="1" outlineLevel="1">
      <c r="A204" s="28"/>
      <c r="B204" s="5">
        <v>92</v>
      </c>
      <c r="C204" s="187" t="s">
        <v>753</v>
      </c>
      <c r="D204" s="6">
        <v>0</v>
      </c>
      <c r="E204" s="3">
        <v>43748</v>
      </c>
      <c r="F204" s="188">
        <v>9.0277777777777784E-4</v>
      </c>
      <c r="G204" s="28"/>
      <c r="J204" t="s">
        <v>636</v>
      </c>
    </row>
    <row r="205" spans="1:10" hidden="1" outlineLevel="1">
      <c r="A205" s="28"/>
      <c r="B205" s="5">
        <v>93</v>
      </c>
      <c r="C205" s="187" t="s">
        <v>754</v>
      </c>
      <c r="D205" s="6" t="s">
        <v>1373</v>
      </c>
      <c r="E205" s="3">
        <v>43748</v>
      </c>
      <c r="F205" s="188">
        <v>1.2384259259259258E-3</v>
      </c>
      <c r="G205" s="28"/>
      <c r="J205" t="s">
        <v>636</v>
      </c>
    </row>
    <row r="206" spans="1:10" hidden="1" outlineLevel="1">
      <c r="A206" s="28"/>
      <c r="B206" s="5">
        <v>94</v>
      </c>
      <c r="C206" s="187" t="s">
        <v>489</v>
      </c>
      <c r="D206" s="6" t="s">
        <v>485</v>
      </c>
      <c r="E206" s="3">
        <v>43759</v>
      </c>
      <c r="F206" s="188">
        <v>2.8449074074074075E-2</v>
      </c>
      <c r="G206" s="28"/>
      <c r="J206" t="s">
        <v>636</v>
      </c>
    </row>
    <row r="207" spans="1:10" hidden="1" outlineLevel="1">
      <c r="A207" s="28"/>
      <c r="B207" s="5">
        <v>95</v>
      </c>
      <c r="C207" s="187" t="s">
        <v>625</v>
      </c>
      <c r="D207" s="6">
        <v>201</v>
      </c>
      <c r="E207" s="3">
        <v>43776</v>
      </c>
      <c r="F207" s="188">
        <v>3.7037037037037034E-3</v>
      </c>
      <c r="G207" s="28"/>
      <c r="J207" t="s">
        <v>636</v>
      </c>
    </row>
    <row r="208" spans="1:10" hidden="1" outlineLevel="1">
      <c r="A208" s="28"/>
      <c r="B208" s="5">
        <v>96</v>
      </c>
      <c r="C208" s="187" t="s">
        <v>744</v>
      </c>
      <c r="D208" s="6" t="s">
        <v>752</v>
      </c>
      <c r="E208" s="3">
        <v>43797</v>
      </c>
      <c r="F208" s="188">
        <v>3.4953703703703705E-3</v>
      </c>
      <c r="G208" s="28"/>
      <c r="J208" t="s">
        <v>636</v>
      </c>
    </row>
    <row r="209" spans="1:10" hidden="1" outlineLevel="1">
      <c r="A209" s="28"/>
      <c r="B209" s="5">
        <v>97</v>
      </c>
      <c r="C209" s="187" t="s">
        <v>621</v>
      </c>
      <c r="D209" s="6">
        <v>202</v>
      </c>
      <c r="E209" s="3">
        <v>43844</v>
      </c>
      <c r="F209" s="188">
        <v>1.6435185185185183E-3</v>
      </c>
      <c r="G209" s="28"/>
      <c r="J209" t="s">
        <v>636</v>
      </c>
    </row>
    <row r="210" spans="1:10" hidden="1" outlineLevel="1">
      <c r="A210" s="28"/>
      <c r="B210" s="5">
        <v>98</v>
      </c>
      <c r="C210" s="187" t="s">
        <v>622</v>
      </c>
      <c r="D210" s="6" t="s">
        <v>157</v>
      </c>
      <c r="E210" s="3">
        <v>43901</v>
      </c>
      <c r="F210" s="188">
        <v>6.5162037037037037E-3</v>
      </c>
      <c r="G210" s="28"/>
      <c r="J210" t="s">
        <v>636</v>
      </c>
    </row>
    <row r="211" spans="1:10" hidden="1" outlineLevel="1">
      <c r="A211" s="28"/>
      <c r="B211" s="5">
        <v>99</v>
      </c>
      <c r="C211" s="187" t="s">
        <v>623</v>
      </c>
      <c r="D211" s="6">
        <v>203</v>
      </c>
      <c r="E211" s="3">
        <v>43901</v>
      </c>
      <c r="F211" s="188">
        <v>4.0856481481481481E-3</v>
      </c>
      <c r="G211" s="28"/>
      <c r="J211" t="s">
        <v>636</v>
      </c>
    </row>
    <row r="212" spans="1:10" hidden="1" outlineLevel="1">
      <c r="A212" s="28"/>
      <c r="B212" s="5">
        <v>100</v>
      </c>
      <c r="C212" s="187" t="s">
        <v>624</v>
      </c>
      <c r="D212" s="6">
        <v>204</v>
      </c>
      <c r="E212" s="3">
        <v>43937</v>
      </c>
      <c r="F212" s="188">
        <v>1.4351851851851854E-3</v>
      </c>
      <c r="G212" s="28"/>
      <c r="J212" t="s">
        <v>636</v>
      </c>
    </row>
    <row r="213" spans="1:10" hidden="1" outlineLevel="1">
      <c r="A213" s="28"/>
      <c r="B213" s="5">
        <v>101</v>
      </c>
      <c r="C213" s="187" t="s">
        <v>1346</v>
      </c>
      <c r="D213" s="6">
        <v>205</v>
      </c>
      <c r="E213" s="3">
        <v>44075</v>
      </c>
      <c r="F213" s="188">
        <v>9.9537037037037042E-4</v>
      </c>
      <c r="G213" s="28"/>
      <c r="J213" t="s">
        <v>636</v>
      </c>
    </row>
    <row r="214" spans="1:10" hidden="1" outlineLevel="1">
      <c r="A214" s="28"/>
      <c r="B214" s="5">
        <v>102</v>
      </c>
      <c r="C214" s="187" t="s">
        <v>1347</v>
      </c>
      <c r="D214" s="6">
        <v>206</v>
      </c>
      <c r="E214" s="3">
        <v>44075</v>
      </c>
      <c r="F214" s="188">
        <v>1.0995370370370371E-3</v>
      </c>
      <c r="G214" s="28"/>
      <c r="J214" t="s">
        <v>636</v>
      </c>
    </row>
    <row r="215" spans="1:10" hidden="1" outlineLevel="1">
      <c r="A215" s="28"/>
      <c r="B215" s="5">
        <v>103</v>
      </c>
      <c r="C215" s="187" t="s">
        <v>1386</v>
      </c>
      <c r="D215" s="6">
        <v>207</v>
      </c>
      <c r="E215" s="3">
        <v>44123</v>
      </c>
      <c r="F215" s="188">
        <v>1.6435185185185183E-3</v>
      </c>
      <c r="G215" s="28"/>
      <c r="J215" t="s">
        <v>636</v>
      </c>
    </row>
    <row r="216" spans="1:10" hidden="1" outlineLevel="1">
      <c r="A216" s="28"/>
      <c r="B216" s="5">
        <v>104</v>
      </c>
      <c r="C216" s="187" t="s">
        <v>2001</v>
      </c>
      <c r="D216" s="6">
        <v>0</v>
      </c>
      <c r="E216" s="3">
        <v>44153</v>
      </c>
      <c r="F216" s="188">
        <v>4.8611111111111104E-4</v>
      </c>
      <c r="G216" s="28"/>
      <c r="J216" t="s">
        <v>636</v>
      </c>
    </row>
    <row r="217" spans="1:10" hidden="1" outlineLevel="1">
      <c r="A217" s="28"/>
      <c r="B217" s="5">
        <v>105</v>
      </c>
      <c r="C217" s="187" t="s">
        <v>1392</v>
      </c>
      <c r="D217" s="6" t="s">
        <v>1391</v>
      </c>
      <c r="E217" s="3">
        <v>44156</v>
      </c>
      <c r="F217" s="188">
        <v>2.2106481481481478E-3</v>
      </c>
      <c r="G217" s="28"/>
      <c r="J217" t="s">
        <v>636</v>
      </c>
    </row>
    <row r="218" spans="1:10" hidden="1" outlineLevel="1">
      <c r="A218" s="28"/>
      <c r="B218" s="5">
        <v>106</v>
      </c>
      <c r="C218" s="187" t="s">
        <v>1550</v>
      </c>
      <c r="D218" s="6" t="s">
        <v>1372</v>
      </c>
      <c r="E218" s="3">
        <v>44175</v>
      </c>
      <c r="F218" s="188">
        <v>3.472222222222222E-3</v>
      </c>
      <c r="G218" s="28"/>
      <c r="J218" t="s">
        <v>636</v>
      </c>
    </row>
    <row r="219" spans="1:10" hidden="1" outlineLevel="1">
      <c r="A219" s="28"/>
      <c r="B219" s="5">
        <v>107</v>
      </c>
      <c r="C219" s="187" t="s">
        <v>1610</v>
      </c>
      <c r="D219" s="6">
        <v>208</v>
      </c>
      <c r="E219" s="3">
        <v>44251</v>
      </c>
      <c r="F219" s="188">
        <v>3.8310185185185183E-3</v>
      </c>
      <c r="G219" s="28"/>
      <c r="J219" t="s">
        <v>636</v>
      </c>
    </row>
    <row r="220" spans="1:10" hidden="1" outlineLevel="1">
      <c r="A220" s="28"/>
      <c r="B220" s="5">
        <v>108</v>
      </c>
      <c r="C220" s="187" t="s">
        <v>1715</v>
      </c>
      <c r="D220" s="6">
        <v>209</v>
      </c>
      <c r="E220" s="3">
        <v>44316</v>
      </c>
      <c r="F220" s="188">
        <v>1.6782407407407406E-3</v>
      </c>
      <c r="G220" s="28"/>
      <c r="J220" t="s">
        <v>636</v>
      </c>
    </row>
    <row r="221" spans="1:10" hidden="1" outlineLevel="1">
      <c r="A221" s="28"/>
      <c r="B221" s="5">
        <v>109</v>
      </c>
      <c r="C221" s="187" t="s">
        <v>1908</v>
      </c>
      <c r="D221" s="6">
        <v>210</v>
      </c>
      <c r="E221" s="3">
        <v>44415</v>
      </c>
      <c r="F221" s="188">
        <v>3.0439814814814821E-3</v>
      </c>
      <c r="G221" s="28"/>
      <c r="J221" t="s">
        <v>636</v>
      </c>
    </row>
    <row r="222" spans="1:10" hidden="1" outlineLevel="1">
      <c r="A222" s="28"/>
      <c r="B222" s="5">
        <v>110</v>
      </c>
      <c r="C222" s="187" t="s">
        <v>1909</v>
      </c>
      <c r="D222" s="6">
        <v>211</v>
      </c>
      <c r="E222" s="3">
        <v>44429</v>
      </c>
      <c r="F222" s="188">
        <v>3.3912037037037036E-3</v>
      </c>
      <c r="G222" s="28"/>
      <c r="J222" t="s">
        <v>636</v>
      </c>
    </row>
    <row r="223" spans="1:10" hidden="1" outlineLevel="1">
      <c r="A223" s="28"/>
      <c r="B223" s="5">
        <v>111</v>
      </c>
      <c r="C223" s="314" t="s">
        <v>2446</v>
      </c>
      <c r="D223" s="6">
        <v>212</v>
      </c>
      <c r="E223" s="3">
        <v>44512</v>
      </c>
      <c r="F223" s="188">
        <v>4.0046296296296297E-3</v>
      </c>
      <c r="G223" s="28"/>
      <c r="J223" t="s">
        <v>636</v>
      </c>
    </row>
    <row r="224" spans="1:10" hidden="1" outlineLevel="1">
      <c r="A224" s="28"/>
      <c r="B224" s="5">
        <v>112</v>
      </c>
      <c r="C224" s="187" t="s">
        <v>2631</v>
      </c>
      <c r="D224" s="6">
        <v>213</v>
      </c>
      <c r="E224" s="3">
        <v>44551</v>
      </c>
      <c r="F224" s="188">
        <v>1.9212962962962962E-3</v>
      </c>
      <c r="G224" s="28"/>
      <c r="J224" t="s">
        <v>636</v>
      </c>
    </row>
    <row r="225" spans="1:10" hidden="1" outlineLevel="1">
      <c r="A225" s="28"/>
      <c r="B225" s="5">
        <v>113</v>
      </c>
      <c r="C225" s="187" t="s">
        <v>2746</v>
      </c>
      <c r="D225" s="6">
        <v>214</v>
      </c>
      <c r="E225" s="3">
        <v>44637</v>
      </c>
      <c r="F225" s="188">
        <v>2.685185185185185E-3</v>
      </c>
      <c r="G225" s="28"/>
      <c r="J225" t="s">
        <v>636</v>
      </c>
    </row>
    <row r="226" spans="1:10" hidden="1" outlineLevel="1">
      <c r="A226" s="28"/>
      <c r="B226" s="5">
        <v>114</v>
      </c>
      <c r="C226" s="187" t="s">
        <v>2939</v>
      </c>
      <c r="D226" s="6">
        <v>215</v>
      </c>
      <c r="E226" s="3">
        <v>44664</v>
      </c>
      <c r="F226" s="188">
        <v>2.7430555555555559E-3</v>
      </c>
      <c r="G226" s="28"/>
      <c r="J226" t="s">
        <v>636</v>
      </c>
    </row>
    <row r="227" spans="1:10" hidden="1" outlineLevel="1">
      <c r="A227" s="28"/>
      <c r="B227" s="5">
        <v>115</v>
      </c>
      <c r="C227" s="187" t="s">
        <v>3030</v>
      </c>
      <c r="D227" s="6">
        <v>216</v>
      </c>
      <c r="E227" s="3">
        <v>44751</v>
      </c>
      <c r="F227" s="188">
        <v>3.2407407407407406E-3</v>
      </c>
      <c r="G227" s="28"/>
      <c r="J227" t="s">
        <v>636</v>
      </c>
    </row>
    <row r="228" spans="1:10" hidden="1" outlineLevel="1">
      <c r="A228" s="28"/>
      <c r="B228" s="5">
        <v>116</v>
      </c>
      <c r="C228" s="532" t="s">
        <v>3037</v>
      </c>
      <c r="D228" s="6">
        <v>217</v>
      </c>
      <c r="E228" s="3">
        <v>44782</v>
      </c>
      <c r="F228" s="188">
        <v>3.8194444444444443E-3</v>
      </c>
      <c r="G228" s="28"/>
      <c r="J228" t="s">
        <v>636</v>
      </c>
    </row>
    <row r="229" spans="1:10" hidden="1" outlineLevel="1">
      <c r="A229" s="28"/>
      <c r="B229" s="5">
        <v>117</v>
      </c>
      <c r="C229" s="187" t="s">
        <v>3040</v>
      </c>
      <c r="D229" s="6">
        <v>218</v>
      </c>
      <c r="E229" s="3">
        <v>44847</v>
      </c>
      <c r="F229" s="188">
        <v>2.4652777777777776E-3</v>
      </c>
      <c r="G229" s="28"/>
      <c r="J229" t="s">
        <v>636</v>
      </c>
    </row>
    <row r="230" spans="1:10" hidden="1" outlineLevel="1">
      <c r="A230" s="28"/>
      <c r="B230" s="5">
        <v>118</v>
      </c>
      <c r="C230" s="187" t="s">
        <v>3133</v>
      </c>
      <c r="D230" s="6" t="s">
        <v>3134</v>
      </c>
      <c r="E230" s="3">
        <v>44879</v>
      </c>
      <c r="F230" s="188">
        <v>2.8240740740740739E-3</v>
      </c>
      <c r="G230" s="28"/>
      <c r="J230" t="s">
        <v>636</v>
      </c>
    </row>
    <row r="231" spans="1:10" hidden="1" outlineLevel="1">
      <c r="A231" s="28"/>
      <c r="B231" s="5">
        <v>119</v>
      </c>
      <c r="C231" s="187" t="s">
        <v>3414</v>
      </c>
      <c r="D231" s="6">
        <v>219</v>
      </c>
      <c r="E231" s="3">
        <v>44912</v>
      </c>
      <c r="F231" s="188">
        <v>3.4375E-3</v>
      </c>
      <c r="G231" s="28"/>
      <c r="J231" t="s">
        <v>636</v>
      </c>
    </row>
    <row r="232" spans="1:10" hidden="1" outlineLevel="1">
      <c r="A232" s="28"/>
      <c r="B232" s="5">
        <v>120</v>
      </c>
      <c r="C232" s="187" t="s">
        <v>3783</v>
      </c>
      <c r="D232" s="6">
        <v>220</v>
      </c>
      <c r="E232" s="3">
        <v>44975</v>
      </c>
      <c r="F232" s="188">
        <v>5.7291666666666671E-3</v>
      </c>
      <c r="G232" s="28"/>
      <c r="J232" t="s">
        <v>636</v>
      </c>
    </row>
    <row r="233" spans="1:10" hidden="1" outlineLevel="1">
      <c r="A233" s="28"/>
      <c r="B233" s="5">
        <v>121</v>
      </c>
      <c r="C233" s="187" t="s">
        <v>3784</v>
      </c>
      <c r="D233" s="6">
        <v>221</v>
      </c>
      <c r="E233" s="3">
        <v>45003</v>
      </c>
      <c r="F233" s="188">
        <v>2.8587962962962963E-3</v>
      </c>
      <c r="G233" s="28"/>
      <c r="J233" t="s">
        <v>636</v>
      </c>
    </row>
    <row r="234" spans="1:10" hidden="1" outlineLevel="1">
      <c r="A234" s="28"/>
      <c r="B234" s="5">
        <v>122</v>
      </c>
      <c r="C234" s="187" t="s">
        <v>3971</v>
      </c>
      <c r="D234" s="6">
        <v>222</v>
      </c>
      <c r="E234" s="3">
        <v>45094</v>
      </c>
      <c r="F234" s="188">
        <v>4.6296296296296302E-3</v>
      </c>
      <c r="G234" s="28"/>
      <c r="J234" t="s">
        <v>636</v>
      </c>
    </row>
    <row r="235" spans="1:10" hidden="1" outlineLevel="1">
      <c r="A235" s="28"/>
      <c r="B235" s="5">
        <v>123</v>
      </c>
      <c r="C235" s="187" t="s">
        <v>4067</v>
      </c>
      <c r="D235" s="6">
        <v>223</v>
      </c>
      <c r="E235" s="3">
        <v>45158</v>
      </c>
      <c r="F235" s="188">
        <v>4.7106481481481478E-3</v>
      </c>
      <c r="G235" s="28"/>
      <c r="J235" t="s">
        <v>636</v>
      </c>
    </row>
    <row r="236" spans="1:10" hidden="1" outlineLevel="1">
      <c r="A236" s="28"/>
      <c r="B236" s="5">
        <v>124</v>
      </c>
      <c r="C236" s="187" t="s">
        <v>4322</v>
      </c>
      <c r="D236" s="6">
        <v>224</v>
      </c>
      <c r="E236" s="3">
        <v>45274</v>
      </c>
      <c r="F236" s="188">
        <v>5.3587962962962964E-3</v>
      </c>
      <c r="G236" s="28"/>
      <c r="J236" t="s">
        <v>636</v>
      </c>
    </row>
    <row r="237" spans="1:10" hidden="1" outlineLevel="1">
      <c r="A237" s="28"/>
      <c r="B237" s="5">
        <v>125</v>
      </c>
      <c r="C237" s="187" t="s">
        <v>4323</v>
      </c>
      <c r="D237" s="6" t="s">
        <v>4204</v>
      </c>
      <c r="E237" s="3">
        <v>45274</v>
      </c>
      <c r="F237" s="188">
        <v>2.6041666666666665E-3</v>
      </c>
      <c r="G237" s="28"/>
      <c r="J237" t="s">
        <v>636</v>
      </c>
    </row>
    <row r="238" spans="1:10" hidden="1" outlineLevel="1">
      <c r="A238" s="28"/>
      <c r="B238" s="5">
        <v>126</v>
      </c>
      <c r="C238" s="187" t="s">
        <v>4477</v>
      </c>
      <c r="D238" s="6">
        <v>225</v>
      </c>
      <c r="E238" s="3">
        <v>45370</v>
      </c>
      <c r="F238" s="188">
        <v>4.9652777777777777E-3</v>
      </c>
      <c r="G238" s="28"/>
      <c r="J238" t="s">
        <v>636</v>
      </c>
    </row>
    <row r="239" spans="1:10">
      <c r="A239" s="28"/>
      <c r="B239" s="40"/>
      <c r="C239" s="40"/>
      <c r="D239" s="35"/>
      <c r="E239" s="36"/>
      <c r="F239" s="41"/>
      <c r="G239" s="28"/>
    </row>
    <row r="240" spans="1:10">
      <c r="A240" s="28"/>
      <c r="B240" s="28"/>
      <c r="C240" s="28"/>
      <c r="D240" s="29"/>
      <c r="E240" s="30"/>
      <c r="F240" s="31"/>
      <c r="G240" s="28"/>
    </row>
    <row r="241" spans="1:10">
      <c r="A241" s="28"/>
      <c r="B241" s="33"/>
      <c r="C241" s="34" t="s">
        <v>1306</v>
      </c>
      <c r="D241" s="35"/>
      <c r="E241" s="36"/>
      <c r="F241" s="41"/>
      <c r="G241" s="38"/>
    </row>
    <row r="242" spans="1:10" collapsed="1">
      <c r="A242" s="28"/>
      <c r="B242" s="38"/>
      <c r="C242" s="229" t="s">
        <v>2363</v>
      </c>
      <c r="D242" s="303" t="s">
        <v>2365</v>
      </c>
      <c r="E242" s="303" t="s">
        <v>383</v>
      </c>
      <c r="F242" s="31"/>
      <c r="G242" s="38"/>
    </row>
    <row r="243" spans="1:10" hidden="1" outlineLevel="1">
      <c r="A243" s="28"/>
      <c r="B243" s="23" t="s">
        <v>5</v>
      </c>
      <c r="C243" s="24" t="s">
        <v>6</v>
      </c>
      <c r="D243" s="25" t="s">
        <v>4</v>
      </c>
      <c r="E243" s="138" t="s">
        <v>8</v>
      </c>
      <c r="F243" s="26" t="s">
        <v>7</v>
      </c>
      <c r="G243" s="28"/>
    </row>
    <row r="244" spans="1:10" hidden="1" outlineLevel="1">
      <c r="A244" s="28"/>
      <c r="B244" s="1">
        <v>1</v>
      </c>
      <c r="C244" s="5" t="s">
        <v>443</v>
      </c>
      <c r="D244" s="2">
        <v>151</v>
      </c>
      <c r="E244" s="3">
        <v>40944</v>
      </c>
      <c r="F244" s="4">
        <v>2.3587962962962963E-2</v>
      </c>
      <c r="G244" s="28"/>
      <c r="J244" t="s">
        <v>416</v>
      </c>
    </row>
    <row r="245" spans="1:10" hidden="1" outlineLevel="1">
      <c r="A245" s="28"/>
      <c r="B245" s="1">
        <v>2</v>
      </c>
      <c r="C245" s="5" t="s">
        <v>444</v>
      </c>
      <c r="D245" s="2">
        <v>1</v>
      </c>
      <c r="E245" s="3">
        <v>40965</v>
      </c>
      <c r="F245" s="4">
        <v>3.2777777777777781E-2</v>
      </c>
      <c r="G245" s="28"/>
      <c r="J245" t="s">
        <v>416</v>
      </c>
    </row>
    <row r="246" spans="1:10" hidden="1" outlineLevel="1">
      <c r="A246" s="28"/>
      <c r="B246" s="1">
        <v>3</v>
      </c>
      <c r="C246" s="5" t="s">
        <v>445</v>
      </c>
      <c r="D246" s="2">
        <v>2</v>
      </c>
      <c r="E246" s="3">
        <v>40980</v>
      </c>
      <c r="F246" s="4">
        <v>4.3738425925925924E-2</v>
      </c>
      <c r="G246" s="28"/>
      <c r="J246" t="s">
        <v>416</v>
      </c>
    </row>
    <row r="247" spans="1:10" hidden="1" outlineLevel="1">
      <c r="A247" s="28"/>
      <c r="B247" s="1">
        <v>4</v>
      </c>
      <c r="C247" s="5" t="s">
        <v>446</v>
      </c>
      <c r="D247" s="2">
        <v>152</v>
      </c>
      <c r="E247" s="3">
        <v>41007</v>
      </c>
      <c r="F247" s="4">
        <v>3.7835648148148153E-2</v>
      </c>
      <c r="G247" s="28"/>
      <c r="J247" t="s">
        <v>416</v>
      </c>
    </row>
    <row r="248" spans="1:10" hidden="1" outlineLevel="1">
      <c r="A248" s="28"/>
      <c r="B248" s="1">
        <v>5</v>
      </c>
      <c r="C248" s="12" t="s">
        <v>447</v>
      </c>
      <c r="D248" s="2">
        <v>153</v>
      </c>
      <c r="E248" s="3">
        <v>41029</v>
      </c>
      <c r="F248" s="4">
        <v>2.2037037037037036E-2</v>
      </c>
      <c r="G248" s="28"/>
      <c r="J248" t="s">
        <v>416</v>
      </c>
    </row>
    <row r="249" spans="1:10" hidden="1" outlineLevel="1">
      <c r="A249" s="28"/>
      <c r="B249" s="1">
        <v>6</v>
      </c>
      <c r="C249" s="12" t="s">
        <v>448</v>
      </c>
      <c r="D249" s="2">
        <v>3</v>
      </c>
      <c r="E249" s="3">
        <v>41061</v>
      </c>
      <c r="F249" s="4">
        <v>2.2743055555555555E-2</v>
      </c>
      <c r="G249" s="28"/>
      <c r="J249" t="s">
        <v>416</v>
      </c>
    </row>
    <row r="250" spans="1:10" hidden="1" outlineLevel="1">
      <c r="A250" s="28"/>
      <c r="B250" s="1">
        <v>7</v>
      </c>
      <c r="C250" s="12" t="s">
        <v>449</v>
      </c>
      <c r="D250" s="2">
        <v>154</v>
      </c>
      <c r="E250" s="3">
        <v>41104</v>
      </c>
      <c r="F250" s="4">
        <v>1.283564814814815E-2</v>
      </c>
      <c r="G250" s="28"/>
      <c r="J250" t="s">
        <v>416</v>
      </c>
    </row>
    <row r="251" spans="1:10" hidden="1" outlineLevel="1">
      <c r="A251" s="28"/>
      <c r="B251" s="1">
        <v>8</v>
      </c>
      <c r="C251" s="12" t="s">
        <v>450</v>
      </c>
      <c r="D251" s="2">
        <v>155</v>
      </c>
      <c r="E251" s="3">
        <v>41148</v>
      </c>
      <c r="F251" s="4">
        <v>3.2731481481481479E-2</v>
      </c>
      <c r="G251" s="28"/>
      <c r="J251" t="s">
        <v>416</v>
      </c>
    </row>
    <row r="252" spans="1:10" hidden="1" outlineLevel="1">
      <c r="A252" s="28"/>
      <c r="B252" s="1">
        <v>9</v>
      </c>
      <c r="C252" s="12" t="s">
        <v>451</v>
      </c>
      <c r="D252" s="2">
        <v>156</v>
      </c>
      <c r="E252" s="3">
        <v>41172</v>
      </c>
      <c r="F252" s="4">
        <v>3.0613425925925929E-2</v>
      </c>
      <c r="G252" s="28"/>
      <c r="J252" t="s">
        <v>416</v>
      </c>
    </row>
    <row r="253" spans="1:10" hidden="1" outlineLevel="1">
      <c r="A253" s="28"/>
      <c r="B253" s="1">
        <v>10</v>
      </c>
      <c r="C253" s="12" t="s">
        <v>452</v>
      </c>
      <c r="D253" s="6" t="s">
        <v>218</v>
      </c>
      <c r="E253" s="3">
        <v>41210</v>
      </c>
      <c r="F253" s="4">
        <v>4.9837962962962966E-2</v>
      </c>
      <c r="G253" s="28"/>
      <c r="J253" t="s">
        <v>416</v>
      </c>
    </row>
    <row r="254" spans="1:10" hidden="1" outlineLevel="1">
      <c r="A254" s="28"/>
      <c r="B254" s="1">
        <v>11</v>
      </c>
      <c r="C254" s="12" t="s">
        <v>453</v>
      </c>
      <c r="D254" s="2">
        <v>157</v>
      </c>
      <c r="E254" s="3">
        <v>41210</v>
      </c>
      <c r="F254" s="4">
        <v>1.5694444444444445E-2</v>
      </c>
      <c r="G254" s="28"/>
      <c r="J254" t="s">
        <v>416</v>
      </c>
    </row>
    <row r="255" spans="1:10" hidden="1" outlineLevel="1">
      <c r="A255" s="28"/>
      <c r="B255" s="1">
        <v>12</v>
      </c>
      <c r="C255" s="12" t="s">
        <v>454</v>
      </c>
      <c r="D255" s="2">
        <v>15</v>
      </c>
      <c r="E255" s="3">
        <v>41210</v>
      </c>
      <c r="F255" s="4">
        <v>1.7858796296296296E-2</v>
      </c>
      <c r="G255" s="28"/>
      <c r="J255" t="s">
        <v>416</v>
      </c>
    </row>
    <row r="256" spans="1:10" hidden="1" outlineLevel="1">
      <c r="A256" s="28"/>
      <c r="B256" s="1">
        <v>13</v>
      </c>
      <c r="C256" s="12" t="s">
        <v>455</v>
      </c>
      <c r="D256" s="2">
        <v>90</v>
      </c>
      <c r="E256" s="3">
        <v>41213</v>
      </c>
      <c r="F256" s="4">
        <v>1.8449074074074073E-2</v>
      </c>
      <c r="G256" s="28"/>
      <c r="J256" t="s">
        <v>416</v>
      </c>
    </row>
    <row r="257" spans="1:10" hidden="1" outlineLevel="1">
      <c r="A257" s="28"/>
      <c r="B257" s="1">
        <v>14</v>
      </c>
      <c r="C257" s="12" t="s">
        <v>456</v>
      </c>
      <c r="D257" s="2">
        <v>111</v>
      </c>
      <c r="E257" s="3">
        <v>41213</v>
      </c>
      <c r="F257" s="4">
        <v>1.8020833333333333E-2</v>
      </c>
      <c r="G257" s="28"/>
      <c r="J257" t="s">
        <v>416</v>
      </c>
    </row>
    <row r="258" spans="1:10" hidden="1" outlineLevel="1">
      <c r="A258" s="28"/>
      <c r="B258" s="1">
        <v>15</v>
      </c>
      <c r="C258" s="12" t="s">
        <v>457</v>
      </c>
      <c r="D258" s="2">
        <v>158</v>
      </c>
      <c r="E258" s="3">
        <v>41252</v>
      </c>
      <c r="F258" s="4">
        <v>2.1087962962962961E-2</v>
      </c>
      <c r="G258" s="28"/>
      <c r="J258" t="s">
        <v>416</v>
      </c>
    </row>
    <row r="259" spans="1:10" hidden="1" outlineLevel="1">
      <c r="A259" s="28"/>
      <c r="B259" s="1">
        <v>16</v>
      </c>
      <c r="C259" s="12" t="s">
        <v>458</v>
      </c>
      <c r="D259" s="2">
        <v>4</v>
      </c>
      <c r="E259" s="3">
        <v>41537</v>
      </c>
      <c r="F259" s="4">
        <v>1.6550925925925924E-2</v>
      </c>
      <c r="G259" s="28"/>
      <c r="J259" t="s">
        <v>416</v>
      </c>
    </row>
    <row r="260" spans="1:10" hidden="1" outlineLevel="1">
      <c r="A260" s="28"/>
      <c r="B260" s="1">
        <v>17</v>
      </c>
      <c r="C260" s="12" t="s">
        <v>459</v>
      </c>
      <c r="D260" s="2">
        <v>162</v>
      </c>
      <c r="E260" s="3">
        <v>41578</v>
      </c>
      <c r="F260" s="4">
        <v>1.7569444444444447E-2</v>
      </c>
      <c r="G260" s="28"/>
      <c r="J260" t="s">
        <v>416</v>
      </c>
    </row>
    <row r="261" spans="1:10" hidden="1" outlineLevel="1">
      <c r="A261" s="28"/>
      <c r="B261" s="1">
        <v>18</v>
      </c>
      <c r="C261" s="12" t="s">
        <v>460</v>
      </c>
      <c r="D261" s="2">
        <v>5</v>
      </c>
      <c r="E261" s="3">
        <v>41663</v>
      </c>
      <c r="F261" s="4">
        <v>1.7939814814814815E-2</v>
      </c>
      <c r="G261" s="28"/>
      <c r="J261" t="s">
        <v>416</v>
      </c>
    </row>
    <row r="262" spans="1:10" hidden="1" outlineLevel="1">
      <c r="A262" s="28"/>
      <c r="B262" s="1">
        <v>19</v>
      </c>
      <c r="C262" s="12" t="s">
        <v>461</v>
      </c>
      <c r="D262" s="2">
        <v>163</v>
      </c>
      <c r="E262" s="3">
        <v>41691</v>
      </c>
      <c r="F262" s="4">
        <v>1.4513888888888889E-2</v>
      </c>
      <c r="G262" s="28"/>
      <c r="J262" t="s">
        <v>416</v>
      </c>
    </row>
    <row r="263" spans="1:10" hidden="1" outlineLevel="1">
      <c r="A263" s="28"/>
      <c r="B263" s="1">
        <v>20</v>
      </c>
      <c r="C263" s="12" t="s">
        <v>477</v>
      </c>
      <c r="D263" s="2">
        <v>0</v>
      </c>
      <c r="E263" s="3">
        <v>41691</v>
      </c>
      <c r="F263" s="4">
        <v>1.2175925925925929E-2</v>
      </c>
      <c r="G263" s="28"/>
      <c r="J263" t="s">
        <v>416</v>
      </c>
    </row>
    <row r="264" spans="1:10" hidden="1" outlineLevel="1">
      <c r="A264" s="28"/>
      <c r="B264" s="1">
        <v>21</v>
      </c>
      <c r="C264" s="12" t="s">
        <v>462</v>
      </c>
      <c r="D264" s="2">
        <v>0</v>
      </c>
      <c r="E264" s="3">
        <v>41852</v>
      </c>
      <c r="F264" s="4">
        <v>1.1226851851851854E-2</v>
      </c>
      <c r="G264" s="28"/>
      <c r="J264" t="s">
        <v>416</v>
      </c>
    </row>
    <row r="265" spans="1:10" hidden="1" outlineLevel="1">
      <c r="A265" s="28"/>
      <c r="B265" s="1">
        <v>22</v>
      </c>
      <c r="C265" s="12" t="s">
        <v>463</v>
      </c>
      <c r="D265" s="2">
        <v>164</v>
      </c>
      <c r="E265" s="3">
        <v>41852</v>
      </c>
      <c r="F265" s="4">
        <v>1.8680555555555554E-2</v>
      </c>
      <c r="G265" s="28"/>
      <c r="J265" t="s">
        <v>416</v>
      </c>
    </row>
    <row r="266" spans="1:10" hidden="1" outlineLevel="1">
      <c r="A266" s="28"/>
      <c r="B266" s="1">
        <v>23</v>
      </c>
      <c r="C266" s="5" t="s">
        <v>464</v>
      </c>
      <c r="D266" s="2">
        <v>6</v>
      </c>
      <c r="E266" s="3">
        <v>41978</v>
      </c>
      <c r="F266" s="4">
        <v>1.3935185185185184E-2</v>
      </c>
      <c r="G266" s="28"/>
      <c r="J266" t="s">
        <v>416</v>
      </c>
    </row>
    <row r="267" spans="1:10" hidden="1" outlineLevel="1">
      <c r="A267" s="28"/>
      <c r="B267" s="1">
        <v>24</v>
      </c>
      <c r="C267" s="5" t="s">
        <v>465</v>
      </c>
      <c r="D267" s="2">
        <v>0</v>
      </c>
      <c r="E267" s="3">
        <v>42020</v>
      </c>
      <c r="F267" s="4">
        <v>1.0925925925925924E-2</v>
      </c>
      <c r="G267" s="28"/>
      <c r="J267" t="s">
        <v>416</v>
      </c>
    </row>
    <row r="268" spans="1:10" hidden="1" outlineLevel="1">
      <c r="A268" s="28"/>
      <c r="B268" s="1">
        <v>25</v>
      </c>
      <c r="C268" s="5" t="s">
        <v>466</v>
      </c>
      <c r="D268" s="2">
        <v>170</v>
      </c>
      <c r="E268" s="3">
        <v>42048</v>
      </c>
      <c r="F268" s="4">
        <v>1.7488425925925925E-2</v>
      </c>
      <c r="G268" s="28"/>
      <c r="J268" t="s">
        <v>416</v>
      </c>
    </row>
    <row r="269" spans="1:10" hidden="1" outlineLevel="1">
      <c r="A269" s="28"/>
      <c r="B269" s="1">
        <v>26</v>
      </c>
      <c r="C269" s="5" t="s">
        <v>467</v>
      </c>
      <c r="D269" s="2">
        <v>0</v>
      </c>
      <c r="E269" s="3">
        <v>42174</v>
      </c>
      <c r="F269" s="4">
        <v>7.6273148148148151E-3</v>
      </c>
      <c r="G269" s="28"/>
      <c r="J269" t="s">
        <v>416</v>
      </c>
    </row>
    <row r="270" spans="1:10" hidden="1" outlineLevel="1">
      <c r="A270" s="28"/>
      <c r="B270" s="1">
        <v>27</v>
      </c>
      <c r="C270" s="5" t="s">
        <v>468</v>
      </c>
      <c r="D270" s="2">
        <v>7</v>
      </c>
      <c r="E270" s="3">
        <v>42258</v>
      </c>
      <c r="F270" s="4">
        <v>1.8842592592592591E-2</v>
      </c>
      <c r="G270" s="28"/>
      <c r="J270" t="s">
        <v>416</v>
      </c>
    </row>
    <row r="271" spans="1:10" hidden="1" outlineLevel="1">
      <c r="A271" s="28"/>
      <c r="B271" s="1">
        <v>28</v>
      </c>
      <c r="C271" s="5" t="s">
        <v>469</v>
      </c>
      <c r="D271" s="2">
        <v>166</v>
      </c>
      <c r="E271" s="3">
        <v>42321</v>
      </c>
      <c r="F271" s="4">
        <v>2.4884259259259259E-2</v>
      </c>
      <c r="G271" s="28"/>
      <c r="J271" t="s">
        <v>416</v>
      </c>
    </row>
    <row r="272" spans="1:10" hidden="1" outlineLevel="1">
      <c r="A272" s="28"/>
      <c r="B272" s="1">
        <v>29</v>
      </c>
      <c r="C272" s="5" t="s">
        <v>470</v>
      </c>
      <c r="D272" s="2">
        <v>0</v>
      </c>
      <c r="E272" s="3">
        <v>42321</v>
      </c>
      <c r="F272" s="4">
        <v>2.4155092592592589E-2</v>
      </c>
      <c r="G272" s="28"/>
      <c r="J272" t="s">
        <v>416</v>
      </c>
    </row>
    <row r="273" spans="1:10" hidden="1" outlineLevel="1">
      <c r="A273" s="28"/>
      <c r="B273" s="1">
        <v>30</v>
      </c>
      <c r="C273" s="5" t="s">
        <v>476</v>
      </c>
      <c r="D273" s="2">
        <v>0</v>
      </c>
      <c r="E273" s="3">
        <v>42356</v>
      </c>
      <c r="F273" s="4">
        <v>2.7719907407407405E-2</v>
      </c>
      <c r="G273" s="28"/>
      <c r="J273" t="s">
        <v>416</v>
      </c>
    </row>
    <row r="274" spans="1:10" hidden="1" outlineLevel="1">
      <c r="A274" s="28"/>
      <c r="B274" s="1">
        <v>31</v>
      </c>
      <c r="C274" s="5" t="s">
        <v>471</v>
      </c>
      <c r="D274" s="2">
        <v>8</v>
      </c>
      <c r="E274" s="3">
        <v>42419</v>
      </c>
      <c r="F274" s="4">
        <v>1.5405092592592593E-2</v>
      </c>
      <c r="G274" s="28"/>
      <c r="J274" t="s">
        <v>416</v>
      </c>
    </row>
    <row r="275" spans="1:10" hidden="1" outlineLevel="1">
      <c r="A275" s="28"/>
      <c r="B275" s="1">
        <v>32</v>
      </c>
      <c r="C275" s="5" t="s">
        <v>472</v>
      </c>
      <c r="D275" s="2">
        <v>180</v>
      </c>
      <c r="E275" s="3">
        <v>42501</v>
      </c>
      <c r="F275" s="4">
        <v>2.2766203703703702E-2</v>
      </c>
      <c r="G275" s="28"/>
      <c r="J275" t="s">
        <v>416</v>
      </c>
    </row>
    <row r="276" spans="1:10" hidden="1" outlineLevel="1">
      <c r="A276" s="28"/>
      <c r="B276" s="1">
        <v>33</v>
      </c>
      <c r="C276" s="5" t="s">
        <v>473</v>
      </c>
      <c r="D276" s="2">
        <v>9</v>
      </c>
      <c r="E276" s="3">
        <v>42618</v>
      </c>
      <c r="F276" s="4">
        <v>1.6585648148148148E-2</v>
      </c>
      <c r="G276" s="28"/>
      <c r="J276" t="s">
        <v>416</v>
      </c>
    </row>
    <row r="277" spans="1:10" hidden="1" outlineLevel="1">
      <c r="A277" s="28"/>
      <c r="B277" s="1">
        <v>34</v>
      </c>
      <c r="C277" s="5" t="s">
        <v>474</v>
      </c>
      <c r="D277" s="2">
        <v>183</v>
      </c>
      <c r="E277" s="3">
        <v>42735</v>
      </c>
      <c r="F277" s="4">
        <v>2.0196759259259258E-2</v>
      </c>
      <c r="G277" s="28"/>
      <c r="J277" t="s">
        <v>416</v>
      </c>
    </row>
    <row r="278" spans="1:10" hidden="1" outlineLevel="1">
      <c r="A278" s="28"/>
      <c r="B278" s="1">
        <v>35</v>
      </c>
      <c r="C278" s="12" t="s">
        <v>475</v>
      </c>
      <c r="D278" s="2">
        <v>10</v>
      </c>
      <c r="E278" s="3">
        <v>42756</v>
      </c>
      <c r="F278" s="4">
        <v>1.5081018518518516E-2</v>
      </c>
      <c r="G278" s="28"/>
      <c r="J278" t="s">
        <v>416</v>
      </c>
    </row>
    <row r="279" spans="1:10" hidden="1" outlineLevel="1">
      <c r="A279" s="28"/>
      <c r="B279" s="1">
        <v>36</v>
      </c>
      <c r="C279" s="12" t="s">
        <v>442</v>
      </c>
      <c r="D279" s="2">
        <v>76</v>
      </c>
      <c r="E279" s="3">
        <v>42778</v>
      </c>
      <c r="F279" s="4">
        <v>2.56712962962963E-2</v>
      </c>
      <c r="G279" s="28"/>
      <c r="J279" t="s">
        <v>416</v>
      </c>
    </row>
    <row r="280" spans="1:10" hidden="1" outlineLevel="1">
      <c r="A280" s="28"/>
      <c r="B280" s="1">
        <v>37</v>
      </c>
      <c r="C280" s="12" t="s">
        <v>441</v>
      </c>
      <c r="D280" s="2">
        <v>169</v>
      </c>
      <c r="E280" s="3">
        <v>42987</v>
      </c>
      <c r="F280" s="4">
        <v>1.6006944444444445E-2</v>
      </c>
      <c r="G280" s="28"/>
      <c r="J280" t="s">
        <v>416</v>
      </c>
    </row>
    <row r="281" spans="1:10" hidden="1" outlineLevel="1">
      <c r="A281" s="28"/>
      <c r="B281" s="1">
        <v>38</v>
      </c>
      <c r="C281" s="12" t="s">
        <v>497</v>
      </c>
      <c r="D281" s="6" t="s">
        <v>752</v>
      </c>
      <c r="E281" s="3">
        <v>43002</v>
      </c>
      <c r="F281" s="4">
        <v>3.9699074074074072E-3</v>
      </c>
      <c r="G281" s="28"/>
      <c r="J281" t="s">
        <v>416</v>
      </c>
    </row>
    <row r="282" spans="1:10" hidden="1" outlineLevel="1">
      <c r="A282" s="28"/>
      <c r="B282" s="1">
        <v>39</v>
      </c>
      <c r="C282" s="12" t="s">
        <v>502</v>
      </c>
      <c r="D282" s="6" t="s">
        <v>752</v>
      </c>
      <c r="E282" s="3">
        <v>43002</v>
      </c>
      <c r="F282" s="4">
        <v>4.9074074074074072E-3</v>
      </c>
      <c r="G282" s="28"/>
      <c r="J282" t="s">
        <v>416</v>
      </c>
    </row>
    <row r="283" spans="1:10" hidden="1" outlineLevel="1">
      <c r="A283" s="28"/>
      <c r="B283" s="1">
        <v>40</v>
      </c>
      <c r="C283" s="12" t="s">
        <v>498</v>
      </c>
      <c r="D283" s="6" t="s">
        <v>752</v>
      </c>
      <c r="E283" s="3">
        <v>43002</v>
      </c>
      <c r="F283" s="4">
        <v>3.2060185185185191E-3</v>
      </c>
      <c r="G283" s="28"/>
      <c r="J283" t="s">
        <v>416</v>
      </c>
    </row>
    <row r="284" spans="1:10" hidden="1" outlineLevel="1">
      <c r="A284" s="28"/>
      <c r="B284" s="1">
        <v>41</v>
      </c>
      <c r="C284" s="12" t="s">
        <v>499</v>
      </c>
      <c r="D284" s="6" t="s">
        <v>752</v>
      </c>
      <c r="E284" s="3">
        <v>43002</v>
      </c>
      <c r="F284" s="4">
        <v>3.1481481481481482E-3</v>
      </c>
      <c r="G284" s="28"/>
      <c r="J284" t="s">
        <v>416</v>
      </c>
    </row>
    <row r="285" spans="1:10" hidden="1" outlineLevel="1">
      <c r="A285" s="28"/>
      <c r="B285" s="1">
        <v>42</v>
      </c>
      <c r="C285" s="12" t="s">
        <v>500</v>
      </c>
      <c r="D285" s="2">
        <v>0</v>
      </c>
      <c r="E285" s="3">
        <v>43039</v>
      </c>
      <c r="F285" s="4">
        <v>4.386574074074074E-2</v>
      </c>
      <c r="G285" s="28"/>
      <c r="J285" t="s">
        <v>416</v>
      </c>
    </row>
    <row r="286" spans="1:10" hidden="1" outlineLevel="1">
      <c r="A286" s="28"/>
      <c r="B286" s="1">
        <v>43</v>
      </c>
      <c r="C286" s="12" t="s">
        <v>501</v>
      </c>
      <c r="D286" s="2">
        <v>0</v>
      </c>
      <c r="E286" s="3">
        <v>43145</v>
      </c>
      <c r="F286" s="4">
        <v>4.927083333333334E-2</v>
      </c>
      <c r="G286" s="28"/>
      <c r="J286" t="s">
        <v>416</v>
      </c>
    </row>
    <row r="287" spans="1:10" hidden="1" outlineLevel="1">
      <c r="A287" s="28"/>
      <c r="B287" s="1">
        <v>44</v>
      </c>
      <c r="C287" s="12" t="s">
        <v>503</v>
      </c>
      <c r="D287" s="2">
        <v>0</v>
      </c>
      <c r="E287" s="3">
        <v>43179</v>
      </c>
      <c r="F287" s="4">
        <v>8.7037037037037031E-3</v>
      </c>
      <c r="G287" s="28"/>
      <c r="J287" t="s">
        <v>416</v>
      </c>
    </row>
    <row r="288" spans="1:10" hidden="1" outlineLevel="1">
      <c r="A288" s="28"/>
      <c r="B288" s="1">
        <v>45</v>
      </c>
      <c r="C288" s="12" t="s">
        <v>440</v>
      </c>
      <c r="D288" s="6" t="s">
        <v>1438</v>
      </c>
      <c r="E288" s="3">
        <v>43211</v>
      </c>
      <c r="F288" s="4">
        <v>1.653935185185185E-2</v>
      </c>
      <c r="G288" s="28"/>
      <c r="J288" t="s">
        <v>416</v>
      </c>
    </row>
    <row r="289" spans="1:10" hidden="1" outlineLevel="1">
      <c r="A289" s="28"/>
      <c r="B289" s="1">
        <v>46</v>
      </c>
      <c r="C289" s="12" t="s">
        <v>478</v>
      </c>
      <c r="D289" s="2">
        <v>12</v>
      </c>
      <c r="E289" s="3">
        <v>43211</v>
      </c>
      <c r="F289" s="4">
        <v>2.4502314814814814E-2</v>
      </c>
      <c r="G289" s="28"/>
      <c r="J289" t="s">
        <v>416</v>
      </c>
    </row>
    <row r="290" spans="1:10" hidden="1" outlineLevel="1">
      <c r="A290" s="28"/>
      <c r="B290" s="1">
        <v>47</v>
      </c>
      <c r="C290" s="12" t="s">
        <v>413</v>
      </c>
      <c r="D290" s="2">
        <v>14</v>
      </c>
      <c r="E290" s="3">
        <v>43385</v>
      </c>
      <c r="F290" s="4">
        <v>1.9259259259259261E-2</v>
      </c>
      <c r="G290" s="28"/>
      <c r="J290" t="s">
        <v>416</v>
      </c>
    </row>
    <row r="291" spans="1:10" hidden="1" outlineLevel="1">
      <c r="A291" s="28"/>
      <c r="B291" s="1">
        <v>48</v>
      </c>
      <c r="C291" s="12" t="s">
        <v>504</v>
      </c>
      <c r="D291" s="2">
        <v>0</v>
      </c>
      <c r="E291" s="3">
        <v>43401</v>
      </c>
      <c r="F291" s="4">
        <v>7.8819444444444432E-3</v>
      </c>
      <c r="G291" s="28"/>
      <c r="J291" t="s">
        <v>416</v>
      </c>
    </row>
    <row r="292" spans="1:10" hidden="1" outlineLevel="1">
      <c r="A292" s="28"/>
      <c r="B292" s="1">
        <v>49</v>
      </c>
      <c r="C292" s="12" t="s">
        <v>382</v>
      </c>
      <c r="D292" s="2">
        <v>186</v>
      </c>
      <c r="E292" s="3">
        <v>43497</v>
      </c>
      <c r="F292" s="4">
        <v>2.0775462962962964E-2</v>
      </c>
      <c r="G292" s="28"/>
      <c r="J292" t="s">
        <v>416</v>
      </c>
    </row>
    <row r="293" spans="1:10" hidden="1" outlineLevel="1">
      <c r="A293" s="28"/>
      <c r="B293" s="1">
        <v>50</v>
      </c>
      <c r="C293" s="5" t="s">
        <v>381</v>
      </c>
      <c r="D293" s="2">
        <v>13</v>
      </c>
      <c r="E293" s="3">
        <v>43693</v>
      </c>
      <c r="F293" s="4">
        <v>3.5034722222222224E-2</v>
      </c>
      <c r="G293" s="28"/>
      <c r="J293" t="s">
        <v>416</v>
      </c>
    </row>
    <row r="294" spans="1:10" hidden="1" outlineLevel="1">
      <c r="A294" s="28"/>
      <c r="B294" s="1">
        <v>51</v>
      </c>
      <c r="C294" s="5" t="s">
        <v>384</v>
      </c>
      <c r="D294" s="2">
        <v>0</v>
      </c>
      <c r="E294" s="3">
        <v>43693</v>
      </c>
      <c r="F294" s="4">
        <v>1.8101851851851852E-2</v>
      </c>
      <c r="G294" s="28"/>
      <c r="J294" t="s">
        <v>416</v>
      </c>
    </row>
    <row r="295" spans="1:10" hidden="1" outlineLevel="1">
      <c r="A295" s="28"/>
      <c r="B295" s="1">
        <v>52</v>
      </c>
      <c r="C295" s="12" t="s">
        <v>509</v>
      </c>
      <c r="D295" s="6">
        <v>0</v>
      </c>
      <c r="E295" s="3">
        <v>43777</v>
      </c>
      <c r="F295" s="4">
        <v>4.2824074074074075E-3</v>
      </c>
      <c r="G295" s="28"/>
      <c r="J295" t="s">
        <v>416</v>
      </c>
    </row>
    <row r="296" spans="1:10" hidden="1" outlineLevel="1">
      <c r="A296" s="28"/>
      <c r="B296" s="194">
        <v>53</v>
      </c>
      <c r="C296" s="12" t="s">
        <v>584</v>
      </c>
      <c r="D296" s="195">
        <v>188</v>
      </c>
      <c r="E296" s="196">
        <v>43840</v>
      </c>
      <c r="F296" s="197">
        <v>2.3923611111111114E-2</v>
      </c>
      <c r="G296" s="28"/>
      <c r="J296" t="s">
        <v>416</v>
      </c>
    </row>
    <row r="297" spans="1:10" hidden="1" outlineLevel="1">
      <c r="A297" s="28"/>
      <c r="B297" s="194">
        <v>54</v>
      </c>
      <c r="C297" s="210" t="s">
        <v>1388</v>
      </c>
      <c r="D297" s="195">
        <v>16</v>
      </c>
      <c r="E297" s="196">
        <v>44148</v>
      </c>
      <c r="F297" s="197">
        <v>1.9756944444444445E-2</v>
      </c>
      <c r="G297" s="28"/>
      <c r="J297" t="s">
        <v>416</v>
      </c>
    </row>
    <row r="298" spans="1:10" hidden="1" outlineLevel="1">
      <c r="A298" s="28"/>
      <c r="B298" s="1">
        <v>55</v>
      </c>
      <c r="C298" s="306" t="s">
        <v>1609</v>
      </c>
      <c r="D298" s="2">
        <v>0</v>
      </c>
      <c r="E298" s="3">
        <v>44286</v>
      </c>
      <c r="F298" s="4">
        <v>3.7974537037037036E-2</v>
      </c>
      <c r="G298" s="28"/>
      <c r="J298" t="s">
        <v>416</v>
      </c>
    </row>
    <row r="299" spans="1:10" hidden="1" outlineLevel="1">
      <c r="A299" s="28"/>
      <c r="B299" s="194">
        <v>56</v>
      </c>
      <c r="C299" s="16" t="s">
        <v>2412</v>
      </c>
      <c r="D299" s="307">
        <v>17</v>
      </c>
      <c r="E299" s="308">
        <v>44508</v>
      </c>
      <c r="F299" s="197">
        <v>2.7939814814814817E-2</v>
      </c>
      <c r="G299" s="28"/>
      <c r="J299" t="s">
        <v>416</v>
      </c>
    </row>
    <row r="300" spans="1:10">
      <c r="A300" s="28"/>
      <c r="B300" s="40"/>
      <c r="C300" s="40"/>
      <c r="D300" s="35"/>
      <c r="E300" s="36"/>
      <c r="F300" s="41"/>
      <c r="G300" s="28"/>
    </row>
    <row r="301" spans="1:10">
      <c r="A301" s="28"/>
      <c r="B301" s="28"/>
      <c r="C301" s="28"/>
      <c r="D301" s="29"/>
      <c r="E301" s="30"/>
      <c r="F301" s="31"/>
      <c r="G301" s="28"/>
    </row>
    <row r="302" spans="1:10">
      <c r="A302" s="28"/>
      <c r="B302" s="33"/>
      <c r="C302" s="34" t="s">
        <v>1307</v>
      </c>
      <c r="D302" s="35"/>
      <c r="E302" s="36"/>
      <c r="F302" s="37"/>
      <c r="G302" s="28"/>
    </row>
    <row r="303" spans="1:10" collapsed="1">
      <c r="A303" s="28"/>
      <c r="B303" s="38"/>
      <c r="C303" s="229" t="s">
        <v>2362</v>
      </c>
      <c r="D303" s="29"/>
      <c r="E303" s="30"/>
      <c r="F303" s="39"/>
      <c r="G303" s="28"/>
    </row>
    <row r="304" spans="1:10" hidden="1" outlineLevel="1">
      <c r="A304" s="28"/>
      <c r="B304" s="23" t="s">
        <v>5</v>
      </c>
      <c r="C304" s="24" t="s">
        <v>6</v>
      </c>
      <c r="D304" s="25" t="s">
        <v>4</v>
      </c>
      <c r="E304" s="138" t="s">
        <v>8</v>
      </c>
      <c r="F304" s="26" t="s">
        <v>7</v>
      </c>
      <c r="G304" s="28"/>
    </row>
    <row r="305" spans="1:10" hidden="1" outlineLevel="1">
      <c r="A305" s="28"/>
      <c r="B305" s="1">
        <v>1</v>
      </c>
      <c r="C305" s="12" t="s">
        <v>134</v>
      </c>
      <c r="D305" s="2">
        <v>0</v>
      </c>
      <c r="E305" s="13">
        <v>41579</v>
      </c>
      <c r="F305" s="14">
        <v>1.7476851851851852E-3</v>
      </c>
      <c r="G305" s="28"/>
      <c r="J305" t="s">
        <v>198</v>
      </c>
    </row>
    <row r="306" spans="1:10" hidden="1" outlineLevel="1">
      <c r="A306" s="28"/>
      <c r="B306" s="1">
        <v>2</v>
      </c>
      <c r="C306" s="12" t="s">
        <v>115</v>
      </c>
      <c r="D306" s="2">
        <v>0</v>
      </c>
      <c r="E306" s="13">
        <v>41676</v>
      </c>
      <c r="F306" s="14">
        <v>4.7280092592592589E-2</v>
      </c>
      <c r="G306" s="28"/>
      <c r="J306" t="s">
        <v>198</v>
      </c>
    </row>
    <row r="307" spans="1:10" hidden="1" outlineLevel="1">
      <c r="A307" s="28"/>
      <c r="B307" s="1">
        <v>3</v>
      </c>
      <c r="C307" s="12" t="s">
        <v>116</v>
      </c>
      <c r="D307" s="2">
        <v>0</v>
      </c>
      <c r="E307" s="13">
        <v>41684</v>
      </c>
      <c r="F307" s="14">
        <v>4.7233796296296295E-2</v>
      </c>
      <c r="G307" s="28"/>
      <c r="J307" t="s">
        <v>198</v>
      </c>
    </row>
    <row r="308" spans="1:10" hidden="1" outlineLevel="1">
      <c r="A308" s="28"/>
      <c r="B308" s="1">
        <v>4</v>
      </c>
      <c r="C308" s="12" t="s">
        <v>117</v>
      </c>
      <c r="D308" s="2">
        <v>0</v>
      </c>
      <c r="E308" s="13">
        <v>41720</v>
      </c>
      <c r="F308" s="14">
        <v>5.0543981481481481E-2</v>
      </c>
      <c r="G308" s="28"/>
      <c r="J308" t="s">
        <v>198</v>
      </c>
    </row>
    <row r="309" spans="1:10" hidden="1" outlineLevel="1">
      <c r="A309" s="28"/>
      <c r="B309" s="1">
        <v>5</v>
      </c>
      <c r="C309" s="12" t="s">
        <v>118</v>
      </c>
      <c r="D309" s="15" t="s">
        <v>375</v>
      </c>
      <c r="E309" s="13">
        <v>41731</v>
      </c>
      <c r="F309" s="14">
        <v>5.2939814814814821E-2</v>
      </c>
      <c r="G309" s="28"/>
      <c r="J309" s="183">
        <f t="shared" ref="J309:J316" si="0">F309/12</f>
        <v>4.4116512345679015E-3</v>
      </c>
    </row>
    <row r="310" spans="1:10" hidden="1" outlineLevel="1">
      <c r="A310" s="28"/>
      <c r="B310" s="1">
        <v>6</v>
      </c>
      <c r="C310" s="12" t="s">
        <v>119</v>
      </c>
      <c r="D310" s="15" t="s">
        <v>375</v>
      </c>
      <c r="E310" s="13">
        <v>41745</v>
      </c>
      <c r="F310" s="14">
        <v>6.2569444444444441E-2</v>
      </c>
      <c r="G310" s="28"/>
      <c r="J310" s="183">
        <f t="shared" si="0"/>
        <v>5.2141203703703698E-3</v>
      </c>
    </row>
    <row r="311" spans="1:10" hidden="1" outlineLevel="1">
      <c r="A311" s="28"/>
      <c r="B311" s="1">
        <v>7</v>
      </c>
      <c r="C311" s="12" t="s">
        <v>120</v>
      </c>
      <c r="D311" s="15" t="s">
        <v>375</v>
      </c>
      <c r="E311" s="13">
        <v>41803</v>
      </c>
      <c r="F311" s="14">
        <v>6.8611111111111109E-2</v>
      </c>
      <c r="G311" s="28"/>
      <c r="J311" s="183">
        <f t="shared" si="0"/>
        <v>5.7175925925925927E-3</v>
      </c>
    </row>
    <row r="312" spans="1:10" hidden="1" outlineLevel="1">
      <c r="A312" s="28"/>
      <c r="B312" s="1">
        <v>8</v>
      </c>
      <c r="C312" s="12" t="s">
        <v>121</v>
      </c>
      <c r="D312" s="15" t="s">
        <v>375</v>
      </c>
      <c r="E312" s="13">
        <v>41811</v>
      </c>
      <c r="F312" s="14">
        <v>6.2824074074074074E-2</v>
      </c>
      <c r="G312" s="28"/>
      <c r="J312" s="183">
        <f t="shared" si="0"/>
        <v>5.2353395061728392E-3</v>
      </c>
    </row>
    <row r="313" spans="1:10" hidden="1" outlineLevel="1">
      <c r="A313" s="28"/>
      <c r="B313" s="1">
        <v>9</v>
      </c>
      <c r="C313" s="12" t="s">
        <v>122</v>
      </c>
      <c r="D313" s="15" t="s">
        <v>375</v>
      </c>
      <c r="E313" s="13">
        <v>41839</v>
      </c>
      <c r="F313" s="14">
        <v>5.842592592592593E-2</v>
      </c>
      <c r="G313" s="28"/>
      <c r="J313" s="183">
        <f t="shared" si="0"/>
        <v>4.8688271604938275E-3</v>
      </c>
    </row>
    <row r="314" spans="1:10" hidden="1" outlineLevel="1">
      <c r="A314" s="28"/>
      <c r="B314" s="1">
        <v>10</v>
      </c>
      <c r="C314" s="12" t="s">
        <v>123</v>
      </c>
      <c r="D314" s="15" t="s">
        <v>375</v>
      </c>
      <c r="E314" s="13">
        <v>41896</v>
      </c>
      <c r="F314" s="14">
        <v>7.2546296296296289E-2</v>
      </c>
      <c r="G314" s="28"/>
      <c r="J314" s="183">
        <f t="shared" si="0"/>
        <v>6.0455246913580238E-3</v>
      </c>
    </row>
    <row r="315" spans="1:10" hidden="1" outlineLevel="1">
      <c r="A315" s="28"/>
      <c r="B315" s="1">
        <v>11</v>
      </c>
      <c r="C315" s="12" t="s">
        <v>124</v>
      </c>
      <c r="D315" s="15" t="s">
        <v>375</v>
      </c>
      <c r="E315" s="13">
        <v>41917</v>
      </c>
      <c r="F315" s="14">
        <v>7.7581018518518521E-2</v>
      </c>
      <c r="G315" s="28"/>
      <c r="J315" s="183">
        <f t="shared" si="0"/>
        <v>6.4650848765432098E-3</v>
      </c>
    </row>
    <row r="316" spans="1:10" hidden="1" outlineLevel="1">
      <c r="A316" s="28"/>
      <c r="B316" s="1">
        <v>12</v>
      </c>
      <c r="C316" s="12" t="s">
        <v>125</v>
      </c>
      <c r="D316" s="15" t="s">
        <v>375</v>
      </c>
      <c r="E316" s="13">
        <v>41936</v>
      </c>
      <c r="F316" s="14">
        <v>7.6412037037037042E-2</v>
      </c>
      <c r="G316" s="28"/>
      <c r="J316" s="183">
        <f t="shared" si="0"/>
        <v>6.3676697530864199E-3</v>
      </c>
    </row>
    <row r="317" spans="1:10" hidden="1" outlineLevel="1">
      <c r="A317" s="28"/>
      <c r="B317" s="1">
        <v>13</v>
      </c>
      <c r="C317" s="12" t="s">
        <v>126</v>
      </c>
      <c r="D317" s="15" t="s">
        <v>377</v>
      </c>
      <c r="E317" s="13">
        <v>41959</v>
      </c>
      <c r="F317" s="14">
        <v>6.2141203703703705E-2</v>
      </c>
      <c r="G317" s="28"/>
      <c r="J317" s="183">
        <f>F317/8</f>
        <v>7.7676504629629632E-3</v>
      </c>
    </row>
    <row r="318" spans="1:10" hidden="1" outlineLevel="1">
      <c r="A318" s="28"/>
      <c r="B318" s="1">
        <v>14</v>
      </c>
      <c r="C318" s="12" t="s">
        <v>127</v>
      </c>
      <c r="D318" s="15" t="s">
        <v>377</v>
      </c>
      <c r="E318" s="13">
        <v>41980</v>
      </c>
      <c r="F318" s="14">
        <v>6.6921296296296298E-2</v>
      </c>
      <c r="G318" s="28"/>
      <c r="J318" s="183">
        <f>F318/8</f>
        <v>8.3651620370370373E-3</v>
      </c>
    </row>
    <row r="319" spans="1:10" hidden="1" outlineLevel="1">
      <c r="A319" s="28"/>
      <c r="B319" s="1">
        <v>15</v>
      </c>
      <c r="C319" s="12" t="s">
        <v>128</v>
      </c>
      <c r="D319" s="15" t="s">
        <v>377</v>
      </c>
      <c r="E319" s="13">
        <v>42022</v>
      </c>
      <c r="F319" s="14">
        <v>8.0277777777777781E-2</v>
      </c>
      <c r="G319" s="28"/>
      <c r="J319" s="183">
        <f>F319/8</f>
        <v>1.0034722222222223E-2</v>
      </c>
    </row>
    <row r="320" spans="1:10" hidden="1" outlineLevel="1">
      <c r="A320" s="28"/>
      <c r="B320" s="1">
        <v>16</v>
      </c>
      <c r="C320" s="12" t="s">
        <v>129</v>
      </c>
      <c r="D320" s="15" t="s">
        <v>376</v>
      </c>
      <c r="E320" s="13">
        <v>42050</v>
      </c>
      <c r="F320" s="14">
        <v>8.8171296296296289E-2</v>
      </c>
      <c r="G320" s="28"/>
      <c r="J320" s="183">
        <f>F320/6</f>
        <v>1.4695216049382715E-2</v>
      </c>
    </row>
    <row r="321" spans="1:12" hidden="1" outlineLevel="1">
      <c r="A321" s="28"/>
      <c r="B321" s="1">
        <v>17</v>
      </c>
      <c r="C321" s="12" t="s">
        <v>130</v>
      </c>
      <c r="D321" s="15" t="s">
        <v>376</v>
      </c>
      <c r="E321" s="13">
        <v>42064</v>
      </c>
      <c r="F321" s="14">
        <v>9.7222222222222224E-2</v>
      </c>
      <c r="G321" s="28"/>
      <c r="J321" s="183">
        <f>F321/6</f>
        <v>1.6203703703703703E-2</v>
      </c>
    </row>
    <row r="322" spans="1:12" hidden="1" outlineLevel="1">
      <c r="A322" s="28"/>
      <c r="B322" s="1">
        <v>18</v>
      </c>
      <c r="C322" s="12" t="s">
        <v>131</v>
      </c>
      <c r="D322" s="15" t="s">
        <v>376</v>
      </c>
      <c r="E322" s="13">
        <v>42092</v>
      </c>
      <c r="F322" s="14">
        <v>9.1180555555555556E-2</v>
      </c>
      <c r="G322" s="28"/>
      <c r="J322" s="183">
        <f>F322/6</f>
        <v>1.5196759259259259E-2</v>
      </c>
    </row>
    <row r="323" spans="1:12" hidden="1" outlineLevel="1">
      <c r="A323" s="28"/>
      <c r="B323" s="1">
        <v>19</v>
      </c>
      <c r="C323" s="12" t="s">
        <v>132</v>
      </c>
      <c r="D323" s="15" t="s">
        <v>376</v>
      </c>
      <c r="E323" s="13">
        <v>42106</v>
      </c>
      <c r="F323" s="14">
        <v>0.10817129629629629</v>
      </c>
      <c r="G323" s="28"/>
      <c r="J323" s="183">
        <f>F323/6</f>
        <v>1.8028549382716048E-2</v>
      </c>
    </row>
    <row r="324" spans="1:12" hidden="1" outlineLevel="1">
      <c r="A324" s="28"/>
      <c r="B324" s="1">
        <v>20</v>
      </c>
      <c r="C324" s="12" t="s">
        <v>133</v>
      </c>
      <c r="D324" s="2">
        <v>175</v>
      </c>
      <c r="E324" s="13">
        <v>42154</v>
      </c>
      <c r="F324" s="14">
        <v>6.4456018518518524E-2</v>
      </c>
      <c r="G324" s="28"/>
      <c r="J324" t="s">
        <v>198</v>
      </c>
    </row>
    <row r="325" spans="1:12" hidden="1" outlineLevel="1">
      <c r="A325" s="28"/>
      <c r="B325" s="1">
        <v>21</v>
      </c>
      <c r="C325" s="12" t="s">
        <v>135</v>
      </c>
      <c r="D325" s="2">
        <v>0</v>
      </c>
      <c r="E325" s="13">
        <v>42368</v>
      </c>
      <c r="F325" s="14">
        <v>6.4965277777777775E-2</v>
      </c>
      <c r="G325" s="28"/>
      <c r="J325" t="s">
        <v>198</v>
      </c>
    </row>
    <row r="326" spans="1:12" hidden="1" outlineLevel="1">
      <c r="A326" s="28"/>
      <c r="B326" s="7">
        <v>22</v>
      </c>
      <c r="C326" s="16" t="s">
        <v>136</v>
      </c>
      <c r="D326" s="9">
        <v>0</v>
      </c>
      <c r="E326" s="17">
        <v>42750</v>
      </c>
      <c r="F326" s="18">
        <v>0.12805555555555556</v>
      </c>
      <c r="G326" s="28"/>
      <c r="J326" t="s">
        <v>198</v>
      </c>
    </row>
    <row r="327" spans="1:12" ht="0.75" customHeight="1">
      <c r="A327" s="28"/>
      <c r="B327" s="40"/>
      <c r="C327" s="42"/>
      <c r="D327" s="35"/>
      <c r="E327" s="43"/>
      <c r="F327" s="44"/>
      <c r="G327" s="28"/>
      <c r="J327" t="s">
        <v>198</v>
      </c>
      <c r="L327" s="181"/>
    </row>
    <row r="328" spans="1:12" collapsed="1">
      <c r="A328" s="28"/>
      <c r="B328" s="33"/>
      <c r="C328" s="34" t="s">
        <v>234</v>
      </c>
      <c r="D328" s="34"/>
      <c r="E328" s="34"/>
      <c r="F328" s="186"/>
      <c r="G328" s="45"/>
    </row>
    <row r="329" spans="1:12" hidden="1" outlineLevel="1">
      <c r="A329" s="28"/>
      <c r="B329" s="69" t="s">
        <v>235</v>
      </c>
      <c r="C329" s="24" t="s">
        <v>378</v>
      </c>
      <c r="D329" s="24" t="s">
        <v>4</v>
      </c>
      <c r="E329" s="139" t="s">
        <v>8</v>
      </c>
      <c r="F329" s="68" t="s">
        <v>7</v>
      </c>
      <c r="G329" s="38"/>
    </row>
    <row r="330" spans="1:12" hidden="1" outlineLevel="1">
      <c r="A330" s="28"/>
      <c r="B330" s="64" t="s">
        <v>221</v>
      </c>
      <c r="C330" s="5" t="s">
        <v>890</v>
      </c>
      <c r="D330" s="2">
        <v>32</v>
      </c>
      <c r="E330" s="3">
        <v>42106</v>
      </c>
      <c r="F330" s="4">
        <v>1.6898148148148148E-2</v>
      </c>
      <c r="G330" s="28"/>
      <c r="I330" s="179" t="s">
        <v>236</v>
      </c>
      <c r="J330" t="s">
        <v>198</v>
      </c>
      <c r="K330" s="180">
        <f>SUM(F309:F323)</f>
        <v>1.1259953703703705</v>
      </c>
    </row>
    <row r="331" spans="1:12" hidden="1" outlineLevel="1">
      <c r="A331" s="28"/>
      <c r="B331" s="64" t="s">
        <v>222</v>
      </c>
      <c r="C331" s="5" t="s">
        <v>889</v>
      </c>
      <c r="D331" s="2">
        <v>41</v>
      </c>
      <c r="E331" s="3">
        <v>42106</v>
      </c>
      <c r="F331" s="4">
        <v>1.695601851851852E-2</v>
      </c>
      <c r="G331" s="28"/>
      <c r="I331" s="179" t="s">
        <v>237</v>
      </c>
      <c r="J331" t="s">
        <v>198</v>
      </c>
      <c r="K331" s="182">
        <f>SUM(F309:F323)/143</f>
        <v>7.8740934990934996E-3</v>
      </c>
    </row>
    <row r="332" spans="1:12" hidden="1" outlineLevel="1">
      <c r="A332" s="28"/>
      <c r="B332" s="64" t="s">
        <v>223</v>
      </c>
      <c r="C332" s="5" t="s">
        <v>888</v>
      </c>
      <c r="D332" s="2">
        <v>8</v>
      </c>
      <c r="E332" s="3">
        <v>42106</v>
      </c>
      <c r="F332" s="4">
        <v>1.5509259259259257E-2</v>
      </c>
      <c r="G332" s="28"/>
      <c r="I332" s="179" t="s">
        <v>1337</v>
      </c>
      <c r="J332" t="s">
        <v>198</v>
      </c>
      <c r="K332" s="180">
        <f>SUM(F309:F324)</f>
        <v>1.190451388888889</v>
      </c>
    </row>
    <row r="333" spans="1:12" hidden="1" outlineLevel="1">
      <c r="A333" s="28"/>
      <c r="B333" s="64" t="s">
        <v>224</v>
      </c>
      <c r="C333" s="5" t="s">
        <v>887</v>
      </c>
      <c r="D333" s="2">
        <v>61</v>
      </c>
      <c r="E333" s="3">
        <v>42106</v>
      </c>
      <c r="F333" s="4">
        <v>1.3888888888888888E-2</v>
      </c>
      <c r="G333" s="28"/>
      <c r="I333" s="179" t="s">
        <v>1338</v>
      </c>
      <c r="J333" t="s">
        <v>198</v>
      </c>
      <c r="K333" s="182">
        <f>SUM(F309:F324)/144</f>
        <v>8.2670235339506182E-3</v>
      </c>
    </row>
    <row r="334" spans="1:12" hidden="1" outlineLevel="1">
      <c r="A334" s="28"/>
      <c r="B334" s="64" t="s">
        <v>225</v>
      </c>
      <c r="C334" s="5" t="s">
        <v>886</v>
      </c>
      <c r="D334" s="2">
        <v>21</v>
      </c>
      <c r="E334" s="3">
        <v>42106</v>
      </c>
      <c r="F334" s="4">
        <v>1.4004629629629631E-2</v>
      </c>
      <c r="G334" s="28"/>
      <c r="J334" t="s">
        <v>198</v>
      </c>
    </row>
    <row r="335" spans="1:12" hidden="1" outlineLevel="1">
      <c r="A335" s="28"/>
      <c r="B335" s="64" t="s">
        <v>226</v>
      </c>
      <c r="C335" s="5" t="s">
        <v>885</v>
      </c>
      <c r="D335" s="2">
        <v>2</v>
      </c>
      <c r="E335" s="3">
        <v>42106</v>
      </c>
      <c r="F335" s="4">
        <v>1.545138888888889E-2</v>
      </c>
      <c r="G335" s="28"/>
      <c r="J335" t="s">
        <v>198</v>
      </c>
    </row>
    <row r="336" spans="1:12" hidden="1" outlineLevel="1">
      <c r="A336" s="28"/>
      <c r="B336" s="64" t="s">
        <v>227</v>
      </c>
      <c r="C336" s="5" t="s">
        <v>892</v>
      </c>
      <c r="D336" s="2">
        <v>105</v>
      </c>
      <c r="E336" s="3">
        <v>42092</v>
      </c>
      <c r="F336" s="4">
        <v>1.3773148148148147E-2</v>
      </c>
      <c r="G336" s="28"/>
      <c r="J336" t="s">
        <v>198</v>
      </c>
    </row>
    <row r="337" spans="1:10" hidden="1" outlineLevel="1">
      <c r="A337" s="28"/>
      <c r="B337" s="64" t="s">
        <v>228</v>
      </c>
      <c r="C337" s="5" t="s">
        <v>893</v>
      </c>
      <c r="D337" s="2">
        <v>7</v>
      </c>
      <c r="E337" s="3">
        <v>42092</v>
      </c>
      <c r="F337" s="4">
        <v>1.1458333333333334E-2</v>
      </c>
      <c r="G337" s="28"/>
      <c r="J337" t="s">
        <v>198</v>
      </c>
    </row>
    <row r="338" spans="1:10" hidden="1" outlineLevel="1">
      <c r="A338" s="28"/>
      <c r="B338" s="64" t="s">
        <v>229</v>
      </c>
      <c r="C338" s="5" t="s">
        <v>894</v>
      </c>
      <c r="D338" s="2">
        <v>62</v>
      </c>
      <c r="E338" s="3">
        <v>42092</v>
      </c>
      <c r="F338" s="4">
        <v>1.8402777777777778E-2</v>
      </c>
      <c r="G338" s="28"/>
      <c r="J338" t="s">
        <v>198</v>
      </c>
    </row>
    <row r="339" spans="1:10" hidden="1" outlineLevel="1">
      <c r="A339" s="28"/>
      <c r="B339" s="64" t="s">
        <v>230</v>
      </c>
      <c r="C339" s="5" t="s">
        <v>895</v>
      </c>
      <c r="D339" s="2">
        <v>45</v>
      </c>
      <c r="E339" s="3">
        <v>42092</v>
      </c>
      <c r="F339" s="4">
        <v>1.2094907407407408E-2</v>
      </c>
      <c r="G339" s="28"/>
      <c r="J339" t="s">
        <v>198</v>
      </c>
    </row>
    <row r="340" spans="1:10" hidden="1" outlineLevel="1">
      <c r="A340" s="28"/>
      <c r="B340" s="64" t="s">
        <v>231</v>
      </c>
      <c r="C340" s="5" t="s">
        <v>896</v>
      </c>
      <c r="D340" s="2">
        <v>35</v>
      </c>
      <c r="E340" s="3">
        <v>42092</v>
      </c>
      <c r="F340" s="4">
        <v>1.3599537037037037E-2</v>
      </c>
      <c r="G340" s="28"/>
      <c r="J340" t="s">
        <v>198</v>
      </c>
    </row>
    <row r="341" spans="1:10" hidden="1" outlineLevel="1">
      <c r="A341" s="28"/>
      <c r="B341" s="64" t="s">
        <v>232</v>
      </c>
      <c r="C341" s="5" t="s">
        <v>891</v>
      </c>
      <c r="D341" s="2">
        <v>63</v>
      </c>
      <c r="E341" s="3">
        <v>42092</v>
      </c>
      <c r="F341" s="4">
        <v>1.8287037037037036E-2</v>
      </c>
      <c r="G341" s="28"/>
      <c r="J341" t="s">
        <v>198</v>
      </c>
    </row>
    <row r="342" spans="1:10" hidden="1" outlineLevel="1">
      <c r="A342" s="28"/>
      <c r="B342" s="64" t="s">
        <v>233</v>
      </c>
      <c r="C342" s="5" t="s">
        <v>897</v>
      </c>
      <c r="D342" s="2">
        <v>3</v>
      </c>
      <c r="E342" s="3">
        <v>42064</v>
      </c>
      <c r="F342" s="4">
        <v>1.40625E-2</v>
      </c>
      <c r="G342" s="28"/>
      <c r="J342" t="s">
        <v>198</v>
      </c>
    </row>
    <row r="343" spans="1:10" hidden="1" outlineLevel="1">
      <c r="A343" s="28"/>
      <c r="B343" s="64" t="s">
        <v>238</v>
      </c>
      <c r="C343" s="5" t="s">
        <v>898</v>
      </c>
      <c r="D343" s="2">
        <v>25</v>
      </c>
      <c r="E343" s="3">
        <v>42064</v>
      </c>
      <c r="F343" s="4">
        <v>1.0416666666666666E-2</v>
      </c>
      <c r="G343" s="28"/>
      <c r="J343" t="s">
        <v>198</v>
      </c>
    </row>
    <row r="344" spans="1:10" hidden="1" outlineLevel="1">
      <c r="A344" s="28"/>
      <c r="B344" s="64" t="s">
        <v>239</v>
      </c>
      <c r="C344" s="5" t="s">
        <v>899</v>
      </c>
      <c r="D344" s="2">
        <v>17</v>
      </c>
      <c r="E344" s="3">
        <v>42064</v>
      </c>
      <c r="F344" s="4">
        <v>1.4293981481481482E-2</v>
      </c>
      <c r="G344" s="28"/>
      <c r="J344" t="s">
        <v>198</v>
      </c>
    </row>
    <row r="345" spans="1:10" hidden="1" outlineLevel="1">
      <c r="A345" s="28"/>
      <c r="B345" s="64" t="s">
        <v>240</v>
      </c>
      <c r="C345" s="5" t="s">
        <v>900</v>
      </c>
      <c r="D345" s="2">
        <v>54</v>
      </c>
      <c r="E345" s="3">
        <v>42064</v>
      </c>
      <c r="F345" s="4">
        <v>2.071759259259259E-2</v>
      </c>
      <c r="G345" s="28"/>
      <c r="J345" t="s">
        <v>198</v>
      </c>
    </row>
    <row r="346" spans="1:10" hidden="1" outlineLevel="1">
      <c r="A346" s="28"/>
      <c r="B346" s="64" t="s">
        <v>241</v>
      </c>
      <c r="C346" s="5" t="s">
        <v>901</v>
      </c>
      <c r="D346" s="2">
        <v>56</v>
      </c>
      <c r="E346" s="3">
        <v>42064</v>
      </c>
      <c r="F346" s="4">
        <v>2.1238425925925924E-2</v>
      </c>
      <c r="G346" s="28"/>
      <c r="J346" t="s">
        <v>198</v>
      </c>
    </row>
    <row r="347" spans="1:10" hidden="1" outlineLevel="1">
      <c r="A347" s="28"/>
      <c r="B347" s="64" t="s">
        <v>242</v>
      </c>
      <c r="C347" s="5" t="s">
        <v>902</v>
      </c>
      <c r="D347" s="2">
        <v>26</v>
      </c>
      <c r="E347" s="3">
        <v>42064</v>
      </c>
      <c r="F347" s="4">
        <v>1.2847222222222223E-2</v>
      </c>
      <c r="G347" s="28"/>
      <c r="J347" t="s">
        <v>198</v>
      </c>
    </row>
    <row r="348" spans="1:10" hidden="1" outlineLevel="1">
      <c r="A348" s="28"/>
      <c r="B348" s="64" t="s">
        <v>243</v>
      </c>
      <c r="C348" s="5" t="s">
        <v>903</v>
      </c>
      <c r="D348" s="6" t="s">
        <v>369</v>
      </c>
      <c r="E348" s="3">
        <v>42050</v>
      </c>
      <c r="F348" s="4">
        <v>2.193287037037037E-2</v>
      </c>
      <c r="G348" s="28"/>
      <c r="J348" t="s">
        <v>198</v>
      </c>
    </row>
    <row r="349" spans="1:10" hidden="1" outlineLevel="1">
      <c r="A349" s="28"/>
      <c r="B349" s="64" t="s">
        <v>244</v>
      </c>
      <c r="C349" s="5" t="s">
        <v>904</v>
      </c>
      <c r="D349" s="2">
        <v>18</v>
      </c>
      <c r="E349" s="3">
        <v>42050</v>
      </c>
      <c r="F349" s="4">
        <v>1.2094907407407408E-2</v>
      </c>
      <c r="G349" s="28"/>
      <c r="J349" t="s">
        <v>198</v>
      </c>
    </row>
    <row r="350" spans="1:10" hidden="1" outlineLevel="1">
      <c r="A350" s="28"/>
      <c r="B350" s="64" t="s">
        <v>245</v>
      </c>
      <c r="C350" s="5" t="s">
        <v>905</v>
      </c>
      <c r="D350" s="2">
        <v>76</v>
      </c>
      <c r="E350" s="3">
        <v>42050</v>
      </c>
      <c r="F350" s="4">
        <v>1.3194444444444444E-2</v>
      </c>
      <c r="G350" s="28"/>
      <c r="J350" t="s">
        <v>198</v>
      </c>
    </row>
    <row r="351" spans="1:10" hidden="1" outlineLevel="1">
      <c r="A351" s="28"/>
      <c r="B351" s="64" t="s">
        <v>246</v>
      </c>
      <c r="C351" s="5" t="s">
        <v>906</v>
      </c>
      <c r="D351" s="2">
        <v>37</v>
      </c>
      <c r="E351" s="3">
        <v>42050</v>
      </c>
      <c r="F351" s="4">
        <v>1.0416666666666666E-2</v>
      </c>
      <c r="G351" s="28"/>
      <c r="J351" t="s">
        <v>198</v>
      </c>
    </row>
    <row r="352" spans="1:10" hidden="1" outlineLevel="1">
      <c r="A352" s="28"/>
      <c r="B352" s="64" t="s">
        <v>247</v>
      </c>
      <c r="C352" s="5" t="s">
        <v>907</v>
      </c>
      <c r="D352" s="2">
        <v>85</v>
      </c>
      <c r="E352" s="3">
        <v>42050</v>
      </c>
      <c r="F352" s="4">
        <v>1.3310185185185187E-2</v>
      </c>
      <c r="G352" s="28"/>
      <c r="J352" t="s">
        <v>198</v>
      </c>
    </row>
    <row r="353" spans="1:10" hidden="1" outlineLevel="1">
      <c r="A353" s="28"/>
      <c r="B353" s="64" t="s">
        <v>248</v>
      </c>
      <c r="C353" s="5" t="s">
        <v>908</v>
      </c>
      <c r="D353" s="2">
        <v>47</v>
      </c>
      <c r="E353" s="3">
        <v>42050</v>
      </c>
      <c r="F353" s="4">
        <v>1.3599537037037037E-2</v>
      </c>
      <c r="G353" s="28"/>
      <c r="J353" t="s">
        <v>198</v>
      </c>
    </row>
    <row r="354" spans="1:10" hidden="1" outlineLevel="1">
      <c r="A354" s="28"/>
      <c r="B354" s="64" t="s">
        <v>249</v>
      </c>
      <c r="C354" s="5" t="s">
        <v>909</v>
      </c>
      <c r="D354" s="2">
        <v>97</v>
      </c>
      <c r="E354" s="13">
        <v>42022</v>
      </c>
      <c r="F354" s="4">
        <v>9.8958333333333329E-3</v>
      </c>
      <c r="G354" s="28"/>
      <c r="J354" t="s">
        <v>198</v>
      </c>
    </row>
    <row r="355" spans="1:10" hidden="1" outlineLevel="1">
      <c r="A355" s="28"/>
      <c r="B355" s="64" t="s">
        <v>250</v>
      </c>
      <c r="C355" s="5" t="s">
        <v>910</v>
      </c>
      <c r="D355" s="2">
        <v>99</v>
      </c>
      <c r="E355" s="13">
        <v>42022</v>
      </c>
      <c r="F355" s="4">
        <v>1.3368055555555557E-2</v>
      </c>
      <c r="G355" s="28"/>
      <c r="J355" t="s">
        <v>198</v>
      </c>
    </row>
    <row r="356" spans="1:10" hidden="1" outlineLevel="1">
      <c r="A356" s="28"/>
      <c r="B356" s="64" t="s">
        <v>251</v>
      </c>
      <c r="C356" s="5" t="s">
        <v>911</v>
      </c>
      <c r="D356" s="2">
        <v>15</v>
      </c>
      <c r="E356" s="13">
        <v>42022</v>
      </c>
      <c r="F356" s="4">
        <v>8.1018518518518514E-3</v>
      </c>
      <c r="G356" s="28"/>
      <c r="J356" t="s">
        <v>198</v>
      </c>
    </row>
    <row r="357" spans="1:10" hidden="1" outlineLevel="1">
      <c r="A357" s="28"/>
      <c r="B357" s="64" t="s">
        <v>252</v>
      </c>
      <c r="C357" s="5" t="s">
        <v>912</v>
      </c>
      <c r="D357" s="2">
        <v>73</v>
      </c>
      <c r="E357" s="13">
        <v>42022</v>
      </c>
      <c r="F357" s="4">
        <v>9.432870370370371E-3</v>
      </c>
      <c r="G357" s="28"/>
      <c r="J357" t="s">
        <v>198</v>
      </c>
    </row>
    <row r="358" spans="1:10" hidden="1" outlineLevel="1">
      <c r="A358" s="28"/>
      <c r="B358" s="64" t="s">
        <v>253</v>
      </c>
      <c r="C358" s="5" t="s">
        <v>913</v>
      </c>
      <c r="D358" s="2">
        <v>111</v>
      </c>
      <c r="E358" s="13">
        <v>42022</v>
      </c>
      <c r="F358" s="4">
        <v>7.0023148148148154E-3</v>
      </c>
      <c r="G358" s="28"/>
      <c r="J358" t="s">
        <v>198</v>
      </c>
    </row>
    <row r="359" spans="1:10" hidden="1" outlineLevel="1">
      <c r="A359" s="28"/>
      <c r="B359" s="64" t="s">
        <v>254</v>
      </c>
      <c r="C359" s="5" t="s">
        <v>914</v>
      </c>
      <c r="D359" s="2">
        <v>100</v>
      </c>
      <c r="E359" s="13">
        <v>42022</v>
      </c>
      <c r="F359" s="4">
        <v>1.0127314814814815E-2</v>
      </c>
      <c r="G359" s="28"/>
      <c r="J359" t="s">
        <v>198</v>
      </c>
    </row>
    <row r="360" spans="1:10" hidden="1" outlineLevel="1">
      <c r="A360" s="28"/>
      <c r="B360" s="64" t="s">
        <v>255</v>
      </c>
      <c r="C360" s="5" t="s">
        <v>915</v>
      </c>
      <c r="D360" s="2">
        <v>67</v>
      </c>
      <c r="E360" s="13">
        <v>42022</v>
      </c>
      <c r="F360" s="4">
        <v>1.1805555555555555E-2</v>
      </c>
      <c r="G360" s="28"/>
      <c r="J360" t="s">
        <v>198</v>
      </c>
    </row>
    <row r="361" spans="1:10" hidden="1" outlineLevel="1">
      <c r="A361" s="28"/>
      <c r="B361" s="64" t="s">
        <v>256</v>
      </c>
      <c r="C361" s="5" t="s">
        <v>916</v>
      </c>
      <c r="D361" s="2">
        <v>74</v>
      </c>
      <c r="E361" s="13">
        <v>42022</v>
      </c>
      <c r="F361" s="4">
        <v>8.3912037037037045E-3</v>
      </c>
      <c r="G361" s="28"/>
      <c r="J361" t="s">
        <v>198</v>
      </c>
    </row>
    <row r="362" spans="1:10" hidden="1" outlineLevel="1">
      <c r="A362" s="28"/>
      <c r="B362" s="64" t="s">
        <v>257</v>
      </c>
      <c r="C362" s="5" t="s">
        <v>917</v>
      </c>
      <c r="D362" s="2">
        <v>49</v>
      </c>
      <c r="E362" s="13">
        <v>41980</v>
      </c>
      <c r="F362" s="4">
        <v>5.9027777777777776E-3</v>
      </c>
      <c r="G362" s="28"/>
      <c r="J362" t="s">
        <v>198</v>
      </c>
    </row>
    <row r="363" spans="1:10" hidden="1" outlineLevel="1">
      <c r="A363" s="28"/>
      <c r="B363" s="64" t="s">
        <v>258</v>
      </c>
      <c r="C363" s="5" t="s">
        <v>918</v>
      </c>
      <c r="D363" s="2">
        <v>24</v>
      </c>
      <c r="E363" s="13">
        <v>41980</v>
      </c>
      <c r="F363" s="4">
        <v>1.0532407407407407E-2</v>
      </c>
      <c r="G363" s="28"/>
      <c r="J363" t="s">
        <v>198</v>
      </c>
    </row>
    <row r="364" spans="1:10" hidden="1" outlineLevel="1">
      <c r="A364" s="28"/>
      <c r="B364" s="64" t="s">
        <v>259</v>
      </c>
      <c r="C364" s="5" t="s">
        <v>919</v>
      </c>
      <c r="D364" s="2">
        <v>98</v>
      </c>
      <c r="E364" s="13">
        <v>41980</v>
      </c>
      <c r="F364" s="4">
        <v>8.2754629629629619E-3</v>
      </c>
      <c r="G364" s="28"/>
      <c r="J364" t="s">
        <v>198</v>
      </c>
    </row>
    <row r="365" spans="1:10" hidden="1" outlineLevel="1">
      <c r="A365" s="28"/>
      <c r="B365" s="64" t="s">
        <v>260</v>
      </c>
      <c r="C365" s="5" t="s">
        <v>920</v>
      </c>
      <c r="D365" s="2">
        <v>119</v>
      </c>
      <c r="E365" s="13">
        <v>41980</v>
      </c>
      <c r="F365" s="4">
        <v>7.5810185185185182E-3</v>
      </c>
      <c r="G365" s="28"/>
      <c r="J365" t="s">
        <v>198</v>
      </c>
    </row>
    <row r="366" spans="1:10" hidden="1" outlineLevel="1">
      <c r="A366" s="28"/>
      <c r="B366" s="64" t="s">
        <v>261</v>
      </c>
      <c r="C366" s="5" t="s">
        <v>921</v>
      </c>
      <c r="D366" s="2">
        <v>12</v>
      </c>
      <c r="E366" s="13">
        <v>41980</v>
      </c>
      <c r="F366" s="4">
        <v>7.4074074074074068E-3</v>
      </c>
      <c r="G366" s="28"/>
      <c r="J366" t="s">
        <v>198</v>
      </c>
    </row>
    <row r="367" spans="1:10" hidden="1" outlineLevel="1">
      <c r="A367" s="28"/>
      <c r="B367" s="64" t="s">
        <v>262</v>
      </c>
      <c r="C367" s="5" t="s">
        <v>922</v>
      </c>
      <c r="D367" s="2">
        <v>23</v>
      </c>
      <c r="E367" s="13">
        <v>41980</v>
      </c>
      <c r="F367" s="4">
        <v>8.2754629629629619E-3</v>
      </c>
      <c r="G367" s="28"/>
      <c r="J367" t="s">
        <v>198</v>
      </c>
    </row>
    <row r="368" spans="1:10" hidden="1" outlineLevel="1">
      <c r="A368" s="28"/>
      <c r="B368" s="64" t="s">
        <v>263</v>
      </c>
      <c r="C368" s="5" t="s">
        <v>923</v>
      </c>
      <c r="D368" s="2">
        <v>10</v>
      </c>
      <c r="E368" s="13">
        <v>41980</v>
      </c>
      <c r="F368" s="4">
        <v>6.6550925925925935E-3</v>
      </c>
      <c r="G368" s="28"/>
      <c r="J368" t="s">
        <v>198</v>
      </c>
    </row>
    <row r="369" spans="1:10" hidden="1" outlineLevel="1">
      <c r="A369" s="28"/>
      <c r="B369" s="64" t="s">
        <v>264</v>
      </c>
      <c r="C369" s="5" t="s">
        <v>924</v>
      </c>
      <c r="D369" s="2">
        <v>64</v>
      </c>
      <c r="E369" s="13">
        <v>41980</v>
      </c>
      <c r="F369" s="4">
        <v>7.9282407407407409E-3</v>
      </c>
      <c r="G369" s="28"/>
      <c r="J369" t="s">
        <v>198</v>
      </c>
    </row>
    <row r="370" spans="1:10" hidden="1" outlineLevel="1">
      <c r="A370" s="28"/>
      <c r="B370" s="64" t="s">
        <v>265</v>
      </c>
      <c r="C370" s="5" t="s">
        <v>925</v>
      </c>
      <c r="D370" s="2">
        <v>91</v>
      </c>
      <c r="E370" s="13">
        <v>41959</v>
      </c>
      <c r="F370" s="4">
        <v>1.0243055555555556E-2</v>
      </c>
      <c r="G370" s="28"/>
      <c r="J370" t="s">
        <v>198</v>
      </c>
    </row>
    <row r="371" spans="1:10" hidden="1" outlineLevel="1">
      <c r="A371" s="28"/>
      <c r="B371" s="64" t="s">
        <v>266</v>
      </c>
      <c r="C371" s="5" t="s">
        <v>926</v>
      </c>
      <c r="D371" s="2">
        <v>19</v>
      </c>
      <c r="E371" s="13">
        <v>41959</v>
      </c>
      <c r="F371" s="4">
        <v>5.5555555555555558E-3</v>
      </c>
      <c r="G371" s="28"/>
      <c r="J371" t="s">
        <v>198</v>
      </c>
    </row>
    <row r="372" spans="1:10" hidden="1" outlineLevel="1">
      <c r="A372" s="28"/>
      <c r="B372" s="64" t="s">
        <v>267</v>
      </c>
      <c r="C372" s="5" t="s">
        <v>927</v>
      </c>
      <c r="D372" s="2">
        <v>84</v>
      </c>
      <c r="E372" s="13">
        <v>41959</v>
      </c>
      <c r="F372" s="4">
        <v>9.2592592592592605E-3</v>
      </c>
      <c r="G372" s="28"/>
      <c r="J372" t="s">
        <v>198</v>
      </c>
    </row>
    <row r="373" spans="1:10" hidden="1" outlineLevel="1">
      <c r="A373" s="28"/>
      <c r="B373" s="64" t="s">
        <v>268</v>
      </c>
      <c r="C373" s="5" t="s">
        <v>928</v>
      </c>
      <c r="D373" s="2">
        <v>48</v>
      </c>
      <c r="E373" s="13">
        <v>41959</v>
      </c>
      <c r="F373" s="4">
        <v>9.0277777777777787E-3</v>
      </c>
      <c r="G373" s="28"/>
      <c r="J373" t="s">
        <v>198</v>
      </c>
    </row>
    <row r="374" spans="1:10" hidden="1" outlineLevel="1">
      <c r="A374" s="28"/>
      <c r="B374" s="64" t="s">
        <v>269</v>
      </c>
      <c r="C374" s="5" t="s">
        <v>929</v>
      </c>
      <c r="D374" s="2">
        <v>71</v>
      </c>
      <c r="E374" s="13">
        <v>41959</v>
      </c>
      <c r="F374" s="4">
        <v>6.4814814814814813E-3</v>
      </c>
      <c r="G374" s="28"/>
      <c r="J374" t="s">
        <v>198</v>
      </c>
    </row>
    <row r="375" spans="1:10" hidden="1" outlineLevel="1">
      <c r="A375" s="28"/>
      <c r="B375" s="64" t="s">
        <v>270</v>
      </c>
      <c r="C375" s="5" t="s">
        <v>930</v>
      </c>
      <c r="D375" s="2">
        <v>57</v>
      </c>
      <c r="E375" s="13">
        <v>41959</v>
      </c>
      <c r="F375" s="4">
        <v>7.5810185185185182E-3</v>
      </c>
      <c r="G375" s="28"/>
      <c r="J375" t="s">
        <v>198</v>
      </c>
    </row>
    <row r="376" spans="1:10" hidden="1" outlineLevel="1">
      <c r="A376" s="28"/>
      <c r="B376" s="64" t="s">
        <v>271</v>
      </c>
      <c r="C376" s="5" t="s">
        <v>931</v>
      </c>
      <c r="D376" s="2">
        <v>136</v>
      </c>
      <c r="E376" s="13">
        <v>41959</v>
      </c>
      <c r="F376" s="4">
        <v>6.076388888888889E-3</v>
      </c>
      <c r="G376" s="28"/>
      <c r="J376" t="s">
        <v>198</v>
      </c>
    </row>
    <row r="377" spans="1:10" hidden="1" outlineLevel="1">
      <c r="A377" s="28"/>
      <c r="B377" s="64" t="s">
        <v>272</v>
      </c>
      <c r="C377" s="5" t="s">
        <v>932</v>
      </c>
      <c r="D377" s="2">
        <v>70</v>
      </c>
      <c r="E377" s="13">
        <v>41959</v>
      </c>
      <c r="F377" s="4">
        <v>6.6550925925925935E-3</v>
      </c>
      <c r="G377" s="28"/>
      <c r="J377" t="s">
        <v>198</v>
      </c>
    </row>
    <row r="378" spans="1:10" hidden="1" outlineLevel="1">
      <c r="A378" s="28"/>
      <c r="B378" s="64" t="s">
        <v>273</v>
      </c>
      <c r="C378" s="5" t="s">
        <v>933</v>
      </c>
      <c r="D378" s="2">
        <v>86</v>
      </c>
      <c r="E378" s="13">
        <v>41936</v>
      </c>
      <c r="F378" s="124">
        <v>5.2083333333333287E-3</v>
      </c>
      <c r="G378" s="28"/>
      <c r="J378" t="s">
        <v>198</v>
      </c>
    </row>
    <row r="379" spans="1:10" hidden="1" outlineLevel="1">
      <c r="A379" s="28"/>
      <c r="B379" s="64" t="s">
        <v>274</v>
      </c>
      <c r="C379" s="5" t="s">
        <v>934</v>
      </c>
      <c r="D379" s="2">
        <v>1</v>
      </c>
      <c r="E379" s="13">
        <v>41936</v>
      </c>
      <c r="F379" s="124">
        <v>5.4976851851852027E-3</v>
      </c>
      <c r="G379" s="28"/>
      <c r="J379" t="s">
        <v>198</v>
      </c>
    </row>
    <row r="380" spans="1:10" hidden="1" outlineLevel="1">
      <c r="A380" s="28"/>
      <c r="B380" s="64" t="s">
        <v>275</v>
      </c>
      <c r="C380" s="5" t="s">
        <v>935</v>
      </c>
      <c r="D380" s="2">
        <v>36</v>
      </c>
      <c r="E380" s="13">
        <v>41936</v>
      </c>
      <c r="F380" s="124">
        <v>4.8611111111111008E-3</v>
      </c>
      <c r="G380" s="28"/>
      <c r="J380" t="s">
        <v>198</v>
      </c>
    </row>
    <row r="381" spans="1:10" hidden="1" outlineLevel="1">
      <c r="A381" s="28"/>
      <c r="B381" s="64" t="s">
        <v>276</v>
      </c>
      <c r="C381" s="5" t="s">
        <v>942</v>
      </c>
      <c r="D381" s="2">
        <v>11</v>
      </c>
      <c r="E381" s="13">
        <v>41936</v>
      </c>
      <c r="F381" s="124">
        <v>5.1504629629629609E-3</v>
      </c>
      <c r="G381" s="28"/>
      <c r="J381" t="s">
        <v>198</v>
      </c>
    </row>
    <row r="382" spans="1:10" hidden="1" outlineLevel="1">
      <c r="A382" s="28"/>
      <c r="B382" s="64" t="s">
        <v>277</v>
      </c>
      <c r="C382" s="5" t="s">
        <v>943</v>
      </c>
      <c r="D382" s="2">
        <v>27</v>
      </c>
      <c r="E382" s="13">
        <v>41936</v>
      </c>
      <c r="F382" s="124">
        <v>3.4722222222222307E-3</v>
      </c>
      <c r="G382" s="28"/>
      <c r="J382" t="s">
        <v>198</v>
      </c>
    </row>
    <row r="383" spans="1:10" hidden="1" outlineLevel="1">
      <c r="A383" s="28"/>
      <c r="B383" s="64" t="s">
        <v>278</v>
      </c>
      <c r="C383" s="5" t="s">
        <v>944</v>
      </c>
      <c r="D383" s="2">
        <v>33</v>
      </c>
      <c r="E383" s="13">
        <v>41936</v>
      </c>
      <c r="F383" s="124">
        <v>5.092592592592593E-3</v>
      </c>
      <c r="G383" s="28"/>
      <c r="J383" t="s">
        <v>198</v>
      </c>
    </row>
    <row r="384" spans="1:10" hidden="1" outlineLevel="1">
      <c r="A384" s="28"/>
      <c r="B384" s="64" t="s">
        <v>279</v>
      </c>
      <c r="C384" s="5" t="s">
        <v>936</v>
      </c>
      <c r="D384" s="2">
        <v>14</v>
      </c>
      <c r="E384" s="13">
        <v>41936</v>
      </c>
      <c r="F384" s="124">
        <v>7.5810185185185147E-3</v>
      </c>
      <c r="G384" s="28"/>
      <c r="J384" t="s">
        <v>198</v>
      </c>
    </row>
    <row r="385" spans="1:10" hidden="1" outlineLevel="1">
      <c r="A385" s="28"/>
      <c r="B385" s="64" t="s">
        <v>280</v>
      </c>
      <c r="C385" s="5" t="s">
        <v>937</v>
      </c>
      <c r="D385" s="2">
        <v>96</v>
      </c>
      <c r="E385" s="13">
        <v>41936</v>
      </c>
      <c r="F385" s="124">
        <v>5.1504629629629609E-3</v>
      </c>
      <c r="G385" s="28"/>
      <c r="J385" t="s">
        <v>198</v>
      </c>
    </row>
    <row r="386" spans="1:10" hidden="1" outlineLevel="1">
      <c r="A386" s="28"/>
      <c r="B386" s="64" t="s">
        <v>281</v>
      </c>
      <c r="C386" s="5" t="s">
        <v>938</v>
      </c>
      <c r="D386" s="2">
        <v>29</v>
      </c>
      <c r="E386" s="13">
        <v>41936</v>
      </c>
      <c r="F386" s="124">
        <v>6.7708333333333336E-3</v>
      </c>
      <c r="G386" s="28"/>
      <c r="J386" t="s">
        <v>198</v>
      </c>
    </row>
    <row r="387" spans="1:10" hidden="1" outlineLevel="1">
      <c r="A387" s="28"/>
      <c r="B387" s="64" t="s">
        <v>282</v>
      </c>
      <c r="C387" s="5" t="s">
        <v>939</v>
      </c>
      <c r="D387" s="2">
        <v>79</v>
      </c>
      <c r="E387" s="13">
        <v>41936</v>
      </c>
      <c r="F387" s="124">
        <v>8.9120370370370378E-3</v>
      </c>
      <c r="G387" s="28"/>
      <c r="J387" t="s">
        <v>198</v>
      </c>
    </row>
    <row r="388" spans="1:10" hidden="1" outlineLevel="1">
      <c r="A388" s="28"/>
      <c r="B388" s="64" t="s">
        <v>283</v>
      </c>
      <c r="C388" s="5" t="s">
        <v>940</v>
      </c>
      <c r="D388" s="2">
        <v>83</v>
      </c>
      <c r="E388" s="13">
        <v>41936</v>
      </c>
      <c r="F388" s="124">
        <v>6.8865740740740745E-3</v>
      </c>
      <c r="G388" s="28"/>
      <c r="J388" t="s">
        <v>198</v>
      </c>
    </row>
    <row r="389" spans="1:10" hidden="1" outlineLevel="1">
      <c r="A389" s="28"/>
      <c r="B389" s="64" t="s">
        <v>284</v>
      </c>
      <c r="C389" s="5" t="s">
        <v>941</v>
      </c>
      <c r="D389" s="2">
        <v>87</v>
      </c>
      <c r="E389" s="13">
        <v>41936</v>
      </c>
      <c r="F389" s="124">
        <v>7.5231481481481469E-3</v>
      </c>
      <c r="G389" s="28"/>
      <c r="J389" t="s">
        <v>198</v>
      </c>
    </row>
    <row r="390" spans="1:10" hidden="1" outlineLevel="1">
      <c r="A390" s="28"/>
      <c r="B390" s="64" t="s">
        <v>285</v>
      </c>
      <c r="C390" s="5" t="s">
        <v>945</v>
      </c>
      <c r="D390" s="2">
        <v>88</v>
      </c>
      <c r="E390" s="13">
        <v>41917</v>
      </c>
      <c r="F390" s="124">
        <v>7.6388888888889034E-3</v>
      </c>
      <c r="G390" s="28"/>
      <c r="J390" t="s">
        <v>198</v>
      </c>
    </row>
    <row r="391" spans="1:10" hidden="1" outlineLevel="1">
      <c r="A391" s="28"/>
      <c r="B391" s="64" t="s">
        <v>286</v>
      </c>
      <c r="C391" s="5" t="s">
        <v>946</v>
      </c>
      <c r="D391" s="2">
        <v>51</v>
      </c>
      <c r="E391" s="13">
        <v>41917</v>
      </c>
      <c r="F391" s="124">
        <v>5.9027777777777707E-3</v>
      </c>
      <c r="G391" s="28"/>
      <c r="J391" t="s">
        <v>198</v>
      </c>
    </row>
    <row r="392" spans="1:10" hidden="1" outlineLevel="1">
      <c r="A392" s="28"/>
      <c r="B392" s="64" t="s">
        <v>287</v>
      </c>
      <c r="C392" s="5" t="s">
        <v>947</v>
      </c>
      <c r="D392" s="2">
        <v>122</v>
      </c>
      <c r="E392" s="13">
        <v>41917</v>
      </c>
      <c r="F392" s="124">
        <v>5.6712962962962923E-3</v>
      </c>
      <c r="G392" s="28"/>
      <c r="J392" t="s">
        <v>198</v>
      </c>
    </row>
    <row r="393" spans="1:10" hidden="1" outlineLevel="1">
      <c r="A393" s="28"/>
      <c r="B393" s="64" t="s">
        <v>288</v>
      </c>
      <c r="C393" s="5" t="s">
        <v>948</v>
      </c>
      <c r="D393" s="2">
        <v>78</v>
      </c>
      <c r="E393" s="13">
        <v>41917</v>
      </c>
      <c r="F393" s="124">
        <v>7.118055555555558E-3</v>
      </c>
      <c r="G393" s="28"/>
      <c r="J393" t="s">
        <v>198</v>
      </c>
    </row>
    <row r="394" spans="1:10" hidden="1" outlineLevel="1">
      <c r="A394" s="28"/>
      <c r="B394" s="64" t="s">
        <v>289</v>
      </c>
      <c r="C394" s="5" t="s">
        <v>949</v>
      </c>
      <c r="D394" s="2">
        <v>101</v>
      </c>
      <c r="E394" s="13">
        <v>41917</v>
      </c>
      <c r="F394" s="124">
        <v>6.8287037037036979E-3</v>
      </c>
      <c r="G394" s="28"/>
      <c r="J394" t="s">
        <v>198</v>
      </c>
    </row>
    <row r="395" spans="1:10" hidden="1" outlineLevel="1">
      <c r="A395" s="28"/>
      <c r="B395" s="64" t="s">
        <v>290</v>
      </c>
      <c r="C395" s="5" t="s">
        <v>950</v>
      </c>
      <c r="D395" s="2">
        <v>34</v>
      </c>
      <c r="E395" s="13">
        <v>41917</v>
      </c>
      <c r="F395" s="124">
        <v>5.0347222222222252E-3</v>
      </c>
      <c r="G395" s="28"/>
      <c r="J395" t="s">
        <v>198</v>
      </c>
    </row>
    <row r="396" spans="1:10" hidden="1" outlineLevel="1">
      <c r="A396" s="28"/>
      <c r="B396" s="64" t="s">
        <v>291</v>
      </c>
      <c r="C396" s="5" t="s">
        <v>951</v>
      </c>
      <c r="D396" s="6" t="s">
        <v>371</v>
      </c>
      <c r="E396" s="13">
        <v>41917</v>
      </c>
      <c r="F396" s="124">
        <v>8.8541666666666664E-3</v>
      </c>
      <c r="G396" s="28"/>
      <c r="J396" t="s">
        <v>198</v>
      </c>
    </row>
    <row r="397" spans="1:10" hidden="1" outlineLevel="1">
      <c r="A397" s="28"/>
      <c r="B397" s="64" t="s">
        <v>292</v>
      </c>
      <c r="C397" s="5" t="s">
        <v>952</v>
      </c>
      <c r="D397" s="2">
        <v>66</v>
      </c>
      <c r="E397" s="13">
        <v>41917</v>
      </c>
      <c r="F397" s="124">
        <v>5.8449074074074063E-3</v>
      </c>
      <c r="G397" s="28"/>
      <c r="J397" t="s">
        <v>198</v>
      </c>
    </row>
    <row r="398" spans="1:10" hidden="1" outlineLevel="1">
      <c r="A398" s="28"/>
      <c r="B398" s="64" t="s">
        <v>293</v>
      </c>
      <c r="C398" s="5" t="s">
        <v>953</v>
      </c>
      <c r="D398" s="2">
        <v>6</v>
      </c>
      <c r="E398" s="13">
        <v>41917</v>
      </c>
      <c r="F398" s="124">
        <v>6.7129629629629657E-3</v>
      </c>
      <c r="G398" s="28"/>
      <c r="J398" t="s">
        <v>198</v>
      </c>
    </row>
    <row r="399" spans="1:10" hidden="1" outlineLevel="1">
      <c r="A399" s="28"/>
      <c r="B399" s="64" t="s">
        <v>294</v>
      </c>
      <c r="C399" s="5" t="s">
        <v>954</v>
      </c>
      <c r="D399" s="2">
        <v>93</v>
      </c>
      <c r="E399" s="13">
        <v>41917</v>
      </c>
      <c r="F399" s="124">
        <v>5.5555555555555532E-3</v>
      </c>
      <c r="G399" s="28"/>
      <c r="J399" t="s">
        <v>198</v>
      </c>
    </row>
    <row r="400" spans="1:10" hidden="1" outlineLevel="1">
      <c r="A400" s="28"/>
      <c r="B400" s="64" t="s">
        <v>295</v>
      </c>
      <c r="C400" s="5" t="s">
        <v>955</v>
      </c>
      <c r="D400" s="2">
        <v>75</v>
      </c>
      <c r="E400" s="13">
        <v>41917</v>
      </c>
      <c r="F400" s="124">
        <v>5.2662037037037044E-3</v>
      </c>
      <c r="G400" s="28"/>
      <c r="J400" t="s">
        <v>198</v>
      </c>
    </row>
    <row r="401" spans="1:10" hidden="1" outlineLevel="1">
      <c r="A401" s="28"/>
      <c r="B401" s="64" t="s">
        <v>296</v>
      </c>
      <c r="C401" s="5" t="s">
        <v>956</v>
      </c>
      <c r="D401" s="2">
        <v>59</v>
      </c>
      <c r="E401" s="13">
        <v>41917</v>
      </c>
      <c r="F401" s="124">
        <v>6.0763888888888899E-3</v>
      </c>
      <c r="G401" s="28"/>
      <c r="J401" t="s">
        <v>198</v>
      </c>
    </row>
    <row r="402" spans="1:10" hidden="1" outlineLevel="1">
      <c r="A402" s="28"/>
      <c r="B402" s="64" t="s">
        <v>297</v>
      </c>
      <c r="C402" s="5" t="s">
        <v>957</v>
      </c>
      <c r="D402" s="2">
        <v>31</v>
      </c>
      <c r="E402" s="13">
        <v>41896</v>
      </c>
      <c r="F402" s="124">
        <v>4.1666666666666796E-3</v>
      </c>
      <c r="G402" s="28"/>
      <c r="J402" t="s">
        <v>198</v>
      </c>
    </row>
    <row r="403" spans="1:10" hidden="1" outlineLevel="1">
      <c r="A403" s="28"/>
      <c r="B403" s="64" t="s">
        <v>298</v>
      </c>
      <c r="C403" s="5" t="s">
        <v>958</v>
      </c>
      <c r="D403" s="2">
        <v>58</v>
      </c>
      <c r="E403" s="13">
        <v>41896</v>
      </c>
      <c r="F403" s="124">
        <v>4.05092592592593E-3</v>
      </c>
      <c r="G403" s="28"/>
      <c r="J403" t="s">
        <v>198</v>
      </c>
    </row>
    <row r="404" spans="1:10" hidden="1" outlineLevel="1">
      <c r="A404" s="28"/>
      <c r="B404" s="64" t="s">
        <v>299</v>
      </c>
      <c r="C404" s="5" t="s">
        <v>959</v>
      </c>
      <c r="D404" s="2">
        <v>16</v>
      </c>
      <c r="E404" s="13">
        <v>41896</v>
      </c>
      <c r="F404" s="124">
        <v>6.9444444444444337E-3</v>
      </c>
      <c r="G404" s="28"/>
      <c r="J404" t="s">
        <v>198</v>
      </c>
    </row>
    <row r="405" spans="1:10" hidden="1" outlineLevel="1">
      <c r="A405" s="28"/>
      <c r="B405" s="64" t="s">
        <v>300</v>
      </c>
      <c r="C405" s="5" t="s">
        <v>960</v>
      </c>
      <c r="D405" s="2">
        <v>148</v>
      </c>
      <c r="E405" s="13">
        <v>41896</v>
      </c>
      <c r="F405" s="124">
        <v>6.8287037037037049E-3</v>
      </c>
      <c r="G405" s="28"/>
      <c r="J405" t="s">
        <v>198</v>
      </c>
    </row>
    <row r="406" spans="1:10" hidden="1" outlineLevel="1">
      <c r="A406" s="28"/>
      <c r="B406" s="64" t="s">
        <v>301</v>
      </c>
      <c r="C406" s="5" t="s">
        <v>961</v>
      </c>
      <c r="D406" s="2">
        <v>46</v>
      </c>
      <c r="E406" s="13">
        <v>41896</v>
      </c>
      <c r="F406" s="124">
        <v>6.0763888888888881E-3</v>
      </c>
      <c r="G406" s="28"/>
      <c r="J406" t="s">
        <v>198</v>
      </c>
    </row>
    <row r="407" spans="1:10" hidden="1" outlineLevel="1">
      <c r="A407" s="28"/>
      <c r="B407" s="64" t="s">
        <v>302</v>
      </c>
      <c r="C407" s="5" t="s">
        <v>962</v>
      </c>
      <c r="D407" s="2">
        <v>29</v>
      </c>
      <c r="E407" s="13">
        <v>41896</v>
      </c>
      <c r="F407" s="124">
        <v>6.0185185185185272E-3</v>
      </c>
      <c r="G407" s="28"/>
      <c r="J407" t="s">
        <v>198</v>
      </c>
    </row>
    <row r="408" spans="1:10" hidden="1" outlineLevel="1">
      <c r="A408" s="28"/>
      <c r="B408" s="64" t="s">
        <v>303</v>
      </c>
      <c r="C408" s="5" t="s">
        <v>963</v>
      </c>
      <c r="D408" s="2">
        <v>68</v>
      </c>
      <c r="E408" s="13">
        <v>41896</v>
      </c>
      <c r="F408" s="124">
        <v>4.3402777777777762E-3</v>
      </c>
      <c r="G408" s="28"/>
      <c r="J408" t="s">
        <v>198</v>
      </c>
    </row>
    <row r="409" spans="1:10" hidden="1" outlineLevel="1">
      <c r="A409" s="28"/>
      <c r="B409" s="64" t="s">
        <v>304</v>
      </c>
      <c r="C409" s="5" t="s">
        <v>964</v>
      </c>
      <c r="D409" s="2">
        <v>80</v>
      </c>
      <c r="E409" s="13">
        <v>41896</v>
      </c>
      <c r="F409" s="124">
        <v>7.291666666666665E-3</v>
      </c>
      <c r="G409" s="28"/>
      <c r="J409" t="s">
        <v>198</v>
      </c>
    </row>
    <row r="410" spans="1:10" hidden="1" outlineLevel="1">
      <c r="A410" s="28"/>
      <c r="B410" s="64" t="s">
        <v>305</v>
      </c>
      <c r="C410" s="5" t="s">
        <v>965</v>
      </c>
      <c r="D410" s="2">
        <v>103</v>
      </c>
      <c r="E410" s="13">
        <v>41896</v>
      </c>
      <c r="F410" s="124">
        <v>6.5393518518518483E-3</v>
      </c>
      <c r="G410" s="28"/>
      <c r="J410" t="s">
        <v>198</v>
      </c>
    </row>
    <row r="411" spans="1:10" hidden="1" outlineLevel="1">
      <c r="A411" s="28"/>
      <c r="B411" s="64" t="s">
        <v>306</v>
      </c>
      <c r="C411" s="5" t="s">
        <v>966</v>
      </c>
      <c r="D411" s="2">
        <v>22</v>
      </c>
      <c r="E411" s="13">
        <v>41896</v>
      </c>
      <c r="F411" s="124">
        <v>6.1342592592592577E-3</v>
      </c>
      <c r="G411" s="28"/>
      <c r="J411" t="s">
        <v>198</v>
      </c>
    </row>
    <row r="412" spans="1:10" hidden="1" outlineLevel="1">
      <c r="A412" s="28"/>
      <c r="B412" s="64" t="s">
        <v>307</v>
      </c>
      <c r="C412" s="5" t="s">
        <v>967</v>
      </c>
      <c r="D412" s="2">
        <v>113</v>
      </c>
      <c r="E412" s="13">
        <v>41896</v>
      </c>
      <c r="F412" s="124">
        <v>5.7870370370370393E-3</v>
      </c>
      <c r="G412" s="28"/>
      <c r="J412" t="s">
        <v>198</v>
      </c>
    </row>
    <row r="413" spans="1:10" hidden="1" outlineLevel="1">
      <c r="A413" s="28"/>
      <c r="B413" s="64" t="s">
        <v>308</v>
      </c>
      <c r="C413" s="5" t="s">
        <v>968</v>
      </c>
      <c r="D413" s="2">
        <v>30</v>
      </c>
      <c r="E413" s="13">
        <v>41896</v>
      </c>
      <c r="F413" s="124">
        <v>5.4976851851851853E-3</v>
      </c>
      <c r="G413" s="28"/>
      <c r="J413" t="s">
        <v>198</v>
      </c>
    </row>
    <row r="414" spans="1:10" hidden="1" outlineLevel="1">
      <c r="A414" s="28"/>
      <c r="B414" s="64" t="s">
        <v>309</v>
      </c>
      <c r="C414" s="5" t="s">
        <v>969</v>
      </c>
      <c r="D414" s="2">
        <v>42</v>
      </c>
      <c r="E414" s="13">
        <v>41839</v>
      </c>
      <c r="F414" s="124">
        <v>4.2245370370370371E-3</v>
      </c>
      <c r="G414" s="28"/>
      <c r="J414" t="s">
        <v>198</v>
      </c>
    </row>
    <row r="415" spans="1:10" hidden="1" outlineLevel="1">
      <c r="A415" s="28"/>
      <c r="B415" s="64" t="s">
        <v>310</v>
      </c>
      <c r="C415" s="5" t="s">
        <v>970</v>
      </c>
      <c r="D415" s="2">
        <v>13</v>
      </c>
      <c r="E415" s="13">
        <v>41839</v>
      </c>
      <c r="F415" s="124">
        <v>3.8773148148148195E-3</v>
      </c>
      <c r="G415" s="28"/>
      <c r="J415" t="s">
        <v>198</v>
      </c>
    </row>
    <row r="416" spans="1:10" hidden="1" outlineLevel="1">
      <c r="A416" s="28"/>
      <c r="B416" s="64" t="s">
        <v>311</v>
      </c>
      <c r="C416" s="5" t="s">
        <v>971</v>
      </c>
      <c r="D416" s="2">
        <v>94</v>
      </c>
      <c r="E416" s="13">
        <v>41839</v>
      </c>
      <c r="F416" s="124">
        <v>4.5138888888888867E-3</v>
      </c>
      <c r="G416" s="28"/>
      <c r="J416" t="s">
        <v>198</v>
      </c>
    </row>
    <row r="417" spans="1:10" hidden="1" outlineLevel="1">
      <c r="A417" s="28"/>
      <c r="B417" s="64" t="s">
        <v>312</v>
      </c>
      <c r="C417" s="5" t="s">
        <v>972</v>
      </c>
      <c r="D417" s="2">
        <v>65</v>
      </c>
      <c r="E417" s="13">
        <v>41839</v>
      </c>
      <c r="F417" s="124">
        <v>4.2824074074074014E-3</v>
      </c>
      <c r="G417" s="28"/>
      <c r="J417" t="s">
        <v>198</v>
      </c>
    </row>
    <row r="418" spans="1:10" hidden="1" outlineLevel="1">
      <c r="A418" s="28"/>
      <c r="B418" s="64" t="s">
        <v>313</v>
      </c>
      <c r="C418" s="5" t="s">
        <v>973</v>
      </c>
      <c r="D418" s="2">
        <v>90</v>
      </c>
      <c r="E418" s="13">
        <v>41839</v>
      </c>
      <c r="F418" s="124">
        <v>4.2824074074074153E-3</v>
      </c>
      <c r="G418" s="28"/>
      <c r="J418" t="s">
        <v>198</v>
      </c>
    </row>
    <row r="419" spans="1:10" hidden="1" outlineLevel="1">
      <c r="A419" s="28"/>
      <c r="B419" s="64" t="s">
        <v>314</v>
      </c>
      <c r="C419" s="5" t="s">
        <v>974</v>
      </c>
      <c r="D419" s="2">
        <v>4</v>
      </c>
      <c r="E419" s="13">
        <v>41839</v>
      </c>
      <c r="F419" s="124">
        <v>5.2083333333333287E-3</v>
      </c>
      <c r="G419" s="28"/>
      <c r="J419" t="s">
        <v>198</v>
      </c>
    </row>
    <row r="420" spans="1:10" hidden="1" outlineLevel="1">
      <c r="A420" s="28"/>
      <c r="B420" s="64" t="s">
        <v>315</v>
      </c>
      <c r="C420" s="5" t="s">
        <v>975</v>
      </c>
      <c r="D420" s="2">
        <v>60</v>
      </c>
      <c r="E420" s="13">
        <v>41839</v>
      </c>
      <c r="F420" s="124">
        <v>4.1087962962962979E-3</v>
      </c>
      <c r="G420" s="28"/>
      <c r="J420" t="s">
        <v>198</v>
      </c>
    </row>
    <row r="421" spans="1:10" hidden="1" outlineLevel="1">
      <c r="A421" s="28"/>
      <c r="B421" s="64" t="s">
        <v>316</v>
      </c>
      <c r="C421" s="5" t="s">
        <v>976</v>
      </c>
      <c r="D421" s="2">
        <v>39</v>
      </c>
      <c r="E421" s="13">
        <v>41839</v>
      </c>
      <c r="F421" s="124">
        <v>4.2824074074074049E-3</v>
      </c>
      <c r="G421" s="28"/>
      <c r="J421" t="s">
        <v>198</v>
      </c>
    </row>
    <row r="422" spans="1:10" hidden="1" outlineLevel="1">
      <c r="A422" s="28"/>
      <c r="B422" s="64" t="s">
        <v>317</v>
      </c>
      <c r="C422" s="5" t="s">
        <v>977</v>
      </c>
      <c r="D422" s="2">
        <v>72</v>
      </c>
      <c r="E422" s="13">
        <v>41839</v>
      </c>
      <c r="F422" s="124">
        <v>5.5555555555555601E-3</v>
      </c>
      <c r="G422" s="28"/>
      <c r="J422" t="s">
        <v>198</v>
      </c>
    </row>
    <row r="423" spans="1:10" hidden="1" outlineLevel="1">
      <c r="A423" s="28"/>
      <c r="B423" s="64" t="s">
        <v>318</v>
      </c>
      <c r="C423" s="5" t="s">
        <v>978</v>
      </c>
      <c r="D423" s="2">
        <v>20</v>
      </c>
      <c r="E423" s="13">
        <v>41839</v>
      </c>
      <c r="F423" s="124">
        <v>3.7615740740740717E-3</v>
      </c>
      <c r="G423" s="28"/>
      <c r="J423" t="s">
        <v>198</v>
      </c>
    </row>
    <row r="424" spans="1:10" hidden="1" outlineLevel="1">
      <c r="A424" s="28"/>
      <c r="B424" s="64" t="s">
        <v>319</v>
      </c>
      <c r="C424" s="5" t="s">
        <v>979</v>
      </c>
      <c r="D424" s="2">
        <v>106</v>
      </c>
      <c r="E424" s="13">
        <v>41839</v>
      </c>
      <c r="F424" s="124">
        <v>6.1342592592592603E-3</v>
      </c>
      <c r="G424" s="28"/>
      <c r="J424" t="s">
        <v>198</v>
      </c>
    </row>
    <row r="425" spans="1:10" hidden="1" outlineLevel="1">
      <c r="A425" s="28"/>
      <c r="B425" s="64" t="s">
        <v>320</v>
      </c>
      <c r="C425" s="5" t="s">
        <v>980</v>
      </c>
      <c r="D425" s="2">
        <v>69</v>
      </c>
      <c r="E425" s="13">
        <v>41839</v>
      </c>
      <c r="F425" s="124">
        <v>7.0023148148148145E-3</v>
      </c>
      <c r="G425" s="28"/>
      <c r="J425" t="s">
        <v>198</v>
      </c>
    </row>
    <row r="426" spans="1:10" hidden="1" outlineLevel="1">
      <c r="A426" s="28"/>
      <c r="B426" s="64" t="s">
        <v>321</v>
      </c>
      <c r="C426" s="5" t="s">
        <v>981</v>
      </c>
      <c r="D426" s="2">
        <v>38</v>
      </c>
      <c r="E426" s="13">
        <v>41811</v>
      </c>
      <c r="F426" s="124">
        <v>4.3981481481481484E-3</v>
      </c>
      <c r="G426" s="28"/>
      <c r="J426" t="s">
        <v>198</v>
      </c>
    </row>
    <row r="427" spans="1:10" hidden="1" outlineLevel="1">
      <c r="A427" s="28"/>
      <c r="B427" s="64" t="s">
        <v>322</v>
      </c>
      <c r="C427" s="5" t="s">
        <v>982</v>
      </c>
      <c r="D427" s="2">
        <v>81</v>
      </c>
      <c r="E427" s="13">
        <v>41811</v>
      </c>
      <c r="F427" s="124">
        <v>4.5717592592592615E-3</v>
      </c>
      <c r="G427" s="28"/>
      <c r="J427" t="s">
        <v>198</v>
      </c>
    </row>
    <row r="428" spans="1:10" hidden="1" outlineLevel="1">
      <c r="A428" s="28"/>
      <c r="B428" s="64" t="s">
        <v>323</v>
      </c>
      <c r="C428" s="5" t="s">
        <v>983</v>
      </c>
      <c r="D428" s="2">
        <v>162</v>
      </c>
      <c r="E428" s="13">
        <v>41811</v>
      </c>
      <c r="F428" s="124">
        <v>4.0509259259259231E-3</v>
      </c>
      <c r="G428" s="28"/>
      <c r="J428" t="s">
        <v>198</v>
      </c>
    </row>
    <row r="429" spans="1:10" hidden="1" outlineLevel="1">
      <c r="A429" s="28"/>
      <c r="B429" s="64" t="s">
        <v>324</v>
      </c>
      <c r="C429" s="5" t="s">
        <v>984</v>
      </c>
      <c r="D429" s="2">
        <v>89</v>
      </c>
      <c r="E429" s="13">
        <v>41811</v>
      </c>
      <c r="F429" s="124">
        <v>4.5138888888888937E-3</v>
      </c>
      <c r="G429" s="28"/>
      <c r="J429" t="s">
        <v>198</v>
      </c>
    </row>
    <row r="430" spans="1:10" hidden="1" outlineLevel="1">
      <c r="A430" s="28"/>
      <c r="B430" s="64" t="s">
        <v>325</v>
      </c>
      <c r="C430" s="5" t="s">
        <v>985</v>
      </c>
      <c r="D430" s="2">
        <v>5</v>
      </c>
      <c r="E430" s="13">
        <v>41811</v>
      </c>
      <c r="F430" s="124">
        <v>4.5138888888888867E-3</v>
      </c>
      <c r="G430" s="28"/>
      <c r="J430" t="s">
        <v>198</v>
      </c>
    </row>
    <row r="431" spans="1:10" hidden="1" outlineLevel="1">
      <c r="A431" s="28"/>
      <c r="B431" s="64" t="s">
        <v>326</v>
      </c>
      <c r="C431" s="5" t="s">
        <v>986</v>
      </c>
      <c r="D431" s="2">
        <v>138</v>
      </c>
      <c r="E431" s="13">
        <v>41811</v>
      </c>
      <c r="F431" s="124">
        <v>5.0925925925925895E-3</v>
      </c>
      <c r="G431" s="28"/>
      <c r="J431" t="s">
        <v>198</v>
      </c>
    </row>
    <row r="432" spans="1:10" hidden="1" outlineLevel="1">
      <c r="A432" s="28"/>
      <c r="B432" s="64" t="s">
        <v>327</v>
      </c>
      <c r="C432" s="5" t="s">
        <v>987</v>
      </c>
      <c r="D432" s="2">
        <v>50</v>
      </c>
      <c r="E432" s="13">
        <v>41811</v>
      </c>
      <c r="F432" s="124">
        <v>3.703703703703709E-3</v>
      </c>
      <c r="G432" s="28"/>
      <c r="J432" t="s">
        <v>198</v>
      </c>
    </row>
    <row r="433" spans="1:10" hidden="1" outlineLevel="1">
      <c r="A433" s="28"/>
      <c r="B433" s="64" t="s">
        <v>328</v>
      </c>
      <c r="C433" s="5" t="s">
        <v>988</v>
      </c>
      <c r="D433" s="2">
        <v>55</v>
      </c>
      <c r="E433" s="13">
        <v>41811</v>
      </c>
      <c r="F433" s="124">
        <v>4.2824074074074084E-3</v>
      </c>
      <c r="G433" s="28"/>
      <c r="J433" t="s">
        <v>198</v>
      </c>
    </row>
    <row r="434" spans="1:10" hidden="1" outlineLevel="1">
      <c r="A434" s="28"/>
      <c r="B434" s="64" t="s">
        <v>329</v>
      </c>
      <c r="C434" s="5" t="s">
        <v>989</v>
      </c>
      <c r="D434" s="2">
        <v>125</v>
      </c>
      <c r="E434" s="13">
        <v>41811</v>
      </c>
      <c r="F434" s="124">
        <v>5.9027777777777742E-3</v>
      </c>
      <c r="G434" s="28"/>
      <c r="J434" t="s">
        <v>198</v>
      </c>
    </row>
    <row r="435" spans="1:10" hidden="1" outlineLevel="1">
      <c r="A435" s="28"/>
      <c r="B435" s="64" t="s">
        <v>330</v>
      </c>
      <c r="C435" s="5" t="s">
        <v>990</v>
      </c>
      <c r="D435" s="2">
        <v>112</v>
      </c>
      <c r="E435" s="13">
        <v>41811</v>
      </c>
      <c r="F435" s="124">
        <v>4.340277777777778E-3</v>
      </c>
      <c r="G435" s="28"/>
      <c r="J435" t="s">
        <v>198</v>
      </c>
    </row>
    <row r="436" spans="1:10" hidden="1" outlineLevel="1">
      <c r="A436" s="28"/>
      <c r="B436" s="64" t="s">
        <v>331</v>
      </c>
      <c r="C436" s="5" t="s">
        <v>991</v>
      </c>
      <c r="D436" s="6" t="s">
        <v>110</v>
      </c>
      <c r="E436" s="13">
        <v>41811</v>
      </c>
      <c r="F436" s="124">
        <v>4.2824074074074075E-3</v>
      </c>
      <c r="G436" s="28"/>
      <c r="J436" t="s">
        <v>198</v>
      </c>
    </row>
    <row r="437" spans="1:10" hidden="1" outlineLevel="1">
      <c r="A437" s="28"/>
      <c r="B437" s="64" t="s">
        <v>332</v>
      </c>
      <c r="C437" s="5" t="s">
        <v>992</v>
      </c>
      <c r="D437" s="6" t="s">
        <v>373</v>
      </c>
      <c r="E437" s="13">
        <v>41811</v>
      </c>
      <c r="F437" s="124">
        <v>6.0185185185185185E-3</v>
      </c>
      <c r="G437" s="28"/>
      <c r="J437" t="s">
        <v>198</v>
      </c>
    </row>
    <row r="438" spans="1:10" hidden="1" outlineLevel="1">
      <c r="A438" s="28"/>
      <c r="B438" s="64" t="s">
        <v>333</v>
      </c>
      <c r="C438" s="5" t="s">
        <v>993</v>
      </c>
      <c r="D438" s="2">
        <v>52</v>
      </c>
      <c r="E438" s="13">
        <v>41803</v>
      </c>
      <c r="F438" s="124">
        <v>3.3564814814814881E-3</v>
      </c>
      <c r="G438" s="28"/>
      <c r="J438" t="s">
        <v>198</v>
      </c>
    </row>
    <row r="439" spans="1:10" hidden="1" outlineLevel="1">
      <c r="A439" s="28"/>
      <c r="B439" s="64" t="s">
        <v>334</v>
      </c>
      <c r="C439" s="5" t="s">
        <v>994</v>
      </c>
      <c r="D439" s="2">
        <v>92</v>
      </c>
      <c r="E439" s="13">
        <v>41803</v>
      </c>
      <c r="F439" s="124">
        <v>7.4652777777777651E-3</v>
      </c>
      <c r="G439" s="28"/>
      <c r="J439" t="s">
        <v>198</v>
      </c>
    </row>
    <row r="440" spans="1:10" hidden="1" outlineLevel="1">
      <c r="A440" s="28"/>
      <c r="B440" s="64" t="s">
        <v>335</v>
      </c>
      <c r="C440" s="5" t="s">
        <v>995</v>
      </c>
      <c r="D440" s="2">
        <v>43</v>
      </c>
      <c r="E440" s="13">
        <v>41803</v>
      </c>
      <c r="F440" s="124">
        <v>5.9027777777777846E-3</v>
      </c>
      <c r="G440" s="28"/>
      <c r="J440" t="s">
        <v>198</v>
      </c>
    </row>
    <row r="441" spans="1:10" hidden="1" outlineLevel="1">
      <c r="A441" s="28"/>
      <c r="B441" s="64" t="s">
        <v>336</v>
      </c>
      <c r="C441" s="5" t="s">
        <v>996</v>
      </c>
      <c r="D441" s="2">
        <v>82</v>
      </c>
      <c r="E441" s="13">
        <v>41803</v>
      </c>
      <c r="F441" s="124">
        <v>8.7962962962962951E-3</v>
      </c>
      <c r="G441" s="28"/>
      <c r="J441" t="s">
        <v>198</v>
      </c>
    </row>
    <row r="442" spans="1:10" hidden="1" outlineLevel="1">
      <c r="A442" s="28"/>
      <c r="B442" s="64" t="s">
        <v>337</v>
      </c>
      <c r="C442" s="5" t="s">
        <v>997</v>
      </c>
      <c r="D442" s="2">
        <v>104</v>
      </c>
      <c r="E442" s="13">
        <v>41803</v>
      </c>
      <c r="F442" s="124">
        <v>6.0763888888888812E-3</v>
      </c>
      <c r="G442" s="28"/>
      <c r="J442" t="s">
        <v>198</v>
      </c>
    </row>
    <row r="443" spans="1:10" hidden="1" outlineLevel="1">
      <c r="A443" s="28"/>
      <c r="B443" s="64" t="s">
        <v>338</v>
      </c>
      <c r="C443" s="5" t="s">
        <v>998</v>
      </c>
      <c r="D443" s="2">
        <v>108</v>
      </c>
      <c r="E443" s="13">
        <v>41803</v>
      </c>
      <c r="F443" s="124">
        <v>4.5138888888888937E-3</v>
      </c>
      <c r="G443" s="28"/>
      <c r="J443" t="s">
        <v>198</v>
      </c>
    </row>
    <row r="444" spans="1:10" hidden="1" outlineLevel="1">
      <c r="A444" s="28"/>
      <c r="B444" s="64" t="s">
        <v>339</v>
      </c>
      <c r="C444" s="5" t="s">
        <v>999</v>
      </c>
      <c r="D444" s="2">
        <v>124</v>
      </c>
      <c r="E444" s="13">
        <v>41803</v>
      </c>
      <c r="F444" s="124">
        <v>5.2083333333333322E-3</v>
      </c>
      <c r="G444" s="28"/>
      <c r="J444" t="s">
        <v>198</v>
      </c>
    </row>
    <row r="445" spans="1:10" hidden="1" outlineLevel="1">
      <c r="A445" s="28"/>
      <c r="B445" s="64" t="s">
        <v>340</v>
      </c>
      <c r="C445" s="5" t="s">
        <v>1000</v>
      </c>
      <c r="D445" s="2">
        <v>44</v>
      </c>
      <c r="E445" s="13">
        <v>41803</v>
      </c>
      <c r="F445" s="124">
        <v>7.9282407407407426E-3</v>
      </c>
      <c r="G445" s="28"/>
      <c r="J445" t="s">
        <v>198</v>
      </c>
    </row>
    <row r="446" spans="1:10" hidden="1" outlineLevel="1">
      <c r="A446" s="28"/>
      <c r="B446" s="64" t="s">
        <v>341</v>
      </c>
      <c r="C446" s="5" t="s">
        <v>1001</v>
      </c>
      <c r="D446" s="2">
        <v>137</v>
      </c>
      <c r="E446" s="13">
        <v>41803</v>
      </c>
      <c r="F446" s="124">
        <v>4.918981481481479E-3</v>
      </c>
      <c r="G446" s="28"/>
      <c r="J446" t="s">
        <v>198</v>
      </c>
    </row>
    <row r="447" spans="1:10" hidden="1" outlineLevel="1">
      <c r="A447" s="28"/>
      <c r="B447" s="64" t="s">
        <v>342</v>
      </c>
      <c r="C447" s="5" t="s">
        <v>1002</v>
      </c>
      <c r="D447" s="2">
        <v>9</v>
      </c>
      <c r="E447" s="13">
        <v>41803</v>
      </c>
      <c r="F447" s="124">
        <v>3.5879629629629629E-3</v>
      </c>
      <c r="G447" s="28"/>
      <c r="J447" t="s">
        <v>198</v>
      </c>
    </row>
    <row r="448" spans="1:10" hidden="1" outlineLevel="1">
      <c r="A448" s="28"/>
      <c r="B448" s="64" t="s">
        <v>343</v>
      </c>
      <c r="C448" s="5" t="s">
        <v>1003</v>
      </c>
      <c r="D448" s="2">
        <v>40</v>
      </c>
      <c r="E448" s="13">
        <v>41803</v>
      </c>
      <c r="F448" s="124">
        <v>2.8935185185185201E-3</v>
      </c>
      <c r="G448" s="28"/>
      <c r="J448" t="s">
        <v>198</v>
      </c>
    </row>
    <row r="449" spans="1:10" hidden="1" outlineLevel="1">
      <c r="A449" s="28"/>
      <c r="B449" s="64" t="s">
        <v>344</v>
      </c>
      <c r="C449" s="5" t="s">
        <v>1004</v>
      </c>
      <c r="D449" s="2">
        <v>110</v>
      </c>
      <c r="E449" s="13">
        <v>41803</v>
      </c>
      <c r="F449" s="124">
        <v>5.6712962962962949E-3</v>
      </c>
      <c r="G449" s="28"/>
      <c r="J449" t="s">
        <v>198</v>
      </c>
    </row>
    <row r="450" spans="1:10" hidden="1" outlineLevel="1">
      <c r="A450" s="28"/>
      <c r="B450" s="64" t="s">
        <v>345</v>
      </c>
      <c r="C450" s="5" t="s">
        <v>1005</v>
      </c>
      <c r="D450" s="2">
        <v>129</v>
      </c>
      <c r="E450" s="13">
        <v>41745</v>
      </c>
      <c r="F450" s="124">
        <v>3.8194444444444517E-3</v>
      </c>
      <c r="G450" s="28"/>
      <c r="J450" t="s">
        <v>198</v>
      </c>
    </row>
    <row r="451" spans="1:10" hidden="1" outlineLevel="1">
      <c r="A451" s="28"/>
      <c r="B451" s="64" t="s">
        <v>346</v>
      </c>
      <c r="C451" s="5" t="s">
        <v>1006</v>
      </c>
      <c r="D451" s="2">
        <v>150</v>
      </c>
      <c r="E451" s="13">
        <v>41745</v>
      </c>
      <c r="F451" s="124">
        <v>3.1828703703703706E-3</v>
      </c>
      <c r="G451" s="28"/>
      <c r="J451" t="s">
        <v>198</v>
      </c>
    </row>
    <row r="452" spans="1:10" hidden="1" outlineLevel="1">
      <c r="A452" s="28"/>
      <c r="B452" s="64" t="s">
        <v>347</v>
      </c>
      <c r="C452" s="5" t="s">
        <v>1007</v>
      </c>
      <c r="D452" s="2">
        <v>53</v>
      </c>
      <c r="E452" s="13">
        <v>41745</v>
      </c>
      <c r="F452" s="124">
        <v>4.4560185185185189E-3</v>
      </c>
      <c r="G452" s="28"/>
      <c r="J452" t="s">
        <v>198</v>
      </c>
    </row>
    <row r="453" spans="1:10" hidden="1" outlineLevel="1">
      <c r="A453" s="28"/>
      <c r="B453" s="64" t="s">
        <v>348</v>
      </c>
      <c r="C453" s="5" t="s">
        <v>1008</v>
      </c>
      <c r="D453" s="6" t="s">
        <v>374</v>
      </c>
      <c r="E453" s="13">
        <v>41745</v>
      </c>
      <c r="F453" s="124">
        <v>8.7384259259259203E-3</v>
      </c>
      <c r="G453" s="28"/>
      <c r="J453" t="s">
        <v>198</v>
      </c>
    </row>
    <row r="454" spans="1:10" hidden="1" outlineLevel="1">
      <c r="A454" s="28"/>
      <c r="B454" s="64" t="s">
        <v>349</v>
      </c>
      <c r="C454" s="5" t="s">
        <v>1009</v>
      </c>
      <c r="D454" s="6" t="s">
        <v>11</v>
      </c>
      <c r="E454" s="13">
        <v>41745</v>
      </c>
      <c r="F454" s="124">
        <v>9.0856481481481483E-3</v>
      </c>
      <c r="G454" s="28"/>
      <c r="J454" t="s">
        <v>198</v>
      </c>
    </row>
    <row r="455" spans="1:10" hidden="1" outlineLevel="1">
      <c r="A455" s="28"/>
      <c r="B455" s="64" t="s">
        <v>350</v>
      </c>
      <c r="C455" s="5" t="s">
        <v>1010</v>
      </c>
      <c r="D455" s="2">
        <v>77</v>
      </c>
      <c r="E455" s="13">
        <v>41745</v>
      </c>
      <c r="F455" s="124">
        <v>5.0347222222222252E-3</v>
      </c>
      <c r="G455" s="28"/>
      <c r="J455" t="s">
        <v>198</v>
      </c>
    </row>
    <row r="456" spans="1:10" hidden="1" outlineLevel="1">
      <c r="A456" s="28"/>
      <c r="B456" s="64" t="s">
        <v>351</v>
      </c>
      <c r="C456" s="5" t="s">
        <v>1011</v>
      </c>
      <c r="D456" s="2">
        <v>131</v>
      </c>
      <c r="E456" s="13">
        <v>41745</v>
      </c>
      <c r="F456" s="124">
        <v>2.2569444444444468E-3</v>
      </c>
      <c r="G456" s="28"/>
      <c r="J456" t="s">
        <v>198</v>
      </c>
    </row>
    <row r="457" spans="1:10" hidden="1" outlineLevel="1">
      <c r="A457" s="28"/>
      <c r="B457" s="64" t="s">
        <v>352</v>
      </c>
      <c r="C457" s="5" t="s">
        <v>1012</v>
      </c>
      <c r="D457" s="6" t="s">
        <v>218</v>
      </c>
      <c r="E457" s="13">
        <v>41745</v>
      </c>
      <c r="F457" s="124">
        <v>4.6296296296296294E-3</v>
      </c>
      <c r="G457" s="28"/>
      <c r="J457" t="s">
        <v>198</v>
      </c>
    </row>
    <row r="458" spans="1:10" hidden="1" outlineLevel="1">
      <c r="A458" s="28"/>
      <c r="B458" s="64" t="s">
        <v>353</v>
      </c>
      <c r="C458" s="5" t="s">
        <v>1013</v>
      </c>
      <c r="D458" s="2">
        <v>123</v>
      </c>
      <c r="E458" s="13">
        <v>41745</v>
      </c>
      <c r="F458" s="124">
        <v>4.2824074074074014E-3</v>
      </c>
      <c r="G458" s="28"/>
      <c r="J458" t="s">
        <v>198</v>
      </c>
    </row>
    <row r="459" spans="1:10" hidden="1" outlineLevel="1">
      <c r="A459" s="28"/>
      <c r="B459" s="64" t="s">
        <v>354</v>
      </c>
      <c r="C459" s="5" t="s">
        <v>1014</v>
      </c>
      <c r="D459" s="2">
        <v>109</v>
      </c>
      <c r="E459" s="13">
        <v>41745</v>
      </c>
      <c r="F459" s="124">
        <v>5.3240740740740766E-3</v>
      </c>
      <c r="G459" s="28"/>
      <c r="J459" t="s">
        <v>198</v>
      </c>
    </row>
    <row r="460" spans="1:10" hidden="1" outlineLevel="1">
      <c r="A460" s="28"/>
      <c r="B460" s="64" t="s">
        <v>355</v>
      </c>
      <c r="C460" s="5" t="s">
        <v>1015</v>
      </c>
      <c r="D460" s="2">
        <v>121</v>
      </c>
      <c r="E460" s="13">
        <v>41745</v>
      </c>
      <c r="F460" s="124">
        <v>5.324074074074074E-3</v>
      </c>
      <c r="G460" s="28"/>
      <c r="J460" t="s">
        <v>198</v>
      </c>
    </row>
    <row r="461" spans="1:10" hidden="1" outlineLevel="1">
      <c r="A461" s="28"/>
      <c r="B461" s="64" t="s">
        <v>356</v>
      </c>
      <c r="C461" s="5" t="s">
        <v>1016</v>
      </c>
      <c r="D461" s="2">
        <v>28</v>
      </c>
      <c r="E461" s="13">
        <v>41745</v>
      </c>
      <c r="F461" s="124">
        <v>4.0509259259259266E-3</v>
      </c>
      <c r="G461" s="28"/>
      <c r="J461" t="s">
        <v>198</v>
      </c>
    </row>
    <row r="462" spans="1:10" hidden="1" outlineLevel="1">
      <c r="A462" s="28"/>
      <c r="B462" s="64" t="s">
        <v>357</v>
      </c>
      <c r="C462" s="5" t="s">
        <v>1017</v>
      </c>
      <c r="D462" s="2">
        <v>154</v>
      </c>
      <c r="E462" s="13">
        <v>41731</v>
      </c>
      <c r="F462" s="124">
        <v>3.1250000000000028E-3</v>
      </c>
      <c r="G462" s="28"/>
      <c r="J462" t="s">
        <v>198</v>
      </c>
    </row>
    <row r="463" spans="1:10" hidden="1" outlineLevel="1">
      <c r="A463" s="28"/>
      <c r="B463" s="64" t="s">
        <v>358</v>
      </c>
      <c r="C463" s="5" t="s">
        <v>1018</v>
      </c>
      <c r="D463" s="2">
        <v>126</v>
      </c>
      <c r="E463" s="13">
        <v>41731</v>
      </c>
      <c r="F463" s="124">
        <v>5.5555555555555566E-3</v>
      </c>
      <c r="G463" s="28"/>
      <c r="J463" t="s">
        <v>198</v>
      </c>
    </row>
    <row r="464" spans="1:10" hidden="1" outlineLevel="1">
      <c r="A464" s="28"/>
      <c r="B464" s="64" t="s">
        <v>359</v>
      </c>
      <c r="C464" s="5" t="s">
        <v>1019</v>
      </c>
      <c r="D464" s="2">
        <v>140</v>
      </c>
      <c r="E464" s="13">
        <v>41731</v>
      </c>
      <c r="F464" s="124">
        <v>3.2407407407407385E-3</v>
      </c>
      <c r="G464" s="28"/>
      <c r="J464" t="s">
        <v>198</v>
      </c>
    </row>
    <row r="465" spans="1:10" hidden="1" outlineLevel="1">
      <c r="A465" s="28"/>
      <c r="B465" s="64" t="s">
        <v>360</v>
      </c>
      <c r="C465" s="5" t="s">
        <v>1020</v>
      </c>
      <c r="D465" s="2">
        <v>146</v>
      </c>
      <c r="E465" s="13">
        <v>41731</v>
      </c>
      <c r="F465" s="124">
        <v>1.6203703703703692E-3</v>
      </c>
      <c r="G465" s="28"/>
      <c r="J465" t="s">
        <v>198</v>
      </c>
    </row>
    <row r="466" spans="1:10" hidden="1" outlineLevel="1">
      <c r="A466" s="28"/>
      <c r="B466" s="64" t="s">
        <v>361</v>
      </c>
      <c r="C466" s="5" t="s">
        <v>1021</v>
      </c>
      <c r="D466" s="2">
        <v>157</v>
      </c>
      <c r="E466" s="13">
        <v>41731</v>
      </c>
      <c r="F466" s="124">
        <v>2.4884259259259287E-3</v>
      </c>
      <c r="G466" s="28"/>
      <c r="J466" t="s">
        <v>198</v>
      </c>
    </row>
    <row r="467" spans="1:10" hidden="1" outlineLevel="1">
      <c r="A467" s="28"/>
      <c r="B467" s="64" t="s">
        <v>362</v>
      </c>
      <c r="C467" s="5" t="s">
        <v>1022</v>
      </c>
      <c r="D467" s="2">
        <v>164</v>
      </c>
      <c r="E467" s="13">
        <v>41731</v>
      </c>
      <c r="F467" s="124">
        <v>6.0185185185185168E-3</v>
      </c>
      <c r="G467" s="28"/>
      <c r="J467" t="s">
        <v>198</v>
      </c>
    </row>
    <row r="468" spans="1:10" hidden="1" outlineLevel="1">
      <c r="A468" s="28"/>
      <c r="B468" s="64" t="s">
        <v>363</v>
      </c>
      <c r="C468" s="5" t="s">
        <v>1023</v>
      </c>
      <c r="D468" s="2">
        <v>155</v>
      </c>
      <c r="E468" s="13">
        <v>41731</v>
      </c>
      <c r="F468" s="124">
        <v>4.3402777777777762E-3</v>
      </c>
      <c r="G468" s="28"/>
      <c r="J468" t="s">
        <v>198</v>
      </c>
    </row>
    <row r="469" spans="1:10" hidden="1" outlineLevel="1">
      <c r="A469" s="28"/>
      <c r="B469" s="64" t="s">
        <v>364</v>
      </c>
      <c r="C469" s="5" t="s">
        <v>1024</v>
      </c>
      <c r="D469" s="6" t="s">
        <v>379</v>
      </c>
      <c r="E469" s="13">
        <v>41731</v>
      </c>
      <c r="F469" s="124">
        <v>5.3819444444444461E-3</v>
      </c>
      <c r="G469" s="28"/>
      <c r="J469" t="s">
        <v>198</v>
      </c>
    </row>
    <row r="470" spans="1:10" hidden="1" outlineLevel="1">
      <c r="A470" s="28"/>
      <c r="B470" s="64" t="s">
        <v>365</v>
      </c>
      <c r="C470" s="5" t="s">
        <v>1025</v>
      </c>
      <c r="D470" s="2">
        <v>107</v>
      </c>
      <c r="E470" s="13">
        <v>41731</v>
      </c>
      <c r="F470" s="124">
        <v>5.4976851851851853E-3</v>
      </c>
      <c r="G470" s="28"/>
      <c r="J470" t="s">
        <v>198</v>
      </c>
    </row>
    <row r="471" spans="1:10" hidden="1" outlineLevel="1">
      <c r="A471" s="28"/>
      <c r="B471" s="64" t="s">
        <v>366</v>
      </c>
      <c r="C471" s="5" t="s">
        <v>1026</v>
      </c>
      <c r="D471" s="2">
        <v>145</v>
      </c>
      <c r="E471" s="13">
        <v>41731</v>
      </c>
      <c r="F471" s="124">
        <v>5.1504629629629626E-3</v>
      </c>
      <c r="G471" s="28"/>
      <c r="J471" t="s">
        <v>198</v>
      </c>
    </row>
    <row r="472" spans="1:10" hidden="1" outlineLevel="1">
      <c r="A472" s="28"/>
      <c r="B472" s="64" t="s">
        <v>367</v>
      </c>
      <c r="C472" s="5" t="s">
        <v>1027</v>
      </c>
      <c r="D472" s="2">
        <v>165</v>
      </c>
      <c r="E472" s="13">
        <v>41731</v>
      </c>
      <c r="F472" s="124">
        <v>4.6874999999999998E-3</v>
      </c>
      <c r="G472" s="28"/>
      <c r="J472" t="s">
        <v>198</v>
      </c>
    </row>
    <row r="473" spans="1:10" hidden="1" outlineLevel="1">
      <c r="A473" s="28"/>
      <c r="B473" s="70" t="s">
        <v>368</v>
      </c>
      <c r="C473" s="8" t="s">
        <v>1028</v>
      </c>
      <c r="D473" s="27" t="s">
        <v>385</v>
      </c>
      <c r="E473" s="13">
        <v>41731</v>
      </c>
      <c r="F473" s="125">
        <v>3.3564814814814811E-3</v>
      </c>
      <c r="G473" s="28"/>
      <c r="J473" t="s">
        <v>198</v>
      </c>
    </row>
    <row r="474" spans="1:10">
      <c r="A474" s="28"/>
      <c r="B474" s="40"/>
      <c r="C474" s="42"/>
      <c r="D474" s="35"/>
      <c r="E474" s="43"/>
      <c r="F474" s="44"/>
      <c r="G474" s="28"/>
    </row>
    <row r="475" spans="1:10">
      <c r="A475" s="28"/>
      <c r="B475" s="28"/>
      <c r="C475" s="46"/>
      <c r="D475" s="29"/>
      <c r="E475" s="30"/>
      <c r="F475" s="31"/>
      <c r="G475" s="28"/>
    </row>
    <row r="476" spans="1:10">
      <c r="A476" s="28"/>
      <c r="B476" s="33"/>
      <c r="C476" s="47" t="s">
        <v>4072</v>
      </c>
      <c r="D476" s="35"/>
      <c r="E476" s="36"/>
      <c r="F476" s="37"/>
      <c r="G476" s="28"/>
    </row>
    <row r="477" spans="1:10" collapsed="1">
      <c r="A477" s="28"/>
      <c r="B477" s="38"/>
      <c r="C477" s="229" t="s">
        <v>2359</v>
      </c>
      <c r="D477" s="303" t="s">
        <v>391</v>
      </c>
      <c r="E477" s="303" t="s">
        <v>2356</v>
      </c>
      <c r="F477" s="39"/>
      <c r="G477" s="28"/>
    </row>
    <row r="478" spans="1:10" hidden="1" outlineLevel="1">
      <c r="A478" s="28"/>
      <c r="B478" s="23" t="s">
        <v>5</v>
      </c>
      <c r="C478" s="24" t="s">
        <v>6</v>
      </c>
      <c r="D478" s="25" t="s">
        <v>4</v>
      </c>
      <c r="E478" s="138" t="s">
        <v>8</v>
      </c>
      <c r="F478" s="26" t="s">
        <v>7</v>
      </c>
      <c r="G478" s="28"/>
    </row>
    <row r="479" spans="1:10" hidden="1" outlineLevel="1">
      <c r="A479" s="28"/>
      <c r="B479" s="1">
        <v>1</v>
      </c>
      <c r="C479" s="12" t="s">
        <v>392</v>
      </c>
      <c r="D479" s="2">
        <v>78</v>
      </c>
      <c r="E479" s="3">
        <v>42600</v>
      </c>
      <c r="F479" s="4">
        <v>4.3356481481481475E-2</v>
      </c>
      <c r="G479" s="28"/>
      <c r="J479" t="s">
        <v>396</v>
      </c>
    </row>
    <row r="480" spans="1:10" hidden="1" outlineLevel="1">
      <c r="A480" s="28"/>
      <c r="B480" s="1">
        <v>2</v>
      </c>
      <c r="C480" s="12" t="s">
        <v>393</v>
      </c>
      <c r="D480" s="6" t="s">
        <v>21</v>
      </c>
      <c r="E480" s="3">
        <v>42622</v>
      </c>
      <c r="F480" s="4">
        <v>4.854166666666667E-2</v>
      </c>
      <c r="G480" s="28"/>
      <c r="J480" t="s">
        <v>396</v>
      </c>
    </row>
    <row r="481" spans="1:10" hidden="1" outlineLevel="1">
      <c r="A481" s="28"/>
      <c r="B481" s="1">
        <v>3</v>
      </c>
      <c r="C481" s="12" t="s">
        <v>4073</v>
      </c>
      <c r="D481" s="6" t="s">
        <v>4074</v>
      </c>
      <c r="E481" s="3">
        <v>42692</v>
      </c>
      <c r="F481" s="4">
        <v>4.3958333333333328E-2</v>
      </c>
      <c r="G481" s="28"/>
      <c r="J481" t="s">
        <v>396</v>
      </c>
    </row>
    <row r="482" spans="1:10" hidden="1" outlineLevel="1">
      <c r="A482" s="28"/>
      <c r="B482" s="1">
        <v>4</v>
      </c>
      <c r="C482" s="12" t="s">
        <v>4075</v>
      </c>
      <c r="D482" s="6" t="s">
        <v>4076</v>
      </c>
      <c r="E482" s="3">
        <v>42774</v>
      </c>
      <c r="F482" s="4">
        <v>5.6250000000000001E-2</v>
      </c>
      <c r="G482" s="28"/>
      <c r="J482" t="s">
        <v>396</v>
      </c>
    </row>
    <row r="483" spans="1:10" hidden="1" outlineLevel="1">
      <c r="A483" s="28"/>
      <c r="B483" s="1">
        <v>5</v>
      </c>
      <c r="C483" s="12" t="s">
        <v>394</v>
      </c>
      <c r="D483" s="2">
        <v>84</v>
      </c>
      <c r="E483" s="3">
        <v>42849</v>
      </c>
      <c r="F483" s="4">
        <v>5.7349537037037039E-2</v>
      </c>
      <c r="G483" s="28"/>
      <c r="J483" t="s">
        <v>396</v>
      </c>
    </row>
    <row r="484" spans="1:10" hidden="1" outlineLevel="1">
      <c r="A484" s="28"/>
      <c r="B484" s="1">
        <v>6</v>
      </c>
      <c r="C484" s="12" t="s">
        <v>1260</v>
      </c>
      <c r="D484" s="2">
        <v>140</v>
      </c>
      <c r="E484" s="3">
        <v>43104</v>
      </c>
      <c r="F484" s="4">
        <v>7.6099537037037035E-2</v>
      </c>
      <c r="G484" s="28"/>
      <c r="J484" t="s">
        <v>396</v>
      </c>
    </row>
    <row r="485" spans="1:10" hidden="1" outlineLevel="1">
      <c r="A485" s="28"/>
      <c r="B485" s="1">
        <v>7</v>
      </c>
      <c r="C485" s="12" t="s">
        <v>395</v>
      </c>
      <c r="D485" s="6" t="s">
        <v>397</v>
      </c>
      <c r="E485" s="3">
        <v>43457</v>
      </c>
      <c r="F485" s="4">
        <v>3.3587962962962965E-2</v>
      </c>
      <c r="G485" s="28"/>
      <c r="J485" t="s">
        <v>396</v>
      </c>
    </row>
    <row r="486" spans="1:10" hidden="1" outlineLevel="1">
      <c r="A486" s="28"/>
      <c r="B486" s="1">
        <v>8</v>
      </c>
      <c r="C486" s="556" t="s">
        <v>580</v>
      </c>
      <c r="D486" s="6" t="s">
        <v>154</v>
      </c>
      <c r="E486" s="3">
        <v>43850</v>
      </c>
      <c r="F486" s="4">
        <v>6.1041666666666661E-2</v>
      </c>
      <c r="G486" s="28"/>
      <c r="J486" t="s">
        <v>396</v>
      </c>
    </row>
    <row r="487" spans="1:10" hidden="1" outlineLevel="1">
      <c r="A487" s="28"/>
      <c r="B487" s="1">
        <v>9</v>
      </c>
      <c r="C487" s="12" t="s">
        <v>3636</v>
      </c>
      <c r="D487" s="6" t="s">
        <v>3637</v>
      </c>
      <c r="E487" s="3">
        <v>44938</v>
      </c>
      <c r="F487" s="4">
        <v>4.8379629629629627E-2</v>
      </c>
      <c r="G487" s="28"/>
      <c r="J487" t="s">
        <v>396</v>
      </c>
    </row>
    <row r="488" spans="1:10" hidden="1" outlineLevel="1">
      <c r="A488" s="28"/>
      <c r="B488" s="7">
        <v>10</v>
      </c>
      <c r="C488" s="649" t="s">
        <v>4070</v>
      </c>
      <c r="D488" s="9">
        <v>130</v>
      </c>
      <c r="E488" s="10">
        <v>45131</v>
      </c>
      <c r="F488" s="11">
        <v>4.282407407407407E-2</v>
      </c>
      <c r="G488" s="28"/>
      <c r="J488" t="s">
        <v>396</v>
      </c>
    </row>
    <row r="489" spans="1:10">
      <c r="A489" s="28"/>
      <c r="B489" s="40"/>
      <c r="C489" s="42"/>
      <c r="D489" s="35"/>
      <c r="E489" s="36"/>
      <c r="F489" s="41"/>
      <c r="G489" s="28"/>
    </row>
    <row r="490" spans="1:10">
      <c r="A490" s="28"/>
      <c r="B490" s="28"/>
      <c r="C490" s="46"/>
      <c r="D490" s="29"/>
      <c r="E490" s="30"/>
      <c r="F490" s="31"/>
      <c r="G490" s="28"/>
    </row>
    <row r="491" spans="1:10">
      <c r="A491" s="28"/>
      <c r="B491" s="33"/>
      <c r="C491" s="34" t="s">
        <v>1270</v>
      </c>
      <c r="D491" s="35"/>
      <c r="E491" s="36"/>
      <c r="F491" s="37"/>
      <c r="G491" s="28"/>
    </row>
    <row r="492" spans="1:10" collapsed="1">
      <c r="A492" s="28"/>
      <c r="B492" s="38"/>
      <c r="C492" s="229" t="s">
        <v>2360</v>
      </c>
      <c r="D492" s="29"/>
      <c r="E492" s="30"/>
      <c r="F492" s="39"/>
      <c r="G492" s="28"/>
    </row>
    <row r="493" spans="1:10" hidden="1" outlineLevel="1">
      <c r="A493" s="28"/>
      <c r="B493" s="23" t="s">
        <v>5</v>
      </c>
      <c r="C493" s="24" t="s">
        <v>6</v>
      </c>
      <c r="D493" s="25" t="s">
        <v>4</v>
      </c>
      <c r="E493" s="138" t="s">
        <v>8</v>
      </c>
      <c r="F493" s="26" t="s">
        <v>7</v>
      </c>
      <c r="G493" s="28"/>
    </row>
    <row r="494" spans="1:10" hidden="1" outlineLevel="1">
      <c r="A494" s="28"/>
      <c r="B494" s="1">
        <v>1</v>
      </c>
      <c r="C494" s="5" t="s">
        <v>2413</v>
      </c>
      <c r="D494" s="2">
        <v>1</v>
      </c>
      <c r="E494" s="3">
        <v>42689</v>
      </c>
      <c r="F494" s="4">
        <v>4.0486111111111105E-2</v>
      </c>
      <c r="G494" s="28"/>
      <c r="J494" t="s">
        <v>114</v>
      </c>
    </row>
    <row r="495" spans="1:10" hidden="1" outlineLevel="1">
      <c r="A495" s="28"/>
      <c r="B495" s="1">
        <v>2</v>
      </c>
      <c r="C495" s="5" t="s">
        <v>2414</v>
      </c>
      <c r="D495" s="2">
        <v>14</v>
      </c>
      <c r="E495" s="3">
        <v>42709</v>
      </c>
      <c r="F495" s="4">
        <v>4.6342592592592595E-2</v>
      </c>
      <c r="G495" s="28"/>
      <c r="J495" t="s">
        <v>114</v>
      </c>
    </row>
    <row r="496" spans="1:10" hidden="1" outlineLevel="1">
      <c r="A496" s="28"/>
      <c r="B496" s="1">
        <v>3</v>
      </c>
      <c r="C496" s="5" t="s">
        <v>2415</v>
      </c>
      <c r="D496" s="2">
        <v>2</v>
      </c>
      <c r="E496" s="3">
        <v>42752</v>
      </c>
      <c r="F496" s="4">
        <v>4.8321759259259266E-2</v>
      </c>
      <c r="G496" s="28"/>
      <c r="J496" t="s">
        <v>114</v>
      </c>
    </row>
    <row r="497" spans="1:10" hidden="1" outlineLevel="1">
      <c r="A497" s="28"/>
      <c r="B497" s="1">
        <v>4</v>
      </c>
      <c r="C497" s="5" t="s">
        <v>2416</v>
      </c>
      <c r="D497" s="2">
        <v>32</v>
      </c>
      <c r="E497" s="3">
        <v>42787</v>
      </c>
      <c r="F497" s="4">
        <v>4.206018518518518E-2</v>
      </c>
      <c r="G497" s="28"/>
      <c r="J497" t="s">
        <v>114</v>
      </c>
    </row>
    <row r="498" spans="1:10" hidden="1" outlineLevel="1">
      <c r="A498" s="28"/>
      <c r="B498" s="1">
        <v>5</v>
      </c>
      <c r="C498" s="5" t="s">
        <v>2417</v>
      </c>
      <c r="D498" s="2">
        <v>3</v>
      </c>
      <c r="E498" s="3">
        <v>42831</v>
      </c>
      <c r="F498" s="4">
        <v>4.8576388888888884E-2</v>
      </c>
      <c r="G498" s="28"/>
      <c r="J498" t="s">
        <v>114</v>
      </c>
    </row>
    <row r="499" spans="1:10" hidden="1" outlineLevel="1">
      <c r="A499" s="28"/>
      <c r="B499" s="1">
        <v>6</v>
      </c>
      <c r="C499" s="5" t="s">
        <v>2418</v>
      </c>
      <c r="D499" s="2">
        <v>48</v>
      </c>
      <c r="E499" s="3">
        <v>42897</v>
      </c>
      <c r="F499" s="4">
        <v>4.5798611111111109E-2</v>
      </c>
      <c r="G499" s="28"/>
      <c r="J499" t="s">
        <v>114</v>
      </c>
    </row>
    <row r="500" spans="1:10" hidden="1" outlineLevel="1">
      <c r="A500" s="28"/>
      <c r="B500" s="1">
        <v>7</v>
      </c>
      <c r="C500" s="5" t="s">
        <v>2419</v>
      </c>
      <c r="D500" s="2">
        <v>4</v>
      </c>
      <c r="E500" s="3">
        <v>43054</v>
      </c>
      <c r="F500" s="4">
        <v>5.0370370370370371E-2</v>
      </c>
      <c r="G500" s="28"/>
      <c r="J500" t="s">
        <v>114</v>
      </c>
    </row>
    <row r="501" spans="1:10" hidden="1" outlineLevel="1">
      <c r="A501" s="28"/>
      <c r="B501" s="1">
        <v>8</v>
      </c>
      <c r="C501" s="5" t="s">
        <v>2420</v>
      </c>
      <c r="D501" s="2">
        <v>64</v>
      </c>
      <c r="E501" s="3">
        <v>43207</v>
      </c>
      <c r="F501" s="4">
        <v>5.9236111111111107E-2</v>
      </c>
      <c r="G501" s="28"/>
      <c r="J501" t="s">
        <v>114</v>
      </c>
    </row>
    <row r="502" spans="1:10" hidden="1" outlineLevel="1">
      <c r="A502" s="28"/>
      <c r="B502" s="1">
        <v>9</v>
      </c>
      <c r="C502" s="5" t="s">
        <v>2421</v>
      </c>
      <c r="D502" s="2">
        <v>5</v>
      </c>
      <c r="E502" s="3">
        <v>43297</v>
      </c>
      <c r="F502" s="4">
        <v>6.3900462962962964E-2</v>
      </c>
      <c r="G502" s="28"/>
      <c r="J502" t="s">
        <v>114</v>
      </c>
    </row>
    <row r="503" spans="1:10" hidden="1" outlineLevel="1">
      <c r="A503" s="28"/>
      <c r="B503" s="1">
        <v>10</v>
      </c>
      <c r="C503" s="5" t="s">
        <v>2422</v>
      </c>
      <c r="D503" s="2">
        <v>80</v>
      </c>
      <c r="E503" s="3">
        <v>43332</v>
      </c>
      <c r="F503" s="4">
        <v>4.4224537037037041E-2</v>
      </c>
      <c r="G503" s="28"/>
      <c r="J503" t="s">
        <v>114</v>
      </c>
    </row>
    <row r="504" spans="1:10" hidden="1" outlineLevel="1">
      <c r="A504" s="28"/>
      <c r="B504" s="1">
        <v>11</v>
      </c>
      <c r="C504" s="5" t="s">
        <v>2423</v>
      </c>
      <c r="D504" s="2">
        <v>6</v>
      </c>
      <c r="E504" s="3">
        <v>43368</v>
      </c>
      <c r="F504" s="4">
        <v>6.7245370370370372E-2</v>
      </c>
      <c r="G504" s="28"/>
      <c r="J504" t="s">
        <v>114</v>
      </c>
    </row>
    <row r="505" spans="1:10" hidden="1" outlineLevel="1">
      <c r="A505" s="28"/>
      <c r="B505" s="1">
        <v>12</v>
      </c>
      <c r="C505" s="5" t="s">
        <v>2424</v>
      </c>
      <c r="D505" s="2">
        <v>96</v>
      </c>
      <c r="E505" s="3">
        <v>43457</v>
      </c>
      <c r="F505" s="4">
        <v>5.8969907407407408E-2</v>
      </c>
      <c r="G505" s="28"/>
      <c r="J505" t="s">
        <v>114</v>
      </c>
    </row>
    <row r="506" spans="1:10" hidden="1" outlineLevel="1">
      <c r="A506" s="28"/>
      <c r="B506" s="1">
        <v>13</v>
      </c>
      <c r="C506" s="5" t="s">
        <v>2425</v>
      </c>
      <c r="D506" s="2">
        <v>7</v>
      </c>
      <c r="E506" s="3">
        <v>43616</v>
      </c>
      <c r="F506" s="4">
        <v>5.9780092592592593E-2</v>
      </c>
      <c r="G506" s="28"/>
      <c r="J506" t="s">
        <v>114</v>
      </c>
    </row>
    <row r="507" spans="1:10" hidden="1" outlineLevel="1">
      <c r="A507" s="28"/>
      <c r="B507" s="1">
        <v>14</v>
      </c>
      <c r="C507" s="5" t="s">
        <v>605</v>
      </c>
      <c r="D507" s="2">
        <v>112</v>
      </c>
      <c r="E507" s="3">
        <v>43745</v>
      </c>
      <c r="F507" s="4">
        <v>4.4143518518518519E-2</v>
      </c>
      <c r="G507" s="28"/>
      <c r="J507" t="s">
        <v>114</v>
      </c>
    </row>
    <row r="508" spans="1:10" hidden="1" outlineLevel="1">
      <c r="A508" s="28"/>
      <c r="B508" s="1">
        <v>15</v>
      </c>
      <c r="C508" s="5" t="s">
        <v>2426</v>
      </c>
      <c r="D508" s="2">
        <v>8</v>
      </c>
      <c r="E508" s="3">
        <v>43913</v>
      </c>
      <c r="F508" s="4">
        <v>6.7106481481481475E-2</v>
      </c>
      <c r="G508" s="28"/>
      <c r="J508" t="s">
        <v>114</v>
      </c>
    </row>
    <row r="509" spans="1:10" hidden="1" outlineLevel="1">
      <c r="A509" s="28"/>
      <c r="B509" s="1">
        <v>16</v>
      </c>
      <c r="C509" s="5" t="s">
        <v>595</v>
      </c>
      <c r="D509" s="2">
        <v>128</v>
      </c>
      <c r="E509" s="3">
        <v>44219</v>
      </c>
      <c r="F509" s="4">
        <v>6.8634259259259256E-2</v>
      </c>
      <c r="G509" s="28"/>
      <c r="J509" t="s">
        <v>114</v>
      </c>
    </row>
    <row r="510" spans="1:10" hidden="1" outlineLevel="1">
      <c r="A510" s="28"/>
      <c r="B510" s="1">
        <v>17</v>
      </c>
      <c r="C510" s="5" t="s">
        <v>2427</v>
      </c>
      <c r="D510" s="2">
        <v>9</v>
      </c>
      <c r="E510" s="3">
        <v>44507</v>
      </c>
      <c r="F510" s="4">
        <v>6.293981481481481E-2</v>
      </c>
      <c r="G510" s="28"/>
      <c r="J510" t="s">
        <v>114</v>
      </c>
    </row>
    <row r="511" spans="1:10" hidden="1" outlineLevel="1">
      <c r="A511" s="28"/>
      <c r="B511" s="1">
        <v>18</v>
      </c>
      <c r="C511" s="5" t="s">
        <v>596</v>
      </c>
      <c r="D511" s="2">
        <v>144</v>
      </c>
      <c r="E511" s="3">
        <v>44705</v>
      </c>
      <c r="F511" s="4">
        <v>7.5266203703703696E-2</v>
      </c>
      <c r="G511" s="28"/>
      <c r="J511" t="s">
        <v>114</v>
      </c>
    </row>
    <row r="512" spans="1:10" hidden="1" outlineLevel="1">
      <c r="A512" s="28"/>
      <c r="B512" s="1">
        <v>19</v>
      </c>
      <c r="C512" s="5" t="s">
        <v>2428</v>
      </c>
      <c r="D512" s="2">
        <v>10</v>
      </c>
      <c r="E512" s="3">
        <v>45139</v>
      </c>
      <c r="F512" s="4">
        <v>7.6655092592592594E-2</v>
      </c>
      <c r="G512" s="28"/>
      <c r="J512" t="s">
        <v>114</v>
      </c>
    </row>
    <row r="513" spans="1:10" hidden="1" outlineLevel="1">
      <c r="A513" s="28"/>
      <c r="B513" s="76">
        <v>20</v>
      </c>
      <c r="C513" s="77" t="s">
        <v>597</v>
      </c>
      <c r="D513" s="78">
        <v>160</v>
      </c>
      <c r="E513" s="548">
        <v>45656</v>
      </c>
      <c r="F513" s="80">
        <v>0</v>
      </c>
      <c r="G513" s="28"/>
      <c r="J513" t="s">
        <v>114</v>
      </c>
    </row>
    <row r="514" spans="1:10" hidden="1" outlineLevel="1">
      <c r="A514" s="28"/>
      <c r="B514" s="76">
        <v>21</v>
      </c>
      <c r="C514" s="77" t="s">
        <v>2429</v>
      </c>
      <c r="D514" s="78">
        <v>11</v>
      </c>
      <c r="E514" s="548">
        <v>45657</v>
      </c>
      <c r="F514" s="80">
        <v>0</v>
      </c>
      <c r="G514" s="28"/>
      <c r="J514" t="s">
        <v>114</v>
      </c>
    </row>
    <row r="515" spans="1:10" hidden="1" outlineLevel="1">
      <c r="A515" s="28"/>
      <c r="B515" s="76">
        <v>22</v>
      </c>
      <c r="C515" s="77" t="s">
        <v>598</v>
      </c>
      <c r="D515" s="78">
        <v>176</v>
      </c>
      <c r="E515" s="548">
        <v>45838</v>
      </c>
      <c r="F515" s="80">
        <v>0</v>
      </c>
      <c r="G515" s="28"/>
      <c r="J515" t="s">
        <v>114</v>
      </c>
    </row>
    <row r="516" spans="1:10" hidden="1" outlineLevel="1">
      <c r="A516" s="28"/>
      <c r="B516" s="76">
        <v>23</v>
      </c>
      <c r="C516" s="77" t="s">
        <v>2430</v>
      </c>
      <c r="D516" s="78">
        <v>12</v>
      </c>
      <c r="E516" s="548">
        <v>46022</v>
      </c>
      <c r="F516" s="80">
        <v>0</v>
      </c>
      <c r="G516" s="28"/>
      <c r="J516" t="s">
        <v>114</v>
      </c>
    </row>
    <row r="517" spans="1:10" hidden="1" outlineLevel="1">
      <c r="A517" s="28"/>
      <c r="B517" s="76">
        <v>24</v>
      </c>
      <c r="C517" s="77" t="s">
        <v>599</v>
      </c>
      <c r="D517" s="78">
        <v>192</v>
      </c>
      <c r="E517" s="548">
        <v>46203</v>
      </c>
      <c r="F517" s="80">
        <v>0</v>
      </c>
      <c r="G517" s="28"/>
      <c r="J517" t="s">
        <v>114</v>
      </c>
    </row>
    <row r="518" spans="1:10" hidden="1" outlineLevel="1">
      <c r="A518" s="28"/>
      <c r="B518" s="81">
        <v>25</v>
      </c>
      <c r="C518" s="82" t="s">
        <v>2431</v>
      </c>
      <c r="D518" s="83">
        <v>13</v>
      </c>
      <c r="E518" s="549">
        <v>46387</v>
      </c>
      <c r="F518" s="84">
        <v>0</v>
      </c>
      <c r="G518" s="28"/>
      <c r="J518" t="s">
        <v>114</v>
      </c>
    </row>
    <row r="519" spans="1:10">
      <c r="A519" s="28"/>
      <c r="B519" s="40"/>
      <c r="C519" s="40"/>
      <c r="D519" s="35"/>
      <c r="E519" s="36"/>
      <c r="F519" s="41"/>
      <c r="G519" s="28"/>
    </row>
    <row r="520" spans="1:10">
      <c r="A520" s="28"/>
      <c r="B520" s="28"/>
      <c r="C520" s="46"/>
      <c r="D520" s="29"/>
      <c r="E520" s="30"/>
      <c r="F520" s="31"/>
      <c r="G520" s="28"/>
    </row>
    <row r="521" spans="1:10">
      <c r="A521" s="28"/>
      <c r="B521" s="33"/>
      <c r="C521" s="47" t="s">
        <v>2771</v>
      </c>
      <c r="D521" s="35"/>
      <c r="E521" s="36"/>
      <c r="F521" s="37"/>
      <c r="G521" s="28"/>
    </row>
    <row r="522" spans="1:10" collapsed="1">
      <c r="A522" s="28"/>
      <c r="B522" s="38"/>
      <c r="C522" s="229" t="s">
        <v>2770</v>
      </c>
      <c r="D522" s="303" t="s">
        <v>391</v>
      </c>
      <c r="E522" s="303"/>
      <c r="F522" s="39"/>
      <c r="G522" s="28"/>
    </row>
    <row r="523" spans="1:10" hidden="1" outlineLevel="1">
      <c r="A523" s="28"/>
      <c r="B523" s="23" t="s">
        <v>5</v>
      </c>
      <c r="C523" s="24" t="s">
        <v>6</v>
      </c>
      <c r="D523" s="25" t="s">
        <v>4</v>
      </c>
      <c r="E523" s="138" t="s">
        <v>8</v>
      </c>
      <c r="F523" s="26" t="s">
        <v>7</v>
      </c>
      <c r="G523" s="28"/>
    </row>
    <row r="524" spans="1:10" hidden="1" outlineLevel="1">
      <c r="A524" s="28"/>
      <c r="B524" s="1">
        <v>1</v>
      </c>
      <c r="C524" s="426" t="s">
        <v>2763</v>
      </c>
      <c r="D524" s="6">
        <v>175</v>
      </c>
      <c r="E524" s="3">
        <v>42732</v>
      </c>
      <c r="F524" s="4">
        <v>3.8182870370370374E-2</v>
      </c>
      <c r="G524" s="28"/>
      <c r="J524" t="s">
        <v>2762</v>
      </c>
    </row>
    <row r="525" spans="1:10" hidden="1" outlineLevel="1">
      <c r="A525" s="28"/>
      <c r="B525" s="1">
        <v>2</v>
      </c>
      <c r="C525" s="426" t="s">
        <v>2764</v>
      </c>
      <c r="D525" s="6">
        <v>92</v>
      </c>
      <c r="E525" s="3">
        <v>42748</v>
      </c>
      <c r="F525" s="4">
        <v>2.6412037037037036E-2</v>
      </c>
      <c r="G525" s="28"/>
      <c r="J525" t="s">
        <v>2762</v>
      </c>
    </row>
    <row r="526" spans="1:10" hidden="1" outlineLevel="1">
      <c r="A526" s="28"/>
      <c r="B526" s="1">
        <v>3</v>
      </c>
      <c r="C526" s="426" t="s">
        <v>2765</v>
      </c>
      <c r="D526" s="6">
        <v>183</v>
      </c>
      <c r="E526" s="3">
        <v>42761</v>
      </c>
      <c r="F526" s="4">
        <v>3.9861111111111111E-2</v>
      </c>
      <c r="G526" s="28"/>
      <c r="J526" t="s">
        <v>2762</v>
      </c>
    </row>
    <row r="527" spans="1:10" hidden="1" outlineLevel="1">
      <c r="A527" s="28"/>
      <c r="B527" s="1">
        <v>4</v>
      </c>
      <c r="C527" s="426" t="s">
        <v>2766</v>
      </c>
      <c r="D527" s="6">
        <v>186</v>
      </c>
      <c r="E527" s="3">
        <v>42817</v>
      </c>
      <c r="F527" s="4">
        <v>3.2129629629629626E-2</v>
      </c>
      <c r="G527" s="28"/>
      <c r="J527" t="s">
        <v>2762</v>
      </c>
    </row>
    <row r="528" spans="1:10" hidden="1" outlineLevel="1">
      <c r="A528" s="28"/>
      <c r="B528" s="1">
        <v>5</v>
      </c>
      <c r="C528" s="426" t="s">
        <v>2767</v>
      </c>
      <c r="D528" s="6">
        <v>185</v>
      </c>
      <c r="E528" s="3">
        <v>42876</v>
      </c>
      <c r="F528" s="4">
        <v>3.3379629629629634E-2</v>
      </c>
      <c r="G528" s="28"/>
      <c r="J528" t="s">
        <v>2762</v>
      </c>
    </row>
    <row r="529" spans="1:10" hidden="1" outlineLevel="1">
      <c r="A529" s="28"/>
      <c r="B529" s="1">
        <v>6</v>
      </c>
      <c r="C529" s="426" t="s">
        <v>2768</v>
      </c>
      <c r="D529" s="6">
        <v>187</v>
      </c>
      <c r="E529" s="3">
        <v>42886</v>
      </c>
      <c r="F529" s="4">
        <v>3.0115740740740738E-2</v>
      </c>
      <c r="G529" s="28"/>
      <c r="J529" t="s">
        <v>2762</v>
      </c>
    </row>
    <row r="530" spans="1:10" hidden="1" outlineLevel="1">
      <c r="A530" s="28"/>
      <c r="B530" s="1">
        <v>7</v>
      </c>
      <c r="C530" s="426" t="s">
        <v>2760</v>
      </c>
      <c r="D530" s="6">
        <v>0</v>
      </c>
      <c r="E530" s="3">
        <v>42939</v>
      </c>
      <c r="F530" s="4">
        <v>5.0173611111111106E-2</v>
      </c>
      <c r="G530" s="28"/>
      <c r="J530" t="s">
        <v>2762</v>
      </c>
    </row>
    <row r="531" spans="1:10" hidden="1" outlineLevel="1">
      <c r="A531" s="28"/>
      <c r="B531" s="1">
        <v>8</v>
      </c>
      <c r="C531" s="426" t="s">
        <v>2769</v>
      </c>
      <c r="D531" s="2">
        <v>188</v>
      </c>
      <c r="E531" s="3">
        <v>43002</v>
      </c>
      <c r="F531" s="4">
        <v>4.2280092592592598E-2</v>
      </c>
      <c r="G531" s="28"/>
      <c r="J531" t="s">
        <v>2762</v>
      </c>
    </row>
    <row r="532" spans="1:10" hidden="1" outlineLevel="1">
      <c r="A532" s="28"/>
      <c r="B532" s="7">
        <v>9</v>
      </c>
      <c r="C532" s="427" t="s">
        <v>2761</v>
      </c>
      <c r="D532" s="9">
        <v>0</v>
      </c>
      <c r="E532" s="10">
        <v>43088</v>
      </c>
      <c r="F532" s="11">
        <v>4.4664351851851851E-2</v>
      </c>
      <c r="G532" s="28"/>
      <c r="J532" t="s">
        <v>2762</v>
      </c>
    </row>
    <row r="533" spans="1:10">
      <c r="A533" s="28"/>
      <c r="B533" s="40"/>
      <c r="C533" s="42"/>
      <c r="D533" s="35"/>
      <c r="E533" s="36"/>
      <c r="F533" s="41"/>
      <c r="G533" s="28"/>
    </row>
    <row r="534" spans="1:10">
      <c r="A534" s="28"/>
      <c r="B534" s="28"/>
      <c r="C534" s="28"/>
      <c r="D534" s="29"/>
      <c r="E534" s="30"/>
      <c r="F534" s="31"/>
      <c r="G534" s="28"/>
    </row>
    <row r="535" spans="1:10">
      <c r="A535" s="28"/>
      <c r="B535" s="33"/>
      <c r="C535" s="34" t="s">
        <v>1399</v>
      </c>
      <c r="D535" s="35"/>
      <c r="E535" s="36"/>
      <c r="F535" s="71" t="s">
        <v>568</v>
      </c>
      <c r="G535" s="28"/>
    </row>
    <row r="536" spans="1:10" collapsed="1">
      <c r="A536" s="28"/>
      <c r="B536" s="38"/>
      <c r="C536" s="229" t="s">
        <v>479</v>
      </c>
      <c r="D536" s="29"/>
      <c r="E536" s="30"/>
      <c r="F536" s="39"/>
      <c r="G536" s="28"/>
    </row>
    <row r="537" spans="1:10" hidden="1" outlineLevel="1">
      <c r="A537" s="28"/>
      <c r="B537" s="23" t="s">
        <v>5</v>
      </c>
      <c r="C537" s="24" t="s">
        <v>6</v>
      </c>
      <c r="D537" s="25" t="s">
        <v>4</v>
      </c>
      <c r="E537" s="138" t="s">
        <v>8</v>
      </c>
      <c r="F537" s="26" t="s">
        <v>7</v>
      </c>
      <c r="G537" s="28"/>
    </row>
    <row r="538" spans="1:10" hidden="1" outlineLevel="1">
      <c r="A538" s="28"/>
      <c r="B538" s="1">
        <v>1</v>
      </c>
      <c r="C538" s="3" t="s">
        <v>2376</v>
      </c>
      <c r="D538" s="2">
        <v>0</v>
      </c>
      <c r="E538" s="3">
        <v>42823</v>
      </c>
      <c r="F538" s="4">
        <v>3.605324074074074E-2</v>
      </c>
      <c r="G538" s="28"/>
      <c r="J538" t="s">
        <v>109</v>
      </c>
    </row>
    <row r="539" spans="1:10" hidden="1" outlineLevel="1">
      <c r="A539" s="28"/>
      <c r="B539" s="1">
        <v>2</v>
      </c>
      <c r="C539" s="3" t="s">
        <v>2377</v>
      </c>
      <c r="D539" s="2">
        <v>1</v>
      </c>
      <c r="E539" s="3">
        <v>42826</v>
      </c>
      <c r="F539" s="4">
        <v>5.6620370370370376E-2</v>
      </c>
      <c r="G539" s="28"/>
      <c r="J539" t="s">
        <v>109</v>
      </c>
    </row>
    <row r="540" spans="1:10" hidden="1" outlineLevel="1">
      <c r="A540" s="28"/>
      <c r="B540" s="1">
        <v>3</v>
      </c>
      <c r="C540" s="5" t="s">
        <v>427</v>
      </c>
      <c r="D540" s="6" t="s">
        <v>1271</v>
      </c>
      <c r="E540" s="3">
        <v>42838</v>
      </c>
      <c r="F540" s="4">
        <v>2.4872685185185189E-2</v>
      </c>
      <c r="G540" s="28"/>
      <c r="J540" t="s">
        <v>109</v>
      </c>
    </row>
    <row r="541" spans="1:10" hidden="1" outlineLevel="1">
      <c r="A541" s="28"/>
      <c r="B541" s="1">
        <v>4</v>
      </c>
      <c r="C541" s="3" t="s">
        <v>2378</v>
      </c>
      <c r="D541" s="2">
        <v>24</v>
      </c>
      <c r="E541" s="3">
        <v>42840</v>
      </c>
      <c r="F541" s="4">
        <v>5.0578703703703709E-2</v>
      </c>
      <c r="G541" s="28"/>
      <c r="J541" t="s">
        <v>109</v>
      </c>
    </row>
    <row r="542" spans="1:10" hidden="1" outlineLevel="1">
      <c r="A542" s="28"/>
      <c r="B542" s="1">
        <v>5</v>
      </c>
      <c r="C542" s="5" t="s">
        <v>428</v>
      </c>
      <c r="D542" s="6" t="s">
        <v>1272</v>
      </c>
      <c r="E542" s="3">
        <v>42852</v>
      </c>
      <c r="F542" s="4">
        <v>1.8449074074074073E-2</v>
      </c>
      <c r="G542" s="28"/>
      <c r="J542" t="s">
        <v>109</v>
      </c>
    </row>
    <row r="543" spans="1:10" hidden="1" outlineLevel="1">
      <c r="A543" s="28"/>
      <c r="B543" s="1">
        <v>6</v>
      </c>
      <c r="C543" s="3" t="s">
        <v>2379</v>
      </c>
      <c r="D543" s="2">
        <v>10</v>
      </c>
      <c r="E543" s="3">
        <v>42855</v>
      </c>
      <c r="F543" s="4">
        <v>7.0462962962962963E-2</v>
      </c>
      <c r="G543" s="28"/>
      <c r="J543" t="s">
        <v>109</v>
      </c>
    </row>
    <row r="544" spans="1:10" hidden="1" outlineLevel="1">
      <c r="A544" s="28"/>
      <c r="B544" s="1">
        <v>7</v>
      </c>
      <c r="C544" s="5" t="s">
        <v>429</v>
      </c>
      <c r="D544" s="6" t="s">
        <v>1273</v>
      </c>
      <c r="E544" s="3">
        <v>42865</v>
      </c>
      <c r="F544" s="4">
        <v>2.8518518518518523E-2</v>
      </c>
      <c r="G544" s="28"/>
      <c r="J544" t="s">
        <v>109</v>
      </c>
    </row>
    <row r="545" spans="1:10" hidden="1" outlineLevel="1">
      <c r="A545" s="28"/>
      <c r="B545" s="1">
        <v>8</v>
      </c>
      <c r="C545" s="3" t="s">
        <v>2380</v>
      </c>
      <c r="D545" s="2">
        <v>169</v>
      </c>
      <c r="E545" s="3">
        <v>42868</v>
      </c>
      <c r="F545" s="4">
        <v>5.994212962962963E-2</v>
      </c>
      <c r="G545" s="28"/>
      <c r="J545" t="s">
        <v>109</v>
      </c>
    </row>
    <row r="546" spans="1:10" hidden="1" outlineLevel="1">
      <c r="A546" s="28"/>
      <c r="B546" s="1">
        <v>9</v>
      </c>
      <c r="C546" s="5" t="s">
        <v>430</v>
      </c>
      <c r="D546" s="6" t="s">
        <v>1274</v>
      </c>
      <c r="E546" s="3">
        <v>42881</v>
      </c>
      <c r="F546" s="4">
        <v>2.3715277777777776E-2</v>
      </c>
      <c r="G546" s="28"/>
      <c r="J546" t="s">
        <v>109</v>
      </c>
    </row>
    <row r="547" spans="1:10" hidden="1" outlineLevel="1">
      <c r="A547" s="28"/>
      <c r="B547" s="1">
        <v>10</v>
      </c>
      <c r="C547" s="5" t="s">
        <v>494</v>
      </c>
      <c r="D547" s="2">
        <v>91</v>
      </c>
      <c r="E547" s="3">
        <v>42886</v>
      </c>
      <c r="F547" s="4">
        <v>5.9236111111111107E-2</v>
      </c>
      <c r="G547" s="28"/>
      <c r="J547" t="s">
        <v>109</v>
      </c>
    </row>
    <row r="548" spans="1:10" hidden="1" outlineLevel="1">
      <c r="A548" s="28"/>
      <c r="B548" s="1">
        <v>11</v>
      </c>
      <c r="C548" s="5" t="s">
        <v>431</v>
      </c>
      <c r="D548" s="6" t="s">
        <v>1275</v>
      </c>
      <c r="E548" s="3">
        <v>42896</v>
      </c>
      <c r="F548" s="4">
        <v>2.3483796296296298E-2</v>
      </c>
      <c r="G548" s="28"/>
      <c r="J548" t="s">
        <v>109</v>
      </c>
    </row>
    <row r="549" spans="1:10" hidden="1" outlineLevel="1">
      <c r="A549" s="28"/>
      <c r="B549" s="1">
        <v>12</v>
      </c>
      <c r="C549" s="5" t="s">
        <v>433</v>
      </c>
      <c r="D549" s="2">
        <v>88</v>
      </c>
      <c r="E549" s="3">
        <v>42906</v>
      </c>
      <c r="F549" s="4">
        <v>7.2916666666666671E-2</v>
      </c>
      <c r="G549" s="28"/>
      <c r="J549" t="s">
        <v>109</v>
      </c>
    </row>
    <row r="550" spans="1:10" hidden="1" outlineLevel="1">
      <c r="A550" s="28"/>
      <c r="B550" s="1">
        <v>13</v>
      </c>
      <c r="C550" s="5" t="s">
        <v>432</v>
      </c>
      <c r="D550" s="6" t="s">
        <v>1276</v>
      </c>
      <c r="E550" s="3">
        <v>42915</v>
      </c>
      <c r="F550" s="4">
        <v>1.7615740740740741E-2</v>
      </c>
      <c r="G550" s="28"/>
      <c r="J550" t="s">
        <v>109</v>
      </c>
    </row>
    <row r="551" spans="1:10" hidden="1" outlineLevel="1">
      <c r="A551" s="28"/>
      <c r="B551" s="1">
        <v>14</v>
      </c>
      <c r="C551" s="5" t="s">
        <v>435</v>
      </c>
      <c r="D551" s="2">
        <v>38</v>
      </c>
      <c r="E551" s="3">
        <v>42929</v>
      </c>
      <c r="F551" s="4">
        <v>6.5300925925925915E-2</v>
      </c>
      <c r="G551" s="28"/>
      <c r="J551" t="s">
        <v>109</v>
      </c>
    </row>
    <row r="552" spans="1:10" hidden="1" outlineLevel="1">
      <c r="A552" s="28"/>
      <c r="B552" s="1">
        <v>15</v>
      </c>
      <c r="C552" s="5" t="s">
        <v>434</v>
      </c>
      <c r="D552" s="6" t="s">
        <v>1277</v>
      </c>
      <c r="E552" s="3">
        <v>42953</v>
      </c>
      <c r="F552" s="4">
        <v>4.1412037037037039E-2</v>
      </c>
      <c r="G552" s="28"/>
      <c r="J552" t="s">
        <v>109</v>
      </c>
    </row>
    <row r="553" spans="1:10" hidden="1" outlineLevel="1">
      <c r="A553" s="28"/>
      <c r="B553" s="1">
        <v>16</v>
      </c>
      <c r="C553" s="5" t="s">
        <v>437</v>
      </c>
      <c r="D553" s="2">
        <v>8</v>
      </c>
      <c r="E553" s="3">
        <v>42964</v>
      </c>
      <c r="F553" s="4">
        <v>8.7083333333333332E-2</v>
      </c>
      <c r="G553" s="28"/>
      <c r="J553" t="s">
        <v>109</v>
      </c>
    </row>
    <row r="554" spans="1:10" hidden="1" outlineLevel="1">
      <c r="A554" s="28"/>
      <c r="B554" s="1">
        <v>17</v>
      </c>
      <c r="C554" s="5" t="s">
        <v>436</v>
      </c>
      <c r="D554" s="6" t="s">
        <v>1278</v>
      </c>
      <c r="E554" s="3">
        <v>42971</v>
      </c>
      <c r="F554" s="4">
        <v>4.1817129629629628E-2</v>
      </c>
      <c r="G554" s="28"/>
      <c r="J554" t="s">
        <v>109</v>
      </c>
    </row>
    <row r="555" spans="1:10" hidden="1" outlineLevel="1">
      <c r="A555" s="28"/>
      <c r="B555" s="1">
        <v>18</v>
      </c>
      <c r="C555" s="5" t="s">
        <v>439</v>
      </c>
      <c r="D555" s="2">
        <v>68</v>
      </c>
      <c r="E555" s="3">
        <v>42983</v>
      </c>
      <c r="F555" s="4">
        <v>7.5983796296296299E-2</v>
      </c>
      <c r="G555" s="28"/>
      <c r="J555" t="s">
        <v>109</v>
      </c>
    </row>
    <row r="556" spans="1:10" hidden="1" outlineLevel="1">
      <c r="A556" s="28"/>
      <c r="B556" s="1">
        <v>19</v>
      </c>
      <c r="C556" s="5" t="s">
        <v>438</v>
      </c>
      <c r="D556" s="6" t="s">
        <v>1279</v>
      </c>
      <c r="E556" s="3">
        <v>42990</v>
      </c>
      <c r="F556" s="4">
        <v>2.6631944444444444E-2</v>
      </c>
      <c r="G556" s="28"/>
      <c r="J556" t="s">
        <v>109</v>
      </c>
    </row>
    <row r="557" spans="1:10" hidden="1" outlineLevel="1">
      <c r="A557" s="28"/>
      <c r="B557" s="1">
        <v>20</v>
      </c>
      <c r="C557" s="5" t="s">
        <v>46</v>
      </c>
      <c r="D557" s="2">
        <v>92</v>
      </c>
      <c r="E557" s="3">
        <v>43005</v>
      </c>
      <c r="F557" s="4">
        <v>6.5856481481481488E-2</v>
      </c>
      <c r="G557" s="28"/>
      <c r="J557" t="s">
        <v>109</v>
      </c>
    </row>
    <row r="558" spans="1:10" hidden="1" outlineLevel="1">
      <c r="A558" s="28"/>
      <c r="B558" s="1">
        <v>21</v>
      </c>
      <c r="C558" s="5" t="s">
        <v>2453</v>
      </c>
      <c r="D558" s="6" t="s">
        <v>1280</v>
      </c>
      <c r="E558" s="3">
        <v>43020</v>
      </c>
      <c r="F558" s="4">
        <v>2.6400462962962962E-2</v>
      </c>
      <c r="G558" s="28"/>
      <c r="J558" t="s">
        <v>109</v>
      </c>
    </row>
    <row r="559" spans="1:10" hidden="1" outlineLevel="1">
      <c r="A559" s="28"/>
      <c r="B559" s="1">
        <v>22</v>
      </c>
      <c r="C559" s="5" t="s">
        <v>47</v>
      </c>
      <c r="D559" s="2">
        <v>108</v>
      </c>
      <c r="E559" s="3">
        <v>43032</v>
      </c>
      <c r="F559" s="4">
        <v>8.1250000000000003E-2</v>
      </c>
      <c r="G559" s="28"/>
      <c r="J559" t="s">
        <v>109</v>
      </c>
    </row>
    <row r="560" spans="1:10" hidden="1" outlineLevel="1">
      <c r="A560" s="28"/>
      <c r="B560" s="1">
        <v>23</v>
      </c>
      <c r="C560" s="5" t="s">
        <v>48</v>
      </c>
      <c r="D560" s="6" t="s">
        <v>1281</v>
      </c>
      <c r="E560" s="3">
        <v>43045</v>
      </c>
      <c r="F560" s="4">
        <v>3.2326388888888884E-2</v>
      </c>
      <c r="G560" s="28"/>
      <c r="J560" t="s">
        <v>109</v>
      </c>
    </row>
    <row r="561" spans="1:10" hidden="1" outlineLevel="1">
      <c r="A561" s="28"/>
      <c r="B561" s="1">
        <v>24</v>
      </c>
      <c r="C561" s="5" t="s">
        <v>2452</v>
      </c>
      <c r="D561" s="2">
        <v>189</v>
      </c>
      <c r="E561" s="3">
        <v>43052</v>
      </c>
      <c r="F561" s="4">
        <v>7.8101851851851853E-2</v>
      </c>
      <c r="G561" s="28"/>
      <c r="J561" t="s">
        <v>109</v>
      </c>
    </row>
    <row r="562" spans="1:10" hidden="1" outlineLevel="1">
      <c r="A562" s="28"/>
      <c r="B562" s="1">
        <v>25</v>
      </c>
      <c r="C562" s="5" t="s">
        <v>555</v>
      </c>
      <c r="D562" s="6" t="s">
        <v>1511</v>
      </c>
      <c r="E562" s="3">
        <v>43059</v>
      </c>
      <c r="F562" s="4">
        <v>8.4027777777777771E-2</v>
      </c>
      <c r="G562" s="28"/>
      <c r="J562" t="s">
        <v>109</v>
      </c>
    </row>
    <row r="563" spans="1:10" hidden="1" outlineLevel="1">
      <c r="A563" s="28"/>
      <c r="B563" s="1">
        <v>26</v>
      </c>
      <c r="C563" s="5" t="s">
        <v>495</v>
      </c>
      <c r="D563" s="2">
        <v>106</v>
      </c>
      <c r="E563" s="3">
        <v>43066</v>
      </c>
      <c r="F563" s="4">
        <v>7.1782407407407406E-2</v>
      </c>
      <c r="G563" s="28"/>
      <c r="J563" t="s">
        <v>109</v>
      </c>
    </row>
    <row r="564" spans="1:10" hidden="1" outlineLevel="1">
      <c r="A564" s="28"/>
      <c r="B564" s="1">
        <v>27</v>
      </c>
      <c r="C564" s="5" t="s">
        <v>532</v>
      </c>
      <c r="D564" s="2">
        <v>0</v>
      </c>
      <c r="E564" s="3">
        <v>43070</v>
      </c>
      <c r="F564" s="4">
        <v>4.1898148148148146E-3</v>
      </c>
      <c r="G564" s="28"/>
      <c r="J564" t="s">
        <v>109</v>
      </c>
    </row>
    <row r="565" spans="1:10" hidden="1" outlineLevel="1">
      <c r="A565" s="28"/>
      <c r="B565" s="1">
        <v>28</v>
      </c>
      <c r="C565" s="5" t="s">
        <v>533</v>
      </c>
      <c r="D565" s="2">
        <v>0</v>
      </c>
      <c r="E565" s="3">
        <v>43071</v>
      </c>
      <c r="F565" s="4">
        <v>4.5254629629629629E-3</v>
      </c>
      <c r="G565" s="28"/>
      <c r="J565" t="s">
        <v>109</v>
      </c>
    </row>
    <row r="566" spans="1:10" hidden="1" outlineLevel="1">
      <c r="A566" s="28"/>
      <c r="B566" s="1">
        <v>29</v>
      </c>
      <c r="C566" s="5" t="s">
        <v>534</v>
      </c>
      <c r="D566" s="6" t="s">
        <v>514</v>
      </c>
      <c r="E566" s="3">
        <v>43072</v>
      </c>
      <c r="F566" s="4">
        <v>2.3518518518518518E-2</v>
      </c>
      <c r="G566" s="28"/>
      <c r="J566" t="s">
        <v>109</v>
      </c>
    </row>
    <row r="567" spans="1:10" hidden="1" outlineLevel="1">
      <c r="A567" s="28"/>
      <c r="B567" s="1">
        <v>30</v>
      </c>
      <c r="C567" s="5" t="s">
        <v>535</v>
      </c>
      <c r="D567" s="2">
        <v>0</v>
      </c>
      <c r="E567" s="3">
        <v>43073</v>
      </c>
      <c r="F567" s="4">
        <v>4.6990740740740743E-3</v>
      </c>
      <c r="G567" s="28"/>
      <c r="J567" t="s">
        <v>109</v>
      </c>
    </row>
    <row r="568" spans="1:10" hidden="1" outlineLevel="1">
      <c r="A568" s="28"/>
      <c r="B568" s="1">
        <v>31</v>
      </c>
      <c r="C568" s="5" t="s">
        <v>536</v>
      </c>
      <c r="D568" s="2">
        <v>0</v>
      </c>
      <c r="E568" s="3">
        <v>43074</v>
      </c>
      <c r="F568" s="4">
        <v>5.37037037037037E-3</v>
      </c>
      <c r="G568" s="28"/>
      <c r="J568" t="s">
        <v>109</v>
      </c>
    </row>
    <row r="569" spans="1:10" hidden="1" outlineLevel="1">
      <c r="A569" s="28"/>
      <c r="B569" s="1">
        <v>32</v>
      </c>
      <c r="C569" s="5" t="s">
        <v>537</v>
      </c>
      <c r="D569" s="2">
        <v>0</v>
      </c>
      <c r="E569" s="3">
        <v>43075</v>
      </c>
      <c r="F569" s="4">
        <v>1.5243055555555557E-2</v>
      </c>
      <c r="G569" s="28"/>
      <c r="J569" t="s">
        <v>109</v>
      </c>
    </row>
    <row r="570" spans="1:10" hidden="1" outlineLevel="1">
      <c r="A570" s="28"/>
      <c r="B570" s="1">
        <v>33</v>
      </c>
      <c r="C570" s="5" t="s">
        <v>538</v>
      </c>
      <c r="D570" s="2">
        <v>0</v>
      </c>
      <c r="E570" s="3">
        <v>43076</v>
      </c>
      <c r="F570" s="4">
        <v>1.8530092592592595E-2</v>
      </c>
      <c r="G570" s="28"/>
      <c r="J570" t="s">
        <v>109</v>
      </c>
    </row>
    <row r="571" spans="1:10" hidden="1" outlineLevel="1">
      <c r="A571" s="28"/>
      <c r="B571" s="1">
        <v>34</v>
      </c>
      <c r="C571" s="5" t="s">
        <v>539</v>
      </c>
      <c r="D571" s="2">
        <v>0</v>
      </c>
      <c r="E571" s="3">
        <v>43077</v>
      </c>
      <c r="F571" s="4">
        <v>4.8263888888888887E-3</v>
      </c>
      <c r="G571" s="28"/>
      <c r="J571" t="s">
        <v>109</v>
      </c>
    </row>
    <row r="572" spans="1:10" hidden="1" outlineLevel="1">
      <c r="A572" s="28"/>
      <c r="B572" s="1">
        <v>35</v>
      </c>
      <c r="C572" s="5" t="s">
        <v>540</v>
      </c>
      <c r="D572" s="2">
        <v>0</v>
      </c>
      <c r="E572" s="3">
        <v>43078</v>
      </c>
      <c r="F572" s="4">
        <v>1.0671296296296297E-2</v>
      </c>
      <c r="G572" s="28"/>
      <c r="J572" t="s">
        <v>109</v>
      </c>
    </row>
    <row r="573" spans="1:10" hidden="1" outlineLevel="1">
      <c r="A573" s="28"/>
      <c r="B573" s="1">
        <v>36</v>
      </c>
      <c r="C573" s="5" t="s">
        <v>2454</v>
      </c>
      <c r="D573" s="2">
        <v>17</v>
      </c>
      <c r="E573" s="3">
        <v>43079</v>
      </c>
      <c r="F573" s="4">
        <v>8.3611111111111122E-2</v>
      </c>
      <c r="G573" s="28"/>
      <c r="J573" t="s">
        <v>109</v>
      </c>
    </row>
    <row r="574" spans="1:10" hidden="1" outlineLevel="1">
      <c r="A574" s="28"/>
      <c r="B574" s="1">
        <v>37</v>
      </c>
      <c r="C574" s="5" t="s">
        <v>541</v>
      </c>
      <c r="D574" s="2">
        <v>0</v>
      </c>
      <c r="E574" s="3">
        <v>43080</v>
      </c>
      <c r="F574" s="4">
        <v>5.0578703703703706E-3</v>
      </c>
      <c r="G574" s="28"/>
      <c r="J574" t="s">
        <v>109</v>
      </c>
    </row>
    <row r="575" spans="1:10" hidden="1" outlineLevel="1">
      <c r="A575" s="28"/>
      <c r="B575" s="1">
        <v>38</v>
      </c>
      <c r="C575" s="5" t="s">
        <v>542</v>
      </c>
      <c r="D575" s="2">
        <v>0</v>
      </c>
      <c r="E575" s="3">
        <v>43081</v>
      </c>
      <c r="F575" s="4">
        <v>3.4375E-3</v>
      </c>
      <c r="G575" s="28"/>
      <c r="J575" t="s">
        <v>109</v>
      </c>
    </row>
    <row r="576" spans="1:10" hidden="1" outlineLevel="1">
      <c r="A576" s="28"/>
      <c r="B576" s="1">
        <v>39</v>
      </c>
      <c r="C576" s="5" t="s">
        <v>543</v>
      </c>
      <c r="D576" s="2">
        <v>0</v>
      </c>
      <c r="E576" s="3">
        <v>43082</v>
      </c>
      <c r="F576" s="4">
        <v>4.2939814814814811E-3</v>
      </c>
      <c r="G576" s="28"/>
      <c r="J576" t="s">
        <v>109</v>
      </c>
    </row>
    <row r="577" spans="1:10" hidden="1" outlineLevel="1">
      <c r="A577" s="28"/>
      <c r="B577" s="1">
        <v>40</v>
      </c>
      <c r="C577" s="5" t="s">
        <v>544</v>
      </c>
      <c r="D577" s="2">
        <v>0</v>
      </c>
      <c r="E577" s="3">
        <v>43083</v>
      </c>
      <c r="F577" s="4">
        <v>4.7222222222222223E-3</v>
      </c>
      <c r="G577" s="28"/>
      <c r="J577" t="s">
        <v>109</v>
      </c>
    </row>
    <row r="578" spans="1:10" hidden="1" outlineLevel="1">
      <c r="A578" s="28"/>
      <c r="B578" s="1">
        <v>41</v>
      </c>
      <c r="C578" s="5" t="s">
        <v>545</v>
      </c>
      <c r="D578" s="2">
        <v>0</v>
      </c>
      <c r="E578" s="3">
        <v>43084</v>
      </c>
      <c r="F578" s="4">
        <v>4.3981481481481484E-3</v>
      </c>
      <c r="G578" s="28"/>
      <c r="J578" t="s">
        <v>109</v>
      </c>
    </row>
    <row r="579" spans="1:10" hidden="1" outlineLevel="1">
      <c r="A579" s="28"/>
      <c r="B579" s="1">
        <v>42</v>
      </c>
      <c r="C579" s="5" t="s">
        <v>546</v>
      </c>
      <c r="D579" s="2">
        <v>0</v>
      </c>
      <c r="E579" s="3">
        <v>43085</v>
      </c>
      <c r="F579" s="4">
        <v>4.3055555555555555E-3</v>
      </c>
      <c r="G579" s="28"/>
      <c r="J579" t="s">
        <v>109</v>
      </c>
    </row>
    <row r="580" spans="1:10" hidden="1" outlineLevel="1">
      <c r="A580" s="28"/>
      <c r="B580" s="1">
        <v>43</v>
      </c>
      <c r="C580" s="5" t="s">
        <v>547</v>
      </c>
      <c r="D580" s="6" t="s">
        <v>1554</v>
      </c>
      <c r="E580" s="3">
        <v>43086</v>
      </c>
      <c r="F580" s="4">
        <v>8.6226851851851846E-3</v>
      </c>
      <c r="G580" s="28"/>
      <c r="J580" t="s">
        <v>109</v>
      </c>
    </row>
    <row r="581" spans="1:10" hidden="1" outlineLevel="1">
      <c r="A581" s="28"/>
      <c r="B581" s="1">
        <v>44</v>
      </c>
      <c r="C581" s="5" t="s">
        <v>548</v>
      </c>
      <c r="D581" s="2">
        <v>0</v>
      </c>
      <c r="E581" s="3">
        <v>43087</v>
      </c>
      <c r="F581" s="4">
        <v>7.3032407407407412E-3</v>
      </c>
      <c r="G581" s="28"/>
      <c r="J581" t="s">
        <v>109</v>
      </c>
    </row>
    <row r="582" spans="1:10" hidden="1" outlineLevel="1">
      <c r="A582" s="28"/>
      <c r="B582" s="1">
        <v>45</v>
      </c>
      <c r="C582" s="5" t="s">
        <v>549</v>
      </c>
      <c r="D582" s="2">
        <v>0</v>
      </c>
      <c r="E582" s="3">
        <v>43088</v>
      </c>
      <c r="F582" s="4">
        <v>4.8495370370370368E-3</v>
      </c>
      <c r="G582" s="28"/>
      <c r="J582" t="s">
        <v>109</v>
      </c>
    </row>
    <row r="583" spans="1:10" hidden="1" outlineLevel="1">
      <c r="A583" s="28"/>
      <c r="B583" s="1">
        <v>46</v>
      </c>
      <c r="C583" s="5" t="s">
        <v>550</v>
      </c>
      <c r="D583" s="2">
        <v>0</v>
      </c>
      <c r="E583" s="3">
        <v>43089</v>
      </c>
      <c r="F583" s="4">
        <v>3.0671296296296297E-3</v>
      </c>
      <c r="G583" s="28"/>
      <c r="J583" t="s">
        <v>109</v>
      </c>
    </row>
    <row r="584" spans="1:10" hidden="1" outlineLevel="1">
      <c r="A584" s="28"/>
      <c r="B584" s="1">
        <v>47</v>
      </c>
      <c r="C584" s="5" t="s">
        <v>551</v>
      </c>
      <c r="D584" s="2">
        <v>0</v>
      </c>
      <c r="E584" s="3">
        <v>43090</v>
      </c>
      <c r="F584" s="4">
        <v>1.252314814814815E-2</v>
      </c>
      <c r="G584" s="28"/>
      <c r="J584" t="s">
        <v>109</v>
      </c>
    </row>
    <row r="585" spans="1:10" hidden="1" outlineLevel="1">
      <c r="A585" s="28"/>
      <c r="B585" s="1">
        <v>48</v>
      </c>
      <c r="C585" s="5" t="s">
        <v>552</v>
      </c>
      <c r="D585" s="6" t="s">
        <v>1436</v>
      </c>
      <c r="E585" s="3">
        <v>43091</v>
      </c>
      <c r="F585" s="4">
        <v>2.7418981481481485E-2</v>
      </c>
      <c r="G585" s="28"/>
      <c r="J585" t="s">
        <v>109</v>
      </c>
    </row>
    <row r="586" spans="1:10" hidden="1" outlineLevel="1">
      <c r="A586" s="28"/>
      <c r="B586" s="1">
        <v>49</v>
      </c>
      <c r="C586" s="5" t="s">
        <v>553</v>
      </c>
      <c r="D586" s="6" t="s">
        <v>1506</v>
      </c>
      <c r="E586" s="3">
        <v>43092</v>
      </c>
      <c r="F586" s="4">
        <v>2.7152777777777779E-2</v>
      </c>
      <c r="G586" s="28"/>
      <c r="J586" t="s">
        <v>109</v>
      </c>
    </row>
    <row r="587" spans="1:10" hidden="1" outlineLevel="1">
      <c r="A587" s="28"/>
      <c r="B587" s="1">
        <v>50</v>
      </c>
      <c r="C587" s="5" t="s">
        <v>2404</v>
      </c>
      <c r="D587" s="6" t="s">
        <v>110</v>
      </c>
      <c r="E587" s="3">
        <v>43093</v>
      </c>
      <c r="F587" s="4">
        <v>6.6180555555555562E-2</v>
      </c>
      <c r="G587" s="28"/>
      <c r="J587" t="s">
        <v>109</v>
      </c>
    </row>
    <row r="588" spans="1:10" hidden="1" outlineLevel="1">
      <c r="A588" s="28"/>
      <c r="B588" s="1">
        <v>51</v>
      </c>
      <c r="C588" s="5" t="s">
        <v>49</v>
      </c>
      <c r="D588" s="6" t="s">
        <v>1282</v>
      </c>
      <c r="E588" s="3">
        <v>43110</v>
      </c>
      <c r="F588" s="4">
        <v>7.7696759259259257E-2</v>
      </c>
      <c r="G588" s="28"/>
      <c r="J588" t="s">
        <v>109</v>
      </c>
    </row>
    <row r="589" spans="1:10" hidden="1" outlineLevel="1">
      <c r="A589" s="28"/>
      <c r="B589" s="1">
        <v>52</v>
      </c>
      <c r="C589" s="5" t="s">
        <v>50</v>
      </c>
      <c r="D589" s="2">
        <v>109</v>
      </c>
      <c r="E589" s="3">
        <v>43124</v>
      </c>
      <c r="F589" s="4">
        <v>6.3067129629629626E-2</v>
      </c>
      <c r="G589" s="28"/>
      <c r="J589" t="s">
        <v>109</v>
      </c>
    </row>
    <row r="590" spans="1:10" hidden="1" outlineLevel="1">
      <c r="A590" s="28"/>
      <c r="B590" s="1">
        <v>53</v>
      </c>
      <c r="C590" s="5" t="s">
        <v>556</v>
      </c>
      <c r="D590" s="2">
        <v>2</v>
      </c>
      <c r="E590" s="3">
        <v>43131</v>
      </c>
      <c r="F590" s="4">
        <v>8.9212962962962952E-2</v>
      </c>
      <c r="G590" s="28"/>
      <c r="J590" t="s">
        <v>109</v>
      </c>
    </row>
    <row r="591" spans="1:10" hidden="1" outlineLevel="1">
      <c r="A591" s="28"/>
      <c r="B591" s="1">
        <v>54</v>
      </c>
      <c r="C591" s="5" t="s">
        <v>51</v>
      </c>
      <c r="D591" s="6" t="s">
        <v>1283</v>
      </c>
      <c r="E591" s="3">
        <v>43145</v>
      </c>
      <c r="F591" s="4">
        <v>3.1469907407407412E-2</v>
      </c>
      <c r="G591" s="28"/>
      <c r="J591" t="s">
        <v>109</v>
      </c>
    </row>
    <row r="592" spans="1:10" hidden="1" outlineLevel="1">
      <c r="A592" s="28"/>
      <c r="B592" s="1">
        <v>55</v>
      </c>
      <c r="C592" s="5" t="s">
        <v>52</v>
      </c>
      <c r="D592" s="2">
        <v>47</v>
      </c>
      <c r="E592" s="3">
        <v>43167</v>
      </c>
      <c r="F592" s="4">
        <v>8.4606481481481477E-2</v>
      </c>
      <c r="G592" s="28"/>
      <c r="J592" t="s">
        <v>109</v>
      </c>
    </row>
    <row r="593" spans="1:10" hidden="1" outlineLevel="1">
      <c r="A593" s="28"/>
      <c r="B593" s="1">
        <v>56</v>
      </c>
      <c r="C593" s="5" t="s">
        <v>53</v>
      </c>
      <c r="D593" s="2">
        <v>49</v>
      </c>
      <c r="E593" s="3">
        <v>43179</v>
      </c>
      <c r="F593" s="4">
        <v>6.6944444444444445E-2</v>
      </c>
      <c r="G593" s="28"/>
      <c r="J593" t="s">
        <v>109</v>
      </c>
    </row>
    <row r="594" spans="1:10" hidden="1" outlineLevel="1">
      <c r="A594" s="28"/>
      <c r="B594" s="1">
        <v>57</v>
      </c>
      <c r="C594" s="5" t="s">
        <v>54</v>
      </c>
      <c r="D594" s="2">
        <v>52</v>
      </c>
      <c r="E594" s="3">
        <v>43191</v>
      </c>
      <c r="F594" s="4">
        <v>7.9907407407407413E-2</v>
      </c>
      <c r="G594" s="28"/>
      <c r="J594" t="s">
        <v>109</v>
      </c>
    </row>
    <row r="595" spans="1:10" hidden="1" outlineLevel="1">
      <c r="A595" s="28"/>
      <c r="B595" s="1">
        <v>58</v>
      </c>
      <c r="C595" s="5" t="s">
        <v>55</v>
      </c>
      <c r="D595" s="2">
        <v>131</v>
      </c>
      <c r="E595" s="3">
        <v>43206</v>
      </c>
      <c r="F595" s="4">
        <v>7.856481481481481E-2</v>
      </c>
      <c r="G595" s="28"/>
      <c r="J595" t="s">
        <v>109</v>
      </c>
    </row>
    <row r="596" spans="1:10" hidden="1" outlineLevel="1">
      <c r="A596" s="28"/>
      <c r="B596" s="1">
        <v>59</v>
      </c>
      <c r="C596" s="5" t="s">
        <v>2455</v>
      </c>
      <c r="D596" s="2">
        <v>103</v>
      </c>
      <c r="E596" s="3">
        <v>43209</v>
      </c>
      <c r="F596" s="4">
        <v>6.8171296296296299E-2</v>
      </c>
      <c r="G596" s="28"/>
      <c r="J596" t="s">
        <v>109</v>
      </c>
    </row>
    <row r="597" spans="1:10" hidden="1" outlineLevel="1">
      <c r="A597" s="28"/>
      <c r="B597" s="1">
        <v>60</v>
      </c>
      <c r="C597" s="5" t="s">
        <v>616</v>
      </c>
      <c r="D597" s="6" t="s">
        <v>1284</v>
      </c>
      <c r="E597" s="3">
        <v>43220</v>
      </c>
      <c r="F597" s="4">
        <v>3.8599537037037036E-2</v>
      </c>
      <c r="G597" s="28"/>
      <c r="J597" t="s">
        <v>109</v>
      </c>
    </row>
    <row r="598" spans="1:10" hidden="1" outlineLevel="1">
      <c r="A598" s="28"/>
      <c r="B598" s="1">
        <v>61</v>
      </c>
      <c r="C598" s="5" t="s">
        <v>56</v>
      </c>
      <c r="D598" s="6" t="s">
        <v>1512</v>
      </c>
      <c r="E598" s="3">
        <v>43237</v>
      </c>
      <c r="F598" s="4">
        <v>3.9722222222222221E-2</v>
      </c>
      <c r="G598" s="28"/>
      <c r="J598" t="s">
        <v>109</v>
      </c>
    </row>
    <row r="599" spans="1:10" hidden="1" outlineLevel="1">
      <c r="A599" s="28"/>
      <c r="B599" s="1">
        <v>62</v>
      </c>
      <c r="C599" s="5" t="s">
        <v>57</v>
      </c>
      <c r="D599" s="2">
        <v>167</v>
      </c>
      <c r="E599" s="3">
        <v>43250</v>
      </c>
      <c r="F599" s="4">
        <v>7.3275462962962959E-2</v>
      </c>
      <c r="G599" s="28"/>
      <c r="J599" t="s">
        <v>109</v>
      </c>
    </row>
    <row r="600" spans="1:10" hidden="1" outlineLevel="1">
      <c r="A600" s="28"/>
      <c r="B600" s="1">
        <v>63</v>
      </c>
      <c r="C600" s="5" t="s">
        <v>58</v>
      </c>
      <c r="D600" s="2">
        <v>76</v>
      </c>
      <c r="E600" s="3">
        <v>43263</v>
      </c>
      <c r="F600" s="4">
        <v>6.8449074074074079E-2</v>
      </c>
      <c r="G600" s="28"/>
      <c r="J600" t="s">
        <v>109</v>
      </c>
    </row>
    <row r="601" spans="1:10" hidden="1" outlineLevel="1">
      <c r="A601" s="28"/>
      <c r="B601" s="1">
        <v>64</v>
      </c>
      <c r="C601" s="5" t="s">
        <v>617</v>
      </c>
      <c r="D601" s="6" t="s">
        <v>1285</v>
      </c>
      <c r="E601" s="3">
        <v>43271</v>
      </c>
      <c r="F601" s="4">
        <v>3.0300925925925926E-2</v>
      </c>
      <c r="G601" s="28"/>
      <c r="J601" t="s">
        <v>109</v>
      </c>
    </row>
    <row r="602" spans="1:10" hidden="1" outlineLevel="1">
      <c r="A602" s="28"/>
      <c r="B602" s="1">
        <v>65</v>
      </c>
      <c r="C602" s="5" t="s">
        <v>59</v>
      </c>
      <c r="D602" s="6" t="s">
        <v>1513</v>
      </c>
      <c r="E602" s="3">
        <v>43282</v>
      </c>
      <c r="F602" s="4">
        <v>2.7430555555555555E-2</v>
      </c>
      <c r="G602" s="28"/>
      <c r="J602" t="s">
        <v>109</v>
      </c>
    </row>
    <row r="603" spans="1:10" hidden="1" outlineLevel="1">
      <c r="A603" s="28"/>
      <c r="B603" s="1">
        <v>66</v>
      </c>
      <c r="C603" s="5" t="s">
        <v>60</v>
      </c>
      <c r="D603" s="2">
        <v>100</v>
      </c>
      <c r="E603" s="3">
        <v>43283</v>
      </c>
      <c r="F603" s="4">
        <v>7.66087962962963E-2</v>
      </c>
      <c r="G603" s="28"/>
      <c r="J603" t="s">
        <v>109</v>
      </c>
    </row>
    <row r="604" spans="1:10" hidden="1" outlineLevel="1">
      <c r="A604" s="28"/>
      <c r="B604" s="1">
        <v>67</v>
      </c>
      <c r="C604" s="5" t="s">
        <v>61</v>
      </c>
      <c r="D604" s="2">
        <v>100</v>
      </c>
      <c r="E604" s="3">
        <v>43295</v>
      </c>
      <c r="F604" s="4">
        <v>6.4375000000000002E-2</v>
      </c>
      <c r="G604" s="28"/>
      <c r="J604" t="s">
        <v>109</v>
      </c>
    </row>
    <row r="605" spans="1:10" hidden="1" outlineLevel="1">
      <c r="A605" s="28"/>
      <c r="B605" s="1">
        <v>68</v>
      </c>
      <c r="C605" s="5" t="s">
        <v>62</v>
      </c>
      <c r="D605" s="2">
        <v>100</v>
      </c>
      <c r="E605" s="3">
        <v>43298</v>
      </c>
      <c r="F605" s="4">
        <v>6.2013888888888889E-2</v>
      </c>
      <c r="G605" s="28"/>
      <c r="J605" t="s">
        <v>109</v>
      </c>
    </row>
    <row r="606" spans="1:10" hidden="1" outlineLevel="1">
      <c r="A606" s="28"/>
      <c r="B606" s="1">
        <v>69</v>
      </c>
      <c r="C606" s="5" t="s">
        <v>411</v>
      </c>
      <c r="D606" s="2">
        <v>63</v>
      </c>
      <c r="E606" s="3">
        <v>43307</v>
      </c>
      <c r="F606" s="4">
        <v>7.8009259259259264E-2</v>
      </c>
      <c r="G606" s="28"/>
      <c r="J606" t="s">
        <v>109</v>
      </c>
    </row>
    <row r="607" spans="1:10" hidden="1" outlineLevel="1">
      <c r="A607" s="28"/>
      <c r="B607" s="1">
        <v>70</v>
      </c>
      <c r="C607" s="5" t="s">
        <v>569</v>
      </c>
      <c r="D607" s="6" t="s">
        <v>1286</v>
      </c>
      <c r="E607" s="3">
        <v>43314</v>
      </c>
      <c r="F607" s="4">
        <v>1.269675925925926E-2</v>
      </c>
      <c r="G607" s="28"/>
      <c r="J607" t="s">
        <v>109</v>
      </c>
    </row>
    <row r="608" spans="1:10" hidden="1" outlineLevel="1">
      <c r="A608" s="28"/>
      <c r="B608" s="1">
        <v>71</v>
      </c>
      <c r="C608" s="5" t="s">
        <v>63</v>
      </c>
      <c r="D608" s="2">
        <v>152</v>
      </c>
      <c r="E608" s="3">
        <v>43323</v>
      </c>
      <c r="F608" s="4">
        <v>7.5995370370370366E-2</v>
      </c>
      <c r="G608" s="28"/>
      <c r="J608" t="s">
        <v>109</v>
      </c>
    </row>
    <row r="609" spans="1:10" hidden="1" outlineLevel="1">
      <c r="A609" s="28"/>
      <c r="B609" s="1">
        <v>72</v>
      </c>
      <c r="C609" s="5" t="s">
        <v>64</v>
      </c>
      <c r="D609" s="2">
        <v>0</v>
      </c>
      <c r="E609" s="3">
        <v>43354</v>
      </c>
      <c r="F609" s="4">
        <v>7.8796296296296295E-2</v>
      </c>
      <c r="G609" s="28"/>
      <c r="J609" t="s">
        <v>109</v>
      </c>
    </row>
    <row r="610" spans="1:10" hidden="1" outlineLevel="1">
      <c r="A610" s="28"/>
      <c r="B610" s="1">
        <v>73</v>
      </c>
      <c r="C610" s="5" t="s">
        <v>65</v>
      </c>
      <c r="D610" s="2">
        <v>142</v>
      </c>
      <c r="E610" s="3">
        <v>43367</v>
      </c>
      <c r="F610" s="4">
        <v>6.9791666666666669E-2</v>
      </c>
      <c r="G610" s="28"/>
      <c r="J610" t="s">
        <v>109</v>
      </c>
    </row>
    <row r="611" spans="1:10" hidden="1" outlineLevel="1">
      <c r="A611" s="28"/>
      <c r="B611" s="1">
        <v>74</v>
      </c>
      <c r="C611" s="5" t="s">
        <v>66</v>
      </c>
      <c r="D611" s="6" t="s">
        <v>1514</v>
      </c>
      <c r="E611" s="3">
        <v>43375</v>
      </c>
      <c r="F611" s="4">
        <v>4.3750000000000004E-2</v>
      </c>
      <c r="G611" s="28"/>
      <c r="J611" t="s">
        <v>109</v>
      </c>
    </row>
    <row r="612" spans="1:10" hidden="1" outlineLevel="1">
      <c r="A612" s="28"/>
      <c r="B612" s="1">
        <v>75</v>
      </c>
      <c r="C612" s="5" t="s">
        <v>67</v>
      </c>
      <c r="D612" s="6" t="s">
        <v>1507</v>
      </c>
      <c r="E612" s="3">
        <v>43379</v>
      </c>
      <c r="F612" s="4">
        <v>5.2210648148148152E-2</v>
      </c>
      <c r="G612" s="28"/>
      <c r="J612" t="s">
        <v>109</v>
      </c>
    </row>
    <row r="613" spans="1:10" hidden="1" outlineLevel="1">
      <c r="A613" s="28"/>
      <c r="B613" s="1">
        <v>76</v>
      </c>
      <c r="C613" s="5" t="s">
        <v>68</v>
      </c>
      <c r="D613" s="2">
        <v>120</v>
      </c>
      <c r="E613" s="3">
        <v>43385</v>
      </c>
      <c r="F613" s="4">
        <v>6.9085648148148146E-2</v>
      </c>
      <c r="G613" s="28"/>
      <c r="J613" t="s">
        <v>109</v>
      </c>
    </row>
    <row r="614" spans="1:10" hidden="1" outlineLevel="1">
      <c r="A614" s="28"/>
      <c r="B614" s="1">
        <v>77</v>
      </c>
      <c r="C614" s="5" t="s">
        <v>412</v>
      </c>
      <c r="D614" s="6" t="s">
        <v>1287</v>
      </c>
      <c r="E614" s="3">
        <v>43397</v>
      </c>
      <c r="F614" s="4">
        <v>4.3182870370370365E-2</v>
      </c>
      <c r="G614" s="28"/>
      <c r="J614" t="s">
        <v>109</v>
      </c>
    </row>
    <row r="615" spans="1:10" hidden="1" outlineLevel="1">
      <c r="A615" s="28"/>
      <c r="B615" s="1">
        <v>78</v>
      </c>
      <c r="C615" s="5" t="s">
        <v>69</v>
      </c>
      <c r="D615" s="2">
        <v>21</v>
      </c>
      <c r="E615" s="3">
        <v>43403</v>
      </c>
      <c r="F615" s="4">
        <v>6.0312499999999998E-2</v>
      </c>
      <c r="G615" s="28"/>
      <c r="J615" t="s">
        <v>109</v>
      </c>
    </row>
    <row r="616" spans="1:10" hidden="1" outlineLevel="1">
      <c r="A616" s="28"/>
      <c r="B616" s="1">
        <v>79</v>
      </c>
      <c r="C616" s="5" t="s">
        <v>2456</v>
      </c>
      <c r="D616" s="2">
        <v>54</v>
      </c>
      <c r="E616" s="3">
        <v>43413</v>
      </c>
      <c r="F616" s="4">
        <v>6.356481481481481E-2</v>
      </c>
      <c r="G616" s="28"/>
      <c r="J616" t="s">
        <v>109</v>
      </c>
    </row>
    <row r="617" spans="1:10" hidden="1" outlineLevel="1">
      <c r="A617" s="28"/>
      <c r="B617" s="1">
        <v>80</v>
      </c>
      <c r="C617" s="5" t="s">
        <v>70</v>
      </c>
      <c r="D617" s="6" t="s">
        <v>1515</v>
      </c>
      <c r="E617" s="3">
        <v>43423</v>
      </c>
      <c r="F617" s="4">
        <v>4.760416666666667E-2</v>
      </c>
      <c r="G617" s="28"/>
      <c r="J617" t="s">
        <v>109</v>
      </c>
    </row>
    <row r="618" spans="1:10" hidden="1" outlineLevel="1">
      <c r="A618" s="28"/>
      <c r="B618" s="1">
        <v>81</v>
      </c>
      <c r="C618" s="5" t="s">
        <v>71</v>
      </c>
      <c r="D618" s="2">
        <v>0</v>
      </c>
      <c r="E618" s="3">
        <v>43435</v>
      </c>
      <c r="F618" s="4">
        <v>9.0046296296296298E-3</v>
      </c>
      <c r="G618" s="28"/>
      <c r="J618" t="s">
        <v>109</v>
      </c>
    </row>
    <row r="619" spans="1:10" hidden="1" outlineLevel="1">
      <c r="A619" s="28"/>
      <c r="B619" s="1">
        <v>82</v>
      </c>
      <c r="C619" s="5" t="s">
        <v>72</v>
      </c>
      <c r="D619" s="2">
        <v>0</v>
      </c>
      <c r="E619" s="3">
        <v>43436</v>
      </c>
      <c r="F619" s="4">
        <v>7.5810185185185182E-3</v>
      </c>
      <c r="G619" s="28"/>
      <c r="J619" t="s">
        <v>109</v>
      </c>
    </row>
    <row r="620" spans="1:10" hidden="1" outlineLevel="1">
      <c r="A620" s="28"/>
      <c r="B620" s="1">
        <v>83</v>
      </c>
      <c r="C620" s="5" t="s">
        <v>2457</v>
      </c>
      <c r="D620" s="6" t="s">
        <v>15</v>
      </c>
      <c r="E620" s="3">
        <v>43437</v>
      </c>
      <c r="F620" s="4">
        <v>6.9409722222222234E-2</v>
      </c>
      <c r="G620" s="28"/>
      <c r="J620" t="s">
        <v>109</v>
      </c>
    </row>
    <row r="621" spans="1:10" hidden="1" outlineLevel="1">
      <c r="A621" s="28"/>
      <c r="B621" s="1">
        <v>84</v>
      </c>
      <c r="C621" s="5" t="s">
        <v>73</v>
      </c>
      <c r="D621" s="2">
        <v>0</v>
      </c>
      <c r="E621" s="3">
        <v>43438</v>
      </c>
      <c r="F621" s="4">
        <v>8.2638888888888883E-3</v>
      </c>
      <c r="G621" s="28"/>
      <c r="J621" t="s">
        <v>109</v>
      </c>
    </row>
    <row r="622" spans="1:10" hidden="1" outlineLevel="1">
      <c r="A622" s="28"/>
      <c r="B622" s="1">
        <v>85</v>
      </c>
      <c r="C622" s="5" t="s">
        <v>74</v>
      </c>
      <c r="D622" s="2">
        <v>0</v>
      </c>
      <c r="E622" s="3">
        <v>43439</v>
      </c>
      <c r="F622" s="4">
        <v>6.9212962962962969E-3</v>
      </c>
      <c r="G622" s="28"/>
      <c r="J622" t="s">
        <v>109</v>
      </c>
    </row>
    <row r="623" spans="1:10" hidden="1" outlineLevel="1">
      <c r="A623" s="28"/>
      <c r="B623" s="1">
        <v>86</v>
      </c>
      <c r="C623" s="5" t="s">
        <v>75</v>
      </c>
      <c r="D623" s="2">
        <v>0</v>
      </c>
      <c r="E623" s="3">
        <v>43440</v>
      </c>
      <c r="F623" s="4">
        <v>1.7662037037037035E-2</v>
      </c>
      <c r="G623" s="28"/>
      <c r="J623" t="s">
        <v>109</v>
      </c>
    </row>
    <row r="624" spans="1:10" hidden="1" outlineLevel="1">
      <c r="A624" s="28"/>
      <c r="B624" s="1">
        <v>87</v>
      </c>
      <c r="C624" s="5" t="s">
        <v>76</v>
      </c>
      <c r="D624" s="2">
        <v>0</v>
      </c>
      <c r="E624" s="3">
        <v>43441</v>
      </c>
      <c r="F624" s="4">
        <v>1.2974537037037036E-2</v>
      </c>
      <c r="G624" s="28"/>
      <c r="J624" t="s">
        <v>109</v>
      </c>
    </row>
    <row r="625" spans="1:10" hidden="1" outlineLevel="1">
      <c r="A625" s="28"/>
      <c r="B625" s="1">
        <v>88</v>
      </c>
      <c r="C625" s="5" t="s">
        <v>77</v>
      </c>
      <c r="D625" s="2">
        <v>0</v>
      </c>
      <c r="E625" s="3">
        <v>43442</v>
      </c>
      <c r="F625" s="4">
        <v>1.1064814814814814E-2</v>
      </c>
      <c r="G625" s="28"/>
      <c r="J625" t="s">
        <v>109</v>
      </c>
    </row>
    <row r="626" spans="1:10" hidden="1" outlineLevel="1">
      <c r="A626" s="28"/>
      <c r="B626" s="1">
        <v>89</v>
      </c>
      <c r="C626" s="5" t="s">
        <v>78</v>
      </c>
      <c r="D626" s="2">
        <v>0</v>
      </c>
      <c r="E626" s="3">
        <v>43443</v>
      </c>
      <c r="F626" s="4">
        <v>1.0891203703703703E-2</v>
      </c>
      <c r="G626" s="28"/>
      <c r="J626" t="s">
        <v>109</v>
      </c>
    </row>
    <row r="627" spans="1:10" hidden="1" outlineLevel="1">
      <c r="A627" s="28"/>
      <c r="B627" s="1">
        <v>90</v>
      </c>
      <c r="C627" s="5" t="s">
        <v>2458</v>
      </c>
      <c r="D627" s="2">
        <v>37</v>
      </c>
      <c r="E627" s="3">
        <v>43444</v>
      </c>
      <c r="F627" s="4">
        <v>6.2037037037037036E-2</v>
      </c>
      <c r="G627" s="28"/>
      <c r="J627" t="s">
        <v>109</v>
      </c>
    </row>
    <row r="628" spans="1:10" hidden="1" outlineLevel="1">
      <c r="A628" s="28"/>
      <c r="B628" s="1">
        <v>91</v>
      </c>
      <c r="C628" s="5" t="s">
        <v>79</v>
      </c>
      <c r="D628" s="2">
        <v>0</v>
      </c>
      <c r="E628" s="3">
        <v>43445</v>
      </c>
      <c r="F628" s="4">
        <v>1.1666666666666667E-2</v>
      </c>
      <c r="G628" s="28"/>
      <c r="J628" t="s">
        <v>109</v>
      </c>
    </row>
    <row r="629" spans="1:10" hidden="1" outlineLevel="1">
      <c r="A629" s="28"/>
      <c r="B629" s="1">
        <v>92</v>
      </c>
      <c r="C629" s="5" t="s">
        <v>80</v>
      </c>
      <c r="D629" s="2">
        <v>0</v>
      </c>
      <c r="E629" s="3">
        <v>43446</v>
      </c>
      <c r="F629" s="4">
        <v>8.6921296296296312E-3</v>
      </c>
      <c r="G629" s="28"/>
      <c r="J629" t="s">
        <v>109</v>
      </c>
    </row>
    <row r="630" spans="1:10" hidden="1" outlineLevel="1">
      <c r="A630" s="28"/>
      <c r="B630" s="1">
        <v>93</v>
      </c>
      <c r="C630" s="5" t="s">
        <v>81</v>
      </c>
      <c r="D630" s="2">
        <v>0</v>
      </c>
      <c r="E630" s="3">
        <v>43447</v>
      </c>
      <c r="F630" s="4">
        <v>1.0856481481481481E-2</v>
      </c>
      <c r="G630" s="28"/>
      <c r="J630" t="s">
        <v>109</v>
      </c>
    </row>
    <row r="631" spans="1:10" hidden="1" outlineLevel="1">
      <c r="A631" s="28"/>
      <c r="B631" s="1">
        <v>94</v>
      </c>
      <c r="C631" s="5" t="s">
        <v>82</v>
      </c>
      <c r="D631" s="2">
        <v>0</v>
      </c>
      <c r="E631" s="3">
        <v>43448</v>
      </c>
      <c r="F631" s="4">
        <v>1.9212962962962963E-2</v>
      </c>
      <c r="G631" s="28"/>
      <c r="J631" t="s">
        <v>109</v>
      </c>
    </row>
    <row r="632" spans="1:10" hidden="1" outlineLevel="1">
      <c r="A632" s="28"/>
      <c r="B632" s="1">
        <v>95</v>
      </c>
      <c r="C632" s="5" t="s">
        <v>83</v>
      </c>
      <c r="D632" s="2">
        <v>0</v>
      </c>
      <c r="E632" s="3">
        <v>43449</v>
      </c>
      <c r="F632" s="4">
        <v>7.2916666666666659E-3</v>
      </c>
      <c r="G632" s="28"/>
      <c r="J632" t="s">
        <v>109</v>
      </c>
    </row>
    <row r="633" spans="1:10" hidden="1" outlineLevel="1">
      <c r="A633" s="28"/>
      <c r="B633" s="1">
        <v>96</v>
      </c>
      <c r="C633" s="5" t="s">
        <v>84</v>
      </c>
      <c r="D633" s="2">
        <v>0</v>
      </c>
      <c r="E633" s="3">
        <v>43450</v>
      </c>
      <c r="F633" s="4">
        <v>2.5567129629629634E-2</v>
      </c>
      <c r="G633" s="28"/>
      <c r="J633" t="s">
        <v>109</v>
      </c>
    </row>
    <row r="634" spans="1:10" hidden="1" outlineLevel="1">
      <c r="A634" s="28"/>
      <c r="B634" s="1">
        <v>97</v>
      </c>
      <c r="C634" s="5" t="s">
        <v>85</v>
      </c>
      <c r="D634" s="2">
        <v>0</v>
      </c>
      <c r="E634" s="3">
        <v>43451</v>
      </c>
      <c r="F634" s="4">
        <v>8.3680555555555557E-3</v>
      </c>
      <c r="G634" s="28"/>
      <c r="J634" t="s">
        <v>109</v>
      </c>
    </row>
    <row r="635" spans="1:10" hidden="1" outlineLevel="1">
      <c r="A635" s="28"/>
      <c r="B635" s="1">
        <v>98</v>
      </c>
      <c r="C635" s="5" t="s">
        <v>86</v>
      </c>
      <c r="D635" s="2">
        <v>0</v>
      </c>
      <c r="E635" s="3">
        <v>43452</v>
      </c>
      <c r="F635" s="4">
        <v>1.2673611111111109E-2</v>
      </c>
      <c r="G635" s="28"/>
      <c r="J635" t="s">
        <v>109</v>
      </c>
    </row>
    <row r="636" spans="1:10" hidden="1" outlineLevel="1">
      <c r="A636" s="28"/>
      <c r="B636" s="1">
        <v>99</v>
      </c>
      <c r="C636" s="5" t="s">
        <v>87</v>
      </c>
      <c r="D636" s="2">
        <v>0</v>
      </c>
      <c r="E636" s="3">
        <v>43453</v>
      </c>
      <c r="F636" s="4">
        <v>9.8263888888888897E-3</v>
      </c>
      <c r="G636" s="28"/>
      <c r="J636" t="s">
        <v>109</v>
      </c>
    </row>
    <row r="637" spans="1:10" hidden="1" outlineLevel="1">
      <c r="A637" s="28"/>
      <c r="B637" s="1">
        <v>100</v>
      </c>
      <c r="C637" s="5" t="s">
        <v>88</v>
      </c>
      <c r="D637" s="2">
        <v>0</v>
      </c>
      <c r="E637" s="3">
        <v>43454</v>
      </c>
      <c r="F637" s="4">
        <v>1.3344907407407408E-2</v>
      </c>
      <c r="G637" s="28"/>
      <c r="J637" t="s">
        <v>109</v>
      </c>
    </row>
    <row r="638" spans="1:10" hidden="1" outlineLevel="1">
      <c r="A638" s="28"/>
      <c r="B638" s="1">
        <v>101</v>
      </c>
      <c r="C638" s="5" t="s">
        <v>89</v>
      </c>
      <c r="D638" s="2">
        <v>0</v>
      </c>
      <c r="E638" s="3">
        <v>43455</v>
      </c>
      <c r="F638" s="4">
        <v>1.8680555555555554E-2</v>
      </c>
      <c r="G638" s="28"/>
      <c r="J638" t="s">
        <v>109</v>
      </c>
    </row>
    <row r="639" spans="1:10" hidden="1" outlineLevel="1">
      <c r="A639" s="28"/>
      <c r="B639" s="1">
        <v>102</v>
      </c>
      <c r="C639" s="5" t="s">
        <v>90</v>
      </c>
      <c r="D639" s="2">
        <v>0</v>
      </c>
      <c r="E639" s="3">
        <v>43456</v>
      </c>
      <c r="F639" s="4">
        <v>1.712962962962963E-2</v>
      </c>
      <c r="G639" s="28"/>
      <c r="J639" t="s">
        <v>109</v>
      </c>
    </row>
    <row r="640" spans="1:10" hidden="1" outlineLevel="1">
      <c r="A640" s="28"/>
      <c r="B640" s="1">
        <v>103</v>
      </c>
      <c r="C640" s="5" t="s">
        <v>91</v>
      </c>
      <c r="D640" s="6" t="s">
        <v>1555</v>
      </c>
      <c r="E640" s="3">
        <v>43457</v>
      </c>
      <c r="F640" s="4">
        <v>1.5173611111111112E-2</v>
      </c>
      <c r="G640" s="28"/>
      <c r="J640" t="s">
        <v>109</v>
      </c>
    </row>
    <row r="641" spans="1:10" hidden="1" outlineLevel="1">
      <c r="A641" s="28"/>
      <c r="B641" s="1">
        <v>104</v>
      </c>
      <c r="C641" s="5" t="s">
        <v>554</v>
      </c>
      <c r="D641" s="2">
        <v>25</v>
      </c>
      <c r="E641" s="3">
        <v>43458</v>
      </c>
      <c r="F641" s="4">
        <v>8.1539351851851849E-2</v>
      </c>
      <c r="G641" s="28"/>
      <c r="J641" t="s">
        <v>109</v>
      </c>
    </row>
    <row r="642" spans="1:10" hidden="1" outlineLevel="1">
      <c r="A642" s="28"/>
      <c r="B642" s="1">
        <v>105</v>
      </c>
      <c r="C642" s="5" t="s">
        <v>92</v>
      </c>
      <c r="D642" s="6" t="s">
        <v>1288</v>
      </c>
      <c r="E642" s="3">
        <v>43465</v>
      </c>
      <c r="F642" s="4">
        <v>8.9016203703703708E-2</v>
      </c>
      <c r="G642" s="28"/>
      <c r="J642" t="s">
        <v>109</v>
      </c>
    </row>
    <row r="643" spans="1:10" hidden="1" outlineLevel="1">
      <c r="A643" s="28"/>
      <c r="B643" s="1">
        <v>106</v>
      </c>
      <c r="C643" s="5" t="s">
        <v>93</v>
      </c>
      <c r="D643" s="2">
        <v>105</v>
      </c>
      <c r="E643" s="3">
        <v>43494</v>
      </c>
      <c r="F643" s="4">
        <v>7.1886574074074075E-2</v>
      </c>
      <c r="G643" s="28"/>
      <c r="J643" t="s">
        <v>109</v>
      </c>
    </row>
    <row r="644" spans="1:10" hidden="1" outlineLevel="1">
      <c r="A644" s="28"/>
      <c r="B644" s="1">
        <v>107</v>
      </c>
      <c r="C644" s="5" t="s">
        <v>94</v>
      </c>
      <c r="D644" s="2">
        <v>107</v>
      </c>
      <c r="E644" s="3">
        <v>43502</v>
      </c>
      <c r="F644" s="4">
        <v>8.1516203703703702E-2</v>
      </c>
      <c r="G644" s="28"/>
      <c r="J644" t="s">
        <v>109</v>
      </c>
    </row>
    <row r="645" spans="1:10" hidden="1" outlineLevel="1">
      <c r="A645" s="28"/>
      <c r="B645" s="1">
        <v>108</v>
      </c>
      <c r="C645" s="5" t="s">
        <v>95</v>
      </c>
      <c r="D645" s="6" t="s">
        <v>1289</v>
      </c>
      <c r="E645" s="3">
        <v>43511</v>
      </c>
      <c r="F645" s="4">
        <v>3.8738425925925926E-2</v>
      </c>
      <c r="G645" s="28"/>
      <c r="J645" t="s">
        <v>109</v>
      </c>
    </row>
    <row r="646" spans="1:10" hidden="1" outlineLevel="1">
      <c r="A646" s="28"/>
      <c r="B646" s="1">
        <v>109</v>
      </c>
      <c r="C646" s="5" t="s">
        <v>96</v>
      </c>
      <c r="D646" s="2">
        <v>5</v>
      </c>
      <c r="E646" s="3">
        <v>43537</v>
      </c>
      <c r="F646" s="4">
        <v>9.0590277777777783E-2</v>
      </c>
      <c r="G646" s="28"/>
      <c r="J646" t="s">
        <v>109</v>
      </c>
    </row>
    <row r="647" spans="1:10" hidden="1" outlineLevel="1">
      <c r="A647" s="28"/>
      <c r="B647" s="1">
        <v>110</v>
      </c>
      <c r="C647" s="5" t="s">
        <v>97</v>
      </c>
      <c r="D647" s="2">
        <v>180</v>
      </c>
      <c r="E647" s="3">
        <v>43546</v>
      </c>
      <c r="F647" s="4">
        <v>7.4386574074074077E-2</v>
      </c>
      <c r="G647" s="28"/>
      <c r="J647" t="s">
        <v>109</v>
      </c>
    </row>
    <row r="648" spans="1:10" hidden="1" outlineLevel="1">
      <c r="A648" s="28"/>
      <c r="B648" s="1">
        <v>111</v>
      </c>
      <c r="C648" s="5" t="s">
        <v>98</v>
      </c>
      <c r="D648" s="6" t="s">
        <v>1516</v>
      </c>
      <c r="E648" s="3">
        <v>43553</v>
      </c>
      <c r="F648" s="4">
        <v>4.476851851851852E-2</v>
      </c>
      <c r="G648" s="28"/>
      <c r="J648" t="s">
        <v>109</v>
      </c>
    </row>
    <row r="649" spans="1:10" hidden="1" outlineLevel="1">
      <c r="A649" s="28"/>
      <c r="B649" s="1">
        <v>112</v>
      </c>
      <c r="C649" s="5" t="s">
        <v>496</v>
      </c>
      <c r="D649" s="2">
        <v>86</v>
      </c>
      <c r="E649" s="3">
        <v>43571</v>
      </c>
      <c r="F649" s="4">
        <v>8.9340277777777768E-2</v>
      </c>
      <c r="G649" s="28"/>
      <c r="J649" t="s">
        <v>109</v>
      </c>
    </row>
    <row r="650" spans="1:10" hidden="1" outlineLevel="1">
      <c r="A650" s="28"/>
      <c r="B650" s="1">
        <v>113</v>
      </c>
      <c r="C650" s="5" t="s">
        <v>2459</v>
      </c>
      <c r="D650" s="2">
        <v>136</v>
      </c>
      <c r="E650" s="3">
        <v>43574</v>
      </c>
      <c r="F650" s="4">
        <v>7.4490740740740746E-2</v>
      </c>
      <c r="G650" s="28"/>
      <c r="J650" t="s">
        <v>109</v>
      </c>
    </row>
    <row r="651" spans="1:10" hidden="1" outlineLevel="1">
      <c r="A651" s="28"/>
      <c r="B651" s="1">
        <v>114</v>
      </c>
      <c r="C651" s="5" t="s">
        <v>99</v>
      </c>
      <c r="D651" s="6" t="s">
        <v>1290</v>
      </c>
      <c r="E651" s="3">
        <v>43585</v>
      </c>
      <c r="F651" s="4">
        <v>2.9224537037037038E-2</v>
      </c>
      <c r="G651" s="28"/>
      <c r="J651" t="s">
        <v>109</v>
      </c>
    </row>
    <row r="652" spans="1:10" hidden="1" outlineLevel="1">
      <c r="A652" s="28"/>
      <c r="B652" s="1">
        <v>115</v>
      </c>
      <c r="C652" s="5" t="s">
        <v>100</v>
      </c>
      <c r="D652" s="2">
        <v>90</v>
      </c>
      <c r="E652" s="3">
        <v>43592</v>
      </c>
      <c r="F652" s="4">
        <v>0.10429398148148149</v>
      </c>
      <c r="G652" s="28"/>
      <c r="J652" t="s">
        <v>109</v>
      </c>
    </row>
    <row r="653" spans="1:10" hidden="1" outlineLevel="1">
      <c r="A653" s="28"/>
      <c r="B653" s="1">
        <v>116</v>
      </c>
      <c r="C653" s="5" t="s">
        <v>101</v>
      </c>
      <c r="D653" s="2">
        <v>0</v>
      </c>
      <c r="E653" s="3">
        <v>43608</v>
      </c>
      <c r="F653" s="4">
        <v>9.116898148148149E-2</v>
      </c>
      <c r="G653" s="28"/>
      <c r="J653" t="s">
        <v>109</v>
      </c>
    </row>
    <row r="654" spans="1:10" hidden="1" outlineLevel="1">
      <c r="A654" s="28"/>
      <c r="B654" s="1">
        <v>117</v>
      </c>
      <c r="C654" s="5" t="s">
        <v>102</v>
      </c>
      <c r="D654" s="6" t="s">
        <v>1291</v>
      </c>
      <c r="E654" s="3">
        <v>43614</v>
      </c>
      <c r="F654" s="4">
        <v>0.10256944444444445</v>
      </c>
      <c r="G654" s="28"/>
      <c r="J654" t="s">
        <v>109</v>
      </c>
    </row>
    <row r="655" spans="1:10" hidden="1" outlineLevel="1">
      <c r="A655" s="28"/>
      <c r="B655" s="1">
        <v>118</v>
      </c>
      <c r="C655" s="5" t="s">
        <v>103</v>
      </c>
      <c r="D655" s="2">
        <v>183</v>
      </c>
      <c r="E655" s="3">
        <v>43623</v>
      </c>
      <c r="F655" s="4">
        <v>7.166666666666667E-2</v>
      </c>
      <c r="G655" s="28"/>
      <c r="J655" t="s">
        <v>109</v>
      </c>
    </row>
    <row r="656" spans="1:10" hidden="1" outlineLevel="1">
      <c r="A656" s="28"/>
      <c r="B656" s="1">
        <v>119</v>
      </c>
      <c r="C656" s="5" t="s">
        <v>104</v>
      </c>
      <c r="D656" s="6" t="s">
        <v>1517</v>
      </c>
      <c r="E656" s="3">
        <v>43633</v>
      </c>
      <c r="F656" s="4">
        <v>3.5868055555555556E-2</v>
      </c>
      <c r="G656" s="28"/>
      <c r="J656" t="s">
        <v>109</v>
      </c>
    </row>
    <row r="657" spans="1:10" hidden="1" outlineLevel="1">
      <c r="A657" s="28"/>
      <c r="B657" s="1">
        <v>120</v>
      </c>
      <c r="C657" s="5" t="s">
        <v>558</v>
      </c>
      <c r="D657" s="2">
        <v>95</v>
      </c>
      <c r="E657" s="3">
        <v>43643</v>
      </c>
      <c r="F657" s="4">
        <v>7.1990740740740744E-2</v>
      </c>
      <c r="G657" s="28"/>
      <c r="J657" t="s">
        <v>109</v>
      </c>
    </row>
    <row r="658" spans="1:10" hidden="1" outlineLevel="1">
      <c r="A658" s="28"/>
      <c r="B658" s="1">
        <v>121</v>
      </c>
      <c r="C658" s="5" t="s">
        <v>105</v>
      </c>
      <c r="D658" s="6" t="s">
        <v>1292</v>
      </c>
      <c r="E658" s="3">
        <v>43650</v>
      </c>
      <c r="F658" s="4">
        <v>7.9340277777777787E-2</v>
      </c>
      <c r="G658" s="28"/>
      <c r="J658" t="s">
        <v>109</v>
      </c>
    </row>
    <row r="659" spans="1:10" hidden="1" outlineLevel="1">
      <c r="A659" s="28"/>
      <c r="B659" s="1">
        <v>122</v>
      </c>
      <c r="C659" s="5" t="s">
        <v>106</v>
      </c>
      <c r="D659" s="6" t="s">
        <v>1508</v>
      </c>
      <c r="E659" s="3">
        <v>43657</v>
      </c>
      <c r="F659" s="4">
        <v>5.6122685185185185E-2</v>
      </c>
      <c r="G659" s="28"/>
      <c r="J659" t="s">
        <v>109</v>
      </c>
    </row>
    <row r="660" spans="1:10" hidden="1" outlineLevel="1">
      <c r="A660" s="28"/>
      <c r="B660" s="1">
        <v>123</v>
      </c>
      <c r="C660" s="5" t="s">
        <v>107</v>
      </c>
      <c r="D660" s="2">
        <v>185</v>
      </c>
      <c r="E660" s="3">
        <v>43668</v>
      </c>
      <c r="F660" s="4">
        <v>7.408564814814815E-2</v>
      </c>
      <c r="G660" s="28"/>
      <c r="J660" t="s">
        <v>109</v>
      </c>
    </row>
    <row r="661" spans="1:10" hidden="1" outlineLevel="1">
      <c r="A661" s="28"/>
      <c r="B661" s="1">
        <v>124</v>
      </c>
      <c r="C661" s="5" t="s">
        <v>557</v>
      </c>
      <c r="D661" s="6" t="s">
        <v>1518</v>
      </c>
      <c r="E661" s="3">
        <v>43683</v>
      </c>
      <c r="F661" s="4">
        <v>1.7974537037037035E-2</v>
      </c>
      <c r="G661" s="28"/>
      <c r="J661" t="s">
        <v>109</v>
      </c>
    </row>
    <row r="662" spans="1:10" hidden="1" outlineLevel="1">
      <c r="A662" s="28"/>
      <c r="B662" s="1">
        <v>125</v>
      </c>
      <c r="C662" s="5" t="s">
        <v>108</v>
      </c>
      <c r="D662" s="2">
        <v>129</v>
      </c>
      <c r="E662" s="3">
        <v>43693</v>
      </c>
      <c r="F662" s="4">
        <v>8.1782407407407401E-2</v>
      </c>
      <c r="G662" s="28"/>
      <c r="J662" t="s">
        <v>109</v>
      </c>
    </row>
    <row r="663" spans="1:10" hidden="1" outlineLevel="1">
      <c r="A663" s="28"/>
      <c r="B663" s="1">
        <v>126</v>
      </c>
      <c r="C663" s="5" t="s">
        <v>111</v>
      </c>
      <c r="D663" s="6" t="s">
        <v>1293</v>
      </c>
      <c r="E663" s="3">
        <v>43708</v>
      </c>
      <c r="F663" s="4">
        <v>7.9340277777777787E-2</v>
      </c>
      <c r="G663" s="28"/>
      <c r="J663" t="s">
        <v>109</v>
      </c>
    </row>
    <row r="664" spans="1:10" hidden="1" outlineLevel="1">
      <c r="A664" s="28"/>
      <c r="B664" s="1">
        <v>127</v>
      </c>
      <c r="C664" s="5" t="s">
        <v>112</v>
      </c>
      <c r="D664" s="2">
        <v>32</v>
      </c>
      <c r="E664" s="3">
        <v>43711</v>
      </c>
      <c r="F664" s="4">
        <v>8.5011574074074073E-2</v>
      </c>
      <c r="G664" s="28"/>
      <c r="J664" t="s">
        <v>109</v>
      </c>
    </row>
    <row r="665" spans="1:10" hidden="1" outlineLevel="1">
      <c r="A665" s="28"/>
      <c r="B665" s="1">
        <v>128</v>
      </c>
      <c r="C665" s="5" t="s">
        <v>531</v>
      </c>
      <c r="D665" s="6" t="s">
        <v>1294</v>
      </c>
      <c r="E665" s="3">
        <v>43724</v>
      </c>
      <c r="F665" s="4">
        <v>3.6122685185185181E-2</v>
      </c>
      <c r="G665" s="28"/>
      <c r="J665" t="s">
        <v>109</v>
      </c>
    </row>
    <row r="666" spans="1:10" hidden="1" outlineLevel="1">
      <c r="A666" s="28"/>
      <c r="B666" s="1">
        <v>129</v>
      </c>
      <c r="C666" s="5" t="s">
        <v>113</v>
      </c>
      <c r="D666" s="2">
        <v>196</v>
      </c>
      <c r="E666" s="3">
        <v>43734</v>
      </c>
      <c r="F666" s="4">
        <v>6.8298611111111115E-2</v>
      </c>
      <c r="G666" s="28"/>
      <c r="J666" t="s">
        <v>109</v>
      </c>
    </row>
    <row r="667" spans="1:10" hidden="1" outlineLevel="1">
      <c r="A667" s="28"/>
      <c r="B667" s="1">
        <v>130</v>
      </c>
      <c r="C667" s="5" t="s">
        <v>220</v>
      </c>
      <c r="D667" s="2">
        <v>84</v>
      </c>
      <c r="E667" s="3">
        <v>43739</v>
      </c>
      <c r="F667" s="4">
        <v>7.0543981481481485E-2</v>
      </c>
      <c r="G667" s="28"/>
      <c r="J667" t="s">
        <v>109</v>
      </c>
    </row>
    <row r="668" spans="1:10" hidden="1" outlineLevel="1">
      <c r="A668" s="28"/>
      <c r="B668" s="1">
        <v>131</v>
      </c>
      <c r="C668" s="5" t="s">
        <v>402</v>
      </c>
      <c r="D668" s="6" t="s">
        <v>1519</v>
      </c>
      <c r="E668" s="3">
        <v>43751</v>
      </c>
      <c r="F668" s="4">
        <v>2.6655092592592591E-2</v>
      </c>
      <c r="G668" s="28"/>
      <c r="J668" t="s">
        <v>109</v>
      </c>
    </row>
    <row r="669" spans="1:10" hidden="1" outlineLevel="1">
      <c r="A669" s="28"/>
      <c r="B669" s="1">
        <v>132</v>
      </c>
      <c r="C669" s="5" t="s">
        <v>414</v>
      </c>
      <c r="D669" s="2">
        <v>132</v>
      </c>
      <c r="E669" s="3">
        <v>43767</v>
      </c>
      <c r="F669" s="4">
        <v>7.9050925925925927E-2</v>
      </c>
      <c r="G669" s="28"/>
      <c r="J669" t="s">
        <v>109</v>
      </c>
    </row>
    <row r="670" spans="1:10" hidden="1" outlineLevel="1">
      <c r="A670" s="28"/>
      <c r="B670" s="1">
        <v>133</v>
      </c>
      <c r="C670" s="5" t="s">
        <v>2460</v>
      </c>
      <c r="D670" s="2">
        <v>35</v>
      </c>
      <c r="E670" s="3">
        <v>43778</v>
      </c>
      <c r="F670" s="4">
        <v>7.0856481481481479E-2</v>
      </c>
      <c r="G670" s="28"/>
      <c r="J670" t="s">
        <v>109</v>
      </c>
    </row>
    <row r="671" spans="1:10" hidden="1" outlineLevel="1">
      <c r="A671" s="28"/>
      <c r="B671" s="1">
        <v>134</v>
      </c>
      <c r="C671" s="5" t="s">
        <v>512</v>
      </c>
      <c r="D671" s="2">
        <v>6</v>
      </c>
      <c r="E671" s="3">
        <v>43800</v>
      </c>
      <c r="F671" s="4">
        <v>6.9363425925925926E-2</v>
      </c>
      <c r="G671" s="28"/>
      <c r="J671" t="s">
        <v>109</v>
      </c>
    </row>
    <row r="672" spans="1:10" hidden="1" outlineLevel="1">
      <c r="A672" s="28"/>
      <c r="B672" s="1">
        <v>135</v>
      </c>
      <c r="C672" s="5" t="s">
        <v>513</v>
      </c>
      <c r="D672" s="2">
        <v>6</v>
      </c>
      <c r="E672" s="3">
        <v>43801</v>
      </c>
      <c r="F672" s="4">
        <v>8.3263888888888887E-2</v>
      </c>
      <c r="G672" s="28"/>
      <c r="J672" t="s">
        <v>109</v>
      </c>
    </row>
    <row r="673" spans="1:10" hidden="1" outlineLevel="1">
      <c r="A673" s="28"/>
      <c r="B673" s="1">
        <v>136</v>
      </c>
      <c r="C673" s="5" t="s">
        <v>2461</v>
      </c>
      <c r="D673" s="6" t="s">
        <v>16</v>
      </c>
      <c r="E673" s="3">
        <v>43802</v>
      </c>
      <c r="F673" s="4">
        <v>5.5509259259259258E-2</v>
      </c>
      <c r="G673" s="28"/>
      <c r="J673" t="s">
        <v>109</v>
      </c>
    </row>
    <row r="674" spans="1:10" hidden="1" outlineLevel="1">
      <c r="A674" s="28"/>
      <c r="B674" s="1">
        <v>137</v>
      </c>
      <c r="C674" s="5" t="s">
        <v>516</v>
      </c>
      <c r="D674" s="6" t="s">
        <v>1443</v>
      </c>
      <c r="E674" s="3">
        <v>43803</v>
      </c>
      <c r="F674" s="4">
        <v>1.6446759259259262E-2</v>
      </c>
      <c r="G674" s="28"/>
      <c r="J674" t="s">
        <v>109</v>
      </c>
    </row>
    <row r="675" spans="1:10" hidden="1" outlineLevel="1">
      <c r="A675" s="28"/>
      <c r="B675" s="1">
        <v>138</v>
      </c>
      <c r="C675" s="5" t="s">
        <v>517</v>
      </c>
      <c r="D675" s="2">
        <v>0</v>
      </c>
      <c r="E675" s="3">
        <v>43804</v>
      </c>
      <c r="F675" s="4">
        <v>5.4872685185185184E-2</v>
      </c>
      <c r="G675" s="28"/>
      <c r="J675" t="s">
        <v>109</v>
      </c>
    </row>
    <row r="676" spans="1:10" hidden="1" outlineLevel="1">
      <c r="A676" s="28"/>
      <c r="B676" s="1">
        <v>139</v>
      </c>
      <c r="C676" s="5" t="s">
        <v>518</v>
      </c>
      <c r="D676" s="2">
        <v>0</v>
      </c>
      <c r="E676" s="3">
        <v>43805</v>
      </c>
      <c r="F676" s="4">
        <v>7.5115740740740733E-2</v>
      </c>
      <c r="G676" s="28"/>
      <c r="J676" t="s">
        <v>109</v>
      </c>
    </row>
    <row r="677" spans="1:10" hidden="1" outlineLevel="1">
      <c r="A677" s="28"/>
      <c r="B677" s="1">
        <v>140</v>
      </c>
      <c r="C677" s="5" t="s">
        <v>519</v>
      </c>
      <c r="D677" s="2">
        <v>0</v>
      </c>
      <c r="E677" s="3">
        <v>43806</v>
      </c>
      <c r="F677" s="4">
        <v>9.9537037037037042E-3</v>
      </c>
      <c r="G677" s="28"/>
      <c r="J677" t="s">
        <v>109</v>
      </c>
    </row>
    <row r="678" spans="1:10" hidden="1" outlineLevel="1">
      <c r="A678" s="28"/>
      <c r="B678" s="1">
        <v>141</v>
      </c>
      <c r="C678" s="5" t="s">
        <v>520</v>
      </c>
      <c r="D678" s="2">
        <v>0</v>
      </c>
      <c r="E678" s="3">
        <v>43807</v>
      </c>
      <c r="F678" s="4">
        <v>5.4629629629629632E-2</v>
      </c>
      <c r="G678" s="28"/>
      <c r="J678" t="s">
        <v>109</v>
      </c>
    </row>
    <row r="679" spans="1:10" hidden="1" outlineLevel="1">
      <c r="A679" s="28"/>
      <c r="B679" s="1">
        <v>142</v>
      </c>
      <c r="C679" s="5" t="s">
        <v>521</v>
      </c>
      <c r="D679" s="2">
        <v>0</v>
      </c>
      <c r="E679" s="3">
        <v>43808</v>
      </c>
      <c r="F679" s="4">
        <v>3.7430555555555557E-2</v>
      </c>
      <c r="G679" s="28"/>
      <c r="J679" t="s">
        <v>109</v>
      </c>
    </row>
    <row r="680" spans="1:10" hidden="1" outlineLevel="1">
      <c r="A680" s="28"/>
      <c r="B680" s="1">
        <v>143</v>
      </c>
      <c r="C680" s="5" t="s">
        <v>2462</v>
      </c>
      <c r="D680" s="2">
        <v>89</v>
      </c>
      <c r="E680" s="3">
        <v>43809</v>
      </c>
      <c r="F680" s="4">
        <v>8.4363425925925925E-2</v>
      </c>
      <c r="G680" s="28"/>
      <c r="J680" t="s">
        <v>109</v>
      </c>
    </row>
    <row r="681" spans="1:10" hidden="1" outlineLevel="1">
      <c r="A681" s="28"/>
      <c r="B681" s="1">
        <v>144</v>
      </c>
      <c r="C681" s="5" t="s">
        <v>522</v>
      </c>
      <c r="D681" s="6" t="s">
        <v>1524</v>
      </c>
      <c r="E681" s="3">
        <v>43810</v>
      </c>
      <c r="F681" s="4">
        <v>1.6192129629629629E-2</v>
      </c>
      <c r="G681" s="28"/>
      <c r="J681" t="s">
        <v>109</v>
      </c>
    </row>
    <row r="682" spans="1:10" hidden="1" outlineLevel="1">
      <c r="A682" s="28"/>
      <c r="B682" s="1">
        <v>145</v>
      </c>
      <c r="C682" s="5" t="s">
        <v>523</v>
      </c>
      <c r="D682" s="2">
        <v>0</v>
      </c>
      <c r="E682" s="3">
        <v>43811</v>
      </c>
      <c r="F682" s="4">
        <v>1.0289351851851852E-2</v>
      </c>
      <c r="G682" s="28"/>
      <c r="J682" t="s">
        <v>109</v>
      </c>
    </row>
    <row r="683" spans="1:10" hidden="1" outlineLevel="1">
      <c r="A683" s="28"/>
      <c r="B683" s="1">
        <v>146</v>
      </c>
      <c r="C683" s="5" t="s">
        <v>524</v>
      </c>
      <c r="D683" s="2">
        <v>0</v>
      </c>
      <c r="E683" s="3">
        <v>43812</v>
      </c>
      <c r="F683" s="4">
        <v>1.4259259259259261E-2</v>
      </c>
      <c r="G683" s="28"/>
      <c r="J683" t="s">
        <v>109</v>
      </c>
    </row>
    <row r="684" spans="1:10" hidden="1" outlineLevel="1">
      <c r="A684" s="28"/>
      <c r="B684" s="1">
        <v>147</v>
      </c>
      <c r="C684" s="5" t="s">
        <v>525</v>
      </c>
      <c r="D684" s="2">
        <v>0</v>
      </c>
      <c r="E684" s="3">
        <v>43813</v>
      </c>
      <c r="F684" s="4">
        <v>1.5069444444444443E-2</v>
      </c>
      <c r="G684" s="28"/>
      <c r="J684" t="s">
        <v>109</v>
      </c>
    </row>
    <row r="685" spans="1:10" hidden="1" outlineLevel="1">
      <c r="A685" s="28"/>
      <c r="B685" s="1">
        <v>148</v>
      </c>
      <c r="C685" s="5" t="s">
        <v>526</v>
      </c>
      <c r="D685" s="2">
        <v>0</v>
      </c>
      <c r="E685" s="3">
        <v>43814</v>
      </c>
      <c r="F685" s="4">
        <v>1.068287037037037E-2</v>
      </c>
      <c r="G685" s="28"/>
      <c r="J685" t="s">
        <v>109</v>
      </c>
    </row>
    <row r="686" spans="1:10" hidden="1" outlineLevel="1">
      <c r="A686" s="28"/>
      <c r="B686" s="1">
        <v>149</v>
      </c>
      <c r="C686" s="5" t="s">
        <v>527</v>
      </c>
      <c r="D686" s="2">
        <v>0</v>
      </c>
      <c r="E686" s="3">
        <v>43815</v>
      </c>
      <c r="F686" s="4">
        <v>7.7662037037037031E-3</v>
      </c>
      <c r="G686" s="28"/>
      <c r="J686" t="s">
        <v>109</v>
      </c>
    </row>
    <row r="687" spans="1:10" hidden="1" outlineLevel="1">
      <c r="A687" s="28"/>
      <c r="B687" s="1">
        <v>150</v>
      </c>
      <c r="C687" s="5" t="s">
        <v>528</v>
      </c>
      <c r="D687" s="2">
        <v>0</v>
      </c>
      <c r="E687" s="3">
        <v>43816</v>
      </c>
      <c r="F687" s="4">
        <v>1.8958333333333334E-2</v>
      </c>
      <c r="G687" s="28"/>
      <c r="J687" t="s">
        <v>109</v>
      </c>
    </row>
    <row r="688" spans="1:10" hidden="1" outlineLevel="1">
      <c r="A688" s="28"/>
      <c r="B688" s="1">
        <v>151</v>
      </c>
      <c r="C688" s="5" t="s">
        <v>529</v>
      </c>
      <c r="D688" s="2">
        <v>0</v>
      </c>
      <c r="E688" s="3">
        <v>43817</v>
      </c>
      <c r="F688" s="4">
        <v>2.4537037037037038E-2</v>
      </c>
      <c r="G688" s="28"/>
      <c r="J688" t="s">
        <v>109</v>
      </c>
    </row>
    <row r="689" spans="1:10" hidden="1" outlineLevel="1">
      <c r="A689" s="28"/>
      <c r="B689" s="1">
        <v>152</v>
      </c>
      <c r="C689" s="5" t="s">
        <v>559</v>
      </c>
      <c r="D689" s="2">
        <v>0</v>
      </c>
      <c r="E689" s="3">
        <v>43818</v>
      </c>
      <c r="F689" s="4">
        <v>1.2233796296296296E-2</v>
      </c>
      <c r="G689" s="28"/>
      <c r="J689" t="s">
        <v>109</v>
      </c>
    </row>
    <row r="690" spans="1:10" hidden="1" outlineLevel="1">
      <c r="A690" s="28"/>
      <c r="B690" s="1">
        <v>153</v>
      </c>
      <c r="C690" s="5" t="s">
        <v>561</v>
      </c>
      <c r="D690" s="2">
        <v>0</v>
      </c>
      <c r="E690" s="3">
        <v>43819</v>
      </c>
      <c r="F690" s="4">
        <v>2.3356481481481482E-2</v>
      </c>
      <c r="G690" s="28"/>
      <c r="J690" t="s">
        <v>109</v>
      </c>
    </row>
    <row r="691" spans="1:10" hidden="1" outlineLevel="1">
      <c r="A691" s="28"/>
      <c r="B691" s="1">
        <v>154</v>
      </c>
      <c r="C691" s="5" t="s">
        <v>562</v>
      </c>
      <c r="D691" s="2">
        <v>0</v>
      </c>
      <c r="E691" s="3">
        <v>43820</v>
      </c>
      <c r="F691" s="4">
        <v>1.3414351851851851E-2</v>
      </c>
      <c r="G691" s="28"/>
      <c r="J691" t="s">
        <v>109</v>
      </c>
    </row>
    <row r="692" spans="1:10" hidden="1" outlineLevel="1">
      <c r="A692" s="28"/>
      <c r="B692" s="1">
        <v>155</v>
      </c>
      <c r="C692" s="5" t="s">
        <v>563</v>
      </c>
      <c r="D692" s="6" t="s">
        <v>1505</v>
      </c>
      <c r="E692" s="3">
        <v>43821</v>
      </c>
      <c r="F692" s="4">
        <v>4.5798611111111109E-2</v>
      </c>
      <c r="G692" s="28"/>
      <c r="J692" t="s">
        <v>109</v>
      </c>
    </row>
    <row r="693" spans="1:10" hidden="1" outlineLevel="1">
      <c r="A693" s="28"/>
      <c r="B693" s="1">
        <v>156</v>
      </c>
      <c r="C693" s="5" t="s">
        <v>564</v>
      </c>
      <c r="D693" s="6" t="s">
        <v>1556</v>
      </c>
      <c r="E693" s="3">
        <v>43822</v>
      </c>
      <c r="F693" s="4">
        <v>2.9629629629629627E-2</v>
      </c>
      <c r="G693" s="28"/>
      <c r="J693" t="s">
        <v>109</v>
      </c>
    </row>
    <row r="694" spans="1:10" hidden="1" outlineLevel="1">
      <c r="A694" s="28"/>
      <c r="B694" s="1">
        <v>157</v>
      </c>
      <c r="C694" s="5" t="s">
        <v>565</v>
      </c>
      <c r="D694" s="6" t="s">
        <v>374</v>
      </c>
      <c r="E694" s="3">
        <v>43823</v>
      </c>
      <c r="F694" s="4">
        <v>6.9467592592592595E-2</v>
      </c>
      <c r="G694" s="28"/>
      <c r="J694" t="s">
        <v>109</v>
      </c>
    </row>
    <row r="695" spans="1:10" hidden="1" outlineLevel="1">
      <c r="A695" s="28"/>
      <c r="B695" s="1">
        <v>158</v>
      </c>
      <c r="C695" s="5" t="s">
        <v>566</v>
      </c>
      <c r="D695" s="2">
        <v>0</v>
      </c>
      <c r="E695" s="3">
        <v>43824</v>
      </c>
      <c r="F695" s="4">
        <v>4.0729166666666664E-2</v>
      </c>
      <c r="G695" s="28"/>
      <c r="J695" t="s">
        <v>109</v>
      </c>
    </row>
    <row r="696" spans="1:10" hidden="1" outlineLevel="1">
      <c r="A696" s="28"/>
      <c r="B696" s="1">
        <v>159</v>
      </c>
      <c r="C696" s="5" t="s">
        <v>567</v>
      </c>
      <c r="D696" s="6" t="s">
        <v>1295</v>
      </c>
      <c r="E696" s="3">
        <v>43829</v>
      </c>
      <c r="F696" s="4">
        <v>0.11494212962962963</v>
      </c>
      <c r="G696" s="28"/>
      <c r="J696" t="s">
        <v>109</v>
      </c>
    </row>
    <row r="697" spans="1:10" hidden="1" outlineLevel="1">
      <c r="A697" s="28"/>
      <c r="B697" s="1">
        <v>160</v>
      </c>
      <c r="C697" s="5" t="s">
        <v>1298</v>
      </c>
      <c r="D697" s="6" t="s">
        <v>1296</v>
      </c>
      <c r="E697" s="3">
        <v>43867</v>
      </c>
      <c r="F697" s="4">
        <v>6.773148148148149E-2</v>
      </c>
      <c r="G697" s="28"/>
      <c r="J697" t="s">
        <v>109</v>
      </c>
    </row>
    <row r="698" spans="1:10" hidden="1" outlineLevel="1">
      <c r="A698" s="28"/>
      <c r="B698" s="1">
        <v>161</v>
      </c>
      <c r="C698" s="5" t="s">
        <v>586</v>
      </c>
      <c r="D698" s="2">
        <v>56</v>
      </c>
      <c r="E698" s="3">
        <v>43874</v>
      </c>
      <c r="F698" s="4">
        <v>6.7685185185185182E-2</v>
      </c>
      <c r="G698" s="28"/>
      <c r="J698" t="s">
        <v>109</v>
      </c>
    </row>
    <row r="699" spans="1:10" hidden="1" outlineLevel="1">
      <c r="A699" s="28"/>
      <c r="B699" s="1">
        <v>162</v>
      </c>
      <c r="C699" s="5" t="s">
        <v>3793</v>
      </c>
      <c r="D699" s="2">
        <v>113</v>
      </c>
      <c r="E699" s="3">
        <v>43884</v>
      </c>
      <c r="F699" s="4">
        <v>7.2650462962962958E-2</v>
      </c>
      <c r="G699" s="28"/>
      <c r="J699" t="s">
        <v>109</v>
      </c>
    </row>
    <row r="700" spans="1:10" hidden="1" outlineLevel="1">
      <c r="A700" s="28"/>
      <c r="B700" s="1">
        <v>163</v>
      </c>
      <c r="C700" s="5" t="s">
        <v>587</v>
      </c>
      <c r="D700" s="6" t="s">
        <v>1510</v>
      </c>
      <c r="E700" s="3">
        <v>43896</v>
      </c>
      <c r="F700" s="4">
        <v>6.5601851851851856E-2</v>
      </c>
      <c r="G700" s="28"/>
      <c r="J700" t="s">
        <v>109</v>
      </c>
    </row>
    <row r="701" spans="1:10" hidden="1" outlineLevel="1">
      <c r="A701" s="28"/>
      <c r="B701" s="1">
        <v>164</v>
      </c>
      <c r="C701" s="5" t="s">
        <v>588</v>
      </c>
      <c r="D701" s="2">
        <v>190</v>
      </c>
      <c r="E701" s="3">
        <v>43903</v>
      </c>
      <c r="F701" s="4">
        <v>8.0069444444444443E-2</v>
      </c>
      <c r="G701" s="28"/>
      <c r="J701" t="s">
        <v>109</v>
      </c>
    </row>
    <row r="702" spans="1:10" hidden="1" outlineLevel="1">
      <c r="A702" s="28"/>
      <c r="B702" s="1">
        <v>165</v>
      </c>
      <c r="C702" s="5" t="s">
        <v>589</v>
      </c>
      <c r="D702" s="2">
        <v>201</v>
      </c>
      <c r="E702" s="3">
        <v>43915</v>
      </c>
      <c r="F702" s="4">
        <v>7.5150462962962961E-2</v>
      </c>
      <c r="G702" s="28"/>
      <c r="J702" t="s">
        <v>109</v>
      </c>
    </row>
    <row r="703" spans="1:10" hidden="1" outlineLevel="1">
      <c r="A703" s="28"/>
      <c r="B703" s="1">
        <v>166</v>
      </c>
      <c r="C703" s="5" t="s">
        <v>590</v>
      </c>
      <c r="D703" s="2">
        <v>0</v>
      </c>
      <c r="E703" s="3">
        <v>43918</v>
      </c>
      <c r="F703" s="4">
        <v>1.1458333333333333E-3</v>
      </c>
      <c r="G703" s="28"/>
      <c r="J703" t="s">
        <v>109</v>
      </c>
    </row>
    <row r="704" spans="1:10" hidden="1" outlineLevel="1">
      <c r="A704" s="28"/>
      <c r="B704" s="1">
        <v>167</v>
      </c>
      <c r="C704" s="5" t="s">
        <v>591</v>
      </c>
      <c r="D704" s="2">
        <v>33</v>
      </c>
      <c r="E704" s="3">
        <v>43919</v>
      </c>
      <c r="F704" s="4">
        <v>8.2847222222222225E-2</v>
      </c>
      <c r="G704" s="28"/>
      <c r="J704" t="s">
        <v>109</v>
      </c>
    </row>
    <row r="705" spans="1:10" hidden="1" outlineLevel="1">
      <c r="A705" s="28"/>
      <c r="B705" s="1">
        <v>168</v>
      </c>
      <c r="C705" s="5" t="s">
        <v>1396</v>
      </c>
      <c r="D705" s="6" t="s">
        <v>592</v>
      </c>
      <c r="E705" s="3">
        <v>43922</v>
      </c>
      <c r="F705" s="4">
        <v>4.4155092592592593E-2</v>
      </c>
      <c r="G705" s="28"/>
      <c r="J705" t="s">
        <v>109</v>
      </c>
    </row>
    <row r="706" spans="1:10" hidden="1" outlineLevel="1">
      <c r="A706" s="28"/>
      <c r="B706" s="1">
        <v>169</v>
      </c>
      <c r="C706" s="5" t="s">
        <v>593</v>
      </c>
      <c r="D706" s="2">
        <v>149</v>
      </c>
      <c r="E706" s="3">
        <v>43933</v>
      </c>
      <c r="F706" s="4">
        <v>6.8113425925925938E-2</v>
      </c>
      <c r="G706" s="28"/>
      <c r="J706" t="s">
        <v>109</v>
      </c>
    </row>
    <row r="707" spans="1:10" hidden="1" outlineLevel="1">
      <c r="A707" s="28"/>
      <c r="B707" s="1">
        <v>170</v>
      </c>
      <c r="C707" s="5" t="s">
        <v>2463</v>
      </c>
      <c r="D707" s="2">
        <v>121</v>
      </c>
      <c r="E707" s="3">
        <v>43940</v>
      </c>
      <c r="F707" s="4">
        <v>6.7905092592592586E-2</v>
      </c>
      <c r="G707" s="28"/>
      <c r="J707" t="s">
        <v>109</v>
      </c>
    </row>
    <row r="708" spans="1:10" hidden="1" outlineLevel="1">
      <c r="A708" s="28"/>
      <c r="B708" s="1">
        <v>171</v>
      </c>
      <c r="C708" s="5" t="s">
        <v>601</v>
      </c>
      <c r="D708" s="6" t="s">
        <v>1509</v>
      </c>
      <c r="E708" s="3">
        <v>43952</v>
      </c>
      <c r="F708" s="4">
        <v>4.2638888888888893E-2</v>
      </c>
      <c r="G708" s="28"/>
      <c r="J708" t="s">
        <v>109</v>
      </c>
    </row>
    <row r="709" spans="1:10" hidden="1" outlineLevel="1">
      <c r="A709" s="28"/>
      <c r="B709" s="1">
        <v>172</v>
      </c>
      <c r="C709" s="5" t="s">
        <v>606</v>
      </c>
      <c r="D709" s="2">
        <v>151</v>
      </c>
      <c r="E709" s="3">
        <v>43969</v>
      </c>
      <c r="F709" s="4">
        <v>8.4571759259259263E-2</v>
      </c>
      <c r="G709" s="28"/>
      <c r="J709" t="s">
        <v>109</v>
      </c>
    </row>
    <row r="710" spans="1:10" hidden="1" outlineLevel="1">
      <c r="A710" s="28"/>
      <c r="B710" s="1">
        <v>173</v>
      </c>
      <c r="C710" s="5" t="s">
        <v>607</v>
      </c>
      <c r="D710" s="6" t="s">
        <v>1297</v>
      </c>
      <c r="E710" s="3">
        <v>43978</v>
      </c>
      <c r="F710" s="4">
        <v>2.3136574074074077E-2</v>
      </c>
      <c r="G710" s="28"/>
      <c r="J710" t="s">
        <v>109</v>
      </c>
    </row>
    <row r="711" spans="1:10" hidden="1" outlineLevel="1">
      <c r="A711" s="28"/>
      <c r="B711" s="1">
        <v>174</v>
      </c>
      <c r="C711" s="5" t="s">
        <v>613</v>
      </c>
      <c r="D711" s="2">
        <v>50</v>
      </c>
      <c r="E711" s="3">
        <v>43993</v>
      </c>
      <c r="F711" s="4">
        <v>7.5520833333333329E-2</v>
      </c>
      <c r="G711" s="28"/>
      <c r="J711" t="s">
        <v>109</v>
      </c>
    </row>
    <row r="712" spans="1:10" hidden="1" outlineLevel="1">
      <c r="A712" s="28"/>
      <c r="B712" s="1">
        <v>175</v>
      </c>
      <c r="C712" s="5" t="s">
        <v>612</v>
      </c>
      <c r="D712" s="2">
        <v>16</v>
      </c>
      <c r="E712" s="3">
        <v>44006</v>
      </c>
      <c r="F712" s="4">
        <v>8.2500000000000004E-2</v>
      </c>
      <c r="G712" s="28"/>
      <c r="J712" t="s">
        <v>109</v>
      </c>
    </row>
    <row r="713" spans="1:10" hidden="1" outlineLevel="1">
      <c r="A713" s="28"/>
      <c r="B713" s="1">
        <v>176</v>
      </c>
      <c r="C713" s="5" t="s">
        <v>618</v>
      </c>
      <c r="D713" s="2">
        <v>123</v>
      </c>
      <c r="E713" s="3">
        <v>44015</v>
      </c>
      <c r="F713" s="4">
        <v>7.7627314814814816E-2</v>
      </c>
      <c r="G713" s="28"/>
      <c r="J713" t="s">
        <v>109</v>
      </c>
    </row>
    <row r="714" spans="1:10" hidden="1" outlineLevel="1">
      <c r="A714" s="28"/>
      <c r="B714" s="1">
        <v>177</v>
      </c>
      <c r="C714" s="5" t="s">
        <v>2995</v>
      </c>
      <c r="D714" s="2">
        <v>119</v>
      </c>
      <c r="E714" s="3">
        <v>44016</v>
      </c>
      <c r="F714" s="4">
        <v>8.0578703703703694E-2</v>
      </c>
      <c r="G714" s="28"/>
      <c r="J714" t="s">
        <v>109</v>
      </c>
    </row>
    <row r="715" spans="1:10" hidden="1" outlineLevel="1">
      <c r="A715" s="28"/>
      <c r="B715" s="1">
        <v>178</v>
      </c>
      <c r="C715" s="5" t="s">
        <v>615</v>
      </c>
      <c r="D715" s="2">
        <v>141</v>
      </c>
      <c r="E715" s="3">
        <v>44020</v>
      </c>
      <c r="F715" s="4">
        <v>4.6840277777777779E-2</v>
      </c>
      <c r="G715" s="28"/>
      <c r="J715" t="s">
        <v>109</v>
      </c>
    </row>
    <row r="716" spans="1:10" hidden="1" outlineLevel="1">
      <c r="A716" s="28"/>
      <c r="B716" s="1">
        <v>179</v>
      </c>
      <c r="C716" s="5" t="s">
        <v>2395</v>
      </c>
      <c r="D716" s="2">
        <v>153</v>
      </c>
      <c r="E716" s="3">
        <v>44024</v>
      </c>
      <c r="F716" s="4">
        <v>6.5856481481481488E-2</v>
      </c>
      <c r="G716" s="28"/>
      <c r="J716" t="s">
        <v>109</v>
      </c>
    </row>
    <row r="717" spans="1:10" hidden="1" outlineLevel="1">
      <c r="A717" s="28"/>
      <c r="B717" s="1">
        <v>180</v>
      </c>
      <c r="C717" s="5" t="s">
        <v>758</v>
      </c>
      <c r="D717" s="2">
        <v>170</v>
      </c>
      <c r="E717" s="3">
        <v>44046</v>
      </c>
      <c r="F717" s="4">
        <v>9.4953703703703707E-2</v>
      </c>
      <c r="G717" s="28"/>
      <c r="J717" t="s">
        <v>109</v>
      </c>
    </row>
    <row r="718" spans="1:10" hidden="1" outlineLevel="1">
      <c r="A718" s="28"/>
      <c r="B718" s="1">
        <v>181</v>
      </c>
      <c r="C718" s="5" t="s">
        <v>757</v>
      </c>
      <c r="D718" s="2">
        <v>44</v>
      </c>
      <c r="E718" s="3">
        <v>44054</v>
      </c>
      <c r="F718" s="4">
        <v>9.7719907407407394E-2</v>
      </c>
      <c r="G718" s="28"/>
      <c r="J718" t="s">
        <v>109</v>
      </c>
    </row>
    <row r="719" spans="1:10" hidden="1" outlineLevel="1">
      <c r="A719" s="28"/>
      <c r="B719" s="1">
        <v>182</v>
      </c>
      <c r="C719" s="5" t="s">
        <v>756</v>
      </c>
      <c r="D719" s="6" t="s">
        <v>1299</v>
      </c>
      <c r="E719" s="3">
        <v>44057</v>
      </c>
      <c r="F719" s="4">
        <v>5.8564814814814825E-3</v>
      </c>
      <c r="G719" s="28"/>
      <c r="J719" t="s">
        <v>109</v>
      </c>
    </row>
    <row r="720" spans="1:10" hidden="1" outlineLevel="1">
      <c r="A720" s="28"/>
      <c r="B720" s="1">
        <v>183</v>
      </c>
      <c r="C720" s="5" t="s">
        <v>755</v>
      </c>
      <c r="D720" s="2">
        <v>69</v>
      </c>
      <c r="E720" s="3">
        <v>44070</v>
      </c>
      <c r="F720" s="4">
        <v>7.6574074074074072E-2</v>
      </c>
      <c r="G720" s="28"/>
      <c r="J720" t="s">
        <v>109</v>
      </c>
    </row>
    <row r="721" spans="1:10" hidden="1" outlineLevel="1">
      <c r="A721" s="28"/>
      <c r="B721" s="1">
        <v>184</v>
      </c>
      <c r="C721" s="5" t="s">
        <v>1264</v>
      </c>
      <c r="D721" s="6" t="s">
        <v>1520</v>
      </c>
      <c r="E721" s="3">
        <v>44085</v>
      </c>
      <c r="F721" s="4">
        <v>4.2511574074074077E-2</v>
      </c>
      <c r="G721" s="28"/>
      <c r="J721" t="s">
        <v>109</v>
      </c>
    </row>
    <row r="722" spans="1:10" hidden="1" outlineLevel="1">
      <c r="A722" s="28"/>
      <c r="B722" s="1">
        <v>185</v>
      </c>
      <c r="C722" s="5" t="s">
        <v>1313</v>
      </c>
      <c r="D722" s="6" t="s">
        <v>1300</v>
      </c>
      <c r="E722" s="3">
        <v>44108</v>
      </c>
      <c r="F722" s="4">
        <v>0.10041666666666667</v>
      </c>
      <c r="G722" s="28"/>
      <c r="J722" t="s">
        <v>109</v>
      </c>
    </row>
    <row r="723" spans="1:10" hidden="1" outlineLevel="1">
      <c r="A723" s="28"/>
      <c r="B723" s="1">
        <v>186</v>
      </c>
      <c r="C723" s="5" t="s">
        <v>1330</v>
      </c>
      <c r="D723" s="2">
        <v>166</v>
      </c>
      <c r="E723" s="3">
        <v>44112</v>
      </c>
      <c r="F723" s="4">
        <v>7.3287037037037039E-2</v>
      </c>
      <c r="G723" s="28"/>
      <c r="J723" t="s">
        <v>109</v>
      </c>
    </row>
    <row r="724" spans="1:10" hidden="1" outlineLevel="1">
      <c r="A724" s="28"/>
      <c r="B724" s="1">
        <v>187</v>
      </c>
      <c r="C724" s="5" t="s">
        <v>1318</v>
      </c>
      <c r="D724" s="6" t="s">
        <v>1521</v>
      </c>
      <c r="E724" s="3">
        <v>44119</v>
      </c>
      <c r="F724" s="4">
        <v>4.5671296296296293E-2</v>
      </c>
      <c r="G724" s="28"/>
      <c r="J724" t="s">
        <v>109</v>
      </c>
    </row>
    <row r="725" spans="1:10" hidden="1" outlineLevel="1">
      <c r="A725" s="28"/>
      <c r="B725" s="1">
        <v>188</v>
      </c>
      <c r="C725" s="5" t="s">
        <v>1331</v>
      </c>
      <c r="D725" s="2">
        <v>31</v>
      </c>
      <c r="E725" s="3">
        <v>44124</v>
      </c>
      <c r="F725" s="4">
        <v>8.2511574074074071E-2</v>
      </c>
      <c r="G725" s="28"/>
      <c r="J725" t="s">
        <v>109</v>
      </c>
    </row>
    <row r="726" spans="1:10" hidden="1" outlineLevel="1">
      <c r="A726" s="28"/>
      <c r="B726" s="1">
        <v>189</v>
      </c>
      <c r="C726" s="5" t="s">
        <v>1339</v>
      </c>
      <c r="D726" s="2">
        <v>114</v>
      </c>
      <c r="E726" s="3">
        <v>44135.001238425924</v>
      </c>
      <c r="F726" s="4">
        <v>7.8935185185185178E-2</v>
      </c>
      <c r="G726" s="28"/>
      <c r="J726" t="s">
        <v>109</v>
      </c>
    </row>
    <row r="727" spans="1:10" hidden="1" outlineLevel="1">
      <c r="A727" s="28"/>
      <c r="B727" s="1">
        <v>190</v>
      </c>
      <c r="C727" s="5" t="s">
        <v>2464</v>
      </c>
      <c r="D727" s="2">
        <v>73</v>
      </c>
      <c r="E727" s="3">
        <v>44144</v>
      </c>
      <c r="F727" s="4">
        <v>7.8194444444444441E-2</v>
      </c>
      <c r="G727" s="28"/>
      <c r="J727" t="s">
        <v>109</v>
      </c>
    </row>
    <row r="728" spans="1:10" hidden="1" outlineLevel="1">
      <c r="A728" s="28"/>
      <c r="B728" s="1">
        <v>191</v>
      </c>
      <c r="C728" s="5" t="s">
        <v>1390</v>
      </c>
      <c r="D728" s="2">
        <v>192</v>
      </c>
      <c r="E728" s="3">
        <v>44154</v>
      </c>
      <c r="F728" s="4">
        <v>6.9155092592592601E-2</v>
      </c>
      <c r="G728" s="28"/>
      <c r="J728" t="s">
        <v>109</v>
      </c>
    </row>
    <row r="729" spans="1:10" hidden="1" outlineLevel="1">
      <c r="A729" s="28"/>
      <c r="B729" s="1">
        <v>192</v>
      </c>
      <c r="C729" s="189" t="s">
        <v>1395</v>
      </c>
      <c r="D729" s="2">
        <v>124</v>
      </c>
      <c r="E729" s="3">
        <v>44156</v>
      </c>
      <c r="F729" s="4">
        <v>0.13252314814814814</v>
      </c>
      <c r="G729" s="28"/>
      <c r="J729" t="s">
        <v>109</v>
      </c>
    </row>
    <row r="730" spans="1:10" hidden="1" outlineLevel="1">
      <c r="A730" s="28"/>
      <c r="B730" s="1">
        <v>193</v>
      </c>
      <c r="C730" s="189" t="s">
        <v>1397</v>
      </c>
      <c r="D730" s="2">
        <v>0</v>
      </c>
      <c r="E730" s="3">
        <v>44163</v>
      </c>
      <c r="F730" s="4">
        <v>0.10081018518518518</v>
      </c>
      <c r="G730" s="28"/>
      <c r="J730" t="s">
        <v>109</v>
      </c>
    </row>
    <row r="731" spans="1:10" hidden="1" outlineLevel="1">
      <c r="A731" s="28"/>
      <c r="B731" s="1">
        <v>194</v>
      </c>
      <c r="C731" s="5" t="s">
        <v>1445</v>
      </c>
      <c r="D731" s="2">
        <v>124</v>
      </c>
      <c r="E731" s="3">
        <v>44166</v>
      </c>
      <c r="F731" s="201" t="s">
        <v>1446</v>
      </c>
      <c r="G731" s="28"/>
      <c r="J731" t="s">
        <v>109</v>
      </c>
    </row>
    <row r="732" spans="1:10" hidden="1" outlineLevel="1">
      <c r="A732" s="28"/>
      <c r="B732" s="1">
        <v>195</v>
      </c>
      <c r="C732" s="5" t="s">
        <v>2606</v>
      </c>
      <c r="D732" s="6" t="s">
        <v>3272</v>
      </c>
      <c r="E732" s="3">
        <v>44167</v>
      </c>
      <c r="F732" s="4">
        <v>3.3217592592592597E-2</v>
      </c>
      <c r="G732" s="28"/>
      <c r="J732" t="s">
        <v>109</v>
      </c>
    </row>
    <row r="733" spans="1:10" hidden="1" outlineLevel="1">
      <c r="A733" s="28"/>
      <c r="B733" s="1">
        <v>196</v>
      </c>
      <c r="C733" s="5" t="s">
        <v>2542</v>
      </c>
      <c r="D733" s="6" t="s">
        <v>17</v>
      </c>
      <c r="E733" s="3">
        <v>44168</v>
      </c>
      <c r="F733" s="4">
        <v>6.1273148148148153E-2</v>
      </c>
      <c r="G733" s="28"/>
      <c r="J733" t="s">
        <v>109</v>
      </c>
    </row>
    <row r="734" spans="1:10" hidden="1" outlineLevel="1">
      <c r="A734" s="28"/>
      <c r="B734" s="1">
        <v>197</v>
      </c>
      <c r="C734" s="5" t="s">
        <v>2633</v>
      </c>
      <c r="D734" s="2">
        <v>0</v>
      </c>
      <c r="E734" s="3">
        <v>44169</v>
      </c>
      <c r="F734" s="4">
        <v>2.2592592592592591E-2</v>
      </c>
      <c r="G734" s="28"/>
      <c r="J734" t="s">
        <v>109</v>
      </c>
    </row>
    <row r="735" spans="1:10" hidden="1" outlineLevel="1">
      <c r="A735" s="28"/>
      <c r="B735" s="1">
        <v>198</v>
      </c>
      <c r="C735" s="5" t="s">
        <v>1444</v>
      </c>
      <c r="D735" s="2">
        <v>0</v>
      </c>
      <c r="E735" s="3">
        <v>44170</v>
      </c>
      <c r="F735" s="4">
        <v>2.7685185185185188E-2</v>
      </c>
      <c r="G735" s="28"/>
      <c r="J735" t="s">
        <v>109</v>
      </c>
    </row>
    <row r="736" spans="1:10" hidden="1" outlineLevel="1">
      <c r="A736" s="28"/>
      <c r="B736" s="1">
        <v>199</v>
      </c>
      <c r="C736" s="5" t="s">
        <v>1441</v>
      </c>
      <c r="D736" s="6" t="s">
        <v>1442</v>
      </c>
      <c r="E736" s="3">
        <v>44171</v>
      </c>
      <c r="F736" s="4">
        <v>1.4525462962962964E-2</v>
      </c>
      <c r="G736" s="28"/>
      <c r="J736" t="s">
        <v>109</v>
      </c>
    </row>
    <row r="737" spans="1:10" hidden="1" outlineLevel="1">
      <c r="A737" s="28"/>
      <c r="B737" s="1">
        <v>200</v>
      </c>
      <c r="C737" s="5" t="s">
        <v>1440</v>
      </c>
      <c r="D737" s="2">
        <v>0</v>
      </c>
      <c r="E737" s="3">
        <v>44172</v>
      </c>
      <c r="F737" s="4">
        <v>4.1192129629629634E-2</v>
      </c>
      <c r="G737" s="28"/>
      <c r="J737" t="s">
        <v>109</v>
      </c>
    </row>
    <row r="738" spans="1:10" hidden="1" outlineLevel="1">
      <c r="A738" s="28"/>
      <c r="B738" s="1">
        <v>201</v>
      </c>
      <c r="C738" s="5" t="s">
        <v>1439</v>
      </c>
      <c r="D738" s="2">
        <v>0</v>
      </c>
      <c r="E738" s="3">
        <v>44173</v>
      </c>
      <c r="F738" s="4">
        <v>1.1805555555555555E-2</v>
      </c>
      <c r="G738" s="28"/>
      <c r="J738" t="s">
        <v>109</v>
      </c>
    </row>
    <row r="739" spans="1:10" hidden="1" outlineLevel="1">
      <c r="A739" s="28"/>
      <c r="B739" s="1">
        <v>202</v>
      </c>
      <c r="C739" s="5" t="s">
        <v>1435</v>
      </c>
      <c r="D739" s="2">
        <v>0</v>
      </c>
      <c r="E739" s="3">
        <v>44174</v>
      </c>
      <c r="F739" s="4">
        <v>8.1018518518518514E-3</v>
      </c>
      <c r="G739" s="28"/>
      <c r="J739" t="s">
        <v>109</v>
      </c>
    </row>
    <row r="740" spans="1:10" hidden="1" outlineLevel="1">
      <c r="A740" s="28"/>
      <c r="B740" s="1">
        <v>203</v>
      </c>
      <c r="C740" s="5" t="s">
        <v>2465</v>
      </c>
      <c r="D740" s="2">
        <v>85</v>
      </c>
      <c r="E740" s="3">
        <v>44175</v>
      </c>
      <c r="F740" s="4">
        <v>7.8842592592592589E-2</v>
      </c>
      <c r="G740" s="28"/>
      <c r="J740" t="s">
        <v>109</v>
      </c>
    </row>
    <row r="741" spans="1:10" hidden="1" outlineLevel="1">
      <c r="A741" s="28"/>
      <c r="B741" s="1">
        <v>204</v>
      </c>
      <c r="C741" s="5" t="s">
        <v>1434</v>
      </c>
      <c r="D741" s="6" t="s">
        <v>1437</v>
      </c>
      <c r="E741" s="3">
        <v>44176</v>
      </c>
      <c r="F741" s="4">
        <v>2.5937500000000002E-2</v>
      </c>
      <c r="G741" s="28"/>
      <c r="J741" t="s">
        <v>109</v>
      </c>
    </row>
    <row r="742" spans="1:10" hidden="1" outlineLevel="1">
      <c r="A742" s="28"/>
      <c r="B742" s="1">
        <v>205</v>
      </c>
      <c r="C742" s="5" t="s">
        <v>1523</v>
      </c>
      <c r="D742" s="6" t="s">
        <v>1522</v>
      </c>
      <c r="E742" s="3">
        <v>44177</v>
      </c>
      <c r="F742" s="4">
        <v>2.0891203703703703E-2</v>
      </c>
      <c r="G742" s="28"/>
      <c r="J742" t="s">
        <v>109</v>
      </c>
    </row>
    <row r="743" spans="1:10" hidden="1" outlineLevel="1">
      <c r="A743" s="28"/>
      <c r="B743" s="1">
        <v>206</v>
      </c>
      <c r="C743" s="5" t="s">
        <v>1539</v>
      </c>
      <c r="D743" s="2">
        <v>0</v>
      </c>
      <c r="E743" s="3">
        <v>44178</v>
      </c>
      <c r="F743" s="4">
        <v>1.5914351851851853E-2</v>
      </c>
      <c r="G743" s="28"/>
      <c r="J743" t="s">
        <v>109</v>
      </c>
    </row>
    <row r="744" spans="1:10" hidden="1" outlineLevel="1">
      <c r="A744" s="28"/>
      <c r="B744" s="1">
        <v>207</v>
      </c>
      <c r="C744" s="5" t="s">
        <v>1541</v>
      </c>
      <c r="D744" s="2">
        <v>0</v>
      </c>
      <c r="E744" s="3">
        <v>44179</v>
      </c>
      <c r="F744" s="4">
        <v>1.636574074074074E-2</v>
      </c>
      <c r="G744" s="28"/>
      <c r="J744" t="s">
        <v>109</v>
      </c>
    </row>
    <row r="745" spans="1:10" hidden="1" outlineLevel="1">
      <c r="A745" s="28"/>
      <c r="B745" s="1">
        <v>208</v>
      </c>
      <c r="C745" s="5" t="s">
        <v>1543</v>
      </c>
      <c r="D745" s="2">
        <v>0</v>
      </c>
      <c r="E745" s="3">
        <v>44180</v>
      </c>
      <c r="F745" s="201" t="s">
        <v>1544</v>
      </c>
      <c r="G745" s="28"/>
      <c r="J745" t="s">
        <v>109</v>
      </c>
    </row>
    <row r="746" spans="1:10" hidden="1" outlineLevel="1">
      <c r="A746" s="28"/>
      <c r="B746" s="1">
        <v>209</v>
      </c>
      <c r="C746" s="5" t="s">
        <v>1547</v>
      </c>
      <c r="D746" s="2">
        <v>0</v>
      </c>
      <c r="E746" s="3">
        <v>44181</v>
      </c>
      <c r="F746" s="4">
        <v>1.7731481481481483E-2</v>
      </c>
      <c r="G746" s="28"/>
      <c r="J746" t="s">
        <v>109</v>
      </c>
    </row>
    <row r="747" spans="1:10" hidden="1" outlineLevel="1">
      <c r="A747" s="28"/>
      <c r="B747" s="1">
        <v>210</v>
      </c>
      <c r="C747" s="5" t="s">
        <v>1546</v>
      </c>
      <c r="D747" s="2">
        <v>0</v>
      </c>
      <c r="E747" s="3">
        <v>44182</v>
      </c>
      <c r="F747" s="4">
        <v>7.5000000000000006E-3</v>
      </c>
      <c r="G747" s="28"/>
      <c r="J747" t="s">
        <v>109</v>
      </c>
    </row>
    <row r="748" spans="1:10" hidden="1" outlineLevel="1">
      <c r="A748" s="28"/>
      <c r="B748" s="1">
        <v>211</v>
      </c>
      <c r="C748" s="5" t="s">
        <v>1548</v>
      </c>
      <c r="D748" s="2">
        <v>0</v>
      </c>
      <c r="E748" s="3">
        <v>44183</v>
      </c>
      <c r="F748" s="4">
        <v>1.6446759259259262E-2</v>
      </c>
      <c r="G748" s="28"/>
      <c r="J748" t="s">
        <v>109</v>
      </c>
    </row>
    <row r="749" spans="1:10" hidden="1" outlineLevel="1">
      <c r="A749" s="28"/>
      <c r="B749" s="1">
        <v>212</v>
      </c>
      <c r="C749" s="5" t="s">
        <v>1551</v>
      </c>
      <c r="D749" s="2">
        <v>0</v>
      </c>
      <c r="E749" s="3">
        <v>44184</v>
      </c>
      <c r="F749" s="4">
        <v>2.1041666666666667E-2</v>
      </c>
      <c r="G749" s="28"/>
      <c r="J749" t="s">
        <v>109</v>
      </c>
    </row>
    <row r="750" spans="1:10" hidden="1" outlineLevel="1">
      <c r="A750" s="28"/>
      <c r="B750" s="1">
        <v>213</v>
      </c>
      <c r="C750" s="5" t="s">
        <v>1552</v>
      </c>
      <c r="D750" s="2">
        <v>0</v>
      </c>
      <c r="E750" s="3">
        <v>44185</v>
      </c>
      <c r="F750" s="4">
        <v>4.2175925925925922E-2</v>
      </c>
      <c r="G750" s="28"/>
      <c r="J750" t="s">
        <v>109</v>
      </c>
    </row>
    <row r="751" spans="1:10" hidden="1" outlineLevel="1">
      <c r="A751" s="28"/>
      <c r="B751" s="1">
        <v>214</v>
      </c>
      <c r="C751" s="5" t="s">
        <v>1553</v>
      </c>
      <c r="D751" s="2">
        <v>0</v>
      </c>
      <c r="E751" s="3">
        <v>44186</v>
      </c>
      <c r="F751" s="4">
        <v>2.0509259259259258E-2</v>
      </c>
      <c r="G751" s="28"/>
      <c r="J751" t="s">
        <v>109</v>
      </c>
    </row>
    <row r="752" spans="1:10" hidden="1" outlineLevel="1">
      <c r="A752" s="28"/>
      <c r="B752" s="1">
        <v>215</v>
      </c>
      <c r="C752" s="5" t="s">
        <v>1558</v>
      </c>
      <c r="D752" s="6" t="s">
        <v>2585</v>
      </c>
      <c r="E752" s="3">
        <v>44187</v>
      </c>
      <c r="F752" s="4">
        <v>5.153935185185185E-2</v>
      </c>
      <c r="G752" s="28"/>
      <c r="J752" t="s">
        <v>109</v>
      </c>
    </row>
    <row r="753" spans="1:10" hidden="1" outlineLevel="1">
      <c r="A753" s="28"/>
      <c r="B753" s="1">
        <v>216</v>
      </c>
      <c r="C753" s="5" t="s">
        <v>1561</v>
      </c>
      <c r="D753" s="6" t="s">
        <v>1557</v>
      </c>
      <c r="E753" s="3">
        <v>44188</v>
      </c>
      <c r="F753" s="4">
        <v>3.2314814814814817E-2</v>
      </c>
      <c r="G753" s="28"/>
      <c r="J753" t="s">
        <v>109</v>
      </c>
    </row>
    <row r="754" spans="1:10" hidden="1" outlineLevel="1">
      <c r="A754" s="28"/>
      <c r="B754" s="1">
        <v>217</v>
      </c>
      <c r="C754" s="5" t="s">
        <v>1562</v>
      </c>
      <c r="D754" s="2">
        <v>150</v>
      </c>
      <c r="E754" s="3">
        <v>44189</v>
      </c>
      <c r="F754" s="4">
        <v>6.4351851851851841E-2</v>
      </c>
      <c r="G754" s="28"/>
      <c r="J754" t="s">
        <v>109</v>
      </c>
    </row>
    <row r="755" spans="1:10" hidden="1" outlineLevel="1">
      <c r="A755" s="28"/>
      <c r="B755" s="1">
        <v>218</v>
      </c>
      <c r="C755" s="5" t="s">
        <v>1563</v>
      </c>
      <c r="D755" s="2">
        <v>150</v>
      </c>
      <c r="E755" s="3">
        <v>44190</v>
      </c>
      <c r="F755" s="4">
        <v>6.9155092592592601E-2</v>
      </c>
      <c r="G755" s="28"/>
      <c r="J755" t="s">
        <v>109</v>
      </c>
    </row>
    <row r="756" spans="1:10" hidden="1" outlineLevel="1">
      <c r="A756" s="28"/>
      <c r="B756" s="1">
        <v>219</v>
      </c>
      <c r="C756" s="5" t="s">
        <v>1564</v>
      </c>
      <c r="D756" s="2">
        <v>150</v>
      </c>
      <c r="E756" s="3">
        <v>44191</v>
      </c>
      <c r="F756" s="4">
        <v>6.5752314814814819E-2</v>
      </c>
      <c r="G756" s="28"/>
      <c r="J756" t="s">
        <v>109</v>
      </c>
    </row>
    <row r="757" spans="1:10" hidden="1" outlineLevel="1">
      <c r="A757" s="28"/>
      <c r="B757" s="1">
        <v>220</v>
      </c>
      <c r="C757" s="5" t="s">
        <v>1567</v>
      </c>
      <c r="D757" s="6" t="s">
        <v>1566</v>
      </c>
      <c r="E757" s="3">
        <v>44196</v>
      </c>
      <c r="F757" s="4">
        <v>8.487268518518519E-2</v>
      </c>
      <c r="G757" s="28"/>
      <c r="J757" t="s">
        <v>109</v>
      </c>
    </row>
    <row r="758" spans="1:10" hidden="1" outlineLevel="1">
      <c r="A758" s="28"/>
      <c r="B758" s="1">
        <v>221</v>
      </c>
      <c r="C758" s="5" t="s">
        <v>1579</v>
      </c>
      <c r="D758" s="2">
        <v>202</v>
      </c>
      <c r="E758" s="3">
        <v>44221</v>
      </c>
      <c r="F758" s="4">
        <v>7.0891203703703706E-2</v>
      </c>
      <c r="G758" s="28"/>
      <c r="J758" t="s">
        <v>109</v>
      </c>
    </row>
    <row r="759" spans="1:10" hidden="1" outlineLevel="1">
      <c r="A759" s="28"/>
      <c r="B759" s="1">
        <v>222</v>
      </c>
      <c r="C759" s="5" t="s">
        <v>1578</v>
      </c>
      <c r="D759" s="2">
        <v>4</v>
      </c>
      <c r="E759" s="3">
        <v>44243</v>
      </c>
      <c r="F759" s="4">
        <v>9.3541666666666676E-2</v>
      </c>
      <c r="G759" s="28"/>
      <c r="J759" t="s">
        <v>109</v>
      </c>
    </row>
    <row r="760" spans="1:10" hidden="1" outlineLevel="1">
      <c r="A760" s="28"/>
      <c r="B760" s="1">
        <v>223</v>
      </c>
      <c r="C760" s="5" t="s">
        <v>1581</v>
      </c>
      <c r="D760" s="6" t="s">
        <v>1580</v>
      </c>
      <c r="E760" s="3">
        <v>44247</v>
      </c>
      <c r="F760" s="4">
        <v>6.7025462962962967E-2</v>
      </c>
      <c r="G760" s="28"/>
      <c r="J760" t="s">
        <v>109</v>
      </c>
    </row>
    <row r="761" spans="1:10" hidden="1" outlineLevel="1">
      <c r="A761" s="28"/>
      <c r="B761" s="1">
        <v>224</v>
      </c>
      <c r="C761" s="5" t="s">
        <v>3794</v>
      </c>
      <c r="D761" s="2">
        <v>184</v>
      </c>
      <c r="E761" s="3">
        <v>44250</v>
      </c>
      <c r="F761" s="4">
        <v>8.8113425925925928E-2</v>
      </c>
      <c r="G761" s="28"/>
      <c r="J761" t="s">
        <v>109</v>
      </c>
    </row>
    <row r="762" spans="1:10" hidden="1" outlineLevel="1">
      <c r="A762" s="28"/>
      <c r="B762" s="1">
        <v>225</v>
      </c>
      <c r="C762" s="5" t="s">
        <v>1598</v>
      </c>
      <c r="D762" s="6" t="s">
        <v>1599</v>
      </c>
      <c r="E762" s="3">
        <v>44266</v>
      </c>
      <c r="F762" s="4">
        <v>3.4386574074074076E-2</v>
      </c>
      <c r="G762" s="28"/>
      <c r="J762" t="s">
        <v>109</v>
      </c>
    </row>
    <row r="763" spans="1:10" hidden="1" outlineLevel="1">
      <c r="A763" s="28"/>
      <c r="B763" s="1">
        <v>226</v>
      </c>
      <c r="C763" s="5" t="s">
        <v>1606</v>
      </c>
      <c r="D763" s="2">
        <v>111</v>
      </c>
      <c r="E763" s="3">
        <v>44282</v>
      </c>
      <c r="F763" s="4">
        <v>9.2847222222222234E-2</v>
      </c>
      <c r="G763" s="28"/>
      <c r="J763" t="s">
        <v>109</v>
      </c>
    </row>
    <row r="764" spans="1:10" hidden="1" outlineLevel="1">
      <c r="A764" s="28"/>
      <c r="B764" s="1">
        <v>227</v>
      </c>
      <c r="C764" s="5" t="s">
        <v>1612</v>
      </c>
      <c r="D764" s="2">
        <v>46</v>
      </c>
      <c r="E764" s="3">
        <v>44287</v>
      </c>
      <c r="F764" s="4">
        <v>7.6354166666666667E-2</v>
      </c>
      <c r="G764" s="28"/>
      <c r="J764" t="s">
        <v>109</v>
      </c>
    </row>
    <row r="765" spans="1:10" hidden="1" outlineLevel="1">
      <c r="A765" s="28"/>
      <c r="B765" s="1">
        <v>228</v>
      </c>
      <c r="C765" s="5" t="s">
        <v>1623</v>
      </c>
      <c r="D765" s="6" t="s">
        <v>1624</v>
      </c>
      <c r="E765" s="3">
        <v>44304</v>
      </c>
      <c r="F765" s="4">
        <v>1.1296296296296296E-2</v>
      </c>
      <c r="G765" s="28"/>
      <c r="J765" t="s">
        <v>109</v>
      </c>
    </row>
    <row r="766" spans="1:10" hidden="1" outlineLevel="1">
      <c r="A766" s="28"/>
      <c r="B766" s="1">
        <v>229</v>
      </c>
      <c r="C766" s="5" t="s">
        <v>2466</v>
      </c>
      <c r="D766" s="2">
        <v>75</v>
      </c>
      <c r="E766" s="3">
        <v>44305</v>
      </c>
      <c r="F766" s="4">
        <v>7.8113425925925919E-2</v>
      </c>
      <c r="G766" s="28"/>
      <c r="J766" t="s">
        <v>109</v>
      </c>
    </row>
    <row r="767" spans="1:10" hidden="1" outlineLevel="1">
      <c r="A767" s="28"/>
      <c r="B767" s="1">
        <v>230</v>
      </c>
      <c r="C767" s="5" t="s">
        <v>1613</v>
      </c>
      <c r="D767" s="2">
        <v>177</v>
      </c>
      <c r="E767" s="3">
        <v>44327</v>
      </c>
      <c r="F767" s="4">
        <v>8.082175925925926E-2</v>
      </c>
      <c r="G767" s="28"/>
      <c r="J767" t="s">
        <v>109</v>
      </c>
    </row>
    <row r="768" spans="1:10" hidden="1" outlineLevel="1">
      <c r="A768" s="28"/>
      <c r="B768" s="1">
        <v>231</v>
      </c>
      <c r="C768" s="5" t="s">
        <v>1794</v>
      </c>
      <c r="D768" s="6" t="s">
        <v>1795</v>
      </c>
      <c r="E768" s="3">
        <v>44354</v>
      </c>
      <c r="F768" s="4">
        <v>4.988425925925926E-2</v>
      </c>
      <c r="G768" s="28"/>
      <c r="J768" t="s">
        <v>109</v>
      </c>
    </row>
    <row r="769" spans="1:10" hidden="1" outlineLevel="1">
      <c r="A769" s="28"/>
      <c r="B769" s="1">
        <v>232</v>
      </c>
      <c r="C769" s="5" t="s">
        <v>1802</v>
      </c>
      <c r="D769" s="2">
        <v>122</v>
      </c>
      <c r="E769" s="3">
        <v>44371</v>
      </c>
      <c r="F769" s="4">
        <v>8.3622685185185189E-2</v>
      </c>
      <c r="G769" s="28"/>
      <c r="J769" t="s">
        <v>109</v>
      </c>
    </row>
    <row r="770" spans="1:10" hidden="1" outlineLevel="1">
      <c r="A770" s="28"/>
      <c r="B770" s="1">
        <v>233</v>
      </c>
      <c r="C770" s="5" t="s">
        <v>2996</v>
      </c>
      <c r="D770" s="2">
        <v>74</v>
      </c>
      <c r="E770" s="3">
        <v>44381</v>
      </c>
      <c r="F770" s="4">
        <v>9.4722222222222222E-2</v>
      </c>
      <c r="G770" s="28"/>
      <c r="J770" t="s">
        <v>109</v>
      </c>
    </row>
    <row r="771" spans="1:10" hidden="1" outlineLevel="1">
      <c r="A771" s="28"/>
      <c r="B771" s="1">
        <v>234</v>
      </c>
      <c r="C771" s="5" t="s">
        <v>1811</v>
      </c>
      <c r="D771" s="2">
        <v>65</v>
      </c>
      <c r="E771" s="3">
        <v>44396</v>
      </c>
      <c r="F771" s="4">
        <v>7.1539351851851854E-2</v>
      </c>
      <c r="G771" s="28"/>
      <c r="J771" t="s">
        <v>109</v>
      </c>
    </row>
    <row r="772" spans="1:10" hidden="1" outlineLevel="1">
      <c r="A772" s="28"/>
      <c r="B772" s="1">
        <v>235</v>
      </c>
      <c r="C772" s="5" t="s">
        <v>1854</v>
      </c>
      <c r="D772" s="2">
        <v>66</v>
      </c>
      <c r="E772" s="3">
        <v>44410</v>
      </c>
      <c r="F772" s="4">
        <v>7.4004629629629629E-2</v>
      </c>
      <c r="G772" s="28"/>
      <c r="J772" t="s">
        <v>109</v>
      </c>
    </row>
    <row r="773" spans="1:10" hidden="1" outlineLevel="1">
      <c r="A773" s="28"/>
      <c r="B773" s="1">
        <v>236</v>
      </c>
      <c r="C773" s="5" t="s">
        <v>1855</v>
      </c>
      <c r="D773" s="2">
        <v>67</v>
      </c>
      <c r="E773" s="3">
        <v>44417</v>
      </c>
      <c r="F773" s="4">
        <v>7.3113425925925915E-2</v>
      </c>
      <c r="G773" s="28"/>
      <c r="J773" t="s">
        <v>109</v>
      </c>
    </row>
    <row r="774" spans="1:10" hidden="1" outlineLevel="1">
      <c r="A774" s="28"/>
      <c r="B774" s="1">
        <v>237</v>
      </c>
      <c r="C774" s="5" t="s">
        <v>1886</v>
      </c>
      <c r="D774" s="6" t="s">
        <v>1887</v>
      </c>
      <c r="E774" s="3">
        <v>44422</v>
      </c>
      <c r="F774" s="4">
        <v>3.0694444444444444E-2</v>
      </c>
      <c r="G774" s="28"/>
      <c r="J774" t="s">
        <v>109</v>
      </c>
    </row>
    <row r="775" spans="1:10" hidden="1" outlineLevel="1">
      <c r="A775" s="28"/>
      <c r="B775" s="1">
        <v>238</v>
      </c>
      <c r="C775" s="5" t="s">
        <v>1888</v>
      </c>
      <c r="D775" s="2">
        <v>20</v>
      </c>
      <c r="E775" s="3">
        <v>44443</v>
      </c>
      <c r="F775" s="4">
        <v>6.609953703703704E-2</v>
      </c>
      <c r="G775" s="28"/>
      <c r="J775" t="s">
        <v>109</v>
      </c>
    </row>
    <row r="776" spans="1:10" hidden="1" outlineLevel="1">
      <c r="A776" s="28"/>
      <c r="B776" s="1">
        <v>239</v>
      </c>
      <c r="C776" s="5" t="s">
        <v>1905</v>
      </c>
      <c r="D776" s="6" t="s">
        <v>1906</v>
      </c>
      <c r="E776" s="3">
        <v>44453</v>
      </c>
      <c r="F776" s="4">
        <v>2.3634259259259258E-2</v>
      </c>
      <c r="G776" s="28"/>
      <c r="J776" t="s">
        <v>109</v>
      </c>
    </row>
    <row r="777" spans="1:10" hidden="1" outlineLevel="1">
      <c r="A777" s="28"/>
      <c r="B777" s="1">
        <v>240</v>
      </c>
      <c r="C777" s="5" t="s">
        <v>1919</v>
      </c>
      <c r="D777" s="2">
        <v>41</v>
      </c>
      <c r="E777" s="3">
        <v>44458</v>
      </c>
      <c r="F777" s="4">
        <v>9.0983796296296285E-2</v>
      </c>
      <c r="G777" s="28"/>
      <c r="J777" t="s">
        <v>109</v>
      </c>
    </row>
    <row r="778" spans="1:10" hidden="1" outlineLevel="1">
      <c r="A778" s="28"/>
      <c r="B778" s="1">
        <v>241</v>
      </c>
      <c r="C778" s="5" t="s">
        <v>2031</v>
      </c>
      <c r="D778" s="6" t="s">
        <v>2023</v>
      </c>
      <c r="E778" s="3">
        <v>44473</v>
      </c>
      <c r="F778" s="4">
        <v>2.7766203703703706E-2</v>
      </c>
      <c r="G778" s="28"/>
      <c r="J778" t="s">
        <v>109</v>
      </c>
    </row>
    <row r="779" spans="1:10" hidden="1" outlineLevel="1">
      <c r="A779" s="28"/>
      <c r="B779" s="1">
        <v>242</v>
      </c>
      <c r="C779" s="5" t="s">
        <v>1920</v>
      </c>
      <c r="D779" s="2">
        <v>130</v>
      </c>
      <c r="E779" s="3">
        <v>44484</v>
      </c>
      <c r="F779" s="4">
        <v>7.2916666666666671E-2</v>
      </c>
      <c r="G779" s="28"/>
      <c r="J779" t="s">
        <v>109</v>
      </c>
    </row>
    <row r="780" spans="1:10" hidden="1" outlineLevel="1">
      <c r="A780" s="28"/>
      <c r="B780" s="1">
        <v>243</v>
      </c>
      <c r="C780" s="5" t="s">
        <v>2252</v>
      </c>
      <c r="D780" s="6" t="s">
        <v>2251</v>
      </c>
      <c r="E780" s="3">
        <v>44491</v>
      </c>
      <c r="F780" s="4">
        <v>1.9756944444444445E-2</v>
      </c>
      <c r="G780" s="28"/>
      <c r="J780" t="s">
        <v>109</v>
      </c>
    </row>
    <row r="781" spans="1:10" hidden="1" outlineLevel="1">
      <c r="A781" s="28"/>
      <c r="B781" s="1">
        <v>244</v>
      </c>
      <c r="C781" s="5" t="s">
        <v>2396</v>
      </c>
      <c r="D781" s="2">
        <v>210</v>
      </c>
      <c r="E781" s="3">
        <v>44496</v>
      </c>
      <c r="F781" s="4">
        <v>6.3668981481481479E-2</v>
      </c>
      <c r="G781" s="28"/>
      <c r="J781" t="s">
        <v>109</v>
      </c>
    </row>
    <row r="782" spans="1:10" hidden="1" outlineLevel="1">
      <c r="A782" s="28"/>
      <c r="B782" s="1">
        <v>245</v>
      </c>
      <c r="C782" s="5" t="s">
        <v>2402</v>
      </c>
      <c r="D782" s="2">
        <v>159</v>
      </c>
      <c r="E782" s="3">
        <v>44504</v>
      </c>
      <c r="F782" s="4">
        <v>7.12037037037037E-2</v>
      </c>
      <c r="G782" s="28"/>
      <c r="J782" t="s">
        <v>109</v>
      </c>
    </row>
    <row r="783" spans="1:10" hidden="1" outlineLevel="1">
      <c r="A783" s="28"/>
      <c r="B783" s="1">
        <v>246</v>
      </c>
      <c r="C783" s="5" t="s">
        <v>2467</v>
      </c>
      <c r="D783" s="2">
        <v>87</v>
      </c>
      <c r="E783" s="3">
        <v>44509</v>
      </c>
      <c r="F783" s="4">
        <v>7.1539351851851854E-2</v>
      </c>
      <c r="G783" s="28"/>
      <c r="J783" t="s">
        <v>109</v>
      </c>
    </row>
    <row r="784" spans="1:10" hidden="1" outlineLevel="1">
      <c r="A784" s="28"/>
      <c r="B784" s="1">
        <v>247</v>
      </c>
      <c r="C784" s="5" t="s">
        <v>3107</v>
      </c>
      <c r="D784" s="2">
        <v>62</v>
      </c>
      <c r="E784" s="3">
        <v>44519</v>
      </c>
      <c r="F784" s="4">
        <v>9.8993055555555556E-2</v>
      </c>
      <c r="G784" s="28"/>
      <c r="J784" t="s">
        <v>109</v>
      </c>
    </row>
    <row r="785" spans="1:10" hidden="1" outlineLevel="1">
      <c r="A785" s="28"/>
      <c r="B785" s="1">
        <v>248</v>
      </c>
      <c r="C785" s="5" t="s">
        <v>2492</v>
      </c>
      <c r="D785" s="6" t="s">
        <v>2032</v>
      </c>
      <c r="E785" s="3">
        <v>44527</v>
      </c>
      <c r="F785" s="4">
        <v>1.2881944444444446E-2</v>
      </c>
      <c r="G785" s="28"/>
      <c r="J785" t="s">
        <v>109</v>
      </c>
    </row>
    <row r="786" spans="1:10" hidden="1" outlineLevel="1">
      <c r="A786" s="28"/>
      <c r="B786" s="1">
        <v>249</v>
      </c>
      <c r="C786" s="5" t="s">
        <v>2508</v>
      </c>
      <c r="D786" s="6" t="s">
        <v>2546</v>
      </c>
      <c r="E786" s="3">
        <v>44531</v>
      </c>
      <c r="F786" s="4">
        <v>8.1863425925925923E-2</v>
      </c>
      <c r="G786" s="28"/>
      <c r="J786" t="s">
        <v>109</v>
      </c>
    </row>
    <row r="787" spans="1:10" hidden="1" outlineLevel="1">
      <c r="A787" s="28"/>
      <c r="B787" s="1">
        <v>250</v>
      </c>
      <c r="C787" s="5" t="s">
        <v>2510</v>
      </c>
      <c r="D787" s="6" t="s">
        <v>2547</v>
      </c>
      <c r="E787" s="3">
        <v>44532</v>
      </c>
      <c r="F787" s="4">
        <v>4.6956018518518522E-2</v>
      </c>
      <c r="G787" s="28"/>
      <c r="J787" t="s">
        <v>109</v>
      </c>
    </row>
    <row r="788" spans="1:10" hidden="1" outlineLevel="1">
      <c r="A788" s="28"/>
      <c r="B788" s="1">
        <v>251</v>
      </c>
      <c r="C788" s="5" t="s">
        <v>2538</v>
      </c>
      <c r="D788" s="6" t="s">
        <v>18</v>
      </c>
      <c r="E788" s="3">
        <v>44533</v>
      </c>
      <c r="F788" s="4">
        <v>7.4745370370370365E-2</v>
      </c>
      <c r="G788" s="28"/>
      <c r="J788" t="s">
        <v>109</v>
      </c>
    </row>
    <row r="789" spans="1:10" hidden="1" outlineLevel="1">
      <c r="A789" s="28"/>
      <c r="B789" s="1">
        <v>252</v>
      </c>
      <c r="C789" s="5" t="s">
        <v>2543</v>
      </c>
      <c r="D789" s="6" t="s">
        <v>2149</v>
      </c>
      <c r="E789" s="3">
        <v>44534</v>
      </c>
      <c r="F789" s="4">
        <v>2.75E-2</v>
      </c>
      <c r="G789" s="28"/>
      <c r="J789" t="s">
        <v>109</v>
      </c>
    </row>
    <row r="790" spans="1:10" hidden="1" outlineLevel="1">
      <c r="A790" s="28"/>
      <c r="B790" s="1">
        <v>253</v>
      </c>
      <c r="C790" s="5" t="s">
        <v>2548</v>
      </c>
      <c r="D790" s="2">
        <v>0</v>
      </c>
      <c r="E790" s="3">
        <v>44535</v>
      </c>
      <c r="F790" s="4">
        <v>2.2210648148148149E-2</v>
      </c>
      <c r="G790" s="28"/>
      <c r="J790" t="s">
        <v>109</v>
      </c>
    </row>
    <row r="791" spans="1:10" hidden="1" outlineLevel="1">
      <c r="A791" s="28"/>
      <c r="B791" s="1">
        <v>254</v>
      </c>
      <c r="C791" s="5" t="s">
        <v>2553</v>
      </c>
      <c r="D791" s="2">
        <v>138</v>
      </c>
      <c r="E791" s="3">
        <v>44536</v>
      </c>
      <c r="F791" s="4">
        <v>6.0729166666666667E-2</v>
      </c>
      <c r="G791" s="28"/>
      <c r="J791" t="s">
        <v>109</v>
      </c>
    </row>
    <row r="792" spans="1:10" hidden="1" outlineLevel="1">
      <c r="A792" s="28"/>
      <c r="B792" s="1">
        <v>255</v>
      </c>
      <c r="C792" s="5" t="s">
        <v>2560</v>
      </c>
      <c r="D792" s="2">
        <v>0</v>
      </c>
      <c r="E792" s="3">
        <v>44537</v>
      </c>
      <c r="F792" s="4">
        <v>1.7546296296296296E-2</v>
      </c>
      <c r="G792" s="28"/>
      <c r="J792" t="s">
        <v>109</v>
      </c>
    </row>
    <row r="793" spans="1:10" hidden="1" outlineLevel="1">
      <c r="A793" s="28"/>
      <c r="B793" s="1">
        <v>256</v>
      </c>
      <c r="C793" s="189" t="s">
        <v>2617</v>
      </c>
      <c r="D793" s="6" t="s">
        <v>4093</v>
      </c>
      <c r="E793" s="3">
        <v>44537</v>
      </c>
      <c r="F793" s="4">
        <v>5.7442129629629628E-2</v>
      </c>
      <c r="G793" s="28"/>
      <c r="J793" t="s">
        <v>109</v>
      </c>
    </row>
    <row r="794" spans="1:10" hidden="1" outlineLevel="1">
      <c r="A794" s="28"/>
      <c r="B794" s="1">
        <v>257</v>
      </c>
      <c r="C794" s="5" t="s">
        <v>2563</v>
      </c>
      <c r="D794" s="6" t="s">
        <v>2991</v>
      </c>
      <c r="E794" s="3">
        <v>44538</v>
      </c>
      <c r="F794" s="4">
        <v>3.0856481481481481E-2</v>
      </c>
      <c r="G794" s="28"/>
      <c r="J794" t="s">
        <v>109</v>
      </c>
    </row>
    <row r="795" spans="1:10" hidden="1" outlineLevel="1">
      <c r="A795" s="28"/>
      <c r="B795" s="1">
        <v>258</v>
      </c>
      <c r="C795" s="5" t="s">
        <v>2567</v>
      </c>
      <c r="D795" s="2">
        <v>0</v>
      </c>
      <c r="E795" s="3">
        <v>44539</v>
      </c>
      <c r="F795" s="4">
        <v>1.7766203703703704E-2</v>
      </c>
      <c r="G795" s="28"/>
      <c r="J795" t="s">
        <v>109</v>
      </c>
    </row>
    <row r="796" spans="1:10" hidden="1" outlineLevel="1">
      <c r="A796" s="28"/>
      <c r="B796" s="1">
        <v>259</v>
      </c>
      <c r="C796" s="5" t="s">
        <v>2569</v>
      </c>
      <c r="D796" s="2">
        <v>83</v>
      </c>
      <c r="E796" s="3">
        <v>44540</v>
      </c>
      <c r="F796" s="4">
        <v>6.2824074074074074E-2</v>
      </c>
      <c r="G796" s="28"/>
      <c r="J796" t="s">
        <v>109</v>
      </c>
    </row>
    <row r="797" spans="1:10" hidden="1" outlineLevel="1">
      <c r="A797" s="28"/>
      <c r="B797" s="1">
        <v>260</v>
      </c>
      <c r="C797" s="5" t="s">
        <v>2572</v>
      </c>
      <c r="D797" s="6" t="s">
        <v>2573</v>
      </c>
      <c r="E797" s="3">
        <v>44541</v>
      </c>
      <c r="F797" s="4">
        <v>3.6076388888888887E-2</v>
      </c>
      <c r="G797" s="28"/>
      <c r="J797" t="s">
        <v>109</v>
      </c>
    </row>
    <row r="798" spans="1:10" hidden="1" outlineLevel="1">
      <c r="A798" s="28"/>
      <c r="B798" s="1">
        <v>261</v>
      </c>
      <c r="C798" s="5" t="s">
        <v>2574</v>
      </c>
      <c r="D798" s="2">
        <v>0</v>
      </c>
      <c r="E798" s="3">
        <v>44542</v>
      </c>
      <c r="F798" s="4">
        <v>5.3148148148148146E-2</v>
      </c>
      <c r="G798" s="28"/>
      <c r="J798" t="s">
        <v>109</v>
      </c>
    </row>
    <row r="799" spans="1:10" hidden="1" outlineLevel="1">
      <c r="A799" s="28"/>
      <c r="B799" s="1">
        <v>262</v>
      </c>
      <c r="C799" s="5" t="s">
        <v>2580</v>
      </c>
      <c r="D799" s="2">
        <v>0</v>
      </c>
      <c r="E799" s="3">
        <v>44543</v>
      </c>
      <c r="F799" s="4">
        <v>4.3831018518518512E-2</v>
      </c>
      <c r="G799" s="28"/>
      <c r="J799" t="s">
        <v>109</v>
      </c>
    </row>
    <row r="800" spans="1:10" hidden="1" outlineLevel="1">
      <c r="A800" s="28"/>
      <c r="B800" s="1">
        <v>263</v>
      </c>
      <c r="C800" s="5" t="s">
        <v>2581</v>
      </c>
      <c r="D800" s="2">
        <v>0</v>
      </c>
      <c r="E800" s="3">
        <v>44544</v>
      </c>
      <c r="F800" s="4">
        <v>1.1840277777777778E-2</v>
      </c>
      <c r="G800" s="28"/>
      <c r="J800" t="s">
        <v>109</v>
      </c>
    </row>
    <row r="801" spans="1:10" hidden="1" outlineLevel="1">
      <c r="A801" s="28"/>
      <c r="B801" s="1">
        <v>264</v>
      </c>
      <c r="C801" s="5" t="s">
        <v>2587</v>
      </c>
      <c r="D801" s="6" t="s">
        <v>2586</v>
      </c>
      <c r="E801" s="3">
        <v>44545</v>
      </c>
      <c r="F801" s="4">
        <v>4.4988425925925925E-2</v>
      </c>
      <c r="G801" s="28"/>
      <c r="J801" t="s">
        <v>109</v>
      </c>
    </row>
    <row r="802" spans="1:10" hidden="1" outlineLevel="1">
      <c r="A802" s="28"/>
      <c r="B802" s="1">
        <v>265</v>
      </c>
      <c r="C802" s="5" t="s">
        <v>2597</v>
      </c>
      <c r="D802" s="2">
        <v>0</v>
      </c>
      <c r="E802" s="3">
        <v>44546</v>
      </c>
      <c r="F802" s="4">
        <v>3.170138888888889E-2</v>
      </c>
      <c r="G802" s="28"/>
      <c r="J802" t="s">
        <v>109</v>
      </c>
    </row>
    <row r="803" spans="1:10" hidden="1" outlineLevel="1">
      <c r="A803" s="28"/>
      <c r="B803" s="1">
        <v>266</v>
      </c>
      <c r="C803" s="5" t="s">
        <v>2596</v>
      </c>
      <c r="D803" s="6" t="s">
        <v>741</v>
      </c>
      <c r="E803" s="3">
        <v>44547</v>
      </c>
      <c r="F803" s="4">
        <v>5.1550925925925924E-2</v>
      </c>
      <c r="G803" s="28"/>
      <c r="J803" t="s">
        <v>109</v>
      </c>
    </row>
    <row r="804" spans="1:10" hidden="1" outlineLevel="1">
      <c r="A804" s="28"/>
      <c r="B804" s="1">
        <v>267</v>
      </c>
      <c r="C804" s="5" t="s">
        <v>2605</v>
      </c>
      <c r="D804" s="6" t="s">
        <v>3273</v>
      </c>
      <c r="E804" s="3">
        <v>44548</v>
      </c>
      <c r="F804" s="4">
        <v>3.8483796296296294E-2</v>
      </c>
      <c r="G804" s="28"/>
      <c r="J804" t="s">
        <v>109</v>
      </c>
    </row>
    <row r="805" spans="1:10" hidden="1" outlineLevel="1">
      <c r="A805" s="28"/>
      <c r="B805" s="1">
        <v>268</v>
      </c>
      <c r="C805" s="5" t="s">
        <v>2613</v>
      </c>
      <c r="D805" s="2">
        <v>0</v>
      </c>
      <c r="E805" s="3">
        <v>44549</v>
      </c>
      <c r="F805" s="4">
        <v>6.128472222222222E-2</v>
      </c>
      <c r="G805" s="28"/>
      <c r="J805" t="s">
        <v>109</v>
      </c>
    </row>
    <row r="806" spans="1:10" hidden="1" outlineLevel="1">
      <c r="A806" s="28"/>
      <c r="B806" s="1">
        <v>269</v>
      </c>
      <c r="C806" s="5" t="s">
        <v>2624</v>
      </c>
      <c r="D806" s="6" t="s">
        <v>4093</v>
      </c>
      <c r="E806" s="3">
        <v>44550</v>
      </c>
      <c r="F806" s="201" t="s">
        <v>2625</v>
      </c>
      <c r="G806" s="28"/>
      <c r="J806" t="s">
        <v>109</v>
      </c>
    </row>
    <row r="807" spans="1:10" hidden="1" outlineLevel="1">
      <c r="A807" s="28"/>
      <c r="B807" s="1">
        <v>270</v>
      </c>
      <c r="C807" s="5" t="s">
        <v>2629</v>
      </c>
      <c r="D807" s="2">
        <v>0</v>
      </c>
      <c r="E807" s="3">
        <v>44551</v>
      </c>
      <c r="F807" s="4">
        <v>2.0729166666666667E-2</v>
      </c>
      <c r="G807" s="28"/>
      <c r="J807" t="s">
        <v>109</v>
      </c>
    </row>
    <row r="808" spans="1:10" hidden="1" outlineLevel="1">
      <c r="A808" s="28"/>
      <c r="B808" s="1">
        <v>271</v>
      </c>
      <c r="C808" s="5" t="s">
        <v>2632</v>
      </c>
      <c r="D808" s="2">
        <v>0</v>
      </c>
      <c r="E808" s="3">
        <v>44552</v>
      </c>
      <c r="F808" s="4">
        <v>2.476851851851852E-2</v>
      </c>
      <c r="G808" s="28"/>
      <c r="J808" t="s">
        <v>109</v>
      </c>
    </row>
    <row r="809" spans="1:10" hidden="1" outlineLevel="1">
      <c r="A809" s="28"/>
      <c r="B809" s="1">
        <v>272</v>
      </c>
      <c r="C809" s="5" t="s">
        <v>2636</v>
      </c>
      <c r="D809" s="6" t="s">
        <v>2150</v>
      </c>
      <c r="E809" s="3">
        <v>44553</v>
      </c>
      <c r="F809" s="4">
        <v>2.5543981481481483E-2</v>
      </c>
      <c r="G809" s="28"/>
      <c r="J809" t="s">
        <v>109</v>
      </c>
    </row>
    <row r="810" spans="1:10" hidden="1" outlineLevel="1">
      <c r="A810" s="28"/>
      <c r="B810" s="1">
        <v>273</v>
      </c>
      <c r="C810" s="5" t="s">
        <v>2640</v>
      </c>
      <c r="D810" s="2">
        <v>200</v>
      </c>
      <c r="E810" s="3">
        <v>44554</v>
      </c>
      <c r="F810" s="4">
        <v>6.9270833333333337E-2</v>
      </c>
      <c r="G810" s="28"/>
      <c r="J810" t="s">
        <v>109</v>
      </c>
    </row>
    <row r="811" spans="1:10" hidden="1" outlineLevel="1">
      <c r="A811" s="28"/>
      <c r="B811" s="1">
        <v>274</v>
      </c>
      <c r="C811" s="5" t="s">
        <v>2641</v>
      </c>
      <c r="D811" s="2">
        <v>200</v>
      </c>
      <c r="E811" s="3">
        <v>44555</v>
      </c>
      <c r="F811" s="4">
        <v>5.3275462962962962E-2</v>
      </c>
      <c r="G811" s="28"/>
      <c r="J811" t="s">
        <v>109</v>
      </c>
    </row>
    <row r="812" spans="1:10" hidden="1" outlineLevel="1">
      <c r="A812" s="28"/>
      <c r="B812" s="1">
        <v>275</v>
      </c>
      <c r="C812" s="5" t="s">
        <v>2642</v>
      </c>
      <c r="D812" s="2">
        <v>200</v>
      </c>
      <c r="E812" s="3">
        <v>44556</v>
      </c>
      <c r="F812" s="4">
        <v>4.8900462962962965E-2</v>
      </c>
      <c r="G812" s="28"/>
      <c r="J812" t="s">
        <v>109</v>
      </c>
    </row>
    <row r="813" spans="1:10" hidden="1" outlineLevel="1">
      <c r="A813" s="28"/>
      <c r="B813" s="1">
        <v>276</v>
      </c>
      <c r="C813" s="5" t="s">
        <v>2643</v>
      </c>
      <c r="D813" s="2">
        <v>200</v>
      </c>
      <c r="E813" s="3">
        <v>44557</v>
      </c>
      <c r="F813" s="4">
        <v>6.6678240740740746E-2</v>
      </c>
      <c r="G813" s="28"/>
      <c r="J813" t="s">
        <v>109</v>
      </c>
    </row>
    <row r="814" spans="1:10" hidden="1" outlineLevel="1">
      <c r="A814" s="28"/>
      <c r="B814" s="1">
        <v>277</v>
      </c>
      <c r="C814" s="5" t="s">
        <v>2403</v>
      </c>
      <c r="D814" s="6" t="s">
        <v>2491</v>
      </c>
      <c r="E814" s="3">
        <v>44561</v>
      </c>
      <c r="F814" s="4">
        <v>7.7916666666666676E-2</v>
      </c>
      <c r="G814" s="28"/>
      <c r="J814" t="s">
        <v>109</v>
      </c>
    </row>
    <row r="815" spans="1:10" hidden="1" outlineLevel="1">
      <c r="A815" s="28"/>
      <c r="B815" s="1">
        <v>278</v>
      </c>
      <c r="C815" s="5" t="s">
        <v>2660</v>
      </c>
      <c r="D815" s="2">
        <v>126</v>
      </c>
      <c r="E815" s="3">
        <v>44602</v>
      </c>
      <c r="F815" s="4">
        <v>9.4467592592592589E-2</v>
      </c>
      <c r="G815" s="28"/>
      <c r="J815" t="s">
        <v>109</v>
      </c>
    </row>
    <row r="816" spans="1:10" hidden="1" outlineLevel="1">
      <c r="A816" s="28"/>
      <c r="B816" s="1">
        <v>279</v>
      </c>
      <c r="C816" s="5" t="s">
        <v>3795</v>
      </c>
      <c r="D816" s="2">
        <v>82</v>
      </c>
      <c r="E816" s="3">
        <v>44615</v>
      </c>
      <c r="F816" s="4">
        <v>7.4618055555555562E-2</v>
      </c>
      <c r="G816" s="28"/>
      <c r="J816" t="s">
        <v>109</v>
      </c>
    </row>
    <row r="817" spans="1:10" hidden="1" outlineLevel="1">
      <c r="A817" s="28"/>
      <c r="B817" s="1">
        <v>280</v>
      </c>
      <c r="C817" s="5" t="s">
        <v>2816</v>
      </c>
      <c r="D817" s="2">
        <v>128</v>
      </c>
      <c r="E817" s="3">
        <v>44620.909548611111</v>
      </c>
      <c r="F817" s="4">
        <v>0.10274305555555556</v>
      </c>
      <c r="G817" s="28"/>
      <c r="J817" t="s">
        <v>109</v>
      </c>
    </row>
    <row r="818" spans="1:10" hidden="1" outlineLevel="1">
      <c r="A818" s="28"/>
      <c r="B818" s="1">
        <v>281</v>
      </c>
      <c r="C818" s="5" t="s">
        <v>3104</v>
      </c>
      <c r="D818" s="6" t="s">
        <v>2860</v>
      </c>
      <c r="E818" s="3">
        <v>44634</v>
      </c>
      <c r="F818" s="4">
        <v>3.6226851851851854E-3</v>
      </c>
      <c r="G818" s="28"/>
      <c r="J818" t="s">
        <v>109</v>
      </c>
    </row>
    <row r="819" spans="1:10" hidden="1" outlineLevel="1">
      <c r="A819" s="28"/>
      <c r="B819" s="1">
        <v>282</v>
      </c>
      <c r="C819" s="5" t="s">
        <v>2864</v>
      </c>
      <c r="D819" s="2">
        <v>102</v>
      </c>
      <c r="E819" s="3">
        <v>44641</v>
      </c>
      <c r="F819" s="4">
        <v>7.3935185185185187E-2</v>
      </c>
      <c r="G819" s="28"/>
      <c r="J819" t="s">
        <v>109</v>
      </c>
    </row>
    <row r="820" spans="1:10" hidden="1" outlineLevel="1">
      <c r="A820" s="28"/>
      <c r="B820" s="1">
        <v>283</v>
      </c>
      <c r="C820" s="5" t="s">
        <v>2872</v>
      </c>
      <c r="D820" s="2">
        <v>53</v>
      </c>
      <c r="E820" s="3">
        <v>44651</v>
      </c>
      <c r="F820" s="4">
        <v>9.4525462962962978E-2</v>
      </c>
      <c r="G820" s="28"/>
      <c r="J820" t="s">
        <v>109</v>
      </c>
    </row>
    <row r="821" spans="1:10" hidden="1" outlineLevel="1">
      <c r="A821" s="28"/>
      <c r="B821" s="1">
        <v>284</v>
      </c>
      <c r="C821" s="5" t="s">
        <v>2894</v>
      </c>
      <c r="D821" s="2">
        <v>168</v>
      </c>
      <c r="E821" s="3">
        <v>44670</v>
      </c>
      <c r="F821" s="4">
        <v>8.7037037037037038E-2</v>
      </c>
      <c r="G821" s="28"/>
      <c r="J821" t="s">
        <v>109</v>
      </c>
    </row>
    <row r="822" spans="1:10" hidden="1" outlineLevel="1">
      <c r="A822" s="28"/>
      <c r="B822" s="1">
        <v>285</v>
      </c>
      <c r="C822" s="5" t="s">
        <v>2913</v>
      </c>
      <c r="D822" s="2">
        <v>14</v>
      </c>
      <c r="E822" s="3">
        <v>44685</v>
      </c>
      <c r="F822" s="4">
        <v>0.12387731481481483</v>
      </c>
      <c r="G822" s="28"/>
      <c r="J822" t="s">
        <v>109</v>
      </c>
    </row>
    <row r="823" spans="1:10" hidden="1" outlineLevel="1">
      <c r="A823" s="28"/>
      <c r="B823" s="1">
        <v>286</v>
      </c>
      <c r="C823" s="5" t="s">
        <v>2947</v>
      </c>
      <c r="D823" s="6" t="s">
        <v>2924</v>
      </c>
      <c r="E823" s="3">
        <v>44712</v>
      </c>
      <c r="F823" s="4">
        <v>7.5324074074074085E-2</v>
      </c>
      <c r="G823" s="28"/>
      <c r="J823" t="s">
        <v>109</v>
      </c>
    </row>
    <row r="824" spans="1:10" hidden="1" outlineLevel="1">
      <c r="A824" s="28"/>
      <c r="B824" s="1">
        <v>287</v>
      </c>
      <c r="C824" s="5" t="s">
        <v>2960</v>
      </c>
      <c r="D824" s="2">
        <v>214</v>
      </c>
      <c r="E824" s="3">
        <v>44721</v>
      </c>
      <c r="F824" s="4">
        <v>0.11141203703703705</v>
      </c>
      <c r="G824" s="28"/>
      <c r="J824" t="s">
        <v>109</v>
      </c>
    </row>
    <row r="825" spans="1:10" hidden="1" outlineLevel="1">
      <c r="A825" s="28"/>
      <c r="B825" s="1">
        <v>288</v>
      </c>
      <c r="C825" s="5" t="s">
        <v>2925</v>
      </c>
      <c r="D825" s="2">
        <v>61</v>
      </c>
      <c r="E825" s="3">
        <v>44739</v>
      </c>
      <c r="F825" s="4">
        <v>0.10363425925925925</v>
      </c>
      <c r="G825" s="28"/>
      <c r="J825" t="s">
        <v>109</v>
      </c>
    </row>
    <row r="826" spans="1:10" hidden="1" outlineLevel="1">
      <c r="A826" s="28"/>
      <c r="B826" s="1">
        <v>289</v>
      </c>
      <c r="C826" s="5" t="s">
        <v>2997</v>
      </c>
      <c r="D826" s="2">
        <v>147</v>
      </c>
      <c r="E826" s="3">
        <v>44753</v>
      </c>
      <c r="F826" s="4">
        <v>0.11370370370370371</v>
      </c>
      <c r="G826" s="28"/>
      <c r="J826" t="s">
        <v>109</v>
      </c>
    </row>
    <row r="827" spans="1:10" hidden="1" outlineLevel="1">
      <c r="A827" s="28"/>
      <c r="B827" s="1">
        <v>290</v>
      </c>
      <c r="C827" s="5" t="s">
        <v>2989</v>
      </c>
      <c r="D827" s="6" t="s">
        <v>369</v>
      </c>
      <c r="E827" s="3">
        <v>44767</v>
      </c>
      <c r="F827" s="4">
        <v>0.12409722222222223</v>
      </c>
      <c r="G827" s="28"/>
      <c r="J827" t="s">
        <v>109</v>
      </c>
    </row>
    <row r="828" spans="1:10" hidden="1" outlineLevel="1">
      <c r="A828" s="28"/>
      <c r="B828" s="1">
        <v>291</v>
      </c>
      <c r="C828" s="5" t="s">
        <v>2990</v>
      </c>
      <c r="D828" s="6" t="s">
        <v>2992</v>
      </c>
      <c r="E828" s="3">
        <v>44804</v>
      </c>
      <c r="F828" s="4">
        <v>4.1736111111111113E-2</v>
      </c>
      <c r="G828" s="28"/>
      <c r="J828" t="s">
        <v>109</v>
      </c>
    </row>
    <row r="829" spans="1:10" hidden="1" outlineLevel="1">
      <c r="A829" s="28"/>
      <c r="B829" s="1">
        <v>292</v>
      </c>
      <c r="C829" s="5" t="s">
        <v>2998</v>
      </c>
      <c r="D829" s="2">
        <v>57</v>
      </c>
      <c r="E829" s="3">
        <v>44817</v>
      </c>
      <c r="F829" s="4">
        <v>0.1038425925925926</v>
      </c>
      <c r="G829" s="28"/>
      <c r="J829" t="s">
        <v>109</v>
      </c>
    </row>
    <row r="830" spans="1:10" hidden="1" outlineLevel="1">
      <c r="A830" s="28"/>
      <c r="B830" s="1">
        <v>294</v>
      </c>
      <c r="C830" s="5" t="s">
        <v>3069</v>
      </c>
      <c r="D830" s="2">
        <v>156</v>
      </c>
      <c r="E830" s="3">
        <v>44838</v>
      </c>
      <c r="F830" s="4">
        <v>0.10824074074074075</v>
      </c>
      <c r="G830" s="28"/>
      <c r="J830" t="s">
        <v>109</v>
      </c>
    </row>
    <row r="831" spans="1:10" hidden="1" outlineLevel="1">
      <c r="A831" s="28"/>
      <c r="B831" s="1">
        <v>295</v>
      </c>
      <c r="C831" s="5" t="s">
        <v>3092</v>
      </c>
      <c r="D831" s="6" t="s">
        <v>157</v>
      </c>
      <c r="E831" s="3">
        <v>44867</v>
      </c>
      <c r="F831" s="4">
        <v>8.2395833333333335E-2</v>
      </c>
      <c r="G831" s="28"/>
      <c r="J831" t="s">
        <v>109</v>
      </c>
    </row>
    <row r="832" spans="1:10" hidden="1" outlineLevel="1">
      <c r="A832" s="28"/>
      <c r="B832" s="1">
        <v>296</v>
      </c>
      <c r="C832" s="5" t="s">
        <v>3106</v>
      </c>
      <c r="D832" s="2">
        <v>72</v>
      </c>
      <c r="E832" s="3">
        <v>44874</v>
      </c>
      <c r="F832" s="4">
        <v>8.9872685185185194E-2</v>
      </c>
      <c r="G832" s="28"/>
      <c r="J832" t="s">
        <v>109</v>
      </c>
    </row>
    <row r="833" spans="1:10" hidden="1" outlineLevel="1">
      <c r="A833" s="28"/>
      <c r="B833" s="1">
        <v>297</v>
      </c>
      <c r="C833" s="5" t="s">
        <v>3131</v>
      </c>
      <c r="D833" s="2">
        <v>101</v>
      </c>
      <c r="E833" s="3">
        <v>44884</v>
      </c>
      <c r="F833" s="4">
        <v>9.2488425925925932E-2</v>
      </c>
      <c r="G833" s="28"/>
      <c r="J833" t="s">
        <v>109</v>
      </c>
    </row>
    <row r="834" spans="1:10" hidden="1" outlineLevel="1">
      <c r="A834" s="28"/>
      <c r="B834" s="1">
        <v>298</v>
      </c>
      <c r="C834" s="5" t="s">
        <v>3162</v>
      </c>
      <c r="D834" s="6" t="s">
        <v>3195</v>
      </c>
      <c r="E834" s="3">
        <v>44896</v>
      </c>
      <c r="F834" s="4">
        <v>7.0740740740740743E-2</v>
      </c>
      <c r="G834" s="28"/>
      <c r="J834" t="s">
        <v>109</v>
      </c>
    </row>
    <row r="835" spans="1:10" hidden="1" outlineLevel="1">
      <c r="A835" s="28"/>
      <c r="B835" s="1">
        <v>299</v>
      </c>
      <c r="C835" s="5" t="s">
        <v>3238</v>
      </c>
      <c r="D835" s="6" t="s">
        <v>3237</v>
      </c>
      <c r="E835" s="3">
        <v>44897</v>
      </c>
      <c r="F835" s="4">
        <v>4.2928240740740746E-2</v>
      </c>
      <c r="G835" s="28"/>
      <c r="J835" t="s">
        <v>109</v>
      </c>
    </row>
    <row r="836" spans="1:10" hidden="1" outlineLevel="1">
      <c r="A836" s="28"/>
      <c r="B836" s="1">
        <v>300</v>
      </c>
      <c r="C836" s="5" t="s">
        <v>3260</v>
      </c>
      <c r="D836" s="6" t="s">
        <v>19</v>
      </c>
      <c r="E836" s="3">
        <v>44898</v>
      </c>
      <c r="F836" s="4">
        <v>5.1203703703703703E-2</v>
      </c>
      <c r="G836" s="28"/>
      <c r="J836" t="s">
        <v>109</v>
      </c>
    </row>
    <row r="837" spans="1:10" hidden="1" outlineLevel="1">
      <c r="A837" s="28"/>
      <c r="B837" s="1">
        <v>301</v>
      </c>
      <c r="C837" s="5" t="s">
        <v>3270</v>
      </c>
      <c r="D837" s="2">
        <v>0</v>
      </c>
      <c r="E837" s="3">
        <v>44899</v>
      </c>
      <c r="F837" s="4">
        <v>3.9270833333333331E-2</v>
      </c>
      <c r="G837" s="28"/>
      <c r="J837" t="s">
        <v>109</v>
      </c>
    </row>
    <row r="838" spans="1:10" hidden="1" outlineLevel="1">
      <c r="A838" s="28"/>
      <c r="B838" s="1">
        <v>302</v>
      </c>
      <c r="C838" s="5" t="s">
        <v>3275</v>
      </c>
      <c r="D838" s="6" t="s">
        <v>3274</v>
      </c>
      <c r="E838" s="3">
        <v>44900</v>
      </c>
      <c r="F838" s="4">
        <v>4.3275462962962967E-2</v>
      </c>
      <c r="G838" s="28"/>
      <c r="J838" t="s">
        <v>109</v>
      </c>
    </row>
    <row r="839" spans="1:10" hidden="1" outlineLevel="1">
      <c r="A839" s="28"/>
      <c r="B839" s="1">
        <v>303</v>
      </c>
      <c r="C839" s="5" t="s">
        <v>3280</v>
      </c>
      <c r="D839" s="6" t="s">
        <v>3281</v>
      </c>
      <c r="E839" s="3">
        <v>44901</v>
      </c>
      <c r="F839" s="4">
        <v>7.0995370370370361E-2</v>
      </c>
      <c r="G839" s="28"/>
      <c r="J839" t="s">
        <v>109</v>
      </c>
    </row>
    <row r="840" spans="1:10" hidden="1" outlineLevel="1">
      <c r="A840" s="28"/>
      <c r="B840" s="1">
        <v>304</v>
      </c>
      <c r="C840" s="5" t="s">
        <v>3287</v>
      </c>
      <c r="D840" s="2">
        <v>0</v>
      </c>
      <c r="E840" s="3">
        <v>44902</v>
      </c>
      <c r="F840" s="4">
        <v>2.045138888888889E-2</v>
      </c>
      <c r="G840" s="28"/>
      <c r="J840" t="s">
        <v>109</v>
      </c>
    </row>
    <row r="841" spans="1:10" hidden="1" outlineLevel="1">
      <c r="A841" s="28"/>
      <c r="B841" s="1">
        <v>305</v>
      </c>
      <c r="C841" s="5" t="s">
        <v>3292</v>
      </c>
      <c r="D841" s="2">
        <v>0</v>
      </c>
      <c r="E841" s="3">
        <v>44903</v>
      </c>
      <c r="F841" s="4">
        <v>2.988425925925926E-2</v>
      </c>
      <c r="G841" s="28"/>
      <c r="J841" t="s">
        <v>109</v>
      </c>
    </row>
    <row r="842" spans="1:10" hidden="1" outlineLevel="1">
      <c r="A842" s="28"/>
      <c r="B842" s="1">
        <v>306</v>
      </c>
      <c r="C842" s="5" t="s">
        <v>3312</v>
      </c>
      <c r="D842" s="2">
        <v>0</v>
      </c>
      <c r="E842" s="3">
        <v>44904</v>
      </c>
      <c r="F842" s="4">
        <v>6.7488425925925924E-2</v>
      </c>
      <c r="G842" s="28"/>
      <c r="J842" t="s">
        <v>109</v>
      </c>
    </row>
    <row r="843" spans="1:10" hidden="1" outlineLevel="1">
      <c r="A843" s="28"/>
      <c r="B843" s="1">
        <v>307</v>
      </c>
      <c r="C843" s="5" t="s">
        <v>3313</v>
      </c>
      <c r="D843" s="2">
        <v>197</v>
      </c>
      <c r="E843" s="3">
        <v>44905</v>
      </c>
      <c r="F843" s="4">
        <v>9.2581018518518521E-2</v>
      </c>
      <c r="G843" s="28"/>
      <c r="J843" t="s">
        <v>109</v>
      </c>
    </row>
    <row r="844" spans="1:10" hidden="1" outlineLevel="1">
      <c r="A844" s="28"/>
      <c r="B844" s="1">
        <v>308</v>
      </c>
      <c r="C844" s="5" t="s">
        <v>3317</v>
      </c>
      <c r="D844" s="2">
        <v>0</v>
      </c>
      <c r="E844" s="3">
        <v>44906</v>
      </c>
      <c r="F844" s="4">
        <v>2.9861111111111113E-2</v>
      </c>
      <c r="G844" s="28"/>
      <c r="J844" t="s">
        <v>109</v>
      </c>
    </row>
    <row r="845" spans="1:10" hidden="1" outlineLevel="1">
      <c r="A845" s="28"/>
      <c r="B845" s="1">
        <v>309</v>
      </c>
      <c r="C845" s="5" t="s">
        <v>3329</v>
      </c>
      <c r="D845" s="6" t="s">
        <v>3330</v>
      </c>
      <c r="E845" s="3">
        <v>44907</v>
      </c>
      <c r="F845" s="4">
        <v>6.4236111111111105E-2</v>
      </c>
      <c r="G845" s="28"/>
      <c r="J845" t="s">
        <v>109</v>
      </c>
    </row>
    <row r="846" spans="1:10" hidden="1" outlineLevel="1">
      <c r="A846" s="28"/>
      <c r="B846" s="1">
        <v>310</v>
      </c>
      <c r="C846" s="5" t="s">
        <v>3368</v>
      </c>
      <c r="D846" s="2">
        <v>0</v>
      </c>
      <c r="E846" s="3">
        <v>44908</v>
      </c>
      <c r="F846" s="4">
        <v>3.9027777777777779E-2</v>
      </c>
      <c r="G846" s="28"/>
      <c r="J846" t="s">
        <v>109</v>
      </c>
    </row>
    <row r="847" spans="1:10" hidden="1" outlineLevel="1">
      <c r="A847" s="28"/>
      <c r="B847" s="1">
        <v>311</v>
      </c>
      <c r="C847" s="5" t="s">
        <v>3369</v>
      </c>
      <c r="D847" s="2">
        <v>0</v>
      </c>
      <c r="E847" s="3">
        <v>44909</v>
      </c>
      <c r="F847" s="4">
        <v>7.3993055555555562E-2</v>
      </c>
      <c r="G847" s="28"/>
      <c r="J847" t="s">
        <v>109</v>
      </c>
    </row>
    <row r="848" spans="1:10" hidden="1" outlineLevel="1">
      <c r="A848" s="28"/>
      <c r="B848" s="1">
        <v>312</v>
      </c>
      <c r="C848" s="5" t="s">
        <v>3374</v>
      </c>
      <c r="D848" s="6" t="s">
        <v>3373</v>
      </c>
      <c r="E848" s="3">
        <v>44910</v>
      </c>
      <c r="F848" s="4">
        <v>5.9687500000000004E-2</v>
      </c>
      <c r="G848" s="28"/>
      <c r="J848" t="s">
        <v>109</v>
      </c>
    </row>
    <row r="849" spans="1:10" hidden="1" outlineLevel="1">
      <c r="A849" s="28"/>
      <c r="B849" s="1">
        <v>313</v>
      </c>
      <c r="C849" s="5" t="s">
        <v>3375</v>
      </c>
      <c r="D849" s="6" t="s">
        <v>3376</v>
      </c>
      <c r="E849" s="3">
        <v>44911</v>
      </c>
      <c r="F849" s="4">
        <v>3.8657407407407404E-2</v>
      </c>
      <c r="G849" s="28"/>
      <c r="J849" t="s">
        <v>109</v>
      </c>
    </row>
    <row r="850" spans="1:10" hidden="1" outlineLevel="1">
      <c r="A850" s="28"/>
      <c r="B850" s="1">
        <v>314</v>
      </c>
      <c r="C850" s="5" t="s">
        <v>3382</v>
      </c>
      <c r="D850" s="6" t="s">
        <v>3381</v>
      </c>
      <c r="E850" s="3">
        <v>44912</v>
      </c>
      <c r="F850" s="4">
        <v>4.0821759259259259E-2</v>
      </c>
      <c r="G850" s="28"/>
      <c r="J850" t="s">
        <v>109</v>
      </c>
    </row>
    <row r="851" spans="1:10" hidden="1" outlineLevel="1">
      <c r="A851" s="28"/>
      <c r="B851" s="1">
        <v>315</v>
      </c>
      <c r="C851" s="5" t="s">
        <v>3391</v>
      </c>
      <c r="D851" s="2">
        <v>0</v>
      </c>
      <c r="E851" s="3">
        <v>44913</v>
      </c>
      <c r="F851" s="4">
        <v>3.4456018518518518E-2</v>
      </c>
      <c r="G851" s="28"/>
      <c r="J851" t="s">
        <v>109</v>
      </c>
    </row>
    <row r="852" spans="1:10" hidden="1" outlineLevel="1">
      <c r="A852" s="28"/>
      <c r="B852" s="1">
        <v>316</v>
      </c>
      <c r="C852" s="5" t="s">
        <v>3392</v>
      </c>
      <c r="D852" s="2">
        <v>0</v>
      </c>
      <c r="E852" s="3">
        <v>44914</v>
      </c>
      <c r="F852" s="4">
        <v>2.1828703703703701E-2</v>
      </c>
      <c r="G852" s="28"/>
      <c r="J852" t="s">
        <v>109</v>
      </c>
    </row>
    <row r="853" spans="1:10" hidden="1" outlineLevel="1">
      <c r="A853" s="28"/>
      <c r="B853" s="1">
        <v>317</v>
      </c>
      <c r="C853" s="5" t="s">
        <v>3397</v>
      </c>
      <c r="D853" s="2">
        <v>0</v>
      </c>
      <c r="E853" s="3">
        <v>44915</v>
      </c>
      <c r="F853" s="4">
        <v>2.0914351851851851E-2</v>
      </c>
      <c r="G853" s="28"/>
      <c r="J853" t="s">
        <v>109</v>
      </c>
    </row>
    <row r="854" spans="1:10" hidden="1" outlineLevel="1">
      <c r="A854" s="28"/>
      <c r="B854" s="1">
        <v>318</v>
      </c>
      <c r="C854" s="5" t="s">
        <v>3399</v>
      </c>
      <c r="D854" s="6" t="s">
        <v>3398</v>
      </c>
      <c r="E854" s="3">
        <v>44916</v>
      </c>
      <c r="F854" s="4">
        <v>2.946759259259259E-2</v>
      </c>
      <c r="G854" s="28"/>
      <c r="J854" t="s">
        <v>109</v>
      </c>
    </row>
    <row r="855" spans="1:10" hidden="1" outlineLevel="1">
      <c r="A855" s="28"/>
      <c r="B855" s="1">
        <v>319</v>
      </c>
      <c r="C855" s="5" t="s">
        <v>3403</v>
      </c>
      <c r="D855" s="2">
        <v>0</v>
      </c>
      <c r="E855" s="3">
        <v>44917</v>
      </c>
      <c r="F855" s="4">
        <v>2.3784722222222221E-2</v>
      </c>
      <c r="G855" s="28"/>
      <c r="J855" t="s">
        <v>109</v>
      </c>
    </row>
    <row r="856" spans="1:10" hidden="1" outlineLevel="1">
      <c r="A856" s="28"/>
      <c r="B856" s="1">
        <v>320</v>
      </c>
      <c r="C856" s="5" t="s">
        <v>2922</v>
      </c>
      <c r="D856" s="6" t="s">
        <v>2923</v>
      </c>
      <c r="E856" s="3">
        <v>44918</v>
      </c>
      <c r="F856" s="4">
        <v>2.9120370370370366E-2</v>
      </c>
      <c r="G856" s="28"/>
      <c r="J856" t="s">
        <v>109</v>
      </c>
    </row>
    <row r="857" spans="1:10" hidden="1" outlineLevel="1">
      <c r="A857" s="28"/>
      <c r="B857" s="1">
        <v>321</v>
      </c>
      <c r="C857" s="5" t="s">
        <v>3401</v>
      </c>
      <c r="D857" s="6" t="s">
        <v>3134</v>
      </c>
      <c r="E857" s="3">
        <v>44919</v>
      </c>
      <c r="F857" s="4">
        <v>0.11469907407407408</v>
      </c>
      <c r="G857" s="28"/>
      <c r="J857" t="s">
        <v>109</v>
      </c>
    </row>
    <row r="858" spans="1:10" hidden="1" outlineLevel="1">
      <c r="A858" s="28"/>
      <c r="B858" s="1">
        <v>322</v>
      </c>
      <c r="C858" s="5" t="s">
        <v>3402</v>
      </c>
      <c r="D858" s="6" t="s">
        <v>3952</v>
      </c>
      <c r="E858" s="3">
        <v>44926.715277777781</v>
      </c>
      <c r="F858" s="4">
        <v>0.1272337962962963</v>
      </c>
      <c r="G858" s="28"/>
      <c r="J858" t="s">
        <v>109</v>
      </c>
    </row>
    <row r="859" spans="1:10" hidden="1" outlineLevel="1">
      <c r="A859" s="28"/>
      <c r="B859" s="1">
        <v>323</v>
      </c>
      <c r="C859" s="5" t="s">
        <v>3638</v>
      </c>
      <c r="D859" s="6" t="s">
        <v>3953</v>
      </c>
      <c r="E859" s="3">
        <v>44956</v>
      </c>
      <c r="F859" s="4">
        <v>6.0868055555555557E-2</v>
      </c>
      <c r="G859" s="28"/>
      <c r="J859" t="s">
        <v>109</v>
      </c>
    </row>
    <row r="860" spans="1:10" hidden="1" outlineLevel="1">
      <c r="A860" s="28"/>
      <c r="B860" s="1">
        <v>324</v>
      </c>
      <c r="C860" s="5" t="s">
        <v>3869</v>
      </c>
      <c r="D860" s="2">
        <v>99</v>
      </c>
      <c r="E860" s="3">
        <v>44963</v>
      </c>
      <c r="F860" s="4">
        <v>0.10168981481481482</v>
      </c>
      <c r="G860" s="28"/>
      <c r="J860" t="s">
        <v>109</v>
      </c>
    </row>
    <row r="861" spans="1:10" hidden="1" outlineLevel="1">
      <c r="A861" s="28"/>
      <c r="B861" s="1">
        <v>325</v>
      </c>
      <c r="C861" s="5" t="s">
        <v>3868</v>
      </c>
      <c r="D861" s="2">
        <v>219</v>
      </c>
      <c r="E861" s="3">
        <v>44973</v>
      </c>
      <c r="F861" s="4">
        <v>0.10931712962962963</v>
      </c>
      <c r="G861" s="28"/>
      <c r="J861" t="s">
        <v>109</v>
      </c>
    </row>
    <row r="862" spans="1:10" hidden="1" outlineLevel="1">
      <c r="A862" s="28"/>
      <c r="B862" s="1">
        <v>326</v>
      </c>
      <c r="C862" s="5" t="s">
        <v>3796</v>
      </c>
      <c r="D862" s="2">
        <v>115</v>
      </c>
      <c r="E862" s="3">
        <v>44980</v>
      </c>
      <c r="F862" s="4">
        <v>7.12037037037037E-2</v>
      </c>
      <c r="G862" s="28"/>
      <c r="J862" t="s">
        <v>109</v>
      </c>
    </row>
    <row r="863" spans="1:10" hidden="1" outlineLevel="1">
      <c r="A863" s="28"/>
      <c r="B863" s="1">
        <v>327</v>
      </c>
      <c r="C863" s="5" t="s">
        <v>3867</v>
      </c>
      <c r="D863" s="2">
        <v>78</v>
      </c>
      <c r="E863" s="3">
        <v>45007</v>
      </c>
      <c r="F863" s="4">
        <v>9.2962962962962969E-2</v>
      </c>
      <c r="G863" s="28"/>
      <c r="J863" t="s">
        <v>109</v>
      </c>
    </row>
    <row r="864" spans="1:10" hidden="1" outlineLevel="1">
      <c r="A864" s="28"/>
      <c r="B864" s="1">
        <v>328</v>
      </c>
      <c r="C864" s="5" t="s">
        <v>3798</v>
      </c>
      <c r="D864" s="2">
        <v>207</v>
      </c>
      <c r="E864" s="3">
        <v>45017</v>
      </c>
      <c r="F864" s="4">
        <v>9.6388888888888899E-2</v>
      </c>
      <c r="G864" s="28"/>
      <c r="J864" t="s">
        <v>109</v>
      </c>
    </row>
    <row r="865" spans="1:10" hidden="1" outlineLevel="1">
      <c r="A865" s="28"/>
      <c r="B865" s="1">
        <v>329</v>
      </c>
      <c r="C865" s="5" t="s">
        <v>3874</v>
      </c>
      <c r="D865" s="2">
        <v>96</v>
      </c>
      <c r="E865" s="3">
        <v>45035</v>
      </c>
      <c r="F865" s="4">
        <v>8.7384259259259259E-2</v>
      </c>
      <c r="G865" s="28"/>
      <c r="J865" t="s">
        <v>109</v>
      </c>
    </row>
    <row r="866" spans="1:10" hidden="1" outlineLevel="1">
      <c r="A866" s="28"/>
      <c r="B866" s="1">
        <v>330</v>
      </c>
      <c r="C866" s="189" t="s">
        <v>3906</v>
      </c>
      <c r="D866" s="2">
        <v>27</v>
      </c>
      <c r="E866" s="3">
        <v>45047</v>
      </c>
      <c r="F866" s="4">
        <v>0.1743402777777778</v>
      </c>
      <c r="G866" s="28"/>
      <c r="J866" t="s">
        <v>109</v>
      </c>
    </row>
    <row r="867" spans="1:10" hidden="1" outlineLevel="1">
      <c r="A867" s="28"/>
      <c r="B867" s="1">
        <v>331</v>
      </c>
      <c r="C867" s="5" t="s">
        <v>3935</v>
      </c>
      <c r="D867" s="639" t="s">
        <v>3948</v>
      </c>
      <c r="E867" s="3">
        <v>45080</v>
      </c>
      <c r="F867" s="201" t="s">
        <v>3934</v>
      </c>
      <c r="G867" s="28"/>
      <c r="J867" t="s">
        <v>109</v>
      </c>
    </row>
    <row r="868" spans="1:10" hidden="1" outlineLevel="1">
      <c r="A868" s="28"/>
      <c r="B868" s="1">
        <v>332</v>
      </c>
      <c r="C868" s="5" t="s">
        <v>3936</v>
      </c>
      <c r="D868" s="639" t="s">
        <v>3955</v>
      </c>
      <c r="E868" s="3">
        <v>45091</v>
      </c>
      <c r="F868" s="201" t="s">
        <v>3949</v>
      </c>
      <c r="G868" s="28"/>
      <c r="J868" t="s">
        <v>109</v>
      </c>
    </row>
    <row r="869" spans="1:10" hidden="1" outlineLevel="1">
      <c r="A869" s="28"/>
      <c r="B869" s="1">
        <v>333</v>
      </c>
      <c r="C869" s="5" t="s">
        <v>3951</v>
      </c>
      <c r="D869" s="6" t="s">
        <v>3954</v>
      </c>
      <c r="E869" s="3">
        <v>45096</v>
      </c>
      <c r="F869" s="4">
        <v>2.6481481481481481E-2</v>
      </c>
      <c r="G869" s="28"/>
      <c r="J869" t="s">
        <v>109</v>
      </c>
    </row>
    <row r="870" spans="1:10" hidden="1" outlineLevel="1">
      <c r="A870" s="28"/>
      <c r="B870" s="1">
        <v>334</v>
      </c>
      <c r="C870" s="5" t="s">
        <v>3962</v>
      </c>
      <c r="D870" s="2">
        <v>161</v>
      </c>
      <c r="E870" s="3">
        <v>45103</v>
      </c>
      <c r="F870" s="4">
        <v>0.10280092592592593</v>
      </c>
      <c r="G870" s="28"/>
      <c r="J870" t="s">
        <v>109</v>
      </c>
    </row>
    <row r="871" spans="1:10" hidden="1" outlineLevel="1">
      <c r="A871" s="28"/>
      <c r="B871" s="1">
        <v>335</v>
      </c>
      <c r="C871" s="5" t="s">
        <v>3969</v>
      </c>
      <c r="D871" s="6" t="s">
        <v>3970</v>
      </c>
      <c r="E871" s="3">
        <v>45108</v>
      </c>
      <c r="F871" s="201">
        <v>1.7650462962962962E-2</v>
      </c>
      <c r="G871" s="28"/>
      <c r="J871" t="s">
        <v>109</v>
      </c>
    </row>
    <row r="872" spans="1:10" hidden="1" outlineLevel="1">
      <c r="A872" s="28"/>
      <c r="B872" s="1">
        <v>336</v>
      </c>
      <c r="C872" s="5" t="s">
        <v>3978</v>
      </c>
      <c r="D872" s="2">
        <v>187</v>
      </c>
      <c r="E872" s="3">
        <v>45111</v>
      </c>
      <c r="F872" s="4">
        <v>9.5821759259259245E-2</v>
      </c>
      <c r="G872" s="28"/>
      <c r="J872" t="s">
        <v>109</v>
      </c>
    </row>
    <row r="873" spans="1:10" hidden="1" outlineLevel="1">
      <c r="A873" s="28"/>
      <c r="B873" s="1">
        <v>337</v>
      </c>
      <c r="C873" s="5" t="s">
        <v>4028</v>
      </c>
      <c r="D873" s="2">
        <v>178</v>
      </c>
      <c r="E873" s="3">
        <v>45132</v>
      </c>
      <c r="F873" s="4">
        <v>9.7407407407407401E-2</v>
      </c>
      <c r="G873" s="28"/>
      <c r="J873" t="s">
        <v>109</v>
      </c>
    </row>
    <row r="874" spans="1:10" hidden="1" outlineLevel="1">
      <c r="A874" s="28"/>
      <c r="B874" s="1">
        <v>338</v>
      </c>
      <c r="C874" s="5" t="s">
        <v>4064</v>
      </c>
      <c r="D874" s="6" t="s">
        <v>4063</v>
      </c>
      <c r="E874" s="3">
        <v>45160</v>
      </c>
      <c r="F874" s="4">
        <v>1.726851851851852E-2</v>
      </c>
      <c r="G874" s="28"/>
      <c r="J874" t="s">
        <v>109</v>
      </c>
    </row>
    <row r="875" spans="1:10" hidden="1" outlineLevel="1">
      <c r="A875" s="28"/>
      <c r="B875" s="1">
        <v>339</v>
      </c>
      <c r="C875" s="5" t="s">
        <v>4148</v>
      </c>
      <c r="D875" s="6">
        <v>70</v>
      </c>
      <c r="E875" s="3">
        <v>45173</v>
      </c>
      <c r="F875" s="4">
        <v>0.11847222222222221</v>
      </c>
      <c r="G875" s="28"/>
      <c r="J875" t="s">
        <v>109</v>
      </c>
    </row>
    <row r="876" spans="1:10" hidden="1" outlineLevel="1">
      <c r="A876" s="28"/>
      <c r="B876" s="1">
        <v>340</v>
      </c>
      <c r="C876" s="5" t="s">
        <v>4149</v>
      </c>
      <c r="D876" s="6">
        <v>45</v>
      </c>
      <c r="E876" s="3">
        <v>45209</v>
      </c>
      <c r="F876" s="4">
        <v>0.10491898148148149</v>
      </c>
      <c r="G876" s="28"/>
      <c r="J876" t="s">
        <v>109</v>
      </c>
    </row>
    <row r="877" spans="1:10" hidden="1" outlineLevel="1">
      <c r="A877" s="28"/>
      <c r="B877" s="1">
        <v>341</v>
      </c>
      <c r="C877" s="5" t="s">
        <v>4165</v>
      </c>
      <c r="D877" s="6">
        <v>12</v>
      </c>
      <c r="E877" s="3">
        <v>45229</v>
      </c>
      <c r="F877" s="4">
        <v>0.1153125</v>
      </c>
      <c r="G877" s="28"/>
      <c r="J877" t="s">
        <v>109</v>
      </c>
    </row>
    <row r="878" spans="1:10" hidden="1" outlineLevel="1">
      <c r="A878" s="28"/>
      <c r="B878" s="1">
        <v>342</v>
      </c>
      <c r="C878" s="5" t="s">
        <v>4209</v>
      </c>
      <c r="D878" s="6">
        <v>145</v>
      </c>
      <c r="E878" s="3">
        <v>45239</v>
      </c>
      <c r="F878" s="4">
        <v>9.4791666666666663E-2</v>
      </c>
      <c r="G878" s="28"/>
      <c r="J878" t="s">
        <v>109</v>
      </c>
    </row>
    <row r="879" spans="1:10" hidden="1" outlineLevel="1">
      <c r="A879" s="28"/>
      <c r="B879" s="1">
        <v>343</v>
      </c>
      <c r="C879" s="5" t="s">
        <v>4208</v>
      </c>
      <c r="D879" s="6">
        <v>140</v>
      </c>
      <c r="E879" s="3">
        <v>45249</v>
      </c>
      <c r="F879" s="4">
        <v>0.12223379629629628</v>
      </c>
      <c r="G879" s="28"/>
      <c r="J879" t="s">
        <v>109</v>
      </c>
    </row>
    <row r="880" spans="1:10" hidden="1" outlineLevel="1">
      <c r="A880" s="28"/>
      <c r="B880" s="1">
        <v>344</v>
      </c>
      <c r="C880" s="5" t="s">
        <v>4183</v>
      </c>
      <c r="D880" s="6" t="s">
        <v>4188</v>
      </c>
      <c r="E880" s="3">
        <v>45261</v>
      </c>
      <c r="F880" s="4">
        <v>6.4432870370370363E-2</v>
      </c>
      <c r="G880" s="28"/>
      <c r="J880" t="s">
        <v>109</v>
      </c>
    </row>
    <row r="881" spans="1:10" hidden="1" outlineLevel="1">
      <c r="A881" s="28"/>
      <c r="B881" s="1">
        <v>345</v>
      </c>
      <c r="C881" s="5" t="s">
        <v>4184</v>
      </c>
      <c r="D881" s="6" t="s">
        <v>4189</v>
      </c>
      <c r="E881" s="3">
        <v>45262</v>
      </c>
      <c r="F881" s="4">
        <v>5.5393518518518516E-2</v>
      </c>
      <c r="G881" s="28"/>
      <c r="J881" t="s">
        <v>109</v>
      </c>
    </row>
    <row r="882" spans="1:10" hidden="1" outlineLevel="1">
      <c r="A882" s="28"/>
      <c r="B882" s="1">
        <v>346</v>
      </c>
      <c r="C882" s="5" t="s">
        <v>4182</v>
      </c>
      <c r="D882" s="6" t="s">
        <v>20</v>
      </c>
      <c r="E882" s="3">
        <v>45263</v>
      </c>
      <c r="F882" s="4">
        <v>8.6956018518518516E-2</v>
      </c>
      <c r="G882" s="28"/>
      <c r="J882" t="s">
        <v>109</v>
      </c>
    </row>
    <row r="883" spans="1:10" hidden="1" outlineLevel="1">
      <c r="A883" s="28"/>
      <c r="B883" s="1">
        <v>347</v>
      </c>
      <c r="C883" s="5" t="s">
        <v>4185</v>
      </c>
      <c r="D883" s="6">
        <v>0</v>
      </c>
      <c r="E883" s="3">
        <v>45264</v>
      </c>
      <c r="F883" s="4">
        <v>3.4733796296296297E-2</v>
      </c>
      <c r="G883" s="28"/>
      <c r="J883" t="s">
        <v>109</v>
      </c>
    </row>
    <row r="884" spans="1:10" hidden="1" outlineLevel="1">
      <c r="A884" s="28"/>
      <c r="B884" s="1">
        <v>348</v>
      </c>
      <c r="C884" s="5" t="s">
        <v>4186</v>
      </c>
      <c r="D884" s="6" t="s">
        <v>4187</v>
      </c>
      <c r="E884" s="3">
        <v>45265</v>
      </c>
      <c r="F884" s="4">
        <v>6.0243055555555557E-2</v>
      </c>
      <c r="G884" s="28"/>
      <c r="J884" t="s">
        <v>109</v>
      </c>
    </row>
    <row r="885" spans="1:10" hidden="1" outlineLevel="1">
      <c r="A885" s="28"/>
      <c r="B885" s="1">
        <v>349</v>
      </c>
      <c r="C885" s="5" t="s">
        <v>4206</v>
      </c>
      <c r="D885" s="6" t="s">
        <v>4376</v>
      </c>
      <c r="E885" s="3">
        <v>45266</v>
      </c>
      <c r="F885" s="4">
        <v>4.0185185185185185E-2</v>
      </c>
      <c r="G885" s="28"/>
      <c r="J885" t="s">
        <v>109</v>
      </c>
    </row>
    <row r="886" spans="1:10" hidden="1" outlineLevel="1">
      <c r="A886" s="28"/>
      <c r="B886" s="1">
        <v>350</v>
      </c>
      <c r="C886" s="5" t="s">
        <v>4207</v>
      </c>
      <c r="D886" s="6">
        <v>0</v>
      </c>
      <c r="E886" s="3">
        <v>45267</v>
      </c>
      <c r="F886" s="4">
        <v>5.0370370370370371E-2</v>
      </c>
      <c r="G886" s="28"/>
      <c r="J886" t="s">
        <v>109</v>
      </c>
    </row>
    <row r="887" spans="1:10" hidden="1" outlineLevel="1">
      <c r="A887" s="28"/>
      <c r="B887" s="1">
        <v>351</v>
      </c>
      <c r="C887" s="5" t="s">
        <v>4210</v>
      </c>
      <c r="D887" s="6">
        <v>0</v>
      </c>
      <c r="E887" s="3">
        <v>45268</v>
      </c>
      <c r="F887" s="4">
        <v>4.0949074074074075E-2</v>
      </c>
      <c r="G887" s="28"/>
      <c r="J887" t="s">
        <v>109</v>
      </c>
    </row>
    <row r="888" spans="1:10" hidden="1" outlineLevel="1">
      <c r="A888" s="28"/>
      <c r="B888" s="1">
        <v>352</v>
      </c>
      <c r="C888" s="5" t="s">
        <v>4211</v>
      </c>
      <c r="D888" s="6">
        <v>0</v>
      </c>
      <c r="E888" s="3">
        <v>45269</v>
      </c>
      <c r="F888" s="4">
        <v>2.883101851851852E-2</v>
      </c>
      <c r="G888" s="28"/>
      <c r="J888" t="s">
        <v>109</v>
      </c>
    </row>
    <row r="889" spans="1:10" hidden="1" outlineLevel="1">
      <c r="A889" s="28"/>
      <c r="B889" s="1">
        <v>353</v>
      </c>
      <c r="C889" s="5" t="s">
        <v>4251</v>
      </c>
      <c r="D889" s="6">
        <v>222</v>
      </c>
      <c r="E889" s="3">
        <v>45270</v>
      </c>
      <c r="F889" s="4">
        <v>0.10137731481481482</v>
      </c>
      <c r="G889" s="28"/>
      <c r="J889" t="s">
        <v>109</v>
      </c>
    </row>
    <row r="890" spans="1:10" hidden="1" outlineLevel="1">
      <c r="A890" s="28"/>
      <c r="B890" s="1">
        <v>354</v>
      </c>
      <c r="C890" s="5" t="s">
        <v>4301</v>
      </c>
      <c r="D890" s="6" t="s">
        <v>4300</v>
      </c>
      <c r="E890" s="3">
        <v>45271</v>
      </c>
      <c r="F890" s="4">
        <v>3.9560185185185184E-2</v>
      </c>
      <c r="G890" s="28"/>
      <c r="J890" t="s">
        <v>109</v>
      </c>
    </row>
    <row r="891" spans="1:10" hidden="1" outlineLevel="1">
      <c r="A891" s="28"/>
      <c r="B891" s="1">
        <v>355</v>
      </c>
      <c r="C891" s="5" t="s">
        <v>4307</v>
      </c>
      <c r="D891" s="6">
        <v>0</v>
      </c>
      <c r="E891" s="3">
        <v>45272</v>
      </c>
      <c r="F891" s="4">
        <v>2.9386574074074075E-2</v>
      </c>
      <c r="G891" s="28"/>
      <c r="J891" t="s">
        <v>109</v>
      </c>
    </row>
    <row r="892" spans="1:10" hidden="1" outlineLevel="1">
      <c r="A892" s="28"/>
      <c r="B892" s="1">
        <v>356</v>
      </c>
      <c r="C892" s="5" t="s">
        <v>4315</v>
      </c>
      <c r="D892" s="6">
        <v>0</v>
      </c>
      <c r="E892" s="3">
        <v>45273</v>
      </c>
      <c r="F892" s="4">
        <v>1.5266203703703705E-2</v>
      </c>
      <c r="G892" s="28"/>
      <c r="J892" t="s">
        <v>109</v>
      </c>
    </row>
    <row r="893" spans="1:10" hidden="1" outlineLevel="1">
      <c r="A893" s="28"/>
      <c r="B893" s="1">
        <v>357</v>
      </c>
      <c r="C893" s="5" t="s">
        <v>4349</v>
      </c>
      <c r="D893" s="6">
        <v>0</v>
      </c>
      <c r="E893" s="3">
        <v>45274</v>
      </c>
      <c r="F893" s="4">
        <v>1.7847222222222223E-2</v>
      </c>
      <c r="G893" s="28"/>
      <c r="J893" t="s">
        <v>109</v>
      </c>
    </row>
    <row r="894" spans="1:10" hidden="1" outlineLevel="1">
      <c r="A894" s="28"/>
      <c r="B894" s="1">
        <v>358</v>
      </c>
      <c r="C894" s="5" t="s">
        <v>4330</v>
      </c>
      <c r="D894" s="6">
        <v>0</v>
      </c>
      <c r="E894" s="3">
        <v>45275</v>
      </c>
      <c r="F894" s="4">
        <v>3.8124999999999999E-2</v>
      </c>
      <c r="G894" s="28"/>
      <c r="J894" t="s">
        <v>109</v>
      </c>
    </row>
    <row r="895" spans="1:10" hidden="1" outlineLevel="1">
      <c r="A895" s="28"/>
      <c r="B895" s="1">
        <v>359</v>
      </c>
      <c r="C895" s="5" t="s">
        <v>4331</v>
      </c>
      <c r="D895" s="6" t="s">
        <v>4360</v>
      </c>
      <c r="E895" s="3">
        <v>45276</v>
      </c>
      <c r="F895" s="4">
        <v>6.0451388888888895E-2</v>
      </c>
      <c r="G895" s="28"/>
      <c r="J895" t="s">
        <v>109</v>
      </c>
    </row>
    <row r="896" spans="1:10" hidden="1" outlineLevel="1">
      <c r="A896" s="28"/>
      <c r="B896" s="1">
        <v>360</v>
      </c>
      <c r="C896" s="5" t="s">
        <v>4346</v>
      </c>
      <c r="D896" s="6" t="s">
        <v>4361</v>
      </c>
      <c r="E896" s="3">
        <v>45277</v>
      </c>
      <c r="F896" s="4">
        <v>6.0937499999999999E-2</v>
      </c>
      <c r="G896" s="28"/>
      <c r="J896" t="s">
        <v>109</v>
      </c>
    </row>
    <row r="897" spans="1:10" hidden="1" outlineLevel="1">
      <c r="A897" s="28"/>
      <c r="B897" s="1">
        <v>361</v>
      </c>
      <c r="C897" s="5" t="s">
        <v>4348</v>
      </c>
      <c r="D897" s="6">
        <v>0</v>
      </c>
      <c r="E897" s="3">
        <v>45278</v>
      </c>
      <c r="F897" s="4">
        <v>2.4884259259259259E-2</v>
      </c>
      <c r="G897" s="28"/>
      <c r="J897" t="s">
        <v>109</v>
      </c>
    </row>
    <row r="898" spans="1:10" hidden="1" outlineLevel="1">
      <c r="A898" s="28"/>
      <c r="B898" s="1">
        <v>362</v>
      </c>
      <c r="C898" s="5" t="s">
        <v>4351</v>
      </c>
      <c r="D898" s="6">
        <v>0</v>
      </c>
      <c r="E898" s="3">
        <v>45279</v>
      </c>
      <c r="F898" s="4">
        <v>5.1782407407407409E-2</v>
      </c>
      <c r="G898" s="28"/>
      <c r="J898" t="s">
        <v>109</v>
      </c>
    </row>
    <row r="899" spans="1:10" hidden="1" outlineLevel="1">
      <c r="A899" s="28"/>
      <c r="B899" s="1">
        <v>363</v>
      </c>
      <c r="C899" s="5" t="s">
        <v>4364</v>
      </c>
      <c r="D899" s="6">
        <v>0</v>
      </c>
      <c r="E899" s="3">
        <v>45280</v>
      </c>
      <c r="F899" s="4">
        <v>2.8865740740740744E-2</v>
      </c>
      <c r="G899" s="28"/>
      <c r="J899" t="s">
        <v>109</v>
      </c>
    </row>
    <row r="900" spans="1:10" hidden="1" outlineLevel="1">
      <c r="A900" s="28"/>
      <c r="B900" s="1">
        <v>364</v>
      </c>
      <c r="C900" s="5" t="s">
        <v>4365</v>
      </c>
      <c r="D900" s="6" t="s">
        <v>4366</v>
      </c>
      <c r="E900" s="3">
        <v>45281</v>
      </c>
      <c r="F900" s="4">
        <v>3.7916666666666668E-2</v>
      </c>
      <c r="G900" s="28"/>
      <c r="J900" t="s">
        <v>109</v>
      </c>
    </row>
    <row r="901" spans="1:10" hidden="1" outlineLevel="1">
      <c r="A901" s="28"/>
      <c r="B901" s="1">
        <v>365</v>
      </c>
      <c r="C901" s="5" t="s">
        <v>4368</v>
      </c>
      <c r="D901" s="6" t="s">
        <v>4369</v>
      </c>
      <c r="E901" s="3">
        <v>45282</v>
      </c>
      <c r="F901" s="4">
        <v>5.1331018518518519E-2</v>
      </c>
      <c r="G901" s="28"/>
      <c r="J901" t="s">
        <v>109</v>
      </c>
    </row>
    <row r="902" spans="1:10" hidden="1" outlineLevel="1">
      <c r="A902" s="28"/>
      <c r="B902" s="1">
        <v>366</v>
      </c>
      <c r="C902" s="5" t="s">
        <v>4371</v>
      </c>
      <c r="D902" s="6" t="s">
        <v>3806</v>
      </c>
      <c r="E902" s="3">
        <v>45283</v>
      </c>
      <c r="F902" s="4">
        <v>2.4131944444444445E-2</v>
      </c>
      <c r="G902" s="28"/>
      <c r="J902" t="s">
        <v>109</v>
      </c>
    </row>
    <row r="903" spans="1:10" hidden="1" outlineLevel="1">
      <c r="A903" s="28"/>
      <c r="B903" s="1">
        <v>367</v>
      </c>
      <c r="C903" s="5" t="s">
        <v>4374</v>
      </c>
      <c r="D903" s="6" t="s">
        <v>4375</v>
      </c>
      <c r="E903" s="3">
        <v>45284</v>
      </c>
      <c r="F903" s="4">
        <v>5.6990740740740738E-2</v>
      </c>
      <c r="G903" s="28"/>
      <c r="J903" t="s">
        <v>109</v>
      </c>
    </row>
    <row r="904" spans="1:10" hidden="1" outlineLevel="1">
      <c r="A904" s="28"/>
      <c r="B904" s="1">
        <v>368</v>
      </c>
      <c r="C904" s="5" t="s">
        <v>4373</v>
      </c>
      <c r="D904" s="6">
        <v>0</v>
      </c>
      <c r="E904" s="3">
        <v>45291</v>
      </c>
      <c r="F904" s="4">
        <v>0.10482638888888889</v>
      </c>
      <c r="G904" s="28"/>
      <c r="J904" t="s">
        <v>109</v>
      </c>
    </row>
    <row r="905" spans="1:10" hidden="1" outlineLevel="1">
      <c r="A905" s="28"/>
      <c r="B905" s="1">
        <v>369</v>
      </c>
      <c r="C905" s="5" t="s">
        <v>4385</v>
      </c>
      <c r="D905" s="6">
        <v>42</v>
      </c>
      <c r="E905" s="3">
        <v>45315</v>
      </c>
      <c r="F905" s="4">
        <v>0.11057870370370371</v>
      </c>
      <c r="G905" s="28"/>
      <c r="J905" t="s">
        <v>109</v>
      </c>
    </row>
    <row r="906" spans="1:10" hidden="1" outlineLevel="1">
      <c r="A906" s="28"/>
      <c r="B906" s="1">
        <v>370</v>
      </c>
      <c r="C906" s="5" t="s">
        <v>4410</v>
      </c>
      <c r="D906" s="6">
        <v>158</v>
      </c>
      <c r="E906" s="3">
        <v>45344</v>
      </c>
      <c r="F906" s="4">
        <v>0.1034375</v>
      </c>
      <c r="G906" s="28"/>
      <c r="J906" t="s">
        <v>109</v>
      </c>
    </row>
    <row r="907" spans="1:10" hidden="1" outlineLevel="1">
      <c r="A907" s="28"/>
      <c r="B907" s="1">
        <v>371</v>
      </c>
      <c r="C907" s="5" t="s">
        <v>4442</v>
      </c>
      <c r="D907" s="6" t="s">
        <v>4443</v>
      </c>
      <c r="E907" s="3">
        <v>45371</v>
      </c>
      <c r="F907" s="4">
        <v>1.4131944444444445E-2</v>
      </c>
      <c r="G907" s="28"/>
      <c r="J907" t="s">
        <v>109</v>
      </c>
    </row>
    <row r="908" spans="1:10" hidden="1" outlineLevel="1">
      <c r="A908" s="28"/>
      <c r="B908" s="1">
        <v>372</v>
      </c>
      <c r="C908" s="5" t="s">
        <v>4444</v>
      </c>
      <c r="D908" s="6">
        <v>181</v>
      </c>
      <c r="E908" s="3">
        <v>45386</v>
      </c>
      <c r="F908" s="4">
        <v>8.487268518518519E-2</v>
      </c>
      <c r="G908" s="28"/>
      <c r="J908" t="s">
        <v>109</v>
      </c>
    </row>
    <row r="909" spans="1:10" hidden="1" outlineLevel="1">
      <c r="A909" s="28"/>
      <c r="B909" s="1">
        <v>373</v>
      </c>
      <c r="C909" s="5" t="s">
        <v>4441</v>
      </c>
      <c r="D909" s="27">
        <v>98</v>
      </c>
      <c r="E909" s="10">
        <v>45401</v>
      </c>
      <c r="F909" s="11">
        <v>0.10667824074074074</v>
      </c>
      <c r="G909" s="28"/>
      <c r="J909" t="s">
        <v>109</v>
      </c>
    </row>
    <row r="910" spans="1:10">
      <c r="A910" s="28"/>
      <c r="B910" s="40"/>
      <c r="C910" s="40"/>
      <c r="D910" s="35"/>
      <c r="E910" s="36"/>
      <c r="F910" s="41"/>
      <c r="G910" s="28"/>
    </row>
    <row r="911" spans="1:10">
      <c r="A911" s="28"/>
      <c r="B911" s="28"/>
      <c r="C911" s="48"/>
      <c r="D911" s="29"/>
      <c r="E911" s="30"/>
      <c r="F911" s="31"/>
      <c r="G911" s="28"/>
    </row>
    <row r="912" spans="1:10">
      <c r="A912" s="28"/>
      <c r="B912" s="33"/>
      <c r="C912" s="34" t="s">
        <v>1334</v>
      </c>
      <c r="D912" s="35"/>
      <c r="E912" s="36"/>
      <c r="F912" s="37"/>
      <c r="G912" s="28"/>
    </row>
    <row r="913" spans="1:10" collapsed="1">
      <c r="A913" s="28"/>
      <c r="B913" s="38"/>
      <c r="C913" s="229" t="s">
        <v>2361</v>
      </c>
      <c r="D913" s="29"/>
      <c r="E913" s="30"/>
      <c r="F913" s="39"/>
      <c r="G913" s="28"/>
    </row>
    <row r="914" spans="1:10" hidden="1" outlineLevel="1">
      <c r="A914" s="28"/>
      <c r="B914" s="23" t="s">
        <v>5</v>
      </c>
      <c r="C914" s="24" t="s">
        <v>6</v>
      </c>
      <c r="D914" s="25" t="s">
        <v>4</v>
      </c>
      <c r="E914" s="138" t="s">
        <v>8</v>
      </c>
      <c r="F914" s="26" t="s">
        <v>7</v>
      </c>
      <c r="G914" s="28"/>
    </row>
    <row r="915" spans="1:10" hidden="1" outlineLevel="1">
      <c r="A915" s="28"/>
      <c r="B915" s="1">
        <v>1</v>
      </c>
      <c r="C915" s="5" t="s">
        <v>35</v>
      </c>
      <c r="D915" s="2">
        <v>6</v>
      </c>
      <c r="E915" s="3">
        <v>43167.803877314815</v>
      </c>
      <c r="F915" s="4">
        <v>6.0995370370370366E-2</v>
      </c>
      <c r="G915" s="28"/>
      <c r="J915" t="s">
        <v>44</v>
      </c>
    </row>
    <row r="916" spans="1:10" hidden="1" outlineLevel="1">
      <c r="A916" s="28"/>
      <c r="B916" s="1">
        <v>2</v>
      </c>
      <c r="C916" s="5" t="s">
        <v>204</v>
      </c>
      <c r="D916" s="2">
        <v>99</v>
      </c>
      <c r="E916" s="3">
        <v>43179.876354166663</v>
      </c>
      <c r="F916" s="4">
        <v>4.6504629629629625E-2</v>
      </c>
      <c r="G916" s="28"/>
      <c r="J916" t="s">
        <v>44</v>
      </c>
    </row>
    <row r="917" spans="1:10" hidden="1" outlineLevel="1">
      <c r="A917" s="28"/>
      <c r="B917" s="1">
        <v>3</v>
      </c>
      <c r="C917" s="5" t="s">
        <v>205</v>
      </c>
      <c r="D917" s="2">
        <v>27</v>
      </c>
      <c r="E917" s="3">
        <v>43195.716597222221</v>
      </c>
      <c r="F917" s="4">
        <v>6.598379629629629E-2</v>
      </c>
      <c r="G917" s="28"/>
      <c r="J917" t="s">
        <v>44</v>
      </c>
    </row>
    <row r="918" spans="1:10" hidden="1" outlineLevel="1">
      <c r="A918" s="28"/>
      <c r="B918" s="1">
        <v>4</v>
      </c>
      <c r="C918" s="5" t="s">
        <v>206</v>
      </c>
      <c r="D918" s="2">
        <v>39</v>
      </c>
      <c r="E918" s="3">
        <v>43210.931446759256</v>
      </c>
      <c r="F918" s="4">
        <v>5.8437499999999996E-2</v>
      </c>
      <c r="G918" s="28"/>
      <c r="J918" t="s">
        <v>44</v>
      </c>
    </row>
    <row r="919" spans="1:10" hidden="1" outlineLevel="1">
      <c r="A919" s="28"/>
      <c r="B919" s="1">
        <v>5</v>
      </c>
      <c r="C919" s="5" t="s">
        <v>36</v>
      </c>
      <c r="D919" s="2">
        <v>103</v>
      </c>
      <c r="E919" s="3">
        <v>43238.378229166665</v>
      </c>
      <c r="F919" s="4">
        <v>6.9456018518518514E-2</v>
      </c>
      <c r="G919" s="28"/>
      <c r="J919" t="s">
        <v>44</v>
      </c>
    </row>
    <row r="920" spans="1:10" hidden="1" outlineLevel="1">
      <c r="A920" s="28"/>
      <c r="B920" s="1">
        <v>6</v>
      </c>
      <c r="C920" s="5" t="s">
        <v>37</v>
      </c>
      <c r="D920" s="2">
        <v>18</v>
      </c>
      <c r="E920" s="3">
        <v>43265.588541666664</v>
      </c>
      <c r="F920" s="4">
        <v>7.6111111111111115E-2</v>
      </c>
      <c r="G920" s="28"/>
      <c r="J920" t="s">
        <v>44</v>
      </c>
    </row>
    <row r="921" spans="1:10" hidden="1" outlineLevel="1">
      <c r="A921" s="28"/>
      <c r="B921" s="1">
        <v>7</v>
      </c>
      <c r="C921" s="5" t="s">
        <v>38</v>
      </c>
      <c r="D921" s="2">
        <v>80</v>
      </c>
      <c r="E921" s="3">
        <v>43288.307847222219</v>
      </c>
      <c r="F921" s="4">
        <v>7.2534722222222223E-2</v>
      </c>
      <c r="G921" s="28"/>
      <c r="J921" t="s">
        <v>44</v>
      </c>
    </row>
    <row r="922" spans="1:10" hidden="1" outlineLevel="1">
      <c r="A922" s="28"/>
      <c r="B922" s="1">
        <v>8</v>
      </c>
      <c r="C922" s="5" t="s">
        <v>39</v>
      </c>
      <c r="D922" s="2">
        <v>105</v>
      </c>
      <c r="E922" s="3">
        <v>43311.85528935185</v>
      </c>
      <c r="F922" s="4">
        <v>6.8171296296296299E-2</v>
      </c>
      <c r="G922" s="28"/>
      <c r="J922" t="s">
        <v>44</v>
      </c>
    </row>
    <row r="923" spans="1:10" hidden="1" outlineLevel="1">
      <c r="A923" s="28"/>
      <c r="B923" s="1">
        <v>9</v>
      </c>
      <c r="C923" s="5" t="s">
        <v>40</v>
      </c>
      <c r="D923" s="2">
        <v>5</v>
      </c>
      <c r="E923" s="3">
        <v>43338.351967592593</v>
      </c>
      <c r="F923" s="4">
        <v>7.6574074074074072E-2</v>
      </c>
      <c r="G923" s="28"/>
      <c r="J923" t="s">
        <v>44</v>
      </c>
    </row>
    <row r="924" spans="1:10" hidden="1" outlineLevel="1">
      <c r="A924" s="28"/>
      <c r="B924" s="1">
        <v>10</v>
      </c>
      <c r="C924" s="5" t="s">
        <v>41</v>
      </c>
      <c r="D924" s="2">
        <v>1</v>
      </c>
      <c r="E924" s="3">
        <v>43373.444513888891</v>
      </c>
      <c r="F924" s="4">
        <v>8.2812499999999997E-2</v>
      </c>
      <c r="G924" s="28"/>
      <c r="J924" t="s">
        <v>44</v>
      </c>
    </row>
    <row r="925" spans="1:10" hidden="1" outlineLevel="1">
      <c r="A925" s="28"/>
      <c r="B925" s="1">
        <v>11</v>
      </c>
      <c r="C925" s="5" t="s">
        <v>207</v>
      </c>
      <c r="D925" s="2">
        <v>149</v>
      </c>
      <c r="E925" s="3">
        <v>43403.897349537037</v>
      </c>
      <c r="F925" s="4">
        <v>8.3217592592592593E-2</v>
      </c>
      <c r="G925" s="28"/>
      <c r="J925" t="s">
        <v>44</v>
      </c>
    </row>
    <row r="926" spans="1:10" hidden="1" outlineLevel="1">
      <c r="A926" s="28"/>
      <c r="B926" s="1">
        <v>12</v>
      </c>
      <c r="C926" s="5" t="s">
        <v>208</v>
      </c>
      <c r="D926" s="2">
        <v>98</v>
      </c>
      <c r="E926" s="3">
        <v>43434.778425925928</v>
      </c>
      <c r="F926" s="4">
        <v>6.987268518518519E-2</v>
      </c>
      <c r="G926" s="28"/>
      <c r="J926" t="s">
        <v>44</v>
      </c>
    </row>
    <row r="927" spans="1:10" hidden="1" outlineLevel="1">
      <c r="A927" s="28"/>
      <c r="B927" s="1">
        <v>13</v>
      </c>
      <c r="C927" s="5" t="s">
        <v>571</v>
      </c>
      <c r="D927" s="2">
        <v>109</v>
      </c>
      <c r="E927" s="3">
        <v>43458.447916666664</v>
      </c>
      <c r="F927" s="4">
        <v>4.8923611111111105E-2</v>
      </c>
      <c r="G927" s="28"/>
      <c r="J927" t="s">
        <v>44</v>
      </c>
    </row>
    <row r="928" spans="1:10" hidden="1" outlineLevel="1">
      <c r="A928" s="28"/>
      <c r="B928" s="1">
        <v>14</v>
      </c>
      <c r="C928" s="5" t="s">
        <v>209</v>
      </c>
      <c r="D928" s="2">
        <v>14</v>
      </c>
      <c r="E928" s="3">
        <v>43480.333333333336</v>
      </c>
      <c r="F928" s="4">
        <v>7.6365740740740748E-2</v>
      </c>
      <c r="G928" s="28"/>
      <c r="J928" t="s">
        <v>44</v>
      </c>
    </row>
    <row r="929" spans="1:10" hidden="1" outlineLevel="1">
      <c r="A929" s="28"/>
      <c r="B929" s="1">
        <v>15</v>
      </c>
      <c r="C929" s="5" t="s">
        <v>2447</v>
      </c>
      <c r="D929" s="6" t="s">
        <v>2448</v>
      </c>
      <c r="E929" s="3">
        <v>43498.333333333336</v>
      </c>
      <c r="F929" s="4">
        <v>7.5972222222222219E-2</v>
      </c>
      <c r="G929" s="28"/>
      <c r="J929" t="s">
        <v>44</v>
      </c>
    </row>
    <row r="930" spans="1:10" hidden="1" outlineLevel="1">
      <c r="A930" s="28"/>
      <c r="B930" s="1">
        <v>16</v>
      </c>
      <c r="C930" s="5" t="s">
        <v>42</v>
      </c>
      <c r="D930" s="2">
        <v>84</v>
      </c>
      <c r="E930" s="3">
        <v>43534.830520833333</v>
      </c>
      <c r="F930" s="4" t="s">
        <v>43</v>
      </c>
      <c r="G930" s="28"/>
      <c r="J930" t="s">
        <v>44</v>
      </c>
    </row>
    <row r="931" spans="1:10" hidden="1" outlineLevel="1">
      <c r="A931" s="28"/>
      <c r="B931" s="1">
        <v>17</v>
      </c>
      <c r="C931" s="5" t="s">
        <v>210</v>
      </c>
      <c r="D931" s="2">
        <v>186</v>
      </c>
      <c r="E931" s="3">
        <v>43548.835775462961</v>
      </c>
      <c r="F931" s="4">
        <v>9.0243055555555562E-2</v>
      </c>
      <c r="G931" s="28"/>
      <c r="J931" t="s">
        <v>44</v>
      </c>
    </row>
    <row r="932" spans="1:10" hidden="1" outlineLevel="1">
      <c r="A932" s="28"/>
      <c r="B932" s="1">
        <v>18</v>
      </c>
      <c r="C932" s="5" t="s">
        <v>211</v>
      </c>
      <c r="D932" s="2">
        <v>188</v>
      </c>
      <c r="E932" s="3">
        <v>43585.311643518522</v>
      </c>
      <c r="F932" s="4">
        <v>9.121527777777777E-2</v>
      </c>
      <c r="G932" s="28"/>
      <c r="J932" t="s">
        <v>44</v>
      </c>
    </row>
    <row r="933" spans="1:10" hidden="1" outlineLevel="1">
      <c r="A933" s="28"/>
      <c r="B933" s="1">
        <v>19</v>
      </c>
      <c r="C933" s="5" t="s">
        <v>2871</v>
      </c>
      <c r="D933" s="2">
        <v>0</v>
      </c>
      <c r="E933" s="3">
        <v>43603.404074074075</v>
      </c>
      <c r="F933" s="4">
        <v>5.6145833333333339E-2</v>
      </c>
      <c r="G933" s="28"/>
      <c r="J933" t="s">
        <v>44</v>
      </c>
    </row>
    <row r="934" spans="1:10" hidden="1" outlineLevel="1">
      <c r="A934" s="28"/>
      <c r="B934" s="1">
        <v>20</v>
      </c>
      <c r="C934" s="5" t="s">
        <v>212</v>
      </c>
      <c r="D934" s="2">
        <v>22</v>
      </c>
      <c r="E934" s="3">
        <v>43616.796076388891</v>
      </c>
      <c r="F934" s="4">
        <v>8.7835648148148149E-2</v>
      </c>
      <c r="G934" s="28"/>
      <c r="J934" t="s">
        <v>44</v>
      </c>
    </row>
    <row r="935" spans="1:10" hidden="1" outlineLevel="1">
      <c r="A935" s="28"/>
      <c r="B935" s="1">
        <v>21</v>
      </c>
      <c r="C935" s="5" t="s">
        <v>505</v>
      </c>
      <c r="D935" s="2">
        <v>0</v>
      </c>
      <c r="E935" s="3">
        <v>43632.809386574074</v>
      </c>
      <c r="F935" s="4">
        <v>3.6122685185185181E-2</v>
      </c>
      <c r="G935" s="28"/>
      <c r="J935" t="s">
        <v>44</v>
      </c>
    </row>
    <row r="936" spans="1:10" hidden="1" outlineLevel="1">
      <c r="A936" s="28"/>
      <c r="B936" s="1">
        <v>22</v>
      </c>
      <c r="C936" s="5" t="s">
        <v>415</v>
      </c>
      <c r="D936" s="2">
        <v>33</v>
      </c>
      <c r="E936" s="3">
        <v>43646.367731481485</v>
      </c>
      <c r="F936" s="4">
        <v>7.7569444444444455E-2</v>
      </c>
      <c r="G936" s="28"/>
      <c r="J936" t="s">
        <v>44</v>
      </c>
    </row>
    <row r="937" spans="1:10" hidden="1" outlineLevel="1">
      <c r="A937" s="28"/>
      <c r="B937" s="1">
        <v>23</v>
      </c>
      <c r="C937" s="5" t="s">
        <v>399</v>
      </c>
      <c r="D937" s="2">
        <v>160</v>
      </c>
      <c r="E937" s="3">
        <v>43676.914976851855</v>
      </c>
      <c r="F937" s="4">
        <v>7.1956018518518516E-2</v>
      </c>
      <c r="G937" s="28"/>
      <c r="J937" t="s">
        <v>44</v>
      </c>
    </row>
    <row r="938" spans="1:10" hidden="1" outlineLevel="1">
      <c r="A938" s="28"/>
      <c r="B938" s="1">
        <v>24</v>
      </c>
      <c r="C938" s="5" t="s">
        <v>400</v>
      </c>
      <c r="D938" s="2">
        <v>48</v>
      </c>
      <c r="E938" s="3">
        <v>43708.34988425926</v>
      </c>
      <c r="F938" s="4">
        <v>7.6979166666666668E-2</v>
      </c>
      <c r="G938" s="28"/>
      <c r="J938" t="s">
        <v>44</v>
      </c>
    </row>
    <row r="939" spans="1:10" hidden="1" outlineLevel="1">
      <c r="A939" s="28"/>
      <c r="B939" s="1">
        <v>25</v>
      </c>
      <c r="C939" s="5" t="s">
        <v>401</v>
      </c>
      <c r="D939" s="2">
        <v>21</v>
      </c>
      <c r="E939" s="3">
        <v>43738.622152777774</v>
      </c>
      <c r="F939" s="4">
        <v>8.9745370370370378E-2</v>
      </c>
      <c r="G939" s="28"/>
      <c r="J939" t="s">
        <v>44</v>
      </c>
    </row>
    <row r="940" spans="1:10" hidden="1" outlineLevel="1">
      <c r="A940" s="28"/>
      <c r="B940" s="1">
        <v>26</v>
      </c>
      <c r="C940" s="5" t="s">
        <v>507</v>
      </c>
      <c r="D940" s="2">
        <v>74</v>
      </c>
      <c r="E940" s="3">
        <v>43765.408518518518</v>
      </c>
      <c r="F940" s="4">
        <v>6.8101851851851858E-2</v>
      </c>
      <c r="G940" s="28"/>
      <c r="J940" t="s">
        <v>44</v>
      </c>
    </row>
    <row r="941" spans="1:10" hidden="1" outlineLevel="1">
      <c r="A941" s="28"/>
      <c r="B941" s="1">
        <v>27</v>
      </c>
      <c r="C941" s="5" t="s">
        <v>511</v>
      </c>
      <c r="D941" s="2">
        <v>72</v>
      </c>
      <c r="E941" s="3">
        <v>43799.770960648151</v>
      </c>
      <c r="F941" s="4">
        <v>7.5578703703703703E-2</v>
      </c>
      <c r="G941" s="28"/>
      <c r="J941" t="s">
        <v>44</v>
      </c>
    </row>
    <row r="942" spans="1:10" hidden="1" outlineLevel="1">
      <c r="A942" s="28"/>
      <c r="B942" s="1">
        <v>28</v>
      </c>
      <c r="C942" s="5" t="s">
        <v>515</v>
      </c>
      <c r="D942" s="2">
        <v>0</v>
      </c>
      <c r="E942" s="3">
        <v>43808.657719907409</v>
      </c>
      <c r="F942" s="4">
        <v>1.5740740740740741E-3</v>
      </c>
      <c r="G942" s="28"/>
      <c r="J942" t="s">
        <v>44</v>
      </c>
    </row>
    <row r="943" spans="1:10" hidden="1" outlineLevel="1">
      <c r="A943" s="28"/>
      <c r="B943" s="1">
        <v>29</v>
      </c>
      <c r="C943" s="5" t="s">
        <v>570</v>
      </c>
      <c r="D943" s="2">
        <v>200</v>
      </c>
      <c r="E943" s="3">
        <v>43827.779618055552</v>
      </c>
      <c r="F943" s="4">
        <v>3.6168981481481483E-2</v>
      </c>
      <c r="G943" s="28"/>
      <c r="J943" t="s">
        <v>44</v>
      </c>
    </row>
    <row r="944" spans="1:10" hidden="1" outlineLevel="1">
      <c r="A944" s="28"/>
      <c r="B944" s="1">
        <v>30</v>
      </c>
      <c r="C944" s="5" t="s">
        <v>582</v>
      </c>
      <c r="D944" s="2">
        <v>9</v>
      </c>
      <c r="E944" s="3">
        <v>43861.291666666664</v>
      </c>
      <c r="F944" s="4">
        <v>7.3460648148148136E-2</v>
      </c>
      <c r="G944" s="28"/>
      <c r="J944" t="s">
        <v>44</v>
      </c>
    </row>
    <row r="945" spans="1:10" hidden="1" outlineLevel="1">
      <c r="A945" s="28"/>
      <c r="B945" s="1">
        <v>31</v>
      </c>
      <c r="C945" s="5" t="s">
        <v>581</v>
      </c>
      <c r="D945" s="2">
        <v>0</v>
      </c>
      <c r="E945" s="3">
        <v>43872.971122685187</v>
      </c>
      <c r="F945" s="4">
        <v>0</v>
      </c>
      <c r="G945" s="28"/>
      <c r="J945" t="s">
        <v>44</v>
      </c>
    </row>
    <row r="946" spans="1:10" hidden="1" outlineLevel="1">
      <c r="A946" s="28"/>
      <c r="B946" s="1">
        <v>32</v>
      </c>
      <c r="C946" s="5" t="s">
        <v>583</v>
      </c>
      <c r="D946" s="2">
        <v>110</v>
      </c>
      <c r="E946" s="3">
        <v>43890.871307870373</v>
      </c>
      <c r="F946" s="4">
        <v>7.059027777777778E-2</v>
      </c>
      <c r="G946" s="28"/>
      <c r="J946" t="s">
        <v>44</v>
      </c>
    </row>
    <row r="947" spans="1:10" hidden="1" outlineLevel="1">
      <c r="A947" s="28"/>
      <c r="B947" s="1">
        <v>33</v>
      </c>
      <c r="C947" s="5" t="s">
        <v>585</v>
      </c>
      <c r="D947" s="2">
        <v>170</v>
      </c>
      <c r="E947" s="3">
        <v>43920.859178240738</v>
      </c>
      <c r="F947" s="4">
        <v>9.1643518518518527E-2</v>
      </c>
      <c r="G947" s="28"/>
      <c r="J947" t="s">
        <v>44</v>
      </c>
    </row>
    <row r="948" spans="1:10" hidden="1" outlineLevel="1">
      <c r="A948" s="28"/>
      <c r="B948" s="1">
        <v>34</v>
      </c>
      <c r="C948" s="5" t="s">
        <v>594</v>
      </c>
      <c r="D948" s="2">
        <v>45</v>
      </c>
      <c r="E948" s="3">
        <v>43951.333333333336</v>
      </c>
      <c r="F948" s="4">
        <v>8.0173611111111112E-2</v>
      </c>
      <c r="G948" s="28"/>
      <c r="J948" t="s">
        <v>44</v>
      </c>
    </row>
    <row r="949" spans="1:10" hidden="1" outlineLevel="1">
      <c r="A949" s="28"/>
      <c r="B949" s="1">
        <v>35</v>
      </c>
      <c r="C949" s="5" t="s">
        <v>608</v>
      </c>
      <c r="D949" s="2">
        <v>24</v>
      </c>
      <c r="E949" s="3">
        <v>43982.333333333336</v>
      </c>
      <c r="F949" s="4">
        <v>9.0648148148148144E-2</v>
      </c>
      <c r="G949" s="28"/>
      <c r="J949" t="s">
        <v>44</v>
      </c>
    </row>
    <row r="950" spans="1:10" hidden="1" outlineLevel="1">
      <c r="A950" s="28"/>
      <c r="B950" s="1">
        <v>36</v>
      </c>
      <c r="C950" s="5" t="s">
        <v>610</v>
      </c>
      <c r="D950" s="2">
        <v>26</v>
      </c>
      <c r="E950" s="3">
        <v>44012.75</v>
      </c>
      <c r="F950" s="4">
        <v>0.10005787037037038</v>
      </c>
      <c r="G950" s="28"/>
      <c r="J950" t="s">
        <v>44</v>
      </c>
    </row>
    <row r="951" spans="1:10" hidden="1" outlineLevel="1">
      <c r="A951" s="28"/>
      <c r="B951" s="1">
        <v>37</v>
      </c>
      <c r="C951" s="5" t="s">
        <v>750</v>
      </c>
      <c r="D951" s="2">
        <v>101</v>
      </c>
      <c r="E951" s="3">
        <v>44043.438692129632</v>
      </c>
      <c r="F951" s="4">
        <v>9.8090277777777776E-2</v>
      </c>
      <c r="G951" s="28"/>
      <c r="J951" t="s">
        <v>44</v>
      </c>
    </row>
    <row r="952" spans="1:10" hidden="1" outlineLevel="1">
      <c r="A952" s="28"/>
      <c r="B952" s="1">
        <v>38</v>
      </c>
      <c r="C952" s="5" t="s">
        <v>759</v>
      </c>
      <c r="D952" s="2">
        <v>106</v>
      </c>
      <c r="E952" s="3">
        <v>44074.25</v>
      </c>
      <c r="F952" s="4">
        <v>9.0520833333333328E-2</v>
      </c>
      <c r="G952" s="28"/>
      <c r="J952" t="s">
        <v>44</v>
      </c>
    </row>
    <row r="953" spans="1:10" hidden="1" outlineLevel="1">
      <c r="A953" s="28"/>
      <c r="B953" s="1">
        <v>39</v>
      </c>
      <c r="C953" s="5" t="s">
        <v>1301</v>
      </c>
      <c r="D953" s="2">
        <v>162</v>
      </c>
      <c r="E953" s="3">
        <v>44105.830972222226</v>
      </c>
      <c r="F953" s="4">
        <v>9.2615740740740748E-2</v>
      </c>
      <c r="G953" s="28"/>
      <c r="J953" t="s">
        <v>44</v>
      </c>
    </row>
    <row r="954" spans="1:10" hidden="1" outlineLevel="1">
      <c r="A954" s="28"/>
      <c r="B954" s="1">
        <v>40</v>
      </c>
      <c r="C954" s="5" t="s">
        <v>1320</v>
      </c>
      <c r="D954" s="2">
        <v>114</v>
      </c>
      <c r="E954" s="3">
        <v>44135.000694444447</v>
      </c>
      <c r="F954" s="4">
        <v>0.10315972222222221</v>
      </c>
      <c r="G954" s="28"/>
      <c r="J954" t="s">
        <v>44</v>
      </c>
    </row>
    <row r="955" spans="1:10" hidden="1" outlineLevel="1">
      <c r="A955" s="28"/>
      <c r="B955" s="1">
        <v>41</v>
      </c>
      <c r="C955" s="5" t="s">
        <v>1389</v>
      </c>
      <c r="D955" s="2">
        <v>31</v>
      </c>
      <c r="E955" s="3">
        <v>44165.611539351848</v>
      </c>
      <c r="F955" s="4">
        <v>0.10039351851851852</v>
      </c>
      <c r="G955" s="28"/>
      <c r="J955" t="s">
        <v>44</v>
      </c>
    </row>
    <row r="956" spans="1:10" hidden="1" outlineLevel="1">
      <c r="A956" s="28"/>
      <c r="B956" s="1">
        <v>42</v>
      </c>
      <c r="C956" s="5" t="s">
        <v>1545</v>
      </c>
      <c r="D956" s="2">
        <v>152</v>
      </c>
      <c r="E956" s="3">
        <v>44196.681180555555</v>
      </c>
      <c r="F956" s="4">
        <v>9.5578703703703694E-2</v>
      </c>
      <c r="G956" s="28"/>
      <c r="J956" t="s">
        <v>44</v>
      </c>
    </row>
    <row r="957" spans="1:10" hidden="1" outlineLevel="1">
      <c r="A957" s="28"/>
      <c r="B957" s="1">
        <v>43</v>
      </c>
      <c r="C957" s="5" t="s">
        <v>1583</v>
      </c>
      <c r="D957" s="2">
        <v>169</v>
      </c>
      <c r="E957" s="3">
        <v>44227.416666666664</v>
      </c>
      <c r="F957" s="4">
        <v>9.0405092592592592E-2</v>
      </c>
      <c r="G957" s="28"/>
      <c r="J957" t="s">
        <v>44</v>
      </c>
    </row>
    <row r="958" spans="1:10" hidden="1" outlineLevel="1">
      <c r="A958" s="28"/>
      <c r="B958" s="1">
        <v>44</v>
      </c>
      <c r="C958" s="5" t="s">
        <v>1585</v>
      </c>
      <c r="D958" s="2">
        <v>7</v>
      </c>
      <c r="E958" s="3">
        <v>44255.003472222219</v>
      </c>
      <c r="F958" s="4">
        <v>9.2303240740740741E-2</v>
      </c>
      <c r="G958" s="28"/>
      <c r="J958" t="s">
        <v>44</v>
      </c>
    </row>
    <row r="959" spans="1:10" hidden="1" outlineLevel="1">
      <c r="A959" s="28"/>
      <c r="B959" s="1">
        <v>45</v>
      </c>
      <c r="C959" s="5" t="s">
        <v>1608</v>
      </c>
      <c r="D959" s="2">
        <v>165</v>
      </c>
      <c r="E959" s="3">
        <v>44286.25</v>
      </c>
      <c r="F959" s="4">
        <v>0.10032407407407407</v>
      </c>
      <c r="G959" s="28"/>
      <c r="J959" t="s">
        <v>44</v>
      </c>
    </row>
    <row r="960" spans="1:10" hidden="1" outlineLevel="1">
      <c r="A960" s="28"/>
      <c r="B960" s="1">
        <v>46</v>
      </c>
      <c r="C960" s="5" t="s">
        <v>1611</v>
      </c>
      <c r="D960" s="2">
        <v>0</v>
      </c>
      <c r="E960" s="3">
        <v>44286.350694444445</v>
      </c>
      <c r="F960" s="4">
        <v>8.4027777777777781E-3</v>
      </c>
      <c r="G960" s="28"/>
      <c r="J960" t="s">
        <v>44</v>
      </c>
    </row>
    <row r="961" spans="1:10" hidden="1" outlineLevel="1">
      <c r="A961" s="28"/>
      <c r="B961" s="1">
        <v>47</v>
      </c>
      <c r="C961" s="5" t="s">
        <v>1636</v>
      </c>
      <c r="D961" s="2">
        <v>78</v>
      </c>
      <c r="E961" s="3">
        <v>44316.3125</v>
      </c>
      <c r="F961" s="4">
        <v>9.28587962962963E-2</v>
      </c>
      <c r="G961" s="28"/>
      <c r="J961" t="s">
        <v>44</v>
      </c>
    </row>
    <row r="962" spans="1:10" hidden="1" outlineLevel="1">
      <c r="A962" s="28"/>
      <c r="B962" s="1">
        <v>48</v>
      </c>
      <c r="C962" s="5" t="s">
        <v>1737</v>
      </c>
      <c r="D962" s="2">
        <v>0</v>
      </c>
      <c r="E962" s="3">
        <v>44326.5</v>
      </c>
      <c r="F962" s="4">
        <v>0.11233796296296296</v>
      </c>
      <c r="G962" s="28"/>
      <c r="J962" t="s">
        <v>44</v>
      </c>
    </row>
    <row r="963" spans="1:10" hidden="1" outlineLevel="1">
      <c r="A963" s="28"/>
      <c r="B963" s="1">
        <v>49</v>
      </c>
      <c r="C963" s="5" t="s">
        <v>1756</v>
      </c>
      <c r="D963" s="2">
        <v>35</v>
      </c>
      <c r="E963" s="3">
        <v>44347.25</v>
      </c>
      <c r="F963" s="4">
        <v>0.10001157407407407</v>
      </c>
      <c r="G963" s="28"/>
      <c r="J963" t="s">
        <v>44</v>
      </c>
    </row>
    <row r="964" spans="1:10" hidden="1" outlineLevel="1">
      <c r="A964" s="28"/>
      <c r="B964" s="1">
        <v>50</v>
      </c>
      <c r="C964" s="5" t="s">
        <v>1808</v>
      </c>
      <c r="D964" s="2">
        <v>73</v>
      </c>
      <c r="E964" s="3">
        <v>44377.333333333336</v>
      </c>
      <c r="F964" s="4">
        <v>9.6261574074074083E-2</v>
      </c>
      <c r="G964" s="28"/>
      <c r="J964" t="s">
        <v>44</v>
      </c>
    </row>
    <row r="965" spans="1:10" hidden="1" outlineLevel="1">
      <c r="A965" s="28"/>
      <c r="B965" s="1">
        <v>51</v>
      </c>
      <c r="C965" s="5" t="s">
        <v>1812</v>
      </c>
      <c r="D965" s="2">
        <v>173</v>
      </c>
      <c r="E965" s="3">
        <v>44408.020833333336</v>
      </c>
      <c r="F965" s="4">
        <v>0.10298611111111111</v>
      </c>
      <c r="G965" s="28"/>
      <c r="J965" t="s">
        <v>44</v>
      </c>
    </row>
    <row r="966" spans="1:10" hidden="1" outlineLevel="1">
      <c r="A966" s="28"/>
      <c r="B966" s="1">
        <v>52</v>
      </c>
      <c r="C966" s="5" t="s">
        <v>1889</v>
      </c>
      <c r="D966" s="2">
        <v>86</v>
      </c>
      <c r="E966" s="3">
        <v>44439.701388888891</v>
      </c>
      <c r="F966" s="4">
        <v>9.2060185185185175E-2</v>
      </c>
      <c r="G966" s="28"/>
      <c r="J966" t="s">
        <v>44</v>
      </c>
    </row>
    <row r="967" spans="1:10" hidden="1" outlineLevel="1">
      <c r="A967" s="28"/>
      <c r="B967" s="1">
        <v>53</v>
      </c>
      <c r="C967" s="5" t="s">
        <v>1915</v>
      </c>
      <c r="D967" s="2">
        <v>19</v>
      </c>
      <c r="E967" s="3">
        <v>44469.75</v>
      </c>
      <c r="F967" s="4">
        <v>9.4548611111111111E-2</v>
      </c>
      <c r="G967" s="28"/>
      <c r="J967" t="s">
        <v>44</v>
      </c>
    </row>
    <row r="968" spans="1:10" hidden="1" outlineLevel="1">
      <c r="A968" s="28"/>
      <c r="B968" s="1">
        <v>54</v>
      </c>
      <c r="C968" s="5" t="s">
        <v>2210</v>
      </c>
      <c r="D968" s="2">
        <v>82</v>
      </c>
      <c r="E968" s="3">
        <v>44500.006944444445</v>
      </c>
      <c r="F968" s="4">
        <v>0.12005787037037037</v>
      </c>
      <c r="G968" s="28"/>
      <c r="J968" t="s">
        <v>44</v>
      </c>
    </row>
    <row r="969" spans="1:10" hidden="1" outlineLevel="1">
      <c r="A969" s="28"/>
      <c r="B969" s="1">
        <v>55</v>
      </c>
      <c r="C969" s="5" t="s">
        <v>2509</v>
      </c>
      <c r="D969" s="6" t="s">
        <v>369</v>
      </c>
      <c r="E969" s="3">
        <v>44530.75</v>
      </c>
      <c r="F969" s="4">
        <v>9.3425925925925926E-2</v>
      </c>
      <c r="G969" s="28"/>
      <c r="J969" t="s">
        <v>44</v>
      </c>
    </row>
    <row r="970" spans="1:10" hidden="1" outlineLevel="1">
      <c r="A970" s="28"/>
      <c r="B970" s="1">
        <v>56</v>
      </c>
      <c r="C970" s="5" t="s">
        <v>2648</v>
      </c>
      <c r="D970" s="6">
        <v>0</v>
      </c>
      <c r="E970" s="3">
        <v>44554.000694444447</v>
      </c>
      <c r="F970" s="4">
        <v>8.8425925925925911E-3</v>
      </c>
      <c r="G970" s="28"/>
      <c r="J970" t="s">
        <v>44</v>
      </c>
    </row>
    <row r="971" spans="1:10" hidden="1" outlineLevel="1">
      <c r="A971" s="28"/>
      <c r="B971" s="1">
        <v>57</v>
      </c>
      <c r="C971" s="5" t="s">
        <v>2598</v>
      </c>
      <c r="D971" s="2">
        <v>89</v>
      </c>
      <c r="E971" s="3">
        <v>44591.6875</v>
      </c>
      <c r="F971" s="4">
        <v>0.10025462962962962</v>
      </c>
      <c r="G971" s="28"/>
      <c r="J971" t="s">
        <v>44</v>
      </c>
    </row>
    <row r="972" spans="1:10" hidden="1" outlineLevel="1">
      <c r="A972" s="28"/>
      <c r="B972" s="1">
        <v>58</v>
      </c>
      <c r="C972" s="5" t="s">
        <v>2701</v>
      </c>
      <c r="D972" s="6">
        <v>76</v>
      </c>
      <c r="E972" s="3">
        <v>44620.25</v>
      </c>
      <c r="F972" s="4">
        <v>0.10909722222222222</v>
      </c>
      <c r="G972" s="28"/>
      <c r="J972" t="s">
        <v>44</v>
      </c>
    </row>
    <row r="973" spans="1:10" hidden="1" outlineLevel="1">
      <c r="A973" s="28"/>
      <c r="B973" s="1">
        <v>59</v>
      </c>
      <c r="C973" s="5" t="s">
        <v>2859</v>
      </c>
      <c r="D973" s="6">
        <v>2</v>
      </c>
      <c r="E973" s="3">
        <v>44651.25</v>
      </c>
      <c r="F973" s="4">
        <v>0.10582175925925925</v>
      </c>
      <c r="G973" s="28"/>
      <c r="J973" t="s">
        <v>44</v>
      </c>
    </row>
    <row r="974" spans="1:10" hidden="1" outlineLevel="1">
      <c r="A974" s="28"/>
      <c r="B974" s="1">
        <v>60</v>
      </c>
      <c r="C974" s="5" t="s">
        <v>2888</v>
      </c>
      <c r="D974" s="2">
        <v>136</v>
      </c>
      <c r="E974" s="3">
        <v>44681.25</v>
      </c>
      <c r="F974" s="4">
        <v>9.3738425925925919E-2</v>
      </c>
      <c r="G974" s="28"/>
      <c r="J974" t="s">
        <v>44</v>
      </c>
    </row>
    <row r="975" spans="1:10" hidden="1" outlineLevel="1">
      <c r="A975" s="28"/>
      <c r="B975" s="1">
        <v>61</v>
      </c>
      <c r="C975" s="5" t="s">
        <v>2935</v>
      </c>
      <c r="D975" s="2">
        <v>51</v>
      </c>
      <c r="E975" s="3">
        <v>44712.6875</v>
      </c>
      <c r="F975" s="4">
        <v>9.2893518518518514E-2</v>
      </c>
      <c r="G975" s="28"/>
      <c r="J975" t="s">
        <v>44</v>
      </c>
    </row>
    <row r="976" spans="1:10" hidden="1" outlineLevel="1">
      <c r="A976" s="28"/>
      <c r="B976" s="1">
        <v>62</v>
      </c>
      <c r="C976" s="5" t="s">
        <v>2974</v>
      </c>
      <c r="D976" s="2">
        <v>104</v>
      </c>
      <c r="E976" s="3">
        <v>44742.770833333336</v>
      </c>
      <c r="F976" s="4">
        <v>0.10979166666666666</v>
      </c>
      <c r="G976" s="28"/>
      <c r="J976" t="s">
        <v>44</v>
      </c>
    </row>
    <row r="977" spans="1:10" hidden="1" outlineLevel="1">
      <c r="A977" s="28"/>
      <c r="B977" s="1">
        <v>63</v>
      </c>
      <c r="C977" s="5" t="s">
        <v>2993</v>
      </c>
      <c r="D977" s="2">
        <v>216</v>
      </c>
      <c r="E977" s="3">
        <v>44773.003472222219</v>
      </c>
      <c r="F977" s="4">
        <v>7.4745370370370365E-2</v>
      </c>
      <c r="G977" s="28"/>
      <c r="J977" t="s">
        <v>44</v>
      </c>
    </row>
    <row r="978" spans="1:10" hidden="1" outlineLevel="1">
      <c r="A978" s="28"/>
      <c r="B978" s="1">
        <v>64</v>
      </c>
      <c r="C978" s="5" t="s">
        <v>2994</v>
      </c>
      <c r="D978" s="2">
        <v>91</v>
      </c>
      <c r="E978" s="3">
        <v>44804.333333333336</v>
      </c>
      <c r="F978" s="4">
        <v>9.3055555555555558E-2</v>
      </c>
      <c r="G978" s="28"/>
      <c r="J978" t="s">
        <v>44</v>
      </c>
    </row>
    <row r="979" spans="1:10" hidden="1" outlineLevel="1">
      <c r="A979" s="28"/>
      <c r="B979" s="1">
        <v>65</v>
      </c>
      <c r="C979" s="5" t="s">
        <v>3057</v>
      </c>
      <c r="D979" s="2">
        <v>30</v>
      </c>
      <c r="E979" s="3">
        <v>44834.75</v>
      </c>
      <c r="F979" s="4">
        <v>0.10826388888888888</v>
      </c>
      <c r="G979" s="28"/>
      <c r="J979" t="s">
        <v>44</v>
      </c>
    </row>
    <row r="980" spans="1:10" hidden="1" outlineLevel="1">
      <c r="A980" s="28"/>
      <c r="B980" s="1">
        <v>66</v>
      </c>
      <c r="C980" s="5" t="s">
        <v>3075</v>
      </c>
      <c r="D980" s="2">
        <v>79</v>
      </c>
      <c r="E980" s="3">
        <v>44865.181944444441</v>
      </c>
      <c r="F980" s="4">
        <v>0.10706018518518519</v>
      </c>
      <c r="G980" s="28"/>
      <c r="J980" t="s">
        <v>44</v>
      </c>
    </row>
    <row r="981" spans="1:10" hidden="1" outlineLevel="1">
      <c r="A981" s="28"/>
      <c r="B981" s="7">
        <v>67</v>
      </c>
      <c r="C981" s="5" t="s">
        <v>3291</v>
      </c>
      <c r="D981" s="27">
        <v>0</v>
      </c>
      <c r="E981" s="10">
        <v>44902.75</v>
      </c>
      <c r="F981" s="11">
        <v>7.0069444444444448E-2</v>
      </c>
      <c r="G981" s="28"/>
      <c r="J981" t="s">
        <v>44</v>
      </c>
    </row>
    <row r="982" spans="1:10">
      <c r="A982" s="28"/>
      <c r="B982" s="40"/>
      <c r="C982" s="40"/>
      <c r="D982" s="35"/>
      <c r="E982" s="36"/>
      <c r="F982" s="41"/>
      <c r="G982" s="28"/>
    </row>
    <row r="983" spans="1:10">
      <c r="A983" s="28"/>
      <c r="B983" s="28"/>
      <c r="C983" s="28"/>
      <c r="D983" s="29"/>
      <c r="E983" s="30"/>
      <c r="F983" s="31"/>
      <c r="G983" s="28"/>
    </row>
    <row r="984" spans="1:10">
      <c r="A984" s="28"/>
      <c r="B984" s="33"/>
      <c r="C984" s="34" t="s">
        <v>1311</v>
      </c>
      <c r="D984" s="35"/>
      <c r="E984" s="36"/>
      <c r="F984" s="37"/>
      <c r="G984" s="28"/>
    </row>
    <row r="985" spans="1:10" collapsed="1">
      <c r="A985" s="28"/>
      <c r="B985" s="38"/>
      <c r="C985" s="229" t="s">
        <v>14</v>
      </c>
      <c r="D985" s="29"/>
      <c r="E985" s="30"/>
      <c r="F985" s="39"/>
      <c r="G985" s="28"/>
    </row>
    <row r="986" spans="1:10" hidden="1" outlineLevel="1">
      <c r="A986" s="28"/>
      <c r="B986" s="23" t="s">
        <v>5</v>
      </c>
      <c r="C986" s="24" t="s">
        <v>6</v>
      </c>
      <c r="D986" s="25" t="s">
        <v>4</v>
      </c>
      <c r="E986" s="138" t="s">
        <v>8</v>
      </c>
      <c r="F986" s="26" t="s">
        <v>7</v>
      </c>
      <c r="G986" s="28"/>
    </row>
    <row r="987" spans="1:10" hidden="1" outlineLevel="1">
      <c r="A987" s="28"/>
      <c r="B987" s="1">
        <v>1</v>
      </c>
      <c r="C987" s="5" t="s">
        <v>23</v>
      </c>
      <c r="D987" s="6" t="s">
        <v>20</v>
      </c>
      <c r="E987" s="3">
        <v>43433</v>
      </c>
      <c r="F987" s="4">
        <v>7.1678240740740737E-2</v>
      </c>
      <c r="G987" s="28"/>
      <c r="J987" t="s">
        <v>1229</v>
      </c>
    </row>
    <row r="988" spans="1:10" hidden="1" outlineLevel="1">
      <c r="A988" s="28"/>
      <c r="B988" s="1">
        <v>2</v>
      </c>
      <c r="C988" s="5" t="s">
        <v>24</v>
      </c>
      <c r="D988" s="6" t="s">
        <v>17</v>
      </c>
      <c r="E988" s="3">
        <v>43433</v>
      </c>
      <c r="F988" s="4">
        <v>5.9027777777777783E-2</v>
      </c>
      <c r="G988" s="28"/>
      <c r="J988" t="s">
        <v>1229</v>
      </c>
    </row>
    <row r="989" spans="1:10" hidden="1" outlineLevel="1">
      <c r="A989" s="28"/>
      <c r="B989" s="1">
        <v>3</v>
      </c>
      <c r="C989" s="5" t="s">
        <v>25</v>
      </c>
      <c r="D989" s="6" t="s">
        <v>21</v>
      </c>
      <c r="E989" s="3">
        <v>43434</v>
      </c>
      <c r="F989" s="4">
        <v>7.2962962962962966E-2</v>
      </c>
      <c r="G989" s="28"/>
      <c r="J989" t="s">
        <v>1229</v>
      </c>
    </row>
    <row r="990" spans="1:10" hidden="1" outlineLevel="1">
      <c r="A990" s="28"/>
      <c r="B990" s="1">
        <v>4</v>
      </c>
      <c r="C990" s="5" t="s">
        <v>26</v>
      </c>
      <c r="D990" s="6" t="s">
        <v>16</v>
      </c>
      <c r="E990" s="3">
        <v>43439</v>
      </c>
      <c r="F990" s="4">
        <v>5.873842592592593E-2</v>
      </c>
      <c r="G990" s="28"/>
      <c r="J990" t="s">
        <v>1229</v>
      </c>
    </row>
    <row r="991" spans="1:10" hidden="1" outlineLevel="1">
      <c r="A991" s="28"/>
      <c r="B991" s="1">
        <v>5</v>
      </c>
      <c r="C991" s="5" t="s">
        <v>27</v>
      </c>
      <c r="D991" s="6" t="s">
        <v>19</v>
      </c>
      <c r="E991" s="3">
        <v>43443</v>
      </c>
      <c r="F991" s="4">
        <v>6.9386574074074073E-2</v>
      </c>
      <c r="G991" s="28"/>
      <c r="J991" t="s">
        <v>1229</v>
      </c>
    </row>
    <row r="992" spans="1:10" hidden="1" outlineLevel="1">
      <c r="A992" s="28"/>
      <c r="B992" s="1">
        <v>6</v>
      </c>
      <c r="C992" s="5" t="s">
        <v>28</v>
      </c>
      <c r="D992" s="6" t="s">
        <v>15</v>
      </c>
      <c r="E992" s="3">
        <v>43450</v>
      </c>
      <c r="F992" s="4">
        <v>6.6145833333333334E-2</v>
      </c>
      <c r="G992" s="28"/>
      <c r="J992" t="s">
        <v>1229</v>
      </c>
    </row>
    <row r="993" spans="1:17" hidden="1" outlineLevel="1">
      <c r="A993" s="28"/>
      <c r="B993" s="1">
        <v>7</v>
      </c>
      <c r="C993" s="5" t="s">
        <v>29</v>
      </c>
      <c r="D993" s="6" t="s">
        <v>18</v>
      </c>
      <c r="E993" s="3">
        <v>43471</v>
      </c>
      <c r="F993" s="4">
        <v>5.8564814814814813E-2</v>
      </c>
      <c r="G993" s="28"/>
      <c r="J993" t="s">
        <v>1229</v>
      </c>
    </row>
    <row r="994" spans="1:17" hidden="1" outlineLevel="1">
      <c r="A994" s="28"/>
      <c r="B994" s="1">
        <v>8</v>
      </c>
      <c r="C994" s="5" t="s">
        <v>30</v>
      </c>
      <c r="D994" s="6" t="s">
        <v>22</v>
      </c>
      <c r="E994" s="3">
        <v>43552</v>
      </c>
      <c r="F994" s="4">
        <v>6.5277777777777782E-2</v>
      </c>
      <c r="G994" s="28"/>
      <c r="J994" t="s">
        <v>1229</v>
      </c>
    </row>
    <row r="995" spans="1:17" hidden="1" outlineLevel="1">
      <c r="A995" s="28"/>
      <c r="B995" s="81">
        <v>9</v>
      </c>
      <c r="C995" s="77" t="s">
        <v>3159</v>
      </c>
      <c r="D995" s="168">
        <v>0</v>
      </c>
      <c r="E995" s="549">
        <v>43552</v>
      </c>
      <c r="F995" s="84">
        <v>0</v>
      </c>
      <c r="G995" s="28"/>
      <c r="J995" t="s">
        <v>1229</v>
      </c>
    </row>
    <row r="996" spans="1:17">
      <c r="A996" s="28"/>
      <c r="B996" s="40"/>
      <c r="C996" s="40"/>
      <c r="D996" s="35"/>
      <c r="E996" s="36"/>
      <c r="F996" s="41"/>
      <c r="G996" s="28"/>
    </row>
    <row r="997" spans="1:17">
      <c r="A997" s="28"/>
      <c r="B997" s="28"/>
      <c r="C997" s="28"/>
      <c r="D997" s="29"/>
      <c r="E997" s="30"/>
      <c r="F997" s="30"/>
      <c r="G997" s="28"/>
    </row>
    <row r="998" spans="1:17">
      <c r="A998" s="28"/>
      <c r="B998" s="33"/>
      <c r="C998" s="34" t="s">
        <v>1310</v>
      </c>
      <c r="D998" s="35"/>
      <c r="E998" s="36"/>
      <c r="F998" s="476" t="str">
        <f>HYPERLINK("#"&amp;G998,"Teilnehmer")</f>
        <v>Teilnehmer</v>
      </c>
      <c r="G998" s="104" t="str">
        <f>"O"&amp;ROW()+7</f>
        <v>O1005</v>
      </c>
    </row>
    <row r="999" spans="1:17" collapsed="1">
      <c r="A999" s="28"/>
      <c r="B999" s="38"/>
      <c r="C999" s="229" t="s">
        <v>2367</v>
      </c>
      <c r="D999" s="49"/>
      <c r="E999" s="30"/>
      <c r="F999" s="39"/>
      <c r="G999" s="28"/>
    </row>
    <row r="1000" spans="1:17" hidden="1" outlineLevel="1">
      <c r="A1000" s="28"/>
      <c r="B1000" s="23" t="s">
        <v>5</v>
      </c>
      <c r="C1000" s="24" t="s">
        <v>6</v>
      </c>
      <c r="D1000" s="25" t="s">
        <v>4</v>
      </c>
      <c r="E1000" s="138" t="s">
        <v>8</v>
      </c>
      <c r="F1000" s="26" t="s">
        <v>7</v>
      </c>
      <c r="G1000" s="28"/>
    </row>
    <row r="1001" spans="1:17" hidden="1" outlineLevel="1">
      <c r="A1001" s="28"/>
      <c r="B1001" s="533">
        <v>1</v>
      </c>
      <c r="C1001" s="534" t="s">
        <v>1836</v>
      </c>
      <c r="D1001" s="535">
        <v>11</v>
      </c>
      <c r="E1001" s="543">
        <v>43472.710543981484</v>
      </c>
      <c r="F1001" s="536">
        <v>9.0069444444444438E-2</v>
      </c>
      <c r="G1001" s="28"/>
      <c r="J1001" t="s">
        <v>199</v>
      </c>
    </row>
    <row r="1002" spans="1:17" hidden="1" outlineLevel="1">
      <c r="A1002" s="28"/>
      <c r="B1002" s="533">
        <v>2</v>
      </c>
      <c r="C1002" s="534" t="s">
        <v>1835</v>
      </c>
      <c r="D1002" s="535">
        <v>2</v>
      </c>
      <c r="E1002" s="543">
        <v>43498.956504629627</v>
      </c>
      <c r="F1002" s="536">
        <v>6.6724537037037041E-2</v>
      </c>
      <c r="G1002" s="28"/>
      <c r="J1002" t="s">
        <v>199</v>
      </c>
    </row>
    <row r="1003" spans="1:17" hidden="1" outlineLevel="1">
      <c r="A1003" s="28"/>
      <c r="B1003" s="1">
        <v>3</v>
      </c>
      <c r="C1003" s="5" t="s">
        <v>419</v>
      </c>
      <c r="D1003" s="2">
        <v>0</v>
      </c>
      <c r="E1003" s="236">
        <v>43505.717939814815</v>
      </c>
      <c r="F1003" s="4">
        <v>1.6307870370370372E-2</v>
      </c>
      <c r="G1003" s="28"/>
      <c r="J1003" t="s">
        <v>199</v>
      </c>
    </row>
    <row r="1004" spans="1:17" hidden="1" outlineLevel="1">
      <c r="A1004" s="28"/>
      <c r="B1004" s="533">
        <v>4</v>
      </c>
      <c r="C1004" s="534" t="s">
        <v>420</v>
      </c>
      <c r="D1004" s="535">
        <v>73</v>
      </c>
      <c r="E1004" s="543">
        <v>43507.965868055559</v>
      </c>
      <c r="F1004" s="536">
        <v>7.784722222222222E-2</v>
      </c>
      <c r="G1004" s="28"/>
      <c r="J1004" t="s">
        <v>199</v>
      </c>
    </row>
    <row r="1005" spans="1:17" hidden="1" outlineLevel="1">
      <c r="A1005" s="28"/>
      <c r="B1005" s="533">
        <v>5</v>
      </c>
      <c r="C1005" s="534" t="s">
        <v>421</v>
      </c>
      <c r="D1005" s="535">
        <v>47</v>
      </c>
      <c r="E1005" s="543">
        <v>43519.504629629628</v>
      </c>
      <c r="F1005" s="536">
        <v>8.9571759259259254E-2</v>
      </c>
      <c r="G1005" s="28"/>
      <c r="J1005" t="s">
        <v>199</v>
      </c>
      <c r="O1005" s="749" t="s">
        <v>2595</v>
      </c>
      <c r="P1005" s="750"/>
      <c r="Q1005" s="751"/>
    </row>
    <row r="1006" spans="1:17" hidden="1" outlineLevel="1">
      <c r="A1006" s="28"/>
      <c r="B1006" s="533">
        <v>6</v>
      </c>
      <c r="C1006" s="534" t="s">
        <v>422</v>
      </c>
      <c r="D1006" s="535">
        <v>32</v>
      </c>
      <c r="E1006" s="543">
        <v>43533.017928240741</v>
      </c>
      <c r="F1006" s="536">
        <v>6.8043981481481483E-2</v>
      </c>
      <c r="G1006" s="28"/>
      <c r="J1006" t="s">
        <v>199</v>
      </c>
      <c r="L1006" s="395" t="s">
        <v>2590</v>
      </c>
      <c r="M1006" s="395" t="s">
        <v>2591</v>
      </c>
      <c r="N1006" s="395" t="s">
        <v>8</v>
      </c>
      <c r="O1006" s="395" t="s">
        <v>2592</v>
      </c>
      <c r="P1006" s="395" t="s">
        <v>2593</v>
      </c>
      <c r="Q1006" s="395" t="s">
        <v>2594</v>
      </c>
    </row>
    <row r="1007" spans="1:17" hidden="1" outlineLevel="1">
      <c r="A1007" s="28"/>
      <c r="B1007" s="533">
        <v>7</v>
      </c>
      <c r="C1007" s="534" t="s">
        <v>423</v>
      </c>
      <c r="D1007" s="535">
        <v>197</v>
      </c>
      <c r="E1007" s="543">
        <v>43539.77003472222</v>
      </c>
      <c r="F1007" s="536">
        <v>8.7604166666666664E-2</v>
      </c>
      <c r="G1007" s="28"/>
      <c r="J1007" t="s">
        <v>199</v>
      </c>
      <c r="L1007" s="389">
        <v>1</v>
      </c>
      <c r="M1007" s="390">
        <v>11</v>
      </c>
      <c r="N1007" s="391">
        <v>43472</v>
      </c>
      <c r="O1007" s="392" t="s">
        <v>370</v>
      </c>
      <c r="P1007" s="392" t="s">
        <v>370</v>
      </c>
      <c r="Q1007" s="393"/>
    </row>
    <row r="1008" spans="1:17" hidden="1" outlineLevel="1">
      <c r="A1008" s="28"/>
      <c r="B1008" s="533">
        <v>8</v>
      </c>
      <c r="C1008" s="534" t="s">
        <v>424</v>
      </c>
      <c r="D1008" s="535">
        <v>198</v>
      </c>
      <c r="E1008" s="543">
        <v>43554.262002314812</v>
      </c>
      <c r="F1008" s="536">
        <v>0.10244212962962962</v>
      </c>
      <c r="G1008" s="28"/>
      <c r="J1008" t="s">
        <v>199</v>
      </c>
      <c r="L1008" s="88">
        <v>2</v>
      </c>
      <c r="M1008" s="386">
        <v>2</v>
      </c>
      <c r="N1008" s="387">
        <v>43498</v>
      </c>
      <c r="O1008" s="321" t="s">
        <v>370</v>
      </c>
      <c r="P1008" s="321" t="s">
        <v>370</v>
      </c>
      <c r="Q1008" s="327" t="s">
        <v>370</v>
      </c>
    </row>
    <row r="1009" spans="1:17" hidden="1" outlineLevel="1">
      <c r="A1009" s="28"/>
      <c r="B1009" s="533">
        <v>9</v>
      </c>
      <c r="C1009" s="534" t="s">
        <v>425</v>
      </c>
      <c r="D1009" s="535">
        <v>147</v>
      </c>
      <c r="E1009" s="543">
        <v>43567.463101851848</v>
      </c>
      <c r="F1009" s="536">
        <v>6.232638888888889E-2</v>
      </c>
      <c r="G1009" s="28"/>
      <c r="J1009" t="s">
        <v>199</v>
      </c>
      <c r="L1009" s="88">
        <v>3</v>
      </c>
      <c r="M1009" s="386">
        <v>73</v>
      </c>
      <c r="N1009" s="387">
        <v>43507</v>
      </c>
      <c r="O1009" s="321" t="s">
        <v>370</v>
      </c>
      <c r="P1009" s="321" t="s">
        <v>370</v>
      </c>
      <c r="Q1009" s="327" t="s">
        <v>370</v>
      </c>
    </row>
    <row r="1010" spans="1:17" hidden="1" outlineLevel="1">
      <c r="A1010" s="28"/>
      <c r="B1010" s="533">
        <v>10</v>
      </c>
      <c r="C1010" s="534" t="s">
        <v>426</v>
      </c>
      <c r="D1010" s="535">
        <v>194</v>
      </c>
      <c r="E1010" s="543">
        <v>43582.783599537041</v>
      </c>
      <c r="F1010" s="536">
        <v>7.7002314814814815E-2</v>
      </c>
      <c r="G1010" s="28"/>
      <c r="J1010" t="s">
        <v>199</v>
      </c>
      <c r="L1010" s="88">
        <v>4</v>
      </c>
      <c r="M1010" s="386">
        <v>47</v>
      </c>
      <c r="N1010" s="387">
        <v>43519</v>
      </c>
      <c r="O1010" s="321" t="s">
        <v>370</v>
      </c>
      <c r="P1010" s="321" t="s">
        <v>370</v>
      </c>
      <c r="Q1010" s="327"/>
    </row>
    <row r="1011" spans="1:17" hidden="1" outlineLevel="1">
      <c r="A1011" s="28"/>
      <c r="B1011" s="533">
        <v>11</v>
      </c>
      <c r="C1011" s="534" t="s">
        <v>0</v>
      </c>
      <c r="D1011" s="535">
        <v>7</v>
      </c>
      <c r="E1011" s="543">
        <v>43595.539560185185</v>
      </c>
      <c r="F1011" s="536">
        <v>0.10392361111111111</v>
      </c>
      <c r="G1011" s="28"/>
      <c r="J1011" t="s">
        <v>199</v>
      </c>
      <c r="L1011" s="88">
        <v>5</v>
      </c>
      <c r="M1011" s="386">
        <v>32</v>
      </c>
      <c r="N1011" s="387">
        <v>43532</v>
      </c>
      <c r="O1011" s="321" t="s">
        <v>370</v>
      </c>
      <c r="P1011" s="321"/>
      <c r="Q1011" s="327" t="s">
        <v>370</v>
      </c>
    </row>
    <row r="1012" spans="1:17" hidden="1" outlineLevel="1">
      <c r="A1012" s="28"/>
      <c r="B1012" s="1">
        <v>12</v>
      </c>
      <c r="C1012" s="5" t="s">
        <v>1814</v>
      </c>
      <c r="D1012" s="6" t="s">
        <v>1813</v>
      </c>
      <c r="E1012" s="236">
        <v>43612</v>
      </c>
      <c r="F1012" s="4">
        <v>9.5034722222222215E-2</v>
      </c>
      <c r="G1012" s="28"/>
      <c r="J1012" t="s">
        <v>199</v>
      </c>
      <c r="L1012" s="88">
        <v>6</v>
      </c>
      <c r="M1012" s="386">
        <v>197</v>
      </c>
      <c r="N1012" s="387">
        <v>43539</v>
      </c>
      <c r="O1012" s="321" t="s">
        <v>370</v>
      </c>
      <c r="P1012" s="321" t="s">
        <v>370</v>
      </c>
      <c r="Q1012" s="327"/>
    </row>
    <row r="1013" spans="1:17" hidden="1" outlineLevel="1">
      <c r="A1013" s="28"/>
      <c r="B1013" s="1">
        <v>13</v>
      </c>
      <c r="C1013" s="5" t="s">
        <v>417</v>
      </c>
      <c r="D1013" s="2">
        <v>0</v>
      </c>
      <c r="E1013" s="236">
        <v>43616</v>
      </c>
      <c r="F1013" s="4">
        <v>4.2696759259259261E-2</v>
      </c>
      <c r="G1013" s="28"/>
      <c r="J1013" t="s">
        <v>199</v>
      </c>
      <c r="L1013" s="88">
        <v>7</v>
      </c>
      <c r="M1013" s="386">
        <v>198</v>
      </c>
      <c r="N1013" s="387">
        <v>43554</v>
      </c>
      <c r="O1013" s="321" t="s">
        <v>370</v>
      </c>
      <c r="P1013" s="321" t="s">
        <v>370</v>
      </c>
      <c r="Q1013" s="327"/>
    </row>
    <row r="1014" spans="1:17" hidden="1" outlineLevel="1">
      <c r="A1014" s="28"/>
      <c r="B1014" s="533">
        <v>14</v>
      </c>
      <c r="C1014" s="534" t="s">
        <v>619</v>
      </c>
      <c r="D1014" s="535">
        <v>199</v>
      </c>
      <c r="E1014" s="543">
        <v>43623</v>
      </c>
      <c r="F1014" s="536">
        <v>0.11021990740740741</v>
      </c>
      <c r="G1014" s="28"/>
      <c r="J1014" t="s">
        <v>199</v>
      </c>
      <c r="L1014" s="88">
        <v>8</v>
      </c>
      <c r="M1014" s="386">
        <v>147</v>
      </c>
      <c r="N1014" s="387">
        <v>43567</v>
      </c>
      <c r="O1014" s="321" t="s">
        <v>370</v>
      </c>
      <c r="P1014" s="321"/>
      <c r="Q1014" s="327" t="s">
        <v>370</v>
      </c>
    </row>
    <row r="1015" spans="1:17" hidden="1" outlineLevel="1">
      <c r="A1015" s="28"/>
      <c r="B1015" s="533">
        <v>15</v>
      </c>
      <c r="C1015" s="534" t="s">
        <v>1</v>
      </c>
      <c r="D1015" s="535">
        <v>63</v>
      </c>
      <c r="E1015" s="543">
        <v>43644</v>
      </c>
      <c r="F1015" s="536">
        <v>0.11293981481481481</v>
      </c>
      <c r="G1015" s="28"/>
      <c r="J1015" t="s">
        <v>199</v>
      </c>
      <c r="L1015" s="88">
        <v>9</v>
      </c>
      <c r="M1015" s="386">
        <v>194</v>
      </c>
      <c r="N1015" s="387">
        <v>43582</v>
      </c>
      <c r="O1015" s="321" t="s">
        <v>370</v>
      </c>
      <c r="P1015" s="321"/>
      <c r="Q1015" s="327" t="s">
        <v>370</v>
      </c>
    </row>
    <row r="1016" spans="1:17" hidden="1" outlineLevel="1">
      <c r="A1016" s="28"/>
      <c r="B1016" s="533">
        <v>16</v>
      </c>
      <c r="C1016" s="534" t="s">
        <v>2</v>
      </c>
      <c r="D1016" s="535">
        <v>84</v>
      </c>
      <c r="E1016" s="543">
        <v>43651</v>
      </c>
      <c r="F1016" s="536">
        <v>0.10259259259259258</v>
      </c>
      <c r="G1016" s="28"/>
      <c r="J1016" t="s">
        <v>199</v>
      </c>
      <c r="L1016" s="88">
        <v>10</v>
      </c>
      <c r="M1016" s="386">
        <v>7</v>
      </c>
      <c r="N1016" s="387">
        <v>43595</v>
      </c>
      <c r="O1016" s="321" t="s">
        <v>370</v>
      </c>
      <c r="P1016" s="321" t="s">
        <v>370</v>
      </c>
      <c r="Q1016" s="327"/>
    </row>
    <row r="1017" spans="1:17" hidden="1" outlineLevel="1">
      <c r="A1017" s="28"/>
      <c r="B1017" s="533">
        <v>17</v>
      </c>
      <c r="C1017" s="534" t="s">
        <v>620</v>
      </c>
      <c r="D1017" s="535">
        <v>129</v>
      </c>
      <c r="E1017" s="543">
        <v>43668</v>
      </c>
      <c r="F1017" s="536">
        <v>0.10309027777777778</v>
      </c>
      <c r="G1017" s="28"/>
      <c r="J1017" t="s">
        <v>199</v>
      </c>
      <c r="L1017" s="88">
        <v>11</v>
      </c>
      <c r="M1017" s="386">
        <v>199</v>
      </c>
      <c r="N1017" s="387">
        <v>43622</v>
      </c>
      <c r="O1017" s="321" t="s">
        <v>370</v>
      </c>
      <c r="P1017" s="321" t="s">
        <v>370</v>
      </c>
      <c r="Q1017" s="327"/>
    </row>
    <row r="1018" spans="1:17" hidden="1" outlineLevel="1">
      <c r="A1018" s="28"/>
      <c r="B1018" s="533">
        <v>18</v>
      </c>
      <c r="C1018" s="534" t="s">
        <v>3</v>
      </c>
      <c r="D1018" s="535">
        <v>6</v>
      </c>
      <c r="E1018" s="543">
        <v>43682</v>
      </c>
      <c r="F1018" s="536">
        <v>9.3124999999999999E-2</v>
      </c>
      <c r="G1018" s="28"/>
      <c r="J1018" t="s">
        <v>199</v>
      </c>
      <c r="L1018" s="88">
        <v>12</v>
      </c>
      <c r="M1018" s="386">
        <v>63</v>
      </c>
      <c r="N1018" s="387">
        <v>43644</v>
      </c>
      <c r="O1018" s="321" t="s">
        <v>370</v>
      </c>
      <c r="P1018" s="321" t="s">
        <v>370</v>
      </c>
      <c r="Q1018" s="327" t="s">
        <v>370</v>
      </c>
    </row>
    <row r="1019" spans="1:17" hidden="1" outlineLevel="1">
      <c r="A1019" s="28"/>
      <c r="B1019" s="1">
        <v>19</v>
      </c>
      <c r="C1019" s="5" t="s">
        <v>418</v>
      </c>
      <c r="D1019" s="2">
        <v>0</v>
      </c>
      <c r="E1019" s="236">
        <v>43691</v>
      </c>
      <c r="F1019" s="4">
        <v>5.0844907407407408E-2</v>
      </c>
      <c r="G1019" s="28"/>
      <c r="J1019" t="s">
        <v>199</v>
      </c>
      <c r="L1019" s="88">
        <v>13</v>
      </c>
      <c r="M1019" s="386">
        <v>84</v>
      </c>
      <c r="N1019" s="387">
        <v>43651</v>
      </c>
      <c r="O1019" s="321"/>
      <c r="P1019" s="321" t="s">
        <v>370</v>
      </c>
      <c r="Q1019" s="327" t="s">
        <v>370</v>
      </c>
    </row>
    <row r="1020" spans="1:17" hidden="1" outlineLevel="1">
      <c r="A1020" s="28"/>
      <c r="B1020" s="1">
        <v>20</v>
      </c>
      <c r="C1020" s="5" t="s">
        <v>9</v>
      </c>
      <c r="D1020" s="2">
        <v>0</v>
      </c>
      <c r="E1020" s="236">
        <v>43709</v>
      </c>
      <c r="F1020" s="4">
        <v>7.2800925925925915E-3</v>
      </c>
      <c r="G1020" s="28"/>
      <c r="J1020" t="s">
        <v>199</v>
      </c>
      <c r="L1020" s="88">
        <v>14</v>
      </c>
      <c r="M1020" s="386">
        <v>129</v>
      </c>
      <c r="N1020" s="387">
        <v>43668</v>
      </c>
      <c r="O1020" s="321" t="s">
        <v>370</v>
      </c>
      <c r="P1020" s="321" t="s">
        <v>370</v>
      </c>
      <c r="Q1020" s="327"/>
    </row>
    <row r="1021" spans="1:17" hidden="1" outlineLevel="1">
      <c r="A1021" s="28"/>
      <c r="B1021" s="1">
        <v>21</v>
      </c>
      <c r="C1021" s="5" t="s">
        <v>2444</v>
      </c>
      <c r="D1021" s="6" t="s">
        <v>1815</v>
      </c>
      <c r="E1021" s="236">
        <v>43711</v>
      </c>
      <c r="F1021" s="4">
        <v>1.9328703703703702E-2</v>
      </c>
      <c r="G1021" s="28"/>
      <c r="J1021" t="s">
        <v>199</v>
      </c>
      <c r="L1021" s="88">
        <v>15</v>
      </c>
      <c r="M1021" s="386">
        <v>6</v>
      </c>
      <c r="N1021" s="387">
        <v>43682</v>
      </c>
      <c r="O1021" s="321" t="s">
        <v>370</v>
      </c>
      <c r="P1021" s="321" t="s">
        <v>370</v>
      </c>
      <c r="Q1021" s="327" t="s">
        <v>370</v>
      </c>
    </row>
    <row r="1022" spans="1:17" hidden="1" outlineLevel="1">
      <c r="A1022" s="28"/>
      <c r="B1022" s="533">
        <v>22</v>
      </c>
      <c r="C1022" s="534" t="s">
        <v>10</v>
      </c>
      <c r="D1022" s="537" t="s">
        <v>11</v>
      </c>
      <c r="E1022" s="543">
        <v>43726</v>
      </c>
      <c r="F1022" s="536">
        <v>0.13680555555555554</v>
      </c>
      <c r="G1022" s="28"/>
      <c r="J1022" t="s">
        <v>199</v>
      </c>
      <c r="L1022" s="88">
        <v>16</v>
      </c>
      <c r="M1022" s="388" t="s">
        <v>11</v>
      </c>
      <c r="N1022" s="387">
        <v>43726</v>
      </c>
      <c r="O1022" s="321" t="s">
        <v>370</v>
      </c>
      <c r="P1022" s="321" t="s">
        <v>370</v>
      </c>
      <c r="Q1022" s="327"/>
    </row>
    <row r="1023" spans="1:17" hidden="1" outlineLevel="1">
      <c r="A1023" s="28"/>
      <c r="B1023" s="538">
        <v>23</v>
      </c>
      <c r="C1023" s="539" t="s">
        <v>13</v>
      </c>
      <c r="D1023" s="540" t="s">
        <v>12</v>
      </c>
      <c r="E1023" s="544">
        <v>43733</v>
      </c>
      <c r="F1023" s="541">
        <v>7.9409722222222215E-2</v>
      </c>
      <c r="G1023" s="28"/>
      <c r="J1023" t="s">
        <v>199</v>
      </c>
      <c r="L1023" s="88">
        <v>16.5</v>
      </c>
      <c r="M1023" s="388" t="s">
        <v>12</v>
      </c>
      <c r="N1023" s="387">
        <v>43733</v>
      </c>
      <c r="O1023" s="321" t="s">
        <v>370</v>
      </c>
      <c r="P1023" s="321" t="s">
        <v>370</v>
      </c>
      <c r="Q1023" s="327"/>
    </row>
    <row r="1024" spans="1:17" hidden="1" outlineLevel="1">
      <c r="A1024" s="28"/>
      <c r="B1024" s="1">
        <v>24</v>
      </c>
      <c r="C1024" s="5" t="s">
        <v>1816</v>
      </c>
      <c r="D1024" s="6" t="s">
        <v>1817</v>
      </c>
      <c r="E1024" s="236">
        <v>43740</v>
      </c>
      <c r="F1024" s="4">
        <v>2.6944444444444441E-2</v>
      </c>
      <c r="G1024" s="28"/>
      <c r="J1024" t="s">
        <v>199</v>
      </c>
      <c r="L1024" s="88">
        <v>17</v>
      </c>
      <c r="M1024" s="388">
        <v>136</v>
      </c>
      <c r="N1024" s="387">
        <v>43747</v>
      </c>
      <c r="O1024" s="321" t="s">
        <v>370</v>
      </c>
      <c r="P1024" s="321" t="s">
        <v>370</v>
      </c>
      <c r="Q1024" s="327" t="s">
        <v>370</v>
      </c>
    </row>
    <row r="1025" spans="1:17" hidden="1" outlineLevel="1">
      <c r="A1025" s="28"/>
      <c r="B1025" s="533">
        <v>25</v>
      </c>
      <c r="C1025" s="534" t="s">
        <v>398</v>
      </c>
      <c r="D1025" s="537">
        <v>136</v>
      </c>
      <c r="E1025" s="543">
        <v>43747</v>
      </c>
      <c r="F1025" s="536">
        <v>0.11388888888888889</v>
      </c>
      <c r="G1025" s="28"/>
      <c r="J1025" t="s">
        <v>199</v>
      </c>
      <c r="L1025" s="88">
        <v>18</v>
      </c>
      <c r="M1025" s="388">
        <v>92</v>
      </c>
      <c r="N1025" s="387">
        <v>43765</v>
      </c>
      <c r="O1025" s="321"/>
      <c r="P1025" s="321" t="s">
        <v>370</v>
      </c>
      <c r="Q1025" s="327" t="s">
        <v>370</v>
      </c>
    </row>
    <row r="1026" spans="1:17" hidden="1" outlineLevel="1">
      <c r="A1026" s="28"/>
      <c r="B1026" s="538">
        <v>26</v>
      </c>
      <c r="C1026" s="539" t="s">
        <v>510</v>
      </c>
      <c r="D1026" s="542">
        <v>0</v>
      </c>
      <c r="E1026" s="544">
        <v>43756</v>
      </c>
      <c r="F1026" s="541">
        <v>1.0347222222222223E-2</v>
      </c>
      <c r="G1026" s="28"/>
      <c r="J1026" t="s">
        <v>199</v>
      </c>
      <c r="L1026" s="88">
        <v>19</v>
      </c>
      <c r="M1026" s="386">
        <v>105</v>
      </c>
      <c r="N1026" s="387">
        <v>43794</v>
      </c>
      <c r="O1026" s="321" t="s">
        <v>370</v>
      </c>
      <c r="P1026" s="321" t="s">
        <v>370</v>
      </c>
      <c r="Q1026" s="327"/>
    </row>
    <row r="1027" spans="1:17" hidden="1" outlineLevel="1">
      <c r="A1027" s="28"/>
      <c r="B1027" s="533">
        <v>27</v>
      </c>
      <c r="C1027" s="534" t="s">
        <v>1834</v>
      </c>
      <c r="D1027" s="537">
        <v>92</v>
      </c>
      <c r="E1027" s="543">
        <v>43765</v>
      </c>
      <c r="F1027" s="536">
        <v>8.2025462962962967E-2</v>
      </c>
      <c r="G1027" s="28"/>
      <c r="J1027" t="s">
        <v>199</v>
      </c>
      <c r="L1027" s="88">
        <v>20</v>
      </c>
      <c r="M1027" s="388" t="s">
        <v>560</v>
      </c>
      <c r="N1027" s="387">
        <v>43820</v>
      </c>
      <c r="O1027" s="321" t="s">
        <v>370</v>
      </c>
      <c r="P1027" s="321"/>
      <c r="Q1027" s="327" t="s">
        <v>370</v>
      </c>
    </row>
    <row r="1028" spans="1:17" hidden="1" outlineLevel="1">
      <c r="A1028" s="28"/>
      <c r="B1028" s="1">
        <v>28</v>
      </c>
      <c r="C1028" s="5" t="s">
        <v>1818</v>
      </c>
      <c r="D1028" s="6" t="s">
        <v>1820</v>
      </c>
      <c r="E1028" s="236">
        <v>43768</v>
      </c>
      <c r="F1028" s="4">
        <v>0.13071759259259261</v>
      </c>
      <c r="G1028" s="28"/>
      <c r="J1028" t="s">
        <v>199</v>
      </c>
      <c r="L1028" s="88">
        <v>21</v>
      </c>
      <c r="M1028" s="386">
        <v>5</v>
      </c>
      <c r="N1028" s="387">
        <v>43829</v>
      </c>
      <c r="O1028" s="321" t="s">
        <v>370</v>
      </c>
      <c r="P1028" s="321"/>
      <c r="Q1028" s="327" t="s">
        <v>370</v>
      </c>
    </row>
    <row r="1029" spans="1:17" hidden="1" outlineLevel="1">
      <c r="A1029" s="28"/>
      <c r="B1029" s="1">
        <v>29</v>
      </c>
      <c r="C1029" s="5" t="s">
        <v>1819</v>
      </c>
      <c r="D1029" s="2">
        <v>0</v>
      </c>
      <c r="E1029" s="236">
        <v>43777</v>
      </c>
      <c r="F1029" s="4">
        <v>3.1134259259259257E-3</v>
      </c>
      <c r="G1029" s="28"/>
      <c r="J1029" t="s">
        <v>199</v>
      </c>
      <c r="L1029" s="88">
        <v>22</v>
      </c>
      <c r="M1029" s="386">
        <v>59</v>
      </c>
      <c r="N1029" s="387">
        <v>43858</v>
      </c>
      <c r="O1029" s="321" t="s">
        <v>370</v>
      </c>
      <c r="P1029" s="321" t="s">
        <v>370</v>
      </c>
      <c r="Q1029" s="327"/>
    </row>
    <row r="1030" spans="1:17" hidden="1" outlineLevel="1">
      <c r="A1030" s="28"/>
      <c r="B1030" s="533">
        <v>30</v>
      </c>
      <c r="C1030" s="534" t="s">
        <v>1833</v>
      </c>
      <c r="D1030" s="535">
        <v>105</v>
      </c>
      <c r="E1030" s="543">
        <v>43794</v>
      </c>
      <c r="F1030" s="536">
        <v>0.10949074074074074</v>
      </c>
      <c r="G1030" s="28"/>
      <c r="J1030" t="s">
        <v>199</v>
      </c>
      <c r="L1030" s="88">
        <v>23</v>
      </c>
      <c r="M1030" s="386">
        <v>43</v>
      </c>
      <c r="N1030" s="387">
        <v>43873</v>
      </c>
      <c r="O1030" s="321" t="s">
        <v>370</v>
      </c>
      <c r="P1030" s="321" t="s">
        <v>370</v>
      </c>
      <c r="Q1030" s="327" t="s">
        <v>370</v>
      </c>
    </row>
    <row r="1031" spans="1:17" hidden="1" outlineLevel="1">
      <c r="A1031" s="28"/>
      <c r="B1031" s="1">
        <v>31</v>
      </c>
      <c r="C1031" s="5" t="s">
        <v>1447</v>
      </c>
      <c r="D1031" s="6" t="s">
        <v>3186</v>
      </c>
      <c r="E1031" s="236">
        <v>43801</v>
      </c>
      <c r="F1031" s="4">
        <v>1.4849537037037036E-2</v>
      </c>
      <c r="G1031" s="28"/>
      <c r="J1031" t="s">
        <v>199</v>
      </c>
      <c r="L1031" s="88">
        <v>24</v>
      </c>
      <c r="M1031" s="386">
        <v>184</v>
      </c>
      <c r="N1031" s="387">
        <v>43892</v>
      </c>
      <c r="O1031" s="321" t="s">
        <v>370</v>
      </c>
      <c r="P1031" s="321" t="s">
        <v>370</v>
      </c>
      <c r="Q1031" s="327" t="s">
        <v>370</v>
      </c>
    </row>
    <row r="1032" spans="1:17" hidden="1" outlineLevel="1">
      <c r="A1032" s="28"/>
      <c r="B1032" s="1">
        <v>32</v>
      </c>
      <c r="C1032" s="5" t="s">
        <v>1448</v>
      </c>
      <c r="D1032" s="6" t="s">
        <v>3187</v>
      </c>
      <c r="E1032" s="236">
        <v>43801</v>
      </c>
      <c r="F1032" s="4">
        <v>6.9212962962962969E-3</v>
      </c>
      <c r="G1032" s="28"/>
      <c r="J1032" t="s">
        <v>199</v>
      </c>
      <c r="L1032" s="88">
        <v>25</v>
      </c>
      <c r="M1032" s="386">
        <v>200</v>
      </c>
      <c r="N1032" s="387">
        <v>43947</v>
      </c>
      <c r="O1032" s="321" t="s">
        <v>370</v>
      </c>
      <c r="P1032" s="321" t="s">
        <v>370</v>
      </c>
      <c r="Q1032" s="327" t="s">
        <v>370</v>
      </c>
    </row>
    <row r="1033" spans="1:17" hidden="1" outlineLevel="1">
      <c r="A1033" s="28"/>
      <c r="B1033" s="1">
        <v>33</v>
      </c>
      <c r="C1033" s="5" t="s">
        <v>1449</v>
      </c>
      <c r="D1033" s="6" t="s">
        <v>3188</v>
      </c>
      <c r="E1033" s="236">
        <v>43802</v>
      </c>
      <c r="F1033" s="4">
        <v>8.3912037037037045E-3</v>
      </c>
      <c r="G1033" s="28"/>
      <c r="J1033" t="s">
        <v>199</v>
      </c>
      <c r="L1033" s="88">
        <v>26</v>
      </c>
      <c r="M1033" s="386">
        <v>44</v>
      </c>
      <c r="N1033" s="387">
        <v>43982</v>
      </c>
      <c r="O1033" s="321" t="s">
        <v>370</v>
      </c>
      <c r="P1033" s="321" t="s">
        <v>370</v>
      </c>
      <c r="Q1033" s="327"/>
    </row>
    <row r="1034" spans="1:17" hidden="1" outlineLevel="1">
      <c r="A1034" s="28"/>
      <c r="B1034" s="1">
        <v>34</v>
      </c>
      <c r="C1034" s="5" t="s">
        <v>1450</v>
      </c>
      <c r="D1034" s="6" t="s">
        <v>3189</v>
      </c>
      <c r="E1034" s="236">
        <v>43803</v>
      </c>
      <c r="F1034" s="4">
        <v>7.0486111111111105E-3</v>
      </c>
      <c r="G1034" s="28"/>
      <c r="J1034" t="s">
        <v>199</v>
      </c>
      <c r="L1034" s="88">
        <v>27</v>
      </c>
      <c r="M1034" s="386">
        <v>35</v>
      </c>
      <c r="N1034" s="387">
        <v>44003</v>
      </c>
      <c r="O1034" s="321" t="s">
        <v>370</v>
      </c>
      <c r="P1034" s="321"/>
      <c r="Q1034" s="327" t="s">
        <v>370</v>
      </c>
    </row>
    <row r="1035" spans="1:17" hidden="1" outlineLevel="1">
      <c r="A1035" s="28"/>
      <c r="B1035" s="1">
        <v>35</v>
      </c>
      <c r="C1035" s="5" t="s">
        <v>1451</v>
      </c>
      <c r="D1035" s="6" t="s">
        <v>3190</v>
      </c>
      <c r="E1035" s="236">
        <v>43804</v>
      </c>
      <c r="F1035" s="4">
        <v>7.1412037037037043E-3</v>
      </c>
      <c r="G1035" s="28"/>
      <c r="J1035" t="s">
        <v>199</v>
      </c>
      <c r="L1035" s="88">
        <v>28</v>
      </c>
      <c r="M1035" s="386">
        <v>14</v>
      </c>
      <c r="N1035" s="387">
        <v>44016</v>
      </c>
      <c r="O1035" s="321"/>
      <c r="P1035" s="321" t="s">
        <v>370</v>
      </c>
      <c r="Q1035" s="327" t="s">
        <v>370</v>
      </c>
    </row>
    <row r="1036" spans="1:17" hidden="1" outlineLevel="1">
      <c r="A1036" s="28"/>
      <c r="B1036" s="1">
        <v>36</v>
      </c>
      <c r="C1036" s="5" t="s">
        <v>1452</v>
      </c>
      <c r="D1036" s="6" t="s">
        <v>3191</v>
      </c>
      <c r="E1036" s="236">
        <v>43805</v>
      </c>
      <c r="F1036" s="4">
        <v>9.7569444444444448E-3</v>
      </c>
      <c r="G1036" s="28"/>
      <c r="J1036" t="s">
        <v>199</v>
      </c>
      <c r="L1036" s="88">
        <v>29</v>
      </c>
      <c r="M1036" s="386">
        <v>29</v>
      </c>
      <c r="N1036" s="387">
        <v>44086</v>
      </c>
      <c r="O1036" s="321" t="s">
        <v>370</v>
      </c>
      <c r="P1036" s="321" t="s">
        <v>370</v>
      </c>
      <c r="Q1036" s="327" t="s">
        <v>370</v>
      </c>
    </row>
    <row r="1037" spans="1:17" hidden="1" outlineLevel="1">
      <c r="A1037" s="28"/>
      <c r="B1037" s="1">
        <v>37</v>
      </c>
      <c r="C1037" s="5" t="s">
        <v>1453</v>
      </c>
      <c r="D1037" s="6" t="s">
        <v>3192</v>
      </c>
      <c r="E1037" s="236">
        <v>43806</v>
      </c>
      <c r="F1037" s="4">
        <v>9.2129629629629627E-3</v>
      </c>
      <c r="G1037" s="28"/>
      <c r="J1037" t="s">
        <v>199</v>
      </c>
      <c r="L1037" s="88">
        <v>30</v>
      </c>
      <c r="M1037" s="386">
        <v>76</v>
      </c>
      <c r="N1037" s="387">
        <v>44107</v>
      </c>
      <c r="O1037" s="321" t="s">
        <v>370</v>
      </c>
      <c r="P1037" s="321" t="s">
        <v>370</v>
      </c>
      <c r="Q1037" s="327" t="s">
        <v>370</v>
      </c>
    </row>
    <row r="1038" spans="1:17" hidden="1" outlineLevel="1">
      <c r="A1038" s="28"/>
      <c r="B1038" s="1">
        <v>38</v>
      </c>
      <c r="C1038" s="5" t="s">
        <v>1454</v>
      </c>
      <c r="D1038" s="6" t="s">
        <v>3193</v>
      </c>
      <c r="E1038" s="236">
        <v>43807</v>
      </c>
      <c r="F1038" s="4">
        <v>8.5995370370370357E-3</v>
      </c>
      <c r="G1038" s="28"/>
      <c r="J1038" t="s">
        <v>199</v>
      </c>
      <c r="L1038" s="88">
        <v>31</v>
      </c>
      <c r="M1038" s="386">
        <v>18</v>
      </c>
      <c r="N1038" s="387">
        <v>44113</v>
      </c>
      <c r="O1038" s="321" t="s">
        <v>370</v>
      </c>
      <c r="P1038" s="321" t="s">
        <v>370</v>
      </c>
      <c r="Q1038" s="327"/>
    </row>
    <row r="1039" spans="1:17" hidden="1" outlineLevel="1">
      <c r="A1039" s="28"/>
      <c r="B1039" s="1">
        <v>39</v>
      </c>
      <c r="C1039" s="5" t="s">
        <v>1455</v>
      </c>
      <c r="D1039" s="6" t="s">
        <v>3194</v>
      </c>
      <c r="E1039" s="236">
        <v>43808</v>
      </c>
      <c r="F1039" s="4">
        <v>1.4421296296296295E-2</v>
      </c>
      <c r="G1039" s="28"/>
      <c r="J1039" t="s">
        <v>199</v>
      </c>
      <c r="L1039" s="88">
        <v>32</v>
      </c>
      <c r="M1039" s="388" t="s">
        <v>1393</v>
      </c>
      <c r="N1039" s="387">
        <v>44156</v>
      </c>
      <c r="O1039" s="321" t="s">
        <v>370</v>
      </c>
      <c r="P1039" s="321" t="s">
        <v>370</v>
      </c>
      <c r="Q1039" s="327"/>
    </row>
    <row r="1040" spans="1:17" hidden="1" outlineLevel="1">
      <c r="A1040" s="28"/>
      <c r="B1040" s="1">
        <v>40</v>
      </c>
      <c r="C1040" s="5" t="s">
        <v>1456</v>
      </c>
      <c r="D1040" s="6" t="s">
        <v>1419</v>
      </c>
      <c r="E1040" s="236">
        <v>43809</v>
      </c>
      <c r="F1040" s="4">
        <v>8.5069444444444437E-3</v>
      </c>
      <c r="G1040" s="28"/>
      <c r="J1040" t="s">
        <v>199</v>
      </c>
      <c r="L1040" s="530" t="s">
        <v>1813</v>
      </c>
      <c r="M1040" s="388" t="s">
        <v>1391</v>
      </c>
      <c r="N1040" s="387">
        <v>44189</v>
      </c>
      <c r="O1040" s="321" t="s">
        <v>370</v>
      </c>
      <c r="P1040" s="321" t="s">
        <v>370</v>
      </c>
      <c r="Q1040" s="327" t="s">
        <v>370</v>
      </c>
    </row>
    <row r="1041" spans="1:17" hidden="1" outlineLevel="1">
      <c r="A1041" s="28"/>
      <c r="B1041" s="1">
        <v>41</v>
      </c>
      <c r="C1041" s="5" t="s">
        <v>1457</v>
      </c>
      <c r="D1041" s="6" t="s">
        <v>1420</v>
      </c>
      <c r="E1041" s="236">
        <v>43810</v>
      </c>
      <c r="F1041" s="4">
        <v>4.2476851851851851E-3</v>
      </c>
      <c r="G1041" s="28"/>
      <c r="J1041" t="s">
        <v>199</v>
      </c>
      <c r="L1041" s="88">
        <v>33</v>
      </c>
      <c r="M1041" s="386">
        <v>99</v>
      </c>
      <c r="N1041" s="387">
        <v>44239</v>
      </c>
      <c r="O1041" s="321" t="s">
        <v>370</v>
      </c>
      <c r="P1041" s="321" t="s">
        <v>370</v>
      </c>
      <c r="Q1041" s="327"/>
    </row>
    <row r="1042" spans="1:17" hidden="1" outlineLevel="1">
      <c r="A1042" s="28"/>
      <c r="B1042" s="1">
        <v>42</v>
      </c>
      <c r="C1042" s="5" t="s">
        <v>1458</v>
      </c>
      <c r="D1042" s="6" t="s">
        <v>1421</v>
      </c>
      <c r="E1042" s="236">
        <v>43811</v>
      </c>
      <c r="F1042" s="4">
        <v>0.01</v>
      </c>
      <c r="G1042" s="28"/>
      <c r="J1042" t="s">
        <v>199</v>
      </c>
      <c r="L1042" s="88">
        <v>34</v>
      </c>
      <c r="M1042" s="386">
        <v>97</v>
      </c>
      <c r="N1042" s="387">
        <v>44267</v>
      </c>
      <c r="O1042" s="321" t="s">
        <v>370</v>
      </c>
      <c r="P1042" s="321" t="s">
        <v>370</v>
      </c>
      <c r="Q1042" s="327" t="s">
        <v>370</v>
      </c>
    </row>
    <row r="1043" spans="1:17" hidden="1" outlineLevel="1">
      <c r="A1043" s="28"/>
      <c r="B1043" s="1">
        <v>43</v>
      </c>
      <c r="C1043" s="5" t="s">
        <v>1459</v>
      </c>
      <c r="D1043" s="6" t="s">
        <v>1422</v>
      </c>
      <c r="E1043" s="236">
        <v>43812</v>
      </c>
      <c r="F1043" s="4">
        <v>7.858796296296296E-3</v>
      </c>
      <c r="G1043" s="28"/>
      <c r="J1043" t="s">
        <v>199</v>
      </c>
      <c r="L1043" s="88">
        <v>35</v>
      </c>
      <c r="M1043" s="386">
        <v>188</v>
      </c>
      <c r="N1043" s="387">
        <v>44295</v>
      </c>
      <c r="O1043" s="321" t="s">
        <v>370</v>
      </c>
      <c r="P1043" s="321" t="s">
        <v>370</v>
      </c>
      <c r="Q1043" s="327" t="s">
        <v>370</v>
      </c>
    </row>
    <row r="1044" spans="1:17" hidden="1" outlineLevel="1">
      <c r="A1044" s="28"/>
      <c r="B1044" s="1">
        <v>44</v>
      </c>
      <c r="C1044" s="5" t="s">
        <v>1460</v>
      </c>
      <c r="D1044" s="6" t="s">
        <v>1423</v>
      </c>
      <c r="E1044" s="236">
        <v>43813</v>
      </c>
      <c r="F1044" s="4">
        <v>7.2453703703703708E-3</v>
      </c>
      <c r="G1044" s="28"/>
      <c r="J1044" t="s">
        <v>199</v>
      </c>
      <c r="L1044" s="88">
        <v>36</v>
      </c>
      <c r="M1044" s="388" t="s">
        <v>1729</v>
      </c>
      <c r="N1044" s="387">
        <v>44323</v>
      </c>
      <c r="O1044" s="321" t="s">
        <v>370</v>
      </c>
      <c r="P1044" s="321"/>
      <c r="Q1044" s="327" t="s">
        <v>370</v>
      </c>
    </row>
    <row r="1045" spans="1:17" hidden="1" outlineLevel="1">
      <c r="A1045" s="28"/>
      <c r="B1045" s="1">
        <v>45</v>
      </c>
      <c r="C1045" s="5" t="s">
        <v>1461</v>
      </c>
      <c r="D1045" s="6" t="s">
        <v>1424</v>
      </c>
      <c r="E1045" s="236">
        <v>43814</v>
      </c>
      <c r="F1045" s="4">
        <v>4.7916666666666672E-3</v>
      </c>
      <c r="G1045" s="28"/>
      <c r="J1045" t="s">
        <v>199</v>
      </c>
      <c r="L1045" s="88">
        <v>37</v>
      </c>
      <c r="M1045" s="386">
        <v>143</v>
      </c>
      <c r="N1045" s="387">
        <v>44351</v>
      </c>
      <c r="O1045" s="321"/>
      <c r="P1045" s="321" t="s">
        <v>370</v>
      </c>
      <c r="Q1045" s="327" t="s">
        <v>370</v>
      </c>
    </row>
    <row r="1046" spans="1:17" hidden="1" outlineLevel="1">
      <c r="A1046" s="28"/>
      <c r="B1046" s="1">
        <v>46</v>
      </c>
      <c r="C1046" s="5" t="s">
        <v>1462</v>
      </c>
      <c r="D1046" s="6" t="s">
        <v>1425</v>
      </c>
      <c r="E1046" s="236">
        <v>43815</v>
      </c>
      <c r="F1046" s="4">
        <v>6.1342592592592594E-3</v>
      </c>
      <c r="G1046" s="28"/>
      <c r="J1046" t="s">
        <v>199</v>
      </c>
      <c r="L1046" s="88">
        <v>38</v>
      </c>
      <c r="M1046" s="386">
        <v>20</v>
      </c>
      <c r="N1046" s="387">
        <v>44379</v>
      </c>
      <c r="O1046" s="321" t="s">
        <v>370</v>
      </c>
      <c r="P1046" s="321"/>
      <c r="Q1046" s="327" t="s">
        <v>370</v>
      </c>
    </row>
    <row r="1047" spans="1:17" hidden="1" outlineLevel="1">
      <c r="A1047" s="28"/>
      <c r="B1047" s="1">
        <v>47</v>
      </c>
      <c r="C1047" s="5" t="s">
        <v>1463</v>
      </c>
      <c r="D1047" s="6" t="s">
        <v>1426</v>
      </c>
      <c r="E1047" s="236">
        <v>43816</v>
      </c>
      <c r="F1047" s="4">
        <v>8.9583333333333338E-3</v>
      </c>
      <c r="G1047" s="28"/>
      <c r="J1047" t="s">
        <v>199</v>
      </c>
      <c r="L1047" s="88">
        <v>39</v>
      </c>
      <c r="M1047" s="386">
        <v>28</v>
      </c>
      <c r="N1047" s="387">
        <v>44382</v>
      </c>
      <c r="O1047" s="321"/>
      <c r="P1047" s="321" t="s">
        <v>370</v>
      </c>
      <c r="Q1047" s="327" t="s">
        <v>370</v>
      </c>
    </row>
    <row r="1048" spans="1:17" hidden="1" outlineLevel="1">
      <c r="A1048" s="28"/>
      <c r="B1048" s="1">
        <v>48</v>
      </c>
      <c r="C1048" s="5" t="s">
        <v>1464</v>
      </c>
      <c r="D1048" s="6" t="s">
        <v>1427</v>
      </c>
      <c r="E1048" s="236">
        <v>43817</v>
      </c>
      <c r="F1048" s="4">
        <v>1.1099537037037038E-2</v>
      </c>
      <c r="G1048" s="28"/>
      <c r="J1048" t="s">
        <v>199</v>
      </c>
      <c r="L1048" s="530" t="s">
        <v>1815</v>
      </c>
      <c r="M1048" s="388" t="s">
        <v>153</v>
      </c>
      <c r="N1048" s="387">
        <v>44400</v>
      </c>
      <c r="O1048" s="321" t="s">
        <v>370</v>
      </c>
      <c r="P1048" s="321" t="s">
        <v>370</v>
      </c>
      <c r="Q1048" s="327" t="s">
        <v>370</v>
      </c>
    </row>
    <row r="1049" spans="1:17" hidden="1" outlineLevel="1">
      <c r="A1049" s="28"/>
      <c r="B1049" s="1">
        <v>49</v>
      </c>
      <c r="C1049" s="5" t="s">
        <v>1465</v>
      </c>
      <c r="D1049" s="6" t="s">
        <v>1428</v>
      </c>
      <c r="E1049" s="236">
        <v>43818</v>
      </c>
      <c r="F1049" s="4">
        <v>7.3379629629629628E-3</v>
      </c>
      <c r="G1049" s="28"/>
      <c r="J1049" t="s">
        <v>199</v>
      </c>
      <c r="L1049" s="530" t="s">
        <v>1817</v>
      </c>
      <c r="M1049" s="388" t="s">
        <v>1896</v>
      </c>
      <c r="N1049" s="387">
        <v>44428</v>
      </c>
      <c r="O1049" s="321" t="s">
        <v>370</v>
      </c>
      <c r="P1049" s="321" t="s">
        <v>370</v>
      </c>
      <c r="Q1049" s="327" t="s">
        <v>370</v>
      </c>
    </row>
    <row r="1050" spans="1:17" hidden="1" outlineLevel="1">
      <c r="A1050" s="28"/>
      <c r="B1050" s="1">
        <v>50</v>
      </c>
      <c r="C1050" s="5" t="s">
        <v>1466</v>
      </c>
      <c r="D1050" s="6" t="s">
        <v>1429</v>
      </c>
      <c r="E1050" s="236">
        <v>43819</v>
      </c>
      <c r="F1050" s="4">
        <v>6.9560185185185185E-3</v>
      </c>
      <c r="G1050" s="28"/>
      <c r="J1050" t="s">
        <v>199</v>
      </c>
      <c r="L1050" s="530" t="s">
        <v>1820</v>
      </c>
      <c r="M1050" s="388" t="s">
        <v>147</v>
      </c>
      <c r="N1050" s="387">
        <v>44463</v>
      </c>
      <c r="O1050" s="321" t="s">
        <v>370</v>
      </c>
      <c r="P1050" s="321"/>
      <c r="Q1050" s="327" t="s">
        <v>370</v>
      </c>
    </row>
    <row r="1051" spans="1:17" hidden="1" outlineLevel="1">
      <c r="A1051" s="28"/>
      <c r="B1051" s="1">
        <v>51</v>
      </c>
      <c r="C1051" s="5" t="s">
        <v>1467</v>
      </c>
      <c r="D1051" s="6" t="s">
        <v>1430</v>
      </c>
      <c r="E1051" s="236">
        <v>43819</v>
      </c>
      <c r="F1051" s="4">
        <v>9.2824074074074076E-3</v>
      </c>
      <c r="G1051" s="28"/>
      <c r="J1051" t="s">
        <v>199</v>
      </c>
      <c r="L1051" s="530" t="s">
        <v>1825</v>
      </c>
      <c r="M1051" s="388" t="s">
        <v>144</v>
      </c>
      <c r="N1051" s="387">
        <v>44470</v>
      </c>
      <c r="O1051" s="321" t="s">
        <v>370</v>
      </c>
      <c r="P1051" s="321"/>
      <c r="Q1051" s="327" t="s">
        <v>370</v>
      </c>
    </row>
    <row r="1052" spans="1:17" hidden="1" outlineLevel="1">
      <c r="A1052" s="28"/>
      <c r="B1052" s="533">
        <v>52</v>
      </c>
      <c r="C1052" s="534" t="s">
        <v>1837</v>
      </c>
      <c r="D1052" s="537" t="s">
        <v>560</v>
      </c>
      <c r="E1052" s="543">
        <v>43820</v>
      </c>
      <c r="F1052" s="536">
        <v>9.9212962962962961E-2</v>
      </c>
      <c r="G1052" s="28"/>
      <c r="J1052" t="s">
        <v>199</v>
      </c>
      <c r="L1052" s="88">
        <v>40</v>
      </c>
      <c r="M1052" s="388">
        <v>52</v>
      </c>
      <c r="N1052" s="387">
        <v>44484</v>
      </c>
      <c r="O1052" s="321" t="s">
        <v>370</v>
      </c>
      <c r="P1052" s="321" t="s">
        <v>370</v>
      </c>
      <c r="Q1052" s="327"/>
    </row>
    <row r="1053" spans="1:17" hidden="1" outlineLevel="1">
      <c r="A1053" s="28"/>
      <c r="B1053" s="1">
        <v>53</v>
      </c>
      <c r="C1053" s="5" t="s">
        <v>1468</v>
      </c>
      <c r="D1053" s="6" t="s">
        <v>1431</v>
      </c>
      <c r="E1053" s="236">
        <v>43821</v>
      </c>
      <c r="F1053" s="4">
        <v>1.3900462962962962E-2</v>
      </c>
      <c r="G1053" s="28"/>
      <c r="J1053" t="s">
        <v>199</v>
      </c>
      <c r="L1053" s="506">
        <v>41</v>
      </c>
      <c r="M1053" s="507">
        <v>93</v>
      </c>
      <c r="N1053" s="508">
        <v>44491</v>
      </c>
      <c r="O1053" s="509" t="s">
        <v>370</v>
      </c>
      <c r="P1053" s="509" t="s">
        <v>370</v>
      </c>
      <c r="Q1053" s="510" t="s">
        <v>370</v>
      </c>
    </row>
    <row r="1054" spans="1:17" hidden="1" outlineLevel="1">
      <c r="A1054" s="28"/>
      <c r="B1054" s="1">
        <v>54</v>
      </c>
      <c r="C1054" s="5" t="s">
        <v>1469</v>
      </c>
      <c r="D1054" s="6" t="s">
        <v>1432</v>
      </c>
      <c r="E1054" s="236">
        <v>43822</v>
      </c>
      <c r="F1054" s="4">
        <v>9.0509259259259258E-3</v>
      </c>
      <c r="G1054" s="28"/>
      <c r="J1054" t="s">
        <v>199</v>
      </c>
      <c r="L1054" s="511">
        <v>42</v>
      </c>
      <c r="M1054" s="512">
        <v>50</v>
      </c>
      <c r="N1054" s="513">
        <v>44500</v>
      </c>
      <c r="O1054" s="514" t="s">
        <v>370</v>
      </c>
      <c r="P1054" s="514" t="s">
        <v>370</v>
      </c>
      <c r="Q1054" s="515" t="s">
        <v>370</v>
      </c>
    </row>
    <row r="1055" spans="1:17" hidden="1" outlineLevel="1">
      <c r="A1055" s="28"/>
      <c r="B1055" s="1">
        <v>55</v>
      </c>
      <c r="C1055" s="5" t="s">
        <v>1470</v>
      </c>
      <c r="D1055" s="6" t="s">
        <v>1433</v>
      </c>
      <c r="E1055" s="236">
        <v>43823</v>
      </c>
      <c r="F1055" s="4">
        <v>5.0231481481481481E-3</v>
      </c>
      <c r="G1055" s="28"/>
      <c r="J1055" t="s">
        <v>199</v>
      </c>
      <c r="L1055" s="530" t="s">
        <v>1827</v>
      </c>
      <c r="M1055" s="388" t="s">
        <v>3001</v>
      </c>
      <c r="N1055" s="387">
        <v>44513</v>
      </c>
      <c r="O1055" s="321" t="s">
        <v>370</v>
      </c>
      <c r="P1055" s="321"/>
      <c r="Q1055" s="327"/>
    </row>
    <row r="1056" spans="1:17" hidden="1" outlineLevel="1">
      <c r="A1056" s="28"/>
      <c r="B1056" s="533">
        <v>56</v>
      </c>
      <c r="C1056" s="534" t="s">
        <v>1832</v>
      </c>
      <c r="D1056" s="535">
        <v>5</v>
      </c>
      <c r="E1056" s="543">
        <v>43829</v>
      </c>
      <c r="F1056" s="536">
        <v>8.1250000000000003E-2</v>
      </c>
      <c r="G1056" s="28"/>
      <c r="J1056" t="s">
        <v>199</v>
      </c>
      <c r="L1056" s="530" t="s">
        <v>1829</v>
      </c>
      <c r="M1056" s="388" t="s">
        <v>110</v>
      </c>
      <c r="N1056" s="387">
        <v>44554</v>
      </c>
      <c r="O1056" s="321" t="s">
        <v>370</v>
      </c>
      <c r="P1056" s="321" t="s">
        <v>370</v>
      </c>
      <c r="Q1056" s="327" t="s">
        <v>370</v>
      </c>
    </row>
    <row r="1057" spans="1:17" hidden="1" outlineLevel="1">
      <c r="A1057" s="28"/>
      <c r="B1057" s="1">
        <v>57</v>
      </c>
      <c r="C1057" s="5" t="s">
        <v>1821</v>
      </c>
      <c r="D1057" s="6" t="s">
        <v>1825</v>
      </c>
      <c r="E1057" s="236">
        <v>43829</v>
      </c>
      <c r="F1057" s="4">
        <v>1.9814814814814816E-2</v>
      </c>
      <c r="G1057" s="28"/>
      <c r="J1057" t="s">
        <v>199</v>
      </c>
      <c r="L1057" s="511">
        <v>43</v>
      </c>
      <c r="M1057" s="512">
        <v>15</v>
      </c>
      <c r="N1057" s="513">
        <v>44603</v>
      </c>
      <c r="O1057" s="514" t="s">
        <v>370</v>
      </c>
      <c r="P1057" s="514"/>
      <c r="Q1057" s="515" t="s">
        <v>370</v>
      </c>
    </row>
    <row r="1058" spans="1:17" hidden="1" outlineLevel="1">
      <c r="A1058" s="28"/>
      <c r="B1058" s="1">
        <v>58</v>
      </c>
      <c r="C1058" s="5" t="s">
        <v>1823</v>
      </c>
      <c r="D1058" s="2">
        <v>0</v>
      </c>
      <c r="E1058" s="236">
        <v>43830</v>
      </c>
      <c r="F1058" s="4">
        <v>3.2083333333333332E-2</v>
      </c>
      <c r="G1058" s="28"/>
      <c r="J1058" t="s">
        <v>199</v>
      </c>
      <c r="L1058" s="511">
        <v>44</v>
      </c>
      <c r="M1058" s="512">
        <v>209</v>
      </c>
      <c r="N1058" s="513">
        <v>44620</v>
      </c>
      <c r="O1058" s="514"/>
      <c r="P1058" s="514" t="s">
        <v>370</v>
      </c>
      <c r="Q1058" s="515" t="s">
        <v>370</v>
      </c>
    </row>
    <row r="1059" spans="1:17" hidden="1" outlineLevel="1">
      <c r="A1059" s="28"/>
      <c r="B1059" s="1">
        <v>59</v>
      </c>
      <c r="C1059" s="5" t="s">
        <v>1822</v>
      </c>
      <c r="D1059" s="2">
        <v>0</v>
      </c>
      <c r="E1059" s="236">
        <v>43850</v>
      </c>
      <c r="F1059" s="4">
        <v>4.3287037037037035E-3</v>
      </c>
      <c r="G1059" s="28"/>
      <c r="J1059" t="s">
        <v>199</v>
      </c>
      <c r="L1059" s="511">
        <v>45</v>
      </c>
      <c r="M1059" s="512">
        <v>37</v>
      </c>
      <c r="N1059" s="513">
        <v>44659</v>
      </c>
      <c r="O1059" s="514" t="s">
        <v>370</v>
      </c>
      <c r="P1059" s="514" t="s">
        <v>370</v>
      </c>
      <c r="Q1059" s="515" t="s">
        <v>370</v>
      </c>
    </row>
    <row r="1060" spans="1:17" hidden="1" outlineLevel="1">
      <c r="A1060" s="28"/>
      <c r="B1060" s="533">
        <v>60</v>
      </c>
      <c r="C1060" s="534" t="s">
        <v>576</v>
      </c>
      <c r="D1060" s="535">
        <v>59</v>
      </c>
      <c r="E1060" s="543">
        <v>43859.03052083333</v>
      </c>
      <c r="F1060" s="536">
        <v>9.2025462962962976E-2</v>
      </c>
      <c r="G1060" s="28"/>
      <c r="J1060" t="s">
        <v>199</v>
      </c>
      <c r="L1060" s="521" t="s">
        <v>2910</v>
      </c>
      <c r="M1060" s="512">
        <v>103</v>
      </c>
      <c r="N1060" s="513">
        <v>44680</v>
      </c>
      <c r="O1060" s="514" t="s">
        <v>370</v>
      </c>
      <c r="P1060" s="514" t="s">
        <v>370</v>
      </c>
      <c r="Q1060" s="515" t="s">
        <v>370</v>
      </c>
    </row>
    <row r="1061" spans="1:17" hidden="1" outlineLevel="1">
      <c r="A1061" s="28"/>
      <c r="B1061" s="533">
        <v>61</v>
      </c>
      <c r="C1061" s="534" t="s">
        <v>577</v>
      </c>
      <c r="D1061" s="535">
        <v>43</v>
      </c>
      <c r="E1061" s="543">
        <v>43873.403321759259</v>
      </c>
      <c r="F1061" s="536">
        <v>0.13048611111111111</v>
      </c>
      <c r="G1061" s="28"/>
      <c r="J1061" t="s">
        <v>199</v>
      </c>
      <c r="L1061" s="521" t="s">
        <v>2938</v>
      </c>
      <c r="M1061" s="512">
        <v>125</v>
      </c>
      <c r="N1061" s="513">
        <v>44708</v>
      </c>
      <c r="O1061" s="514" t="s">
        <v>370</v>
      </c>
      <c r="P1061" s="514" t="s">
        <v>370</v>
      </c>
      <c r="Q1061" s="515" t="s">
        <v>370</v>
      </c>
    </row>
    <row r="1062" spans="1:17" hidden="1" outlineLevel="1">
      <c r="A1062" s="28"/>
      <c r="B1062" s="533">
        <v>62</v>
      </c>
      <c r="C1062" s="534" t="s">
        <v>578</v>
      </c>
      <c r="D1062" s="535">
        <v>184</v>
      </c>
      <c r="E1062" s="543">
        <v>43892.25</v>
      </c>
      <c r="F1062" s="536">
        <v>0.13717592592592592</v>
      </c>
      <c r="G1062" s="28"/>
      <c r="J1062" t="s">
        <v>199</v>
      </c>
      <c r="L1062" s="511">
        <v>47</v>
      </c>
      <c r="M1062" s="512">
        <v>16</v>
      </c>
      <c r="N1062" s="513">
        <v>44736</v>
      </c>
      <c r="O1062" s="514" t="s">
        <v>370</v>
      </c>
      <c r="P1062" s="514" t="s">
        <v>370</v>
      </c>
      <c r="Q1062" s="515"/>
    </row>
    <row r="1063" spans="1:17" hidden="1" outlineLevel="1">
      <c r="A1063" s="28"/>
      <c r="B1063" s="1">
        <v>63</v>
      </c>
      <c r="C1063" s="5" t="s">
        <v>1824</v>
      </c>
      <c r="D1063" s="6" t="s">
        <v>1827</v>
      </c>
      <c r="E1063" s="236">
        <v>43912</v>
      </c>
      <c r="F1063" s="4">
        <v>4.3784722222222218E-2</v>
      </c>
      <c r="G1063" s="28"/>
      <c r="J1063" t="s">
        <v>199</v>
      </c>
      <c r="L1063" s="521" t="s">
        <v>1830</v>
      </c>
      <c r="M1063" s="512" t="s">
        <v>145</v>
      </c>
      <c r="N1063" s="513">
        <v>44768</v>
      </c>
      <c r="O1063" s="514" t="s">
        <v>370</v>
      </c>
      <c r="P1063" s="514" t="s">
        <v>370</v>
      </c>
      <c r="Q1063" s="515"/>
    </row>
    <row r="1064" spans="1:17" hidden="1" outlineLevel="1">
      <c r="A1064" s="28"/>
      <c r="B1064" s="1">
        <v>64</v>
      </c>
      <c r="C1064" s="5" t="s">
        <v>1826</v>
      </c>
      <c r="D1064" s="6" t="s">
        <v>1829</v>
      </c>
      <c r="E1064" s="236">
        <v>43915</v>
      </c>
      <c r="F1064" s="4">
        <v>7.6296296296296293E-2</v>
      </c>
      <c r="G1064" s="28"/>
      <c r="J1064" t="s">
        <v>199</v>
      </c>
      <c r="L1064" s="516">
        <v>48</v>
      </c>
      <c r="M1064" s="517">
        <v>90</v>
      </c>
      <c r="N1064" s="518">
        <v>44771</v>
      </c>
      <c r="O1064" s="519"/>
      <c r="P1064" s="519" t="s">
        <v>370</v>
      </c>
      <c r="Q1064" s="520" t="s">
        <v>370</v>
      </c>
    </row>
    <row r="1065" spans="1:17" hidden="1" outlineLevel="1">
      <c r="A1065" s="28"/>
      <c r="B1065" s="1">
        <v>65</v>
      </c>
      <c r="C1065" s="5" t="s">
        <v>579</v>
      </c>
      <c r="D1065" s="2">
        <v>1</v>
      </c>
      <c r="E1065" s="236">
        <v>43929</v>
      </c>
      <c r="F1065" s="4">
        <v>9.0624999999999997E-2</v>
      </c>
      <c r="G1065" s="28"/>
      <c r="J1065" t="s">
        <v>199</v>
      </c>
      <c r="L1065" s="88">
        <v>49</v>
      </c>
      <c r="M1065" s="388">
        <v>12</v>
      </c>
      <c r="N1065" s="387">
        <v>44820</v>
      </c>
      <c r="O1065" s="321" t="s">
        <v>370</v>
      </c>
      <c r="P1065" s="321" t="s">
        <v>370</v>
      </c>
      <c r="Q1065" s="327" t="s">
        <v>370</v>
      </c>
    </row>
    <row r="1066" spans="1:17" hidden="1" outlineLevel="1">
      <c r="A1066" s="28"/>
      <c r="B1066" s="1">
        <v>66</v>
      </c>
      <c r="C1066" s="5" t="s">
        <v>575</v>
      </c>
      <c r="D1066" s="2">
        <v>0</v>
      </c>
      <c r="E1066" s="236">
        <v>43938</v>
      </c>
      <c r="F1066" s="4">
        <v>6.3009259259259265E-2</v>
      </c>
      <c r="G1066" s="28"/>
      <c r="J1066" t="s">
        <v>199</v>
      </c>
      <c r="L1066" s="516">
        <v>50</v>
      </c>
      <c r="M1066" s="388">
        <v>13</v>
      </c>
      <c r="N1066" s="387">
        <v>44848</v>
      </c>
      <c r="O1066" s="321" t="s">
        <v>370</v>
      </c>
      <c r="P1066" s="321" t="s">
        <v>370</v>
      </c>
      <c r="Q1066" s="327" t="s">
        <v>370</v>
      </c>
    </row>
    <row r="1067" spans="1:17" hidden="1" outlineLevel="1">
      <c r="A1067" s="28"/>
      <c r="B1067" s="1">
        <v>67</v>
      </c>
      <c r="C1067" s="5" t="s">
        <v>574</v>
      </c>
      <c r="D1067" s="2">
        <v>0</v>
      </c>
      <c r="E1067" s="236">
        <v>43941</v>
      </c>
      <c r="F1067" s="4">
        <v>5.7141203703703708E-2</v>
      </c>
      <c r="G1067" s="28"/>
      <c r="J1067" t="s">
        <v>199</v>
      </c>
      <c r="L1067" s="516">
        <v>51</v>
      </c>
      <c r="M1067" s="388">
        <v>30</v>
      </c>
      <c r="N1067" s="387">
        <v>44876</v>
      </c>
      <c r="O1067" s="321" t="s">
        <v>370</v>
      </c>
      <c r="P1067" s="321" t="s">
        <v>370</v>
      </c>
      <c r="Q1067" s="327"/>
    </row>
    <row r="1068" spans="1:17" hidden="1" outlineLevel="1">
      <c r="A1068" s="28"/>
      <c r="B1068" s="533">
        <v>68</v>
      </c>
      <c r="C1068" s="534" t="s">
        <v>2881</v>
      </c>
      <c r="D1068" s="535">
        <v>200</v>
      </c>
      <c r="E1068" s="543">
        <v>43947.886805555558</v>
      </c>
      <c r="F1068" s="536">
        <v>0.21721064814814817</v>
      </c>
      <c r="G1068" s="28"/>
      <c r="J1068" t="s">
        <v>199</v>
      </c>
      <c r="L1068" s="522">
        <v>52</v>
      </c>
      <c r="M1068" s="523">
        <v>75</v>
      </c>
      <c r="N1068" s="524">
        <v>44939</v>
      </c>
      <c r="O1068" s="525" t="s">
        <v>370</v>
      </c>
      <c r="P1068" s="525" t="s">
        <v>370</v>
      </c>
      <c r="Q1068" s="526"/>
    </row>
    <row r="1069" spans="1:17" hidden="1" outlineLevel="1">
      <c r="A1069" s="28"/>
      <c r="B1069" s="533">
        <v>69</v>
      </c>
      <c r="C1069" s="534" t="s">
        <v>2882</v>
      </c>
      <c r="D1069" s="535">
        <v>200</v>
      </c>
      <c r="E1069" s="543">
        <v>43947.934074074074</v>
      </c>
      <c r="F1069" s="536">
        <v>0.1471412037037037</v>
      </c>
      <c r="G1069" s="28"/>
      <c r="J1069" t="s">
        <v>199</v>
      </c>
      <c r="L1069" s="88">
        <v>53</v>
      </c>
      <c r="M1069" s="388">
        <v>180</v>
      </c>
      <c r="N1069" s="387">
        <v>44981</v>
      </c>
      <c r="O1069" s="321" t="s">
        <v>370</v>
      </c>
      <c r="P1069" s="321" t="s">
        <v>370</v>
      </c>
      <c r="Q1069" s="327" t="s">
        <v>370</v>
      </c>
    </row>
    <row r="1070" spans="1:17" hidden="1" outlineLevel="1">
      <c r="A1070" s="28"/>
      <c r="B1070" s="533">
        <v>70</v>
      </c>
      <c r="C1070" s="534" t="s">
        <v>2883</v>
      </c>
      <c r="D1070" s="535">
        <v>200</v>
      </c>
      <c r="E1070" s="543">
        <v>43948.023090277777</v>
      </c>
      <c r="F1070" s="536">
        <v>0.11391203703703705</v>
      </c>
      <c r="G1070" s="28"/>
      <c r="J1070" t="s">
        <v>199</v>
      </c>
      <c r="L1070" s="521" t="s">
        <v>1841</v>
      </c>
      <c r="M1070" s="388" t="s">
        <v>3698</v>
      </c>
      <c r="N1070" s="387">
        <v>44995</v>
      </c>
      <c r="O1070" s="321" t="s">
        <v>370</v>
      </c>
      <c r="P1070" s="321" t="s">
        <v>370</v>
      </c>
      <c r="Q1070" s="327" t="s">
        <v>3728</v>
      </c>
    </row>
    <row r="1071" spans="1:17" hidden="1" outlineLevel="1">
      <c r="A1071" s="28"/>
      <c r="B1071" s="533">
        <v>71</v>
      </c>
      <c r="C1071" s="534" t="s">
        <v>2884</v>
      </c>
      <c r="D1071" s="535">
        <v>200</v>
      </c>
      <c r="E1071" s="543">
        <v>43948.082291666666</v>
      </c>
      <c r="F1071" s="536">
        <v>0.16546296296296295</v>
      </c>
      <c r="G1071" s="28"/>
      <c r="J1071" t="s">
        <v>199</v>
      </c>
      <c r="L1071" s="88">
        <v>54</v>
      </c>
      <c r="M1071" s="388">
        <v>90</v>
      </c>
      <c r="N1071" s="387">
        <v>45009</v>
      </c>
      <c r="O1071" s="321"/>
      <c r="P1071" s="321" t="s">
        <v>370</v>
      </c>
      <c r="Q1071" s="327" t="s">
        <v>370</v>
      </c>
    </row>
    <row r="1072" spans="1:17" hidden="1" outlineLevel="1">
      <c r="A1072" s="28"/>
      <c r="B1072" s="533">
        <v>72</v>
      </c>
      <c r="C1072" s="534" t="s">
        <v>609</v>
      </c>
      <c r="D1072" s="535">
        <v>44</v>
      </c>
      <c r="E1072" s="543">
        <v>43982</v>
      </c>
      <c r="F1072" s="536">
        <v>0.13915509259259259</v>
      </c>
      <c r="G1072" s="28"/>
      <c r="J1072" t="s">
        <v>199</v>
      </c>
      <c r="L1072" s="522">
        <v>55</v>
      </c>
      <c r="M1072" s="523">
        <v>70</v>
      </c>
      <c r="N1072" s="524">
        <v>45037</v>
      </c>
      <c r="O1072" s="525" t="s">
        <v>370</v>
      </c>
      <c r="P1072" s="525" t="s">
        <v>370</v>
      </c>
      <c r="Q1072" s="526"/>
    </row>
    <row r="1073" spans="1:17" hidden="1" outlineLevel="1">
      <c r="A1073" s="28"/>
      <c r="B1073" s="533">
        <v>73</v>
      </c>
      <c r="C1073" s="534" t="s">
        <v>611</v>
      </c>
      <c r="D1073" s="535">
        <v>35</v>
      </c>
      <c r="E1073" s="543">
        <v>44003</v>
      </c>
      <c r="F1073" s="536">
        <v>0.1112962962962963</v>
      </c>
      <c r="G1073" s="28"/>
      <c r="J1073" t="s">
        <v>199</v>
      </c>
      <c r="L1073" s="88">
        <v>56</v>
      </c>
      <c r="M1073" s="388">
        <v>85</v>
      </c>
      <c r="N1073" s="387">
        <v>45065</v>
      </c>
      <c r="O1073" s="321" t="s">
        <v>370</v>
      </c>
      <c r="P1073" s="321" t="s">
        <v>370</v>
      </c>
      <c r="Q1073" s="327"/>
    </row>
    <row r="1074" spans="1:17" hidden="1" outlineLevel="1">
      <c r="A1074" s="28"/>
      <c r="B1074" s="533">
        <v>74</v>
      </c>
      <c r="C1074" s="534" t="s">
        <v>614</v>
      </c>
      <c r="D1074" s="535">
        <v>14</v>
      </c>
      <c r="E1074" s="543">
        <v>44016</v>
      </c>
      <c r="F1074" s="536">
        <v>0.13697916666666668</v>
      </c>
      <c r="G1074" s="28"/>
      <c r="J1074" t="s">
        <v>199</v>
      </c>
      <c r="L1074" s="88">
        <v>57</v>
      </c>
      <c r="M1074" s="388">
        <v>115</v>
      </c>
      <c r="N1074" s="387">
        <v>45121</v>
      </c>
      <c r="O1074" s="321"/>
      <c r="P1074" s="321" t="s">
        <v>370</v>
      </c>
      <c r="Q1074" s="327" t="s">
        <v>370</v>
      </c>
    </row>
    <row r="1075" spans="1:17" hidden="1" outlineLevel="1">
      <c r="A1075" s="28"/>
      <c r="B1075" s="1">
        <v>75</v>
      </c>
      <c r="C1075" s="5" t="s">
        <v>1828</v>
      </c>
      <c r="D1075" s="2">
        <v>0</v>
      </c>
      <c r="E1075" s="236">
        <v>44044</v>
      </c>
      <c r="F1075" s="4">
        <v>2.9976851851851848E-3</v>
      </c>
      <c r="G1075" s="28"/>
      <c r="J1075" t="s">
        <v>199</v>
      </c>
      <c r="L1075" s="88">
        <v>58</v>
      </c>
      <c r="M1075" s="388" t="s">
        <v>3965</v>
      </c>
      <c r="N1075" s="387">
        <v>45128</v>
      </c>
      <c r="O1075" s="321" t="s">
        <v>370</v>
      </c>
      <c r="P1075" s="321"/>
      <c r="Q1075" s="327" t="s">
        <v>370</v>
      </c>
    </row>
    <row r="1076" spans="1:17" hidden="1" outlineLevel="1">
      <c r="A1076" s="28"/>
      <c r="B1076" s="1">
        <v>76</v>
      </c>
      <c r="C1076" s="5" t="s">
        <v>2438</v>
      </c>
      <c r="D1076" s="2">
        <v>0</v>
      </c>
      <c r="E1076" s="236">
        <v>44069</v>
      </c>
      <c r="F1076" s="4">
        <v>1.2731481481481483E-3</v>
      </c>
      <c r="G1076" s="28"/>
      <c r="J1076" t="s">
        <v>199</v>
      </c>
      <c r="L1076" s="88">
        <v>59</v>
      </c>
      <c r="M1076" s="388">
        <v>126</v>
      </c>
      <c r="N1076" s="387">
        <v>45212</v>
      </c>
      <c r="O1076" s="321" t="s">
        <v>370</v>
      </c>
      <c r="P1076" s="321"/>
      <c r="Q1076" s="327" t="s">
        <v>370</v>
      </c>
    </row>
    <row r="1077" spans="1:17" hidden="1" outlineLevel="1">
      <c r="A1077" s="28"/>
      <c r="B1077" s="533">
        <v>77</v>
      </c>
      <c r="C1077" s="534" t="s">
        <v>1268</v>
      </c>
      <c r="D1077" s="535">
        <v>29</v>
      </c>
      <c r="E1077" s="543">
        <v>44086</v>
      </c>
      <c r="F1077" s="536">
        <v>8.1863425925925923E-2</v>
      </c>
      <c r="G1077" s="28"/>
      <c r="J1077" t="s">
        <v>199</v>
      </c>
      <c r="L1077" s="88">
        <v>60</v>
      </c>
      <c r="M1077" s="388">
        <v>69</v>
      </c>
      <c r="N1077" s="387">
        <v>45317</v>
      </c>
      <c r="O1077" s="321" t="s">
        <v>370</v>
      </c>
      <c r="P1077" s="321" t="s">
        <v>370</v>
      </c>
      <c r="Q1077" s="327" t="s">
        <v>370</v>
      </c>
    </row>
    <row r="1078" spans="1:17" hidden="1" outlineLevel="1">
      <c r="A1078" s="28"/>
      <c r="B1078" s="1">
        <v>78</v>
      </c>
      <c r="C1078" s="5" t="s">
        <v>1842</v>
      </c>
      <c r="D1078" s="6" t="s">
        <v>1830</v>
      </c>
      <c r="E1078" s="236">
        <v>44093</v>
      </c>
      <c r="F1078" s="4">
        <v>9.6354166666666671E-2</v>
      </c>
      <c r="G1078" s="28"/>
      <c r="J1078" t="s">
        <v>199</v>
      </c>
      <c r="L1078" s="88">
        <v>61</v>
      </c>
      <c r="M1078" s="388">
        <v>224</v>
      </c>
      <c r="N1078" s="387">
        <v>45343</v>
      </c>
      <c r="O1078" s="321" t="s">
        <v>370</v>
      </c>
      <c r="P1078" s="321" t="s">
        <v>370</v>
      </c>
      <c r="Q1078" s="327"/>
    </row>
    <row r="1079" spans="1:17" hidden="1" outlineLevel="1">
      <c r="A1079" s="28"/>
      <c r="B1079" s="1">
        <v>79</v>
      </c>
      <c r="C1079" s="5" t="s">
        <v>1831</v>
      </c>
      <c r="D1079" s="6" t="s">
        <v>1841</v>
      </c>
      <c r="E1079" s="236">
        <v>44099</v>
      </c>
      <c r="F1079" s="4">
        <v>3.9004629629629632E-3</v>
      </c>
      <c r="G1079" s="28"/>
      <c r="J1079" t="s">
        <v>199</v>
      </c>
      <c r="L1079" s="88">
        <v>62</v>
      </c>
      <c r="M1079" s="388">
        <v>163</v>
      </c>
      <c r="N1079" s="387">
        <v>45373</v>
      </c>
      <c r="O1079" s="321" t="s">
        <v>370</v>
      </c>
      <c r="P1079" s="321" t="s">
        <v>370</v>
      </c>
      <c r="Q1079" s="327" t="s">
        <v>370</v>
      </c>
    </row>
    <row r="1080" spans="1:17" hidden="1" outlineLevel="1">
      <c r="A1080" s="28"/>
      <c r="B1080" s="533">
        <v>80</v>
      </c>
      <c r="C1080" s="534" t="s">
        <v>1312</v>
      </c>
      <c r="D1080" s="535">
        <v>76</v>
      </c>
      <c r="E1080" s="543">
        <v>44107</v>
      </c>
      <c r="F1080" s="536">
        <v>0.16192129629629629</v>
      </c>
      <c r="G1080" s="28"/>
      <c r="J1080" t="s">
        <v>199</v>
      </c>
      <c r="L1080" s="522">
        <v>63</v>
      </c>
      <c r="M1080" s="523">
        <v>88</v>
      </c>
      <c r="N1080" s="524">
        <v>45399</v>
      </c>
      <c r="O1080" s="525" t="s">
        <v>370</v>
      </c>
      <c r="P1080" s="525" t="s">
        <v>370</v>
      </c>
      <c r="Q1080" s="526" t="s">
        <v>370</v>
      </c>
    </row>
    <row r="1081" spans="1:17" hidden="1" outlineLevel="1">
      <c r="A1081" s="28"/>
      <c r="B1081" s="1">
        <v>81</v>
      </c>
      <c r="C1081" s="5" t="s">
        <v>1317</v>
      </c>
      <c r="D1081" s="6" t="s">
        <v>1554</v>
      </c>
      <c r="E1081" s="236">
        <v>44111.015277777777</v>
      </c>
      <c r="F1081" s="4">
        <v>3.4664351851851849E-2</v>
      </c>
      <c r="G1081" s="28"/>
      <c r="J1081" t="s">
        <v>199</v>
      </c>
    </row>
    <row r="1082" spans="1:17" hidden="1" outlineLevel="1">
      <c r="A1082" s="28"/>
      <c r="B1082" s="533">
        <v>82</v>
      </c>
      <c r="C1082" s="534" t="s">
        <v>1321</v>
      </c>
      <c r="D1082" s="535">
        <v>18</v>
      </c>
      <c r="E1082" s="543">
        <v>44113</v>
      </c>
      <c r="F1082" s="536">
        <v>0.15649305555555557</v>
      </c>
      <c r="G1082" s="28"/>
      <c r="J1082" t="s">
        <v>199</v>
      </c>
      <c r="L1082" s="752" t="s">
        <v>380</v>
      </c>
      <c r="M1082" s="753"/>
      <c r="N1082" s="754"/>
      <c r="O1082" s="394" t="str">
        <f>COUNTA(O1007:O1080)&amp;"-mal"</f>
        <v>65-mal</v>
      </c>
      <c r="P1082" s="394" t="str">
        <f>COUNTA(P1007:P1080)&amp;"-mal"</f>
        <v>60-mal</v>
      </c>
      <c r="Q1082" s="394" t="str">
        <f>COUNTA(Q1007:Q1080)&amp;"-mal"</f>
        <v>50-mal</v>
      </c>
    </row>
    <row r="1083" spans="1:17" hidden="1" outlineLevel="1">
      <c r="A1083" s="28"/>
      <c r="B1083" s="1">
        <v>83</v>
      </c>
      <c r="C1083" s="5" t="s">
        <v>1843</v>
      </c>
      <c r="D1083" s="6" t="s">
        <v>1844</v>
      </c>
      <c r="E1083" s="236">
        <v>44133</v>
      </c>
      <c r="F1083" s="4">
        <v>0.22875000000000001</v>
      </c>
      <c r="G1083" s="28"/>
      <c r="J1083" t="s">
        <v>199</v>
      </c>
      <c r="L1083" s="752" t="s">
        <v>2650</v>
      </c>
      <c r="M1083" s="753"/>
      <c r="N1083" s="754"/>
      <c r="O1083" s="394" t="str">
        <f>ROUND(LEFT(O1082,2)/COUNTA(L1007:L1080)*100,1)&amp;" %"</f>
        <v>87,8 %</v>
      </c>
      <c r="P1083" s="394" t="str">
        <f>ROUND(LEFT(P1082,2)/COUNTA(L1007:L1080)*100,1)&amp;" %"</f>
        <v>81,1 %</v>
      </c>
      <c r="Q1083" s="394" t="str">
        <f>ROUND(LEFT(Q1082,2)/COUNTA(L1007:L1080)*100,1)&amp;" %"</f>
        <v>67,6 %</v>
      </c>
    </row>
    <row r="1084" spans="1:17" hidden="1" outlineLevel="1">
      <c r="A1084" s="28"/>
      <c r="B1084" s="1">
        <v>84</v>
      </c>
      <c r="C1084" s="5" t="s">
        <v>2442</v>
      </c>
      <c r="D1084" s="6">
        <v>0</v>
      </c>
      <c r="E1084" s="236">
        <v>44145</v>
      </c>
      <c r="F1084" s="4">
        <v>1.8171296296296297E-3</v>
      </c>
      <c r="G1084" s="28"/>
      <c r="J1084" t="s">
        <v>199</v>
      </c>
    </row>
    <row r="1085" spans="1:17" hidden="1" outlineLevel="1">
      <c r="A1085" s="28"/>
      <c r="B1085" s="533">
        <v>85</v>
      </c>
      <c r="C1085" s="534" t="s">
        <v>1838</v>
      </c>
      <c r="D1085" s="537" t="s">
        <v>1393</v>
      </c>
      <c r="E1085" s="543">
        <v>44156</v>
      </c>
      <c r="F1085" s="536">
        <v>8.4247685185185175E-2</v>
      </c>
      <c r="G1085" s="28"/>
      <c r="J1085" t="s">
        <v>199</v>
      </c>
    </row>
    <row r="1086" spans="1:17" hidden="1" outlineLevel="1">
      <c r="A1086" s="28"/>
      <c r="B1086" s="1">
        <v>86</v>
      </c>
      <c r="C1086" s="5" t="s">
        <v>1408</v>
      </c>
      <c r="D1086" s="6" t="s">
        <v>3177</v>
      </c>
      <c r="E1086" s="236">
        <v>44166</v>
      </c>
      <c r="F1086" s="4">
        <v>3.5023148148148144E-2</v>
      </c>
      <c r="G1086" s="28"/>
      <c r="J1086" t="s">
        <v>199</v>
      </c>
    </row>
    <row r="1087" spans="1:17" hidden="1" outlineLevel="1">
      <c r="A1087" s="28"/>
      <c r="B1087" s="1">
        <v>87</v>
      </c>
      <c r="C1087" s="5" t="s">
        <v>1494</v>
      </c>
      <c r="D1087" s="6" t="s">
        <v>3178</v>
      </c>
      <c r="E1087" s="236">
        <v>44167</v>
      </c>
      <c r="F1087" s="4">
        <v>1.1817129629629629E-2</v>
      </c>
      <c r="G1087" s="28"/>
      <c r="J1087" t="s">
        <v>199</v>
      </c>
    </row>
    <row r="1088" spans="1:17" hidden="1" outlineLevel="1">
      <c r="A1088" s="28"/>
      <c r="B1088" s="1">
        <v>88</v>
      </c>
      <c r="C1088" s="5" t="s">
        <v>1495</v>
      </c>
      <c r="D1088" s="6" t="s">
        <v>3179</v>
      </c>
      <c r="E1088" s="236">
        <v>44168</v>
      </c>
      <c r="F1088" s="4">
        <v>1.9675925925925927E-2</v>
      </c>
      <c r="G1088" s="28"/>
      <c r="J1088" t="s">
        <v>199</v>
      </c>
    </row>
    <row r="1089" spans="1:10" hidden="1" outlineLevel="1">
      <c r="A1089" s="28"/>
      <c r="B1089" s="1">
        <v>89</v>
      </c>
      <c r="C1089" s="5" t="s">
        <v>1496</v>
      </c>
      <c r="D1089" s="6" t="s">
        <v>3180</v>
      </c>
      <c r="E1089" s="236">
        <v>44169</v>
      </c>
      <c r="F1089" s="4">
        <v>1.2291666666666666E-2</v>
      </c>
      <c r="G1089" s="28"/>
      <c r="J1089" t="s">
        <v>199</v>
      </c>
    </row>
    <row r="1090" spans="1:10" hidden="1" outlineLevel="1">
      <c r="A1090" s="28"/>
      <c r="B1090" s="1">
        <v>90</v>
      </c>
      <c r="C1090" s="5" t="s">
        <v>1526</v>
      </c>
      <c r="D1090" s="6" t="s">
        <v>3181</v>
      </c>
      <c r="E1090" s="236">
        <v>44170</v>
      </c>
      <c r="F1090" s="4">
        <v>1.1736111111111109E-2</v>
      </c>
      <c r="G1090" s="28"/>
      <c r="J1090" t="s">
        <v>199</v>
      </c>
    </row>
    <row r="1091" spans="1:10" hidden="1" outlineLevel="1">
      <c r="A1091" s="28"/>
      <c r="B1091" s="1">
        <v>91</v>
      </c>
      <c r="C1091" s="5" t="s">
        <v>1497</v>
      </c>
      <c r="D1091" s="6" t="s">
        <v>3182</v>
      </c>
      <c r="E1091" s="236">
        <v>44171</v>
      </c>
      <c r="F1091" s="4">
        <v>1.2719907407407407E-2</v>
      </c>
      <c r="G1091" s="28"/>
      <c r="J1091" t="s">
        <v>199</v>
      </c>
    </row>
    <row r="1092" spans="1:10" hidden="1" outlineLevel="1">
      <c r="A1092" s="28"/>
      <c r="B1092" s="1">
        <v>92</v>
      </c>
      <c r="C1092" s="5" t="s">
        <v>1498</v>
      </c>
      <c r="D1092" s="6" t="s">
        <v>3183</v>
      </c>
      <c r="E1092" s="236">
        <v>44172</v>
      </c>
      <c r="F1092" s="4">
        <v>4.7569444444444447E-3</v>
      </c>
      <c r="G1092" s="28"/>
      <c r="J1092" t="s">
        <v>199</v>
      </c>
    </row>
    <row r="1093" spans="1:10" hidden="1" outlineLevel="1">
      <c r="A1093" s="28"/>
      <c r="B1093" s="1">
        <v>93</v>
      </c>
      <c r="C1093" s="5" t="s">
        <v>1499</v>
      </c>
      <c r="D1093" s="6" t="s">
        <v>3184</v>
      </c>
      <c r="E1093" s="236">
        <v>44173</v>
      </c>
      <c r="F1093" s="4">
        <v>1.4930555555555556E-2</v>
      </c>
      <c r="G1093" s="28"/>
      <c r="J1093" t="s">
        <v>199</v>
      </c>
    </row>
    <row r="1094" spans="1:10" hidden="1" outlineLevel="1">
      <c r="A1094" s="28"/>
      <c r="B1094" s="1">
        <v>94</v>
      </c>
      <c r="C1094" s="5" t="s">
        <v>1500</v>
      </c>
      <c r="D1094" s="6" t="s">
        <v>3185</v>
      </c>
      <c r="E1094" s="236">
        <v>44174</v>
      </c>
      <c r="F1094" s="4">
        <v>8.8888888888888889E-3</v>
      </c>
      <c r="G1094" s="28"/>
      <c r="J1094" t="s">
        <v>199</v>
      </c>
    </row>
    <row r="1095" spans="1:10" hidden="1" outlineLevel="1">
      <c r="A1095" s="28"/>
      <c r="B1095" s="1">
        <v>95</v>
      </c>
      <c r="C1095" s="5" t="s">
        <v>1501</v>
      </c>
      <c r="D1095" s="6" t="s">
        <v>1479</v>
      </c>
      <c r="E1095" s="236">
        <v>44175</v>
      </c>
      <c r="F1095" s="4">
        <v>1.1018518518518518E-2</v>
      </c>
      <c r="G1095" s="28"/>
      <c r="J1095" t="s">
        <v>199</v>
      </c>
    </row>
    <row r="1096" spans="1:10" hidden="1" outlineLevel="1">
      <c r="A1096" s="28"/>
      <c r="B1096" s="1">
        <v>96</v>
      </c>
      <c r="C1096" s="5" t="s">
        <v>1502</v>
      </c>
      <c r="D1096" s="6" t="s">
        <v>1480</v>
      </c>
      <c r="E1096" s="236">
        <v>44176</v>
      </c>
      <c r="F1096" s="4">
        <v>1.7824074074074076E-2</v>
      </c>
      <c r="G1096" s="28"/>
      <c r="J1096" t="s">
        <v>199</v>
      </c>
    </row>
    <row r="1097" spans="1:10" hidden="1" outlineLevel="1">
      <c r="A1097" s="28"/>
      <c r="B1097" s="1">
        <v>97</v>
      </c>
      <c r="C1097" s="5" t="s">
        <v>1525</v>
      </c>
      <c r="D1097" s="6" t="s">
        <v>1481</v>
      </c>
      <c r="E1097" s="236">
        <v>44177</v>
      </c>
      <c r="F1097" s="4">
        <v>8.0671296296296307E-3</v>
      </c>
      <c r="G1097" s="28"/>
      <c r="J1097" t="s">
        <v>199</v>
      </c>
    </row>
    <row r="1098" spans="1:10" hidden="1" outlineLevel="1">
      <c r="A1098" s="28"/>
      <c r="B1098" s="1">
        <v>98</v>
      </c>
      <c r="C1098" s="5" t="s">
        <v>1527</v>
      </c>
      <c r="D1098" s="6" t="s">
        <v>1482</v>
      </c>
      <c r="E1098" s="236">
        <v>44178</v>
      </c>
      <c r="F1098" s="4">
        <v>1.6446759259259262E-2</v>
      </c>
      <c r="G1098" s="28"/>
      <c r="J1098" t="s">
        <v>199</v>
      </c>
    </row>
    <row r="1099" spans="1:10" hidden="1" outlineLevel="1">
      <c r="A1099" s="28"/>
      <c r="B1099" s="1">
        <v>99</v>
      </c>
      <c r="C1099" s="5" t="s">
        <v>1528</v>
      </c>
      <c r="D1099" s="6" t="s">
        <v>1483</v>
      </c>
      <c r="E1099" s="236">
        <v>44179</v>
      </c>
      <c r="F1099" s="4">
        <v>1.0324074074074074E-2</v>
      </c>
      <c r="G1099" s="28"/>
      <c r="J1099" t="s">
        <v>199</v>
      </c>
    </row>
    <row r="1100" spans="1:10" hidden="1" outlineLevel="1">
      <c r="A1100" s="28"/>
      <c r="B1100" s="1">
        <v>100</v>
      </c>
      <c r="C1100" s="5" t="s">
        <v>1529</v>
      </c>
      <c r="D1100" s="6" t="s">
        <v>1484</v>
      </c>
      <c r="E1100" s="236">
        <v>44180</v>
      </c>
      <c r="F1100" s="4">
        <v>9.9652777777777778E-3</v>
      </c>
      <c r="G1100" s="28"/>
      <c r="J1100" t="s">
        <v>199</v>
      </c>
    </row>
    <row r="1101" spans="1:10" hidden="1" outlineLevel="1">
      <c r="A1101" s="28"/>
      <c r="B1101" s="1">
        <v>101</v>
      </c>
      <c r="C1101" s="5" t="s">
        <v>1530</v>
      </c>
      <c r="D1101" s="6" t="s">
        <v>1485</v>
      </c>
      <c r="E1101" s="236">
        <v>44181</v>
      </c>
      <c r="F1101" s="4">
        <v>1.3287037037037036E-2</v>
      </c>
      <c r="G1101" s="28"/>
      <c r="J1101" t="s">
        <v>199</v>
      </c>
    </row>
    <row r="1102" spans="1:10" hidden="1" outlineLevel="1">
      <c r="A1102" s="28"/>
      <c r="B1102" s="1">
        <v>102</v>
      </c>
      <c r="C1102" s="5" t="s">
        <v>1531</v>
      </c>
      <c r="D1102" s="6" t="s">
        <v>1486</v>
      </c>
      <c r="E1102" s="236">
        <v>44182</v>
      </c>
      <c r="F1102" s="4">
        <v>1.3321759259259261E-2</v>
      </c>
      <c r="G1102" s="28"/>
      <c r="J1102" t="s">
        <v>199</v>
      </c>
    </row>
    <row r="1103" spans="1:10" hidden="1" outlineLevel="1">
      <c r="A1103" s="28"/>
      <c r="B1103" s="1">
        <v>103</v>
      </c>
      <c r="C1103" s="5" t="s">
        <v>1532</v>
      </c>
      <c r="D1103" s="6" t="s">
        <v>1487</v>
      </c>
      <c r="E1103" s="236">
        <v>44183</v>
      </c>
      <c r="F1103" s="4">
        <v>8.9004629629629625E-3</v>
      </c>
      <c r="G1103" s="28"/>
      <c r="J1103" t="s">
        <v>199</v>
      </c>
    </row>
    <row r="1104" spans="1:10" hidden="1" outlineLevel="1">
      <c r="A1104" s="28"/>
      <c r="B1104" s="1">
        <v>104</v>
      </c>
      <c r="C1104" s="5" t="s">
        <v>1533</v>
      </c>
      <c r="D1104" s="6" t="s">
        <v>1488</v>
      </c>
      <c r="E1104" s="236">
        <v>44184</v>
      </c>
      <c r="F1104" s="4">
        <v>1.3888888888888888E-2</v>
      </c>
      <c r="G1104" s="28"/>
      <c r="J1104" t="s">
        <v>199</v>
      </c>
    </row>
    <row r="1105" spans="1:10" hidden="1" outlineLevel="1">
      <c r="A1105" s="28"/>
      <c r="B1105" s="1">
        <v>105</v>
      </c>
      <c r="C1105" s="5" t="s">
        <v>1534</v>
      </c>
      <c r="D1105" s="6" t="s">
        <v>1489</v>
      </c>
      <c r="E1105" s="236">
        <v>44185</v>
      </c>
      <c r="F1105" s="4">
        <v>1.1909722222222223E-2</v>
      </c>
      <c r="G1105" s="28"/>
      <c r="J1105" t="s">
        <v>199</v>
      </c>
    </row>
    <row r="1106" spans="1:10" hidden="1" outlineLevel="1">
      <c r="A1106" s="28"/>
      <c r="B1106" s="1">
        <v>106</v>
      </c>
      <c r="C1106" s="5" t="s">
        <v>1535</v>
      </c>
      <c r="D1106" s="6" t="s">
        <v>1490</v>
      </c>
      <c r="E1106" s="236">
        <v>44186</v>
      </c>
      <c r="F1106" s="4">
        <v>9.7222222222222224E-3</v>
      </c>
      <c r="G1106" s="28"/>
      <c r="J1106" t="s">
        <v>199</v>
      </c>
    </row>
    <row r="1107" spans="1:10" hidden="1" outlineLevel="1">
      <c r="A1107" s="28"/>
      <c r="B1107" s="1">
        <v>107</v>
      </c>
      <c r="C1107" s="5" t="s">
        <v>1536</v>
      </c>
      <c r="D1107" s="6" t="s">
        <v>1491</v>
      </c>
      <c r="E1107" s="236">
        <v>44187</v>
      </c>
      <c r="F1107" s="4">
        <v>7.5462962962962966E-3</v>
      </c>
      <c r="G1107" s="28"/>
      <c r="J1107" t="s">
        <v>199</v>
      </c>
    </row>
    <row r="1108" spans="1:10" hidden="1" outlineLevel="1">
      <c r="A1108" s="28"/>
      <c r="B1108" s="1">
        <v>108</v>
      </c>
      <c r="C1108" s="5" t="s">
        <v>1537</v>
      </c>
      <c r="D1108" s="6" t="s">
        <v>1492</v>
      </c>
      <c r="E1108" s="236">
        <v>44188</v>
      </c>
      <c r="F1108" s="4">
        <v>1.0995370370370371E-2</v>
      </c>
      <c r="G1108" s="28"/>
      <c r="J1108" t="s">
        <v>199</v>
      </c>
    </row>
    <row r="1109" spans="1:10" hidden="1" outlineLevel="1">
      <c r="A1109" s="28"/>
      <c r="B1109" s="1">
        <v>109</v>
      </c>
      <c r="C1109" s="5" t="s">
        <v>1538</v>
      </c>
      <c r="D1109" s="6" t="s">
        <v>1493</v>
      </c>
      <c r="E1109" s="236">
        <v>44189</v>
      </c>
      <c r="F1109" s="4">
        <v>2.5370370370370366E-2</v>
      </c>
      <c r="G1109" s="28"/>
      <c r="J1109" t="s">
        <v>199</v>
      </c>
    </row>
    <row r="1110" spans="1:10" hidden="1" outlineLevel="1">
      <c r="A1110" s="28"/>
      <c r="B1110" s="1">
        <v>110</v>
      </c>
      <c r="C1110" s="5" t="s">
        <v>2437</v>
      </c>
      <c r="D1110" s="6" t="s">
        <v>1555</v>
      </c>
      <c r="E1110" s="236">
        <v>44209.404861111114</v>
      </c>
      <c r="F1110" s="4">
        <v>2.3055555555555555E-2</v>
      </c>
      <c r="G1110" s="28"/>
      <c r="J1110" t="s">
        <v>199</v>
      </c>
    </row>
    <row r="1111" spans="1:10" hidden="1" outlineLevel="1">
      <c r="A1111" s="28"/>
      <c r="B1111" s="1">
        <v>111</v>
      </c>
      <c r="C1111" s="5" t="s">
        <v>1845</v>
      </c>
      <c r="D1111" s="6" t="s">
        <v>1846</v>
      </c>
      <c r="E1111" s="236">
        <v>44215</v>
      </c>
      <c r="F1111" s="4">
        <v>2.2951388888888886E-2</v>
      </c>
      <c r="G1111" s="28"/>
      <c r="J1111" t="s">
        <v>199</v>
      </c>
    </row>
    <row r="1112" spans="1:10" hidden="1" outlineLevel="1">
      <c r="A1112" s="28"/>
      <c r="B1112" s="1">
        <v>112</v>
      </c>
      <c r="C1112" s="5" t="s">
        <v>2436</v>
      </c>
      <c r="D1112" s="6" t="s">
        <v>1556</v>
      </c>
      <c r="E1112" s="236">
        <v>44216.401388888888</v>
      </c>
      <c r="F1112" s="4">
        <v>1.7303240740740741E-2</v>
      </c>
      <c r="G1112" s="28"/>
      <c r="J1112" t="s">
        <v>199</v>
      </c>
    </row>
    <row r="1113" spans="1:10" hidden="1" outlineLevel="1">
      <c r="A1113" s="28"/>
      <c r="B1113" s="533">
        <v>113</v>
      </c>
      <c r="C1113" s="534" t="s">
        <v>1582</v>
      </c>
      <c r="D1113" s="535">
        <v>99</v>
      </c>
      <c r="E1113" s="543">
        <v>44239</v>
      </c>
      <c r="F1113" s="536">
        <v>0.14848379629629629</v>
      </c>
      <c r="G1113" s="28"/>
      <c r="J1113" t="s">
        <v>199</v>
      </c>
    </row>
    <row r="1114" spans="1:10" hidden="1" outlineLevel="1">
      <c r="A1114" s="28"/>
      <c r="B1114" s="1">
        <v>114</v>
      </c>
      <c r="C1114" s="5" t="s">
        <v>2441</v>
      </c>
      <c r="D1114" s="2">
        <v>0</v>
      </c>
      <c r="E1114" s="236">
        <v>44225</v>
      </c>
      <c r="F1114" s="4">
        <v>2.2916666666666667E-3</v>
      </c>
      <c r="G1114" s="28"/>
      <c r="J1114" t="s">
        <v>199</v>
      </c>
    </row>
    <row r="1115" spans="1:10" hidden="1" outlineLevel="1">
      <c r="A1115" s="28"/>
      <c r="B1115" s="533">
        <v>115</v>
      </c>
      <c r="C1115" s="534" t="s">
        <v>1600</v>
      </c>
      <c r="D1115" s="535">
        <v>97</v>
      </c>
      <c r="E1115" s="543">
        <v>44267</v>
      </c>
      <c r="F1115" s="536">
        <v>0.13881944444444444</v>
      </c>
      <c r="G1115" s="28"/>
      <c r="J1115" t="s">
        <v>199</v>
      </c>
    </row>
    <row r="1116" spans="1:10" hidden="1" outlineLevel="1">
      <c r="A1116" s="28"/>
      <c r="B1116" s="1">
        <v>116</v>
      </c>
      <c r="C1116" s="5" t="s">
        <v>2435</v>
      </c>
      <c r="D1116" s="6" t="s">
        <v>1557</v>
      </c>
      <c r="E1116" s="236">
        <v>44267.004166666666</v>
      </c>
      <c r="F1116" s="4">
        <v>2.4270833333333335E-2</v>
      </c>
      <c r="G1116" s="28"/>
      <c r="J1116" t="s">
        <v>199</v>
      </c>
    </row>
    <row r="1117" spans="1:10" hidden="1" outlineLevel="1">
      <c r="A1117" s="28"/>
      <c r="B1117" s="1">
        <v>117</v>
      </c>
      <c r="C1117" s="5" t="s">
        <v>2434</v>
      </c>
      <c r="D1117" s="2">
        <v>0</v>
      </c>
      <c r="E1117" s="236">
        <v>44277</v>
      </c>
      <c r="F1117" s="4">
        <v>2.2800925925925927E-3</v>
      </c>
      <c r="G1117" s="28"/>
      <c r="J1117" t="s">
        <v>199</v>
      </c>
    </row>
    <row r="1118" spans="1:10" hidden="1" outlineLevel="1">
      <c r="A1118" s="28"/>
      <c r="B1118" s="533">
        <v>118</v>
      </c>
      <c r="C1118" s="534" t="s">
        <v>1839</v>
      </c>
      <c r="D1118" s="535">
        <v>188</v>
      </c>
      <c r="E1118" s="543">
        <v>44295</v>
      </c>
      <c r="F1118" s="536">
        <v>0.16869212962962962</v>
      </c>
      <c r="G1118" s="28"/>
      <c r="J1118" t="s">
        <v>199</v>
      </c>
    </row>
    <row r="1119" spans="1:10" hidden="1" outlineLevel="1">
      <c r="A1119" s="28"/>
      <c r="B1119" s="1">
        <v>119</v>
      </c>
      <c r="C1119" s="5" t="s">
        <v>2433</v>
      </c>
      <c r="D1119" s="2">
        <v>0</v>
      </c>
      <c r="E1119" s="236">
        <v>44297</v>
      </c>
      <c r="F1119" s="4">
        <v>2.1990740740740742E-3</v>
      </c>
      <c r="G1119" s="28"/>
      <c r="J1119" t="s">
        <v>199</v>
      </c>
    </row>
    <row r="1120" spans="1:10" hidden="1" outlineLevel="1">
      <c r="A1120" s="28"/>
      <c r="B1120" s="1">
        <v>120</v>
      </c>
      <c r="C1120" s="5" t="s">
        <v>1847</v>
      </c>
      <c r="D1120" s="6" t="s">
        <v>1848</v>
      </c>
      <c r="E1120" s="236">
        <v>44311</v>
      </c>
      <c r="F1120" s="4">
        <v>2.6875E-2</v>
      </c>
      <c r="G1120" s="28"/>
      <c r="J1120" t="s">
        <v>199</v>
      </c>
    </row>
    <row r="1121" spans="1:10" hidden="1" outlineLevel="1">
      <c r="A1121" s="28"/>
      <c r="B1121" s="533">
        <v>121</v>
      </c>
      <c r="C1121" s="534" t="s">
        <v>1840</v>
      </c>
      <c r="D1121" s="537" t="s">
        <v>1729</v>
      </c>
      <c r="E1121" s="543">
        <v>44323</v>
      </c>
      <c r="F1121" s="536">
        <v>0.12121527777777778</v>
      </c>
      <c r="G1121" s="28"/>
      <c r="J1121" t="s">
        <v>199</v>
      </c>
    </row>
    <row r="1122" spans="1:10" hidden="1" outlineLevel="1">
      <c r="A1122" s="28"/>
      <c r="B1122" s="533">
        <v>122</v>
      </c>
      <c r="C1122" s="534" t="s">
        <v>1800</v>
      </c>
      <c r="D1122" s="535">
        <v>143</v>
      </c>
      <c r="E1122" s="543">
        <v>44351</v>
      </c>
      <c r="F1122" s="536">
        <v>0.11753472222222222</v>
      </c>
      <c r="G1122" s="28"/>
      <c r="J1122" t="s">
        <v>199</v>
      </c>
    </row>
    <row r="1123" spans="1:10" hidden="1" outlineLevel="1">
      <c r="A1123" s="28"/>
      <c r="B1123" s="533">
        <v>123</v>
      </c>
      <c r="C1123" s="534" t="s">
        <v>1804</v>
      </c>
      <c r="D1123" s="535">
        <v>20</v>
      </c>
      <c r="E1123" s="543">
        <v>44379</v>
      </c>
      <c r="F1123" s="536">
        <v>9.0682870370370372E-2</v>
      </c>
      <c r="G1123" s="28"/>
      <c r="J1123" t="s">
        <v>199</v>
      </c>
    </row>
    <row r="1124" spans="1:10" hidden="1" outlineLevel="1">
      <c r="A1124" s="28"/>
      <c r="B1124" s="533">
        <v>124</v>
      </c>
      <c r="C1124" s="534" t="s">
        <v>1809</v>
      </c>
      <c r="D1124" s="535">
        <v>28</v>
      </c>
      <c r="E1124" s="543">
        <v>44382</v>
      </c>
      <c r="F1124" s="536">
        <v>0.11821759259259258</v>
      </c>
      <c r="G1124" s="28"/>
      <c r="J1124" t="s">
        <v>199</v>
      </c>
    </row>
    <row r="1125" spans="1:10" hidden="1" outlineLevel="1">
      <c r="A1125" s="28"/>
      <c r="B1125" s="1">
        <v>125</v>
      </c>
      <c r="C1125" s="5" t="s">
        <v>1850</v>
      </c>
      <c r="D1125" s="6" t="s">
        <v>1849</v>
      </c>
      <c r="E1125" s="236">
        <v>44393</v>
      </c>
      <c r="F1125" s="4">
        <v>5.0671296296296298E-2</v>
      </c>
      <c r="G1125" s="28"/>
      <c r="J1125" t="s">
        <v>199</v>
      </c>
    </row>
    <row r="1126" spans="1:10" hidden="1" outlineLevel="1">
      <c r="A1126" s="28"/>
      <c r="B1126" s="1">
        <v>126</v>
      </c>
      <c r="C1126" s="5" t="s">
        <v>3911</v>
      </c>
      <c r="D1126" s="6" t="s">
        <v>153</v>
      </c>
      <c r="E1126" s="236">
        <v>44400</v>
      </c>
      <c r="F1126" s="4">
        <v>4.1840277777777775E-2</v>
      </c>
      <c r="G1126" s="28"/>
      <c r="J1126" t="s">
        <v>199</v>
      </c>
    </row>
    <row r="1127" spans="1:10" hidden="1" outlineLevel="1">
      <c r="A1127" s="28"/>
      <c r="B1127" s="1">
        <v>127</v>
      </c>
      <c r="C1127" s="5" t="s">
        <v>1853</v>
      </c>
      <c r="D1127" s="6" t="s">
        <v>1894</v>
      </c>
      <c r="E1127" s="236">
        <v>44407</v>
      </c>
      <c r="F1127" s="4">
        <v>5.3749999999999999E-2</v>
      </c>
      <c r="G1127" s="28"/>
      <c r="J1127" t="s">
        <v>199</v>
      </c>
    </row>
    <row r="1128" spans="1:10" hidden="1" outlineLevel="1">
      <c r="A1128" s="28"/>
      <c r="B1128" s="1">
        <v>128</v>
      </c>
      <c r="C1128" s="5" t="s">
        <v>2083</v>
      </c>
      <c r="D1128" s="6" t="s">
        <v>1898</v>
      </c>
      <c r="E1128" s="236">
        <v>44417</v>
      </c>
      <c r="F1128" s="4">
        <v>7.5439814814814821E-2</v>
      </c>
      <c r="G1128" s="28"/>
      <c r="J1128" t="s">
        <v>199</v>
      </c>
    </row>
    <row r="1129" spans="1:10" hidden="1" outlineLevel="1">
      <c r="A1129" s="28"/>
      <c r="B1129" s="1">
        <v>129</v>
      </c>
      <c r="C1129" s="5" t="s">
        <v>1895</v>
      </c>
      <c r="D1129" s="6" t="s">
        <v>1896</v>
      </c>
      <c r="E1129" s="236">
        <v>44428</v>
      </c>
      <c r="F1129" s="4">
        <v>5.5543981481481486E-2</v>
      </c>
      <c r="G1129" s="28"/>
      <c r="J1129" t="s">
        <v>199</v>
      </c>
    </row>
    <row r="1130" spans="1:10" hidden="1" outlineLevel="1">
      <c r="A1130" s="28"/>
      <c r="B1130" s="1">
        <v>130</v>
      </c>
      <c r="C1130" s="5" t="s">
        <v>1899</v>
      </c>
      <c r="D1130" s="2">
        <v>0</v>
      </c>
      <c r="E1130" s="236">
        <v>44450</v>
      </c>
      <c r="F1130" s="4">
        <v>7.905092592592592E-3</v>
      </c>
      <c r="G1130" s="28"/>
      <c r="J1130" t="s">
        <v>199</v>
      </c>
    </row>
    <row r="1131" spans="1:10" hidden="1" outlineLevel="1">
      <c r="A1131" s="28"/>
      <c r="B1131" s="1">
        <v>131</v>
      </c>
      <c r="C1131" s="5" t="s">
        <v>1897</v>
      </c>
      <c r="D1131" s="6" t="s">
        <v>2445</v>
      </c>
      <c r="E1131" s="236">
        <v>44451</v>
      </c>
      <c r="F1131" s="4">
        <v>7.8287037037037044E-2</v>
      </c>
      <c r="G1131" s="28"/>
      <c r="J1131" t="s">
        <v>199</v>
      </c>
    </row>
    <row r="1132" spans="1:10" hidden="1" outlineLevel="1">
      <c r="A1132" s="28"/>
      <c r="B1132" s="1">
        <v>132</v>
      </c>
      <c r="C1132" s="5" t="s">
        <v>2013</v>
      </c>
      <c r="D1132" s="6" t="s">
        <v>147</v>
      </c>
      <c r="E1132" s="236">
        <v>44463</v>
      </c>
      <c r="F1132" s="4">
        <v>2.9629629629629627E-2</v>
      </c>
      <c r="G1132" s="28"/>
      <c r="J1132" t="s">
        <v>199</v>
      </c>
    </row>
    <row r="1133" spans="1:10" hidden="1" outlineLevel="1">
      <c r="A1133" s="28"/>
      <c r="B1133" s="1">
        <v>133</v>
      </c>
      <c r="C1133" s="5" t="s">
        <v>2432</v>
      </c>
      <c r="D1133" s="2">
        <v>0</v>
      </c>
      <c r="E1133" s="236">
        <v>44468</v>
      </c>
      <c r="F1133" s="4">
        <v>1.2384259259259258E-3</v>
      </c>
      <c r="G1133" s="28"/>
      <c r="J1133" t="s">
        <v>199</v>
      </c>
    </row>
    <row r="1134" spans="1:10" hidden="1" outlineLevel="1">
      <c r="A1134" s="28"/>
      <c r="B1134" s="1">
        <v>134</v>
      </c>
      <c r="C1134" s="5" t="s">
        <v>2024</v>
      </c>
      <c r="D1134" s="6" t="s">
        <v>144</v>
      </c>
      <c r="E1134" s="236">
        <v>44470</v>
      </c>
      <c r="F1134" s="4">
        <v>3.5682870370370372E-2</v>
      </c>
      <c r="G1134" s="28"/>
      <c r="J1134" t="s">
        <v>199</v>
      </c>
    </row>
    <row r="1135" spans="1:10" hidden="1" outlineLevel="1">
      <c r="A1135" s="28"/>
      <c r="B1135" s="533">
        <v>135</v>
      </c>
      <c r="C1135" s="534" t="s">
        <v>2173</v>
      </c>
      <c r="D1135" s="535">
        <v>52</v>
      </c>
      <c r="E1135" s="543">
        <v>44484</v>
      </c>
      <c r="F1135" s="536">
        <v>0.12758101851851852</v>
      </c>
      <c r="G1135" s="28"/>
      <c r="J1135" t="s">
        <v>199</v>
      </c>
    </row>
    <row r="1136" spans="1:10" hidden="1" outlineLevel="1">
      <c r="A1136" s="28"/>
      <c r="B1136" s="533">
        <v>136</v>
      </c>
      <c r="C1136" s="534" t="s">
        <v>2314</v>
      </c>
      <c r="D1136" s="535">
        <v>93</v>
      </c>
      <c r="E1136" s="543">
        <v>44491</v>
      </c>
      <c r="F1136" s="536">
        <v>0.1502199074074074</v>
      </c>
      <c r="G1136" s="28"/>
      <c r="J1136" t="s">
        <v>199</v>
      </c>
    </row>
    <row r="1137" spans="1:10" hidden="1" outlineLevel="1">
      <c r="A1137" s="28"/>
      <c r="B1137" s="533">
        <v>137</v>
      </c>
      <c r="C1137" s="534" t="s">
        <v>2399</v>
      </c>
      <c r="D1137" s="535">
        <v>50</v>
      </c>
      <c r="E1137" s="543">
        <v>44500</v>
      </c>
      <c r="F1137" s="536">
        <v>6.6388888888888886E-2</v>
      </c>
      <c r="G1137" s="28"/>
      <c r="J1137" t="s">
        <v>199</v>
      </c>
    </row>
    <row r="1138" spans="1:10" hidden="1" outlineLevel="1">
      <c r="A1138" s="28"/>
      <c r="B1138" s="1">
        <v>138</v>
      </c>
      <c r="C1138" s="5" t="s">
        <v>2443</v>
      </c>
      <c r="D1138" s="6" t="s">
        <v>2449</v>
      </c>
      <c r="E1138" s="236">
        <v>44513</v>
      </c>
      <c r="F1138" s="4">
        <v>9.9421296296296299E-2</v>
      </c>
      <c r="G1138" s="28"/>
      <c r="J1138" t="s">
        <v>199</v>
      </c>
    </row>
    <row r="1139" spans="1:10" hidden="1" outlineLevel="1">
      <c r="A1139" s="28"/>
      <c r="B1139" s="1">
        <v>139</v>
      </c>
      <c r="C1139" s="5" t="s">
        <v>2507</v>
      </c>
      <c r="D1139" s="6" t="s">
        <v>3168</v>
      </c>
      <c r="E1139" s="236">
        <v>44531</v>
      </c>
      <c r="F1139" s="4">
        <v>2.7939814814814817E-2</v>
      </c>
      <c r="G1139" s="28"/>
      <c r="J1139" t="s">
        <v>199</v>
      </c>
    </row>
    <row r="1140" spans="1:10" hidden="1" outlineLevel="1">
      <c r="A1140" s="28"/>
      <c r="B1140" s="1">
        <v>140</v>
      </c>
      <c r="C1140" s="5" t="s">
        <v>2511</v>
      </c>
      <c r="D1140" s="6" t="s">
        <v>3169</v>
      </c>
      <c r="E1140" s="236">
        <v>44532</v>
      </c>
      <c r="F1140" s="4">
        <v>1.7847222222222223E-2</v>
      </c>
      <c r="G1140" s="28"/>
      <c r="J1140" t="s">
        <v>199</v>
      </c>
    </row>
    <row r="1141" spans="1:10" hidden="1" outlineLevel="1">
      <c r="A1141" s="28"/>
      <c r="B1141" s="1">
        <v>141</v>
      </c>
      <c r="C1141" s="5" t="s">
        <v>2540</v>
      </c>
      <c r="D1141" s="6" t="s">
        <v>3170</v>
      </c>
      <c r="E1141" s="236">
        <v>44533</v>
      </c>
      <c r="F1141" s="4">
        <v>7.8472222222222224E-3</v>
      </c>
      <c r="G1141" s="28"/>
      <c r="J1141" t="s">
        <v>199</v>
      </c>
    </row>
    <row r="1142" spans="1:10" hidden="1" outlineLevel="1">
      <c r="A1142" s="28"/>
      <c r="B1142" s="1">
        <v>142</v>
      </c>
      <c r="C1142" s="5" t="s">
        <v>2544</v>
      </c>
      <c r="D1142" s="6" t="s">
        <v>3171</v>
      </c>
      <c r="E1142" s="236">
        <v>44534</v>
      </c>
      <c r="F1142" s="4">
        <v>9.4097222222222238E-3</v>
      </c>
      <c r="G1142" s="28"/>
      <c r="J1142" t="s">
        <v>199</v>
      </c>
    </row>
    <row r="1143" spans="1:10" hidden="1" outlineLevel="1">
      <c r="A1143" s="28"/>
      <c r="B1143" s="1">
        <v>143</v>
      </c>
      <c r="C1143" s="5" t="s">
        <v>2552</v>
      </c>
      <c r="D1143" s="6" t="s">
        <v>3172</v>
      </c>
      <c r="E1143" s="236">
        <v>44535</v>
      </c>
      <c r="F1143" s="4">
        <v>1.2326388888888888E-2</v>
      </c>
      <c r="G1143" s="28"/>
      <c r="J1143" t="s">
        <v>199</v>
      </c>
    </row>
    <row r="1144" spans="1:10" hidden="1" outlineLevel="1">
      <c r="A1144" s="28"/>
      <c r="B1144" s="1">
        <v>144</v>
      </c>
      <c r="C1144" s="5" t="s">
        <v>2558</v>
      </c>
      <c r="D1144" s="6" t="s">
        <v>3173</v>
      </c>
      <c r="E1144" s="236">
        <v>44536</v>
      </c>
      <c r="F1144" s="4">
        <v>6.3310185185185197E-3</v>
      </c>
      <c r="G1144" s="28"/>
      <c r="J1144" t="s">
        <v>199</v>
      </c>
    </row>
    <row r="1145" spans="1:10" hidden="1" outlineLevel="1">
      <c r="A1145" s="28"/>
      <c r="B1145" s="1">
        <v>145</v>
      </c>
      <c r="C1145" s="5" t="s">
        <v>2561</v>
      </c>
      <c r="D1145" s="6" t="s">
        <v>3174</v>
      </c>
      <c r="E1145" s="236">
        <v>44537</v>
      </c>
      <c r="F1145" s="4">
        <v>1.1388888888888888E-2</v>
      </c>
      <c r="G1145" s="28"/>
      <c r="J1145" t="s">
        <v>199</v>
      </c>
    </row>
    <row r="1146" spans="1:10" hidden="1" outlineLevel="1">
      <c r="A1146" s="28"/>
      <c r="B1146" s="1">
        <v>146</v>
      </c>
      <c r="C1146" s="5" t="s">
        <v>2564</v>
      </c>
      <c r="D1146" s="6" t="s">
        <v>3175</v>
      </c>
      <c r="E1146" s="236">
        <v>44538</v>
      </c>
      <c r="F1146" s="4">
        <v>1.0092592592592592E-2</v>
      </c>
      <c r="G1146" s="28"/>
      <c r="J1146" t="s">
        <v>199</v>
      </c>
    </row>
    <row r="1147" spans="1:10" hidden="1" outlineLevel="1">
      <c r="A1147" s="28"/>
      <c r="B1147" s="1">
        <v>147</v>
      </c>
      <c r="C1147" s="5" t="s">
        <v>2568</v>
      </c>
      <c r="D1147" s="6" t="s">
        <v>3176</v>
      </c>
      <c r="E1147" s="236">
        <v>44539</v>
      </c>
      <c r="F1147" s="4">
        <v>1.329861111111111E-2</v>
      </c>
      <c r="G1147" s="28"/>
      <c r="J1147" t="s">
        <v>199</v>
      </c>
    </row>
    <row r="1148" spans="1:10" hidden="1" outlineLevel="1">
      <c r="A1148" s="28"/>
      <c r="B1148" s="1">
        <v>148</v>
      </c>
      <c r="C1148" s="5" t="s">
        <v>2570</v>
      </c>
      <c r="D1148" s="6" t="s">
        <v>2484</v>
      </c>
      <c r="E1148" s="236">
        <v>44540</v>
      </c>
      <c r="F1148" s="4">
        <v>1.3518518518518518E-2</v>
      </c>
      <c r="G1148" s="28"/>
      <c r="J1148" t="s">
        <v>199</v>
      </c>
    </row>
    <row r="1149" spans="1:10" hidden="1" outlineLevel="1">
      <c r="A1149" s="28"/>
      <c r="B1149" s="1">
        <v>149</v>
      </c>
      <c r="C1149" s="5" t="s">
        <v>2577</v>
      </c>
      <c r="D1149" s="6" t="s">
        <v>2490</v>
      </c>
      <c r="E1149" s="236">
        <v>44541</v>
      </c>
      <c r="F1149" s="4">
        <v>9.9768518518518531E-3</v>
      </c>
      <c r="G1149" s="28"/>
      <c r="J1149" t="s">
        <v>199</v>
      </c>
    </row>
    <row r="1150" spans="1:10" hidden="1" outlineLevel="1">
      <c r="A1150" s="28"/>
      <c r="B1150" s="1">
        <v>150</v>
      </c>
      <c r="C1150" s="5" t="s">
        <v>2578</v>
      </c>
      <c r="D1150" s="6" t="s">
        <v>2494</v>
      </c>
      <c r="E1150" s="236">
        <v>44542</v>
      </c>
      <c r="F1150" s="4">
        <v>9.3981481481481485E-3</v>
      </c>
      <c r="G1150" s="28"/>
      <c r="J1150" t="s">
        <v>199</v>
      </c>
    </row>
    <row r="1151" spans="1:10" hidden="1" outlineLevel="1">
      <c r="A1151" s="28"/>
      <c r="B1151" s="1">
        <v>151</v>
      </c>
      <c r="C1151" s="5" t="s">
        <v>2579</v>
      </c>
      <c r="D1151" s="6" t="s">
        <v>2495</v>
      </c>
      <c r="E1151" s="236">
        <v>44543</v>
      </c>
      <c r="F1151" s="4">
        <v>1.2291666666666666E-2</v>
      </c>
      <c r="G1151" s="28"/>
      <c r="J1151" t="s">
        <v>199</v>
      </c>
    </row>
    <row r="1152" spans="1:10" hidden="1" outlineLevel="1">
      <c r="A1152" s="28"/>
      <c r="B1152" s="1">
        <v>152</v>
      </c>
      <c r="C1152" s="5" t="s">
        <v>2584</v>
      </c>
      <c r="D1152" s="6" t="s">
        <v>2496</v>
      </c>
      <c r="E1152" s="236">
        <v>44544</v>
      </c>
      <c r="F1152" s="4">
        <v>1.4583333333333334E-3</v>
      </c>
      <c r="G1152" s="28"/>
      <c r="J1152" t="s">
        <v>199</v>
      </c>
    </row>
    <row r="1153" spans="1:10" hidden="1" outlineLevel="1">
      <c r="A1153" s="28"/>
      <c r="B1153" s="1">
        <v>153</v>
      </c>
      <c r="C1153" s="5" t="s">
        <v>2588</v>
      </c>
      <c r="D1153" s="6" t="s">
        <v>2497</v>
      </c>
      <c r="E1153" s="236">
        <v>44545</v>
      </c>
      <c r="F1153" s="4">
        <v>1.1921296296296298E-2</v>
      </c>
      <c r="G1153" s="28"/>
      <c r="J1153" t="s">
        <v>199</v>
      </c>
    </row>
    <row r="1154" spans="1:10" hidden="1" outlineLevel="1">
      <c r="A1154" s="28"/>
      <c r="B1154" s="1">
        <v>154</v>
      </c>
      <c r="C1154" s="5" t="s">
        <v>2599</v>
      </c>
      <c r="D1154" s="6" t="s">
        <v>2498</v>
      </c>
      <c r="E1154" s="236">
        <v>44546</v>
      </c>
      <c r="F1154" s="4">
        <v>1.8078703703703704E-2</v>
      </c>
      <c r="G1154" s="28"/>
      <c r="J1154" t="s">
        <v>199</v>
      </c>
    </row>
    <row r="1155" spans="1:10" hidden="1" outlineLevel="1">
      <c r="A1155" s="28"/>
      <c r="B1155" s="1">
        <v>155</v>
      </c>
      <c r="C1155" s="5" t="s">
        <v>2600</v>
      </c>
      <c r="D1155" s="6" t="s">
        <v>2499</v>
      </c>
      <c r="E1155" s="236">
        <v>44547</v>
      </c>
      <c r="F1155" s="4">
        <v>1.4560185185185183E-2</v>
      </c>
      <c r="G1155" s="28"/>
      <c r="J1155" t="s">
        <v>199</v>
      </c>
    </row>
    <row r="1156" spans="1:10" hidden="1" outlineLevel="1">
      <c r="A1156" s="28"/>
      <c r="B1156" s="1">
        <v>156</v>
      </c>
      <c r="C1156" s="5" t="s">
        <v>2611</v>
      </c>
      <c r="D1156" s="6" t="s">
        <v>2500</v>
      </c>
      <c r="E1156" s="236">
        <v>44548</v>
      </c>
      <c r="F1156" s="4">
        <v>1.1111111111111112E-2</v>
      </c>
      <c r="G1156" s="28"/>
      <c r="J1156" t="s">
        <v>199</v>
      </c>
    </row>
    <row r="1157" spans="1:10" hidden="1" outlineLevel="1">
      <c r="A1157" s="28"/>
      <c r="B1157" s="1">
        <v>157</v>
      </c>
      <c r="C1157" s="5" t="s">
        <v>2612</v>
      </c>
      <c r="D1157" s="6" t="s">
        <v>2501</v>
      </c>
      <c r="E1157" s="236">
        <v>44549</v>
      </c>
      <c r="F1157" s="4">
        <v>2.0370370370370369E-2</v>
      </c>
      <c r="G1157" s="28"/>
      <c r="J1157" t="s">
        <v>199</v>
      </c>
    </row>
    <row r="1158" spans="1:10" hidden="1" outlineLevel="1">
      <c r="A1158" s="28"/>
      <c r="B1158" s="1">
        <v>158</v>
      </c>
      <c r="C1158" s="5" t="s">
        <v>2626</v>
      </c>
      <c r="D1158" s="6" t="s">
        <v>2502</v>
      </c>
      <c r="E1158" s="236">
        <v>44550</v>
      </c>
      <c r="F1158" s="4">
        <v>7.789351851851852E-3</v>
      </c>
      <c r="G1158" s="28"/>
      <c r="J1158" t="s">
        <v>199</v>
      </c>
    </row>
    <row r="1159" spans="1:10" hidden="1" outlineLevel="1">
      <c r="A1159" s="28"/>
      <c r="B1159" s="1">
        <v>159</v>
      </c>
      <c r="C1159" s="5" t="s">
        <v>2628</v>
      </c>
      <c r="D1159" s="6" t="s">
        <v>2503</v>
      </c>
      <c r="E1159" s="236">
        <v>44551</v>
      </c>
      <c r="F1159" s="4">
        <v>7.7546296296296287E-3</v>
      </c>
      <c r="G1159" s="28"/>
      <c r="J1159" t="s">
        <v>199</v>
      </c>
    </row>
    <row r="1160" spans="1:10" hidden="1" outlineLevel="1">
      <c r="A1160" s="28"/>
      <c r="B1160" s="1">
        <v>160</v>
      </c>
      <c r="C1160" s="5" t="s">
        <v>2635</v>
      </c>
      <c r="D1160" s="6" t="s">
        <v>2504</v>
      </c>
      <c r="E1160" s="236">
        <v>44552</v>
      </c>
      <c r="F1160" s="4">
        <v>1.1018518518518518E-2</v>
      </c>
      <c r="G1160" s="28"/>
      <c r="J1160" t="s">
        <v>199</v>
      </c>
    </row>
    <row r="1161" spans="1:10" hidden="1" outlineLevel="1">
      <c r="A1161" s="28"/>
      <c r="B1161" s="1">
        <v>161</v>
      </c>
      <c r="C1161" s="5" t="s">
        <v>2637</v>
      </c>
      <c r="D1161" s="6" t="s">
        <v>2505</v>
      </c>
      <c r="E1161" s="236">
        <v>44553</v>
      </c>
      <c r="F1161" s="4">
        <v>1.4918981481481483E-2</v>
      </c>
      <c r="G1161" s="28"/>
      <c r="J1161" t="s">
        <v>199</v>
      </c>
    </row>
    <row r="1162" spans="1:10" hidden="1" outlineLevel="1">
      <c r="A1162" s="28"/>
      <c r="B1162" s="1">
        <v>162</v>
      </c>
      <c r="C1162" s="5" t="s">
        <v>2644</v>
      </c>
      <c r="D1162" s="6" t="s">
        <v>2506</v>
      </c>
      <c r="E1162" s="236">
        <v>44554</v>
      </c>
      <c r="F1162" s="4">
        <v>3.1921296296296302E-2</v>
      </c>
      <c r="G1162" s="28"/>
      <c r="J1162" t="s">
        <v>199</v>
      </c>
    </row>
    <row r="1163" spans="1:10" hidden="1" outlineLevel="1">
      <c r="A1163" s="28"/>
      <c r="B1163" s="1">
        <v>163</v>
      </c>
      <c r="C1163" s="5" t="s">
        <v>2654</v>
      </c>
      <c r="D1163" s="2">
        <v>0</v>
      </c>
      <c r="E1163" s="236">
        <v>44555</v>
      </c>
      <c r="F1163" s="4">
        <v>1.5428240740740741E-2</v>
      </c>
      <c r="G1163" s="28"/>
      <c r="J1163" t="s">
        <v>199</v>
      </c>
    </row>
    <row r="1164" spans="1:10" hidden="1" outlineLevel="1">
      <c r="A1164" s="28"/>
      <c r="B1164" s="1">
        <v>164</v>
      </c>
      <c r="C1164" s="5" t="s">
        <v>2655</v>
      </c>
      <c r="D1164" s="6" t="s">
        <v>2833</v>
      </c>
      <c r="E1164" s="236">
        <v>44556</v>
      </c>
      <c r="F1164" s="4">
        <v>5.7337962962962959E-2</v>
      </c>
      <c r="G1164" s="28"/>
      <c r="J1164" t="s">
        <v>199</v>
      </c>
    </row>
    <row r="1165" spans="1:10" hidden="1" outlineLevel="1">
      <c r="A1165" s="28"/>
      <c r="B1165" s="533">
        <v>165</v>
      </c>
      <c r="C1165" s="534" t="s">
        <v>2669</v>
      </c>
      <c r="D1165" s="535">
        <v>15</v>
      </c>
      <c r="E1165" s="543">
        <v>44603</v>
      </c>
      <c r="F1165" s="536">
        <v>0.10282407407407407</v>
      </c>
      <c r="G1165" s="28"/>
      <c r="J1165" t="s">
        <v>199</v>
      </c>
    </row>
    <row r="1166" spans="1:10" hidden="1" outlineLevel="1">
      <c r="A1166" s="28"/>
      <c r="B1166" s="533">
        <v>166</v>
      </c>
      <c r="C1166" s="534" t="s">
        <v>2791</v>
      </c>
      <c r="D1166" s="535">
        <v>209</v>
      </c>
      <c r="E1166" s="543">
        <v>44620.389062499999</v>
      </c>
      <c r="F1166" s="536">
        <v>0.11783564814814813</v>
      </c>
      <c r="G1166" s="28"/>
      <c r="J1166" t="s">
        <v>199</v>
      </c>
    </row>
    <row r="1167" spans="1:10" hidden="1" outlineLevel="1">
      <c r="A1167" s="28"/>
      <c r="B1167" s="1">
        <v>167</v>
      </c>
      <c r="C1167" s="5" t="s">
        <v>2834</v>
      </c>
      <c r="D1167" s="6" t="s">
        <v>2150</v>
      </c>
      <c r="E1167" s="236">
        <v>44624.545138888891</v>
      </c>
      <c r="F1167" s="4">
        <v>7.5000000000000006E-3</v>
      </c>
      <c r="G1167" s="28"/>
      <c r="J1167" t="s">
        <v>199</v>
      </c>
    </row>
    <row r="1168" spans="1:10" hidden="1" outlineLevel="1">
      <c r="A1168" s="28"/>
      <c r="B1168" s="1">
        <v>168</v>
      </c>
      <c r="C1168" s="5" t="s">
        <v>2836</v>
      </c>
      <c r="D1168" s="6" t="s">
        <v>2835</v>
      </c>
      <c r="E1168" s="236">
        <v>44627</v>
      </c>
      <c r="F1168" s="4">
        <v>2.9976851851851852E-2</v>
      </c>
      <c r="G1168" s="28"/>
      <c r="J1168" t="s">
        <v>199</v>
      </c>
    </row>
    <row r="1169" spans="1:10" hidden="1" outlineLevel="1">
      <c r="A1169" s="28"/>
      <c r="B1169" s="1">
        <v>169</v>
      </c>
      <c r="C1169" s="5" t="s">
        <v>2850</v>
      </c>
      <c r="D1169" s="6" t="s">
        <v>2851</v>
      </c>
      <c r="E1169" s="236">
        <v>44631</v>
      </c>
      <c r="F1169" s="4">
        <v>9.2777777777777778E-2</v>
      </c>
      <c r="G1169" s="28"/>
      <c r="J1169" t="s">
        <v>199</v>
      </c>
    </row>
    <row r="1170" spans="1:10" hidden="1" outlineLevel="1">
      <c r="A1170" s="28"/>
      <c r="B1170" s="533">
        <v>170</v>
      </c>
      <c r="C1170" s="534" t="s">
        <v>2880</v>
      </c>
      <c r="D1170" s="535">
        <v>37</v>
      </c>
      <c r="E1170" s="543">
        <v>44659</v>
      </c>
      <c r="F1170" s="536">
        <v>0.12231481481481482</v>
      </c>
      <c r="G1170" s="28"/>
      <c r="J1170" t="s">
        <v>199</v>
      </c>
    </row>
    <row r="1171" spans="1:10" hidden="1" outlineLevel="1">
      <c r="A1171" s="28"/>
      <c r="B1171" s="533">
        <v>171</v>
      </c>
      <c r="C1171" s="534" t="s">
        <v>2909</v>
      </c>
      <c r="D1171" s="535">
        <v>103</v>
      </c>
      <c r="E1171" s="543">
        <v>44680.001388888886</v>
      </c>
      <c r="F1171" s="536">
        <v>0.21341435185185187</v>
      </c>
      <c r="G1171" s="28"/>
      <c r="J1171" t="s">
        <v>199</v>
      </c>
    </row>
    <row r="1172" spans="1:10" hidden="1" outlineLevel="1">
      <c r="A1172" s="28"/>
      <c r="B1172" s="533">
        <v>172</v>
      </c>
      <c r="C1172" s="534" t="s">
        <v>2926</v>
      </c>
      <c r="D1172" s="535">
        <v>125</v>
      </c>
      <c r="E1172" s="543">
        <v>44694.001388888886</v>
      </c>
      <c r="F1172" s="536">
        <v>0.1637962962962963</v>
      </c>
      <c r="G1172" s="28"/>
      <c r="J1172" t="s">
        <v>199</v>
      </c>
    </row>
    <row r="1173" spans="1:10" hidden="1" outlineLevel="1">
      <c r="A1173" s="28"/>
      <c r="B1173" s="533">
        <v>173</v>
      </c>
      <c r="C1173" s="534" t="s">
        <v>2927</v>
      </c>
      <c r="D1173" s="535">
        <v>125</v>
      </c>
      <c r="E1173" s="543">
        <v>44701.001388888886</v>
      </c>
      <c r="F1173" s="536">
        <v>8.7870370370370376E-2</v>
      </c>
      <c r="G1173" s="28"/>
      <c r="J1173" t="s">
        <v>199</v>
      </c>
    </row>
    <row r="1174" spans="1:10" hidden="1" outlineLevel="1">
      <c r="A1174" s="28"/>
      <c r="B1174" s="533">
        <v>174</v>
      </c>
      <c r="C1174" s="534" t="s">
        <v>2937</v>
      </c>
      <c r="D1174" s="535">
        <v>125</v>
      </c>
      <c r="E1174" s="543">
        <v>44708.001585648148</v>
      </c>
      <c r="F1174" s="536">
        <v>0.10055555555555555</v>
      </c>
      <c r="G1174" s="28"/>
      <c r="J1174" t="s">
        <v>199</v>
      </c>
    </row>
    <row r="1175" spans="1:10" hidden="1" outlineLevel="1">
      <c r="A1175" s="28"/>
      <c r="B1175" s="533">
        <v>175</v>
      </c>
      <c r="C1175" s="534" t="s">
        <v>2978</v>
      </c>
      <c r="D1175" s="535">
        <v>16</v>
      </c>
      <c r="E1175" s="543">
        <v>44736</v>
      </c>
      <c r="F1175" s="536">
        <v>0.11033564814814815</v>
      </c>
      <c r="G1175" s="28"/>
      <c r="J1175" t="s">
        <v>199</v>
      </c>
    </row>
    <row r="1176" spans="1:10" hidden="1" outlineLevel="1">
      <c r="A1176" s="28"/>
      <c r="B1176" s="1">
        <v>176</v>
      </c>
      <c r="C1176" s="5" t="s">
        <v>3910</v>
      </c>
      <c r="D1176" s="6" t="s">
        <v>145</v>
      </c>
      <c r="E1176" s="236">
        <v>44768</v>
      </c>
      <c r="F1176" s="4">
        <v>5.9444444444444446E-2</v>
      </c>
      <c r="G1176" s="28"/>
      <c r="J1176" t="s">
        <v>199</v>
      </c>
    </row>
    <row r="1177" spans="1:10" hidden="1" outlineLevel="1">
      <c r="A1177" s="28"/>
      <c r="B1177" s="533">
        <v>177</v>
      </c>
      <c r="C1177" s="534" t="s">
        <v>2999</v>
      </c>
      <c r="D1177" s="535">
        <v>90</v>
      </c>
      <c r="E1177" s="543">
        <v>44771</v>
      </c>
      <c r="F1177" s="536">
        <v>0.15939814814814815</v>
      </c>
      <c r="G1177" s="28"/>
      <c r="J1177" t="s">
        <v>199</v>
      </c>
    </row>
    <row r="1178" spans="1:10" hidden="1" outlineLevel="1">
      <c r="A1178" s="28"/>
      <c r="B1178" s="533">
        <v>178</v>
      </c>
      <c r="C1178" s="534" t="s">
        <v>3000</v>
      </c>
      <c r="D1178" s="535">
        <v>12</v>
      </c>
      <c r="E1178" s="543">
        <v>44820</v>
      </c>
      <c r="F1178" s="536">
        <v>0.1386111111111111</v>
      </c>
      <c r="G1178" s="28"/>
      <c r="J1178" t="s">
        <v>199</v>
      </c>
    </row>
    <row r="1179" spans="1:10" hidden="1" outlineLevel="1">
      <c r="A1179" s="28"/>
      <c r="B1179" s="533">
        <v>179</v>
      </c>
      <c r="C1179" s="534" t="s">
        <v>3071</v>
      </c>
      <c r="D1179" s="535">
        <v>13</v>
      </c>
      <c r="E1179" s="543">
        <v>44848.001388888886</v>
      </c>
      <c r="F1179" s="536">
        <v>0.18269675925925924</v>
      </c>
      <c r="G1179" s="28"/>
      <c r="J1179" t="s">
        <v>199</v>
      </c>
    </row>
    <row r="1180" spans="1:10" hidden="1" outlineLevel="1">
      <c r="A1180" s="28"/>
      <c r="B1180" s="1">
        <v>180</v>
      </c>
      <c r="C1180" s="5" t="s">
        <v>3099</v>
      </c>
      <c r="D1180" s="6" t="s">
        <v>3098</v>
      </c>
      <c r="E1180" s="236">
        <v>44865.361342592594</v>
      </c>
      <c r="F1180" s="4">
        <v>0.25120370370370371</v>
      </c>
      <c r="G1180" s="28"/>
      <c r="J1180" t="s">
        <v>199</v>
      </c>
    </row>
    <row r="1181" spans="1:10" hidden="1" outlineLevel="1">
      <c r="A1181" s="28"/>
      <c r="B1181" s="533">
        <v>181</v>
      </c>
      <c r="C1181" s="534" t="s">
        <v>3109</v>
      </c>
      <c r="D1181" s="535">
        <v>30</v>
      </c>
      <c r="E1181" s="543">
        <v>44876</v>
      </c>
      <c r="F1181" s="536">
        <v>0.15024305555555556</v>
      </c>
      <c r="G1181" s="28"/>
      <c r="J1181" t="s">
        <v>199</v>
      </c>
    </row>
    <row r="1182" spans="1:10" hidden="1" outlineLevel="1">
      <c r="A1182" s="28"/>
      <c r="B1182" s="1">
        <v>182</v>
      </c>
      <c r="C1182" s="5" t="s">
        <v>3163</v>
      </c>
      <c r="D1182" s="6" t="s">
        <v>3164</v>
      </c>
      <c r="E1182" s="236">
        <v>44896</v>
      </c>
      <c r="F1182" s="4">
        <v>3.5983796296296298E-2</v>
      </c>
      <c r="G1182" s="28"/>
      <c r="J1182" t="s">
        <v>199</v>
      </c>
    </row>
    <row r="1183" spans="1:10" hidden="1" outlineLevel="1">
      <c r="A1183" s="28"/>
      <c r="B1183" s="1">
        <v>183</v>
      </c>
      <c r="C1183" s="5" t="s">
        <v>3239</v>
      </c>
      <c r="D1183" s="6" t="s">
        <v>3165</v>
      </c>
      <c r="E1183" s="236">
        <v>44897</v>
      </c>
      <c r="F1183" s="4">
        <v>8.4837962962962966E-3</v>
      </c>
      <c r="G1183" s="28"/>
      <c r="J1183" t="s">
        <v>199</v>
      </c>
    </row>
    <row r="1184" spans="1:10" hidden="1" outlineLevel="1">
      <c r="A1184" s="28"/>
      <c r="B1184" s="1">
        <v>184</v>
      </c>
      <c r="C1184" s="5" t="s">
        <v>3264</v>
      </c>
      <c r="D1184" s="6" t="s">
        <v>3166</v>
      </c>
      <c r="E1184" s="236">
        <v>44898</v>
      </c>
      <c r="F1184" s="4">
        <v>1.6585648148148148E-2</v>
      </c>
      <c r="G1184" s="28"/>
      <c r="J1184" t="s">
        <v>199</v>
      </c>
    </row>
    <row r="1185" spans="1:10" hidden="1" outlineLevel="1">
      <c r="A1185" s="28"/>
      <c r="B1185" s="1">
        <v>185</v>
      </c>
      <c r="C1185" s="5" t="s">
        <v>3271</v>
      </c>
      <c r="D1185" s="6" t="s">
        <v>3167</v>
      </c>
      <c r="E1185" s="236">
        <v>44899</v>
      </c>
      <c r="F1185" s="4">
        <v>1.224537037037037E-2</v>
      </c>
      <c r="G1185" s="28"/>
      <c r="J1185" t="s">
        <v>199</v>
      </c>
    </row>
    <row r="1186" spans="1:10" hidden="1" outlineLevel="1">
      <c r="A1186" s="28"/>
      <c r="B1186" s="1">
        <v>186</v>
      </c>
      <c r="C1186" s="5" t="s">
        <v>3240</v>
      </c>
      <c r="D1186" s="6" t="s">
        <v>3279</v>
      </c>
      <c r="E1186" s="236">
        <v>44900</v>
      </c>
      <c r="F1186" s="4">
        <v>1.1388888888888888E-2</v>
      </c>
      <c r="G1186" s="28"/>
      <c r="J1186" t="s">
        <v>199</v>
      </c>
    </row>
    <row r="1187" spans="1:10" hidden="1" outlineLevel="1">
      <c r="A1187" s="28"/>
      <c r="B1187" s="1">
        <v>187</v>
      </c>
      <c r="C1187" s="5" t="s">
        <v>3283</v>
      </c>
      <c r="D1187" s="6" t="s">
        <v>3284</v>
      </c>
      <c r="E1187" s="236">
        <v>44901</v>
      </c>
      <c r="F1187" s="4">
        <v>4.2662037037037033E-2</v>
      </c>
      <c r="G1187" s="28"/>
      <c r="J1187" t="s">
        <v>199</v>
      </c>
    </row>
    <row r="1188" spans="1:10" hidden="1" outlineLevel="1">
      <c r="A1188" s="28"/>
      <c r="B1188" s="1">
        <v>188</v>
      </c>
      <c r="C1188" s="5" t="s">
        <v>3288</v>
      </c>
      <c r="D1188" s="6" t="s">
        <v>3289</v>
      </c>
      <c r="E1188" s="236">
        <v>44902</v>
      </c>
      <c r="F1188" s="4">
        <v>2.7280092592592592E-2</v>
      </c>
      <c r="G1188" s="28"/>
      <c r="J1188" t="s">
        <v>199</v>
      </c>
    </row>
    <row r="1189" spans="1:10" hidden="1" outlineLevel="1">
      <c r="A1189" s="28"/>
      <c r="B1189" s="1">
        <v>189</v>
      </c>
      <c r="C1189" s="5" t="s">
        <v>3241</v>
      </c>
      <c r="D1189" s="6" t="s">
        <v>3302</v>
      </c>
      <c r="E1189" s="236">
        <v>44903</v>
      </c>
      <c r="F1189" s="4">
        <v>5.9143518518518521E-3</v>
      </c>
      <c r="G1189" s="28"/>
      <c r="J1189" t="s">
        <v>199</v>
      </c>
    </row>
    <row r="1190" spans="1:10" hidden="1" outlineLevel="1">
      <c r="A1190" s="28"/>
      <c r="B1190" s="1">
        <v>190</v>
      </c>
      <c r="C1190" s="5" t="s">
        <v>3310</v>
      </c>
      <c r="D1190" s="6" t="s">
        <v>3311</v>
      </c>
      <c r="E1190" s="236">
        <v>44904</v>
      </c>
      <c r="F1190" s="4">
        <v>1.2280092592592592E-2</v>
      </c>
      <c r="G1190" s="28"/>
      <c r="J1190" t="s">
        <v>199</v>
      </c>
    </row>
    <row r="1191" spans="1:10" hidden="1" outlineLevel="1">
      <c r="A1191" s="28"/>
      <c r="B1191" s="1">
        <v>191</v>
      </c>
      <c r="C1191" s="5" t="s">
        <v>3242</v>
      </c>
      <c r="D1191" s="6" t="s">
        <v>3114</v>
      </c>
      <c r="E1191" s="236">
        <v>44905</v>
      </c>
      <c r="F1191" s="4">
        <v>1.0069444444444445E-2</v>
      </c>
      <c r="G1191" s="28"/>
      <c r="J1191" t="s">
        <v>199</v>
      </c>
    </row>
    <row r="1192" spans="1:10" hidden="1" outlineLevel="1">
      <c r="A1192" s="28"/>
      <c r="B1192" s="1">
        <v>192</v>
      </c>
      <c r="C1192" s="5" t="s">
        <v>3243</v>
      </c>
      <c r="D1192" s="6" t="s">
        <v>3115</v>
      </c>
      <c r="E1192" s="236">
        <v>44906</v>
      </c>
      <c r="F1192" s="4">
        <v>7.0254629629629634E-3</v>
      </c>
      <c r="G1192" s="28"/>
      <c r="J1192" t="s">
        <v>199</v>
      </c>
    </row>
    <row r="1193" spans="1:10" hidden="1" outlineLevel="1">
      <c r="A1193" s="28"/>
      <c r="B1193" s="1">
        <v>193</v>
      </c>
      <c r="C1193" s="5" t="s">
        <v>3244</v>
      </c>
      <c r="D1193" s="6" t="s">
        <v>3116</v>
      </c>
      <c r="E1193" s="236">
        <v>44907</v>
      </c>
      <c r="F1193" s="4">
        <v>1.7164351851851851E-2</v>
      </c>
      <c r="G1193" s="28"/>
      <c r="J1193" t="s">
        <v>199</v>
      </c>
    </row>
    <row r="1194" spans="1:10" hidden="1" outlineLevel="1">
      <c r="A1194" s="28"/>
      <c r="B1194" s="1">
        <v>194</v>
      </c>
      <c r="C1194" s="5" t="s">
        <v>3367</v>
      </c>
      <c r="D1194" s="6" t="s">
        <v>3117</v>
      </c>
      <c r="E1194" s="236">
        <v>44908</v>
      </c>
      <c r="F1194" s="4">
        <v>1.8819444444444448E-2</v>
      </c>
      <c r="G1194" s="28"/>
      <c r="J1194" t="s">
        <v>199</v>
      </c>
    </row>
    <row r="1195" spans="1:10" hidden="1" outlineLevel="1">
      <c r="A1195" s="28"/>
      <c r="B1195" s="1">
        <v>195</v>
      </c>
      <c r="C1195" s="5" t="s">
        <v>3245</v>
      </c>
      <c r="D1195" s="6" t="s">
        <v>3118</v>
      </c>
      <c r="E1195" s="236">
        <v>44909</v>
      </c>
      <c r="F1195" s="4">
        <v>8.4606481481481494E-3</v>
      </c>
      <c r="G1195" s="28"/>
      <c r="J1195" t="s">
        <v>199</v>
      </c>
    </row>
    <row r="1196" spans="1:10" hidden="1" outlineLevel="1">
      <c r="A1196" s="28"/>
      <c r="B1196" s="1">
        <v>196</v>
      </c>
      <c r="C1196" s="5" t="s">
        <v>3246</v>
      </c>
      <c r="D1196" s="6" t="s">
        <v>3119</v>
      </c>
      <c r="E1196" s="236">
        <v>44910</v>
      </c>
      <c r="F1196" s="4">
        <v>1.1412037037037038E-2</v>
      </c>
      <c r="G1196" s="28"/>
      <c r="J1196" t="s">
        <v>199</v>
      </c>
    </row>
    <row r="1197" spans="1:10" hidden="1" outlineLevel="1">
      <c r="A1197" s="28"/>
      <c r="B1197" s="1">
        <v>197</v>
      </c>
      <c r="C1197" s="5" t="s">
        <v>3247</v>
      </c>
      <c r="D1197" s="6" t="s">
        <v>3120</v>
      </c>
      <c r="E1197" s="236">
        <v>44911</v>
      </c>
      <c r="F1197" s="4">
        <v>1.1678240740740741E-2</v>
      </c>
      <c r="G1197" s="28"/>
      <c r="J1197" t="s">
        <v>199</v>
      </c>
    </row>
    <row r="1198" spans="1:10" hidden="1" outlineLevel="1">
      <c r="A1198" s="28"/>
      <c r="B1198" s="1">
        <v>198</v>
      </c>
      <c r="C1198" s="5" t="s">
        <v>3248</v>
      </c>
      <c r="D1198" s="6" t="s">
        <v>3121</v>
      </c>
      <c r="E1198" s="236">
        <v>44912</v>
      </c>
      <c r="F1198" s="4">
        <v>8.4953703703703701E-3</v>
      </c>
      <c r="G1198" s="28"/>
      <c r="J1198" t="s">
        <v>199</v>
      </c>
    </row>
    <row r="1199" spans="1:10" hidden="1" outlineLevel="1">
      <c r="A1199" s="28"/>
      <c r="B1199" s="1">
        <v>199</v>
      </c>
      <c r="C1199" s="5" t="s">
        <v>3249</v>
      </c>
      <c r="D1199" s="6" t="s">
        <v>3122</v>
      </c>
      <c r="E1199" s="236">
        <v>44913</v>
      </c>
      <c r="F1199" s="4">
        <v>8.3217592592592596E-3</v>
      </c>
      <c r="G1199" s="28"/>
      <c r="J1199" t="s">
        <v>199</v>
      </c>
    </row>
    <row r="1200" spans="1:10" hidden="1" outlineLevel="1">
      <c r="A1200" s="28"/>
      <c r="B1200" s="1">
        <v>200</v>
      </c>
      <c r="C1200" s="5" t="s">
        <v>3250</v>
      </c>
      <c r="D1200" s="6" t="s">
        <v>3123</v>
      </c>
      <c r="E1200" s="236">
        <v>44914</v>
      </c>
      <c r="F1200" s="4">
        <v>9.3634259259259261E-3</v>
      </c>
      <c r="G1200" s="28"/>
      <c r="J1200" t="s">
        <v>199</v>
      </c>
    </row>
    <row r="1201" spans="1:10" hidden="1" outlineLevel="1">
      <c r="A1201" s="28"/>
      <c r="B1201" s="1">
        <v>201</v>
      </c>
      <c r="C1201" s="5" t="s">
        <v>3251</v>
      </c>
      <c r="D1201" s="6" t="s">
        <v>3124</v>
      </c>
      <c r="E1201" s="236">
        <v>44915</v>
      </c>
      <c r="F1201" s="4">
        <v>8.4490740740740741E-3</v>
      </c>
      <c r="G1201" s="28"/>
      <c r="J1201" t="s">
        <v>199</v>
      </c>
    </row>
    <row r="1202" spans="1:10" hidden="1" outlineLevel="1">
      <c r="A1202" s="28"/>
      <c r="B1202" s="1">
        <v>202</v>
      </c>
      <c r="C1202" s="5" t="s">
        <v>3252</v>
      </c>
      <c r="D1202" s="6" t="s">
        <v>3125</v>
      </c>
      <c r="E1202" s="236">
        <v>44916</v>
      </c>
      <c r="F1202" s="4">
        <v>1.1770833333333333E-2</v>
      </c>
      <c r="G1202" s="28"/>
      <c r="J1202" t="s">
        <v>199</v>
      </c>
    </row>
    <row r="1203" spans="1:10" hidden="1" outlineLevel="1">
      <c r="A1203" s="28"/>
      <c r="B1203" s="1">
        <v>203</v>
      </c>
      <c r="C1203" s="5" t="s">
        <v>3253</v>
      </c>
      <c r="D1203" s="6" t="s">
        <v>3113</v>
      </c>
      <c r="E1203" s="236">
        <v>44917</v>
      </c>
      <c r="F1203" s="4">
        <v>2.0520833333333332E-2</v>
      </c>
      <c r="G1203" s="28"/>
      <c r="J1203" t="s">
        <v>199</v>
      </c>
    </row>
    <row r="1204" spans="1:10" hidden="1" outlineLevel="1">
      <c r="A1204" s="28"/>
      <c r="B1204" s="1">
        <v>204</v>
      </c>
      <c r="C1204" s="5" t="s">
        <v>3254</v>
      </c>
      <c r="D1204" s="6" t="s">
        <v>3126</v>
      </c>
      <c r="E1204" s="236">
        <v>44918</v>
      </c>
      <c r="F1204" s="4">
        <v>1.9930555555555556E-2</v>
      </c>
      <c r="G1204" s="28"/>
      <c r="J1204" t="s">
        <v>199</v>
      </c>
    </row>
    <row r="1205" spans="1:10" hidden="1" outlineLevel="1">
      <c r="A1205" s="28"/>
      <c r="B1205" s="1">
        <v>205</v>
      </c>
      <c r="C1205" s="5" t="s">
        <v>3255</v>
      </c>
      <c r="D1205" s="6" t="s">
        <v>3127</v>
      </c>
      <c r="E1205" s="236">
        <v>44919</v>
      </c>
      <c r="F1205" s="4">
        <v>3.9745370370370368E-2</v>
      </c>
      <c r="G1205" s="28"/>
      <c r="J1205" t="s">
        <v>199</v>
      </c>
    </row>
    <row r="1206" spans="1:10" hidden="1" outlineLevel="1">
      <c r="A1206" s="28"/>
      <c r="B1206" s="1">
        <v>206</v>
      </c>
      <c r="C1206" s="5" t="s">
        <v>3622</v>
      </c>
      <c r="D1206" s="6" t="s">
        <v>2923</v>
      </c>
      <c r="E1206" s="236">
        <v>44920.977083333331</v>
      </c>
      <c r="F1206" s="4">
        <v>1.7789351851851851E-2</v>
      </c>
      <c r="G1206" s="28"/>
      <c r="J1206" t="s">
        <v>199</v>
      </c>
    </row>
    <row r="1207" spans="1:10" hidden="1" outlineLevel="1">
      <c r="A1207" s="28"/>
      <c r="B1207" s="533">
        <v>207</v>
      </c>
      <c r="C1207" s="534" t="s">
        <v>3696</v>
      </c>
      <c r="D1207" s="535">
        <v>75</v>
      </c>
      <c r="E1207" s="543">
        <v>44953</v>
      </c>
      <c r="F1207" s="536">
        <v>0.14418981481481483</v>
      </c>
      <c r="G1207" s="28"/>
      <c r="J1207" t="s">
        <v>199</v>
      </c>
    </row>
    <row r="1208" spans="1:10" hidden="1" outlineLevel="1">
      <c r="A1208" s="28"/>
      <c r="B1208" s="1">
        <v>208</v>
      </c>
      <c r="C1208" s="5" t="s">
        <v>3872</v>
      </c>
      <c r="D1208" s="6" t="s">
        <v>4303</v>
      </c>
      <c r="E1208" s="236">
        <v>44956</v>
      </c>
      <c r="F1208" s="4">
        <v>2.4375000000000004E-2</v>
      </c>
      <c r="G1208" s="28"/>
      <c r="J1208" t="s">
        <v>199</v>
      </c>
    </row>
    <row r="1209" spans="1:10" hidden="1" outlineLevel="1">
      <c r="A1209" s="28"/>
      <c r="B1209" s="533">
        <v>209</v>
      </c>
      <c r="C1209" s="534" t="s">
        <v>3697</v>
      </c>
      <c r="D1209" s="537">
        <v>180</v>
      </c>
      <c r="E1209" s="543">
        <v>44981</v>
      </c>
      <c r="F1209" s="536">
        <v>0.12805555555555556</v>
      </c>
      <c r="G1209" s="28"/>
      <c r="J1209" t="s">
        <v>199</v>
      </c>
    </row>
    <row r="1210" spans="1:10" hidden="1" outlineLevel="1">
      <c r="A1210" s="28"/>
      <c r="B1210" s="1">
        <v>210</v>
      </c>
      <c r="C1210" s="5" t="s">
        <v>3871</v>
      </c>
      <c r="D1210" s="6" t="s">
        <v>3698</v>
      </c>
      <c r="E1210" s="236">
        <v>44995</v>
      </c>
      <c r="F1210" s="4">
        <v>0.19392361111111112</v>
      </c>
      <c r="G1210" s="28"/>
      <c r="J1210" t="s">
        <v>199</v>
      </c>
    </row>
    <row r="1211" spans="1:10" hidden="1" outlineLevel="1">
      <c r="A1211" s="28"/>
      <c r="B1211" s="533">
        <v>211</v>
      </c>
      <c r="C1211" s="534" t="s">
        <v>3699</v>
      </c>
      <c r="D1211" s="537">
        <v>90</v>
      </c>
      <c r="E1211" s="543">
        <v>45009</v>
      </c>
      <c r="F1211" s="536">
        <v>0.14021990740740742</v>
      </c>
      <c r="G1211" s="28"/>
      <c r="J1211" t="s">
        <v>199</v>
      </c>
    </row>
    <row r="1212" spans="1:10" hidden="1" outlineLevel="1">
      <c r="A1212" s="28"/>
      <c r="B1212" s="1">
        <v>212</v>
      </c>
      <c r="C1212" s="5" t="s">
        <v>3807</v>
      </c>
      <c r="D1212" s="6" t="s">
        <v>3806</v>
      </c>
      <c r="E1212" s="236">
        <v>45013</v>
      </c>
      <c r="F1212" s="4">
        <v>3.0902777777777782E-3</v>
      </c>
      <c r="G1212" s="28"/>
      <c r="J1212" t="s">
        <v>199</v>
      </c>
    </row>
    <row r="1213" spans="1:10" hidden="1" outlineLevel="1">
      <c r="A1213" s="28"/>
      <c r="B1213" s="1">
        <v>213</v>
      </c>
      <c r="C1213" s="5" t="s">
        <v>3870</v>
      </c>
      <c r="D1213" s="6" t="s">
        <v>4304</v>
      </c>
      <c r="E1213" s="236">
        <v>45023</v>
      </c>
      <c r="F1213" s="4">
        <v>4.5277777777777778E-2</v>
      </c>
      <c r="G1213" s="28"/>
      <c r="J1213" t="s">
        <v>199</v>
      </c>
    </row>
    <row r="1214" spans="1:10" hidden="1" outlineLevel="1">
      <c r="A1214" s="28"/>
      <c r="B1214" s="533">
        <v>214</v>
      </c>
      <c r="C1214" s="534" t="s">
        <v>3891</v>
      </c>
      <c r="D1214" s="537">
        <v>70</v>
      </c>
      <c r="E1214" s="543">
        <v>45037</v>
      </c>
      <c r="F1214" s="536">
        <v>0.12070601851851852</v>
      </c>
      <c r="G1214" s="28"/>
      <c r="J1214" t="s">
        <v>199</v>
      </c>
    </row>
    <row r="1215" spans="1:10" hidden="1" outlineLevel="1">
      <c r="A1215" s="28"/>
      <c r="B1215" s="1">
        <v>215</v>
      </c>
      <c r="C1215" s="5" t="s">
        <v>3909</v>
      </c>
      <c r="D1215" s="6" t="s">
        <v>3908</v>
      </c>
      <c r="E1215" s="236">
        <v>45051</v>
      </c>
      <c r="F1215" s="4">
        <v>6.7627314814814821E-2</v>
      </c>
      <c r="G1215" s="28"/>
      <c r="J1215" t="s">
        <v>199</v>
      </c>
    </row>
    <row r="1216" spans="1:10" hidden="1" outlineLevel="1">
      <c r="A1216" s="28"/>
      <c r="B1216" s="533">
        <v>216</v>
      </c>
      <c r="C1216" s="534" t="s">
        <v>3937</v>
      </c>
      <c r="D1216" s="537">
        <v>85</v>
      </c>
      <c r="E1216" s="543">
        <v>45065</v>
      </c>
      <c r="F1216" s="536">
        <v>0.13997685185185185</v>
      </c>
      <c r="G1216" s="28"/>
      <c r="J1216" t="s">
        <v>199</v>
      </c>
    </row>
    <row r="1217" spans="1:10" hidden="1" outlineLevel="1">
      <c r="A1217" s="28"/>
      <c r="B1217" s="1">
        <v>217</v>
      </c>
      <c r="C1217" s="5" t="s">
        <v>3938</v>
      </c>
      <c r="D1217" s="6" t="s">
        <v>3939</v>
      </c>
      <c r="E1217" s="236">
        <v>45079</v>
      </c>
      <c r="F1217" s="4">
        <v>5.334490740740741E-2</v>
      </c>
      <c r="G1217" s="28"/>
      <c r="J1217" t="s">
        <v>199</v>
      </c>
    </row>
    <row r="1218" spans="1:10" hidden="1" outlineLevel="1">
      <c r="A1218" s="28"/>
      <c r="B1218" s="533">
        <v>218</v>
      </c>
      <c r="C1218" s="534" t="s">
        <v>4030</v>
      </c>
      <c r="D1218" s="537">
        <v>115</v>
      </c>
      <c r="E1218" s="543">
        <v>45121</v>
      </c>
      <c r="F1218" s="536">
        <v>0.13760416666666667</v>
      </c>
      <c r="G1218" s="28"/>
      <c r="J1218" t="s">
        <v>199</v>
      </c>
    </row>
    <row r="1219" spans="1:10" hidden="1" outlineLevel="1">
      <c r="A1219" s="28"/>
      <c r="B1219" s="533">
        <v>219</v>
      </c>
      <c r="C1219" s="534" t="s">
        <v>4029</v>
      </c>
      <c r="D1219" s="537" t="s">
        <v>3965</v>
      </c>
      <c r="E1219" s="543">
        <v>45128</v>
      </c>
      <c r="F1219" s="536">
        <v>0.1112962962962963</v>
      </c>
      <c r="G1219" s="28"/>
      <c r="J1219" t="s">
        <v>199</v>
      </c>
    </row>
    <row r="1220" spans="1:10" hidden="1" outlineLevel="1">
      <c r="A1220" s="28"/>
      <c r="B1220" s="533">
        <v>220</v>
      </c>
      <c r="C1220" s="534" t="s">
        <v>4147</v>
      </c>
      <c r="D1220" s="537">
        <v>126</v>
      </c>
      <c r="E1220" s="543">
        <v>45212</v>
      </c>
      <c r="F1220" s="536">
        <v>8.4780092592592601E-2</v>
      </c>
      <c r="G1220" s="28"/>
      <c r="J1220" t="s">
        <v>199</v>
      </c>
    </row>
    <row r="1221" spans="1:10" hidden="1" outlineLevel="1">
      <c r="A1221" s="28"/>
      <c r="B1221" s="1">
        <v>221</v>
      </c>
      <c r="C1221" s="5" t="s">
        <v>4302</v>
      </c>
      <c r="D1221" s="6" t="s">
        <v>4305</v>
      </c>
      <c r="E1221" s="236">
        <v>45229</v>
      </c>
      <c r="F1221" s="4">
        <v>0.23291666666666666</v>
      </c>
      <c r="G1221" s="28"/>
      <c r="J1221" t="s">
        <v>199</v>
      </c>
    </row>
    <row r="1222" spans="1:10" hidden="1" outlineLevel="1">
      <c r="A1222" s="28"/>
      <c r="B1222" s="1">
        <v>222</v>
      </c>
      <c r="C1222" s="5" t="s">
        <v>4275</v>
      </c>
      <c r="D1222" s="6" t="s">
        <v>4267</v>
      </c>
      <c r="E1222" s="236">
        <v>45261</v>
      </c>
      <c r="F1222" s="4">
        <v>3.847222222222222E-2</v>
      </c>
      <c r="G1222" s="28"/>
      <c r="J1222" t="s">
        <v>199</v>
      </c>
    </row>
    <row r="1223" spans="1:10" hidden="1" outlineLevel="1">
      <c r="A1223" s="28"/>
      <c r="B1223" s="1">
        <v>223</v>
      </c>
      <c r="C1223" s="5" t="s">
        <v>4276</v>
      </c>
      <c r="D1223" s="6" t="s">
        <v>4268</v>
      </c>
      <c r="E1223" s="236">
        <v>45262</v>
      </c>
      <c r="F1223" s="4">
        <v>9.5601851851851855E-3</v>
      </c>
      <c r="G1223" s="28"/>
      <c r="J1223" t="s">
        <v>199</v>
      </c>
    </row>
    <row r="1224" spans="1:10" hidden="1" outlineLevel="1">
      <c r="A1224" s="28"/>
      <c r="B1224" s="1">
        <v>224</v>
      </c>
      <c r="C1224" s="5" t="s">
        <v>4328</v>
      </c>
      <c r="D1224" s="6" t="s">
        <v>3166</v>
      </c>
      <c r="E1224" s="236">
        <v>45263</v>
      </c>
      <c r="F1224" s="4">
        <v>3.498842592592593E-2</v>
      </c>
      <c r="G1224" s="28"/>
      <c r="J1224" t="s">
        <v>199</v>
      </c>
    </row>
    <row r="1225" spans="1:10" hidden="1" outlineLevel="1">
      <c r="A1225" s="28"/>
      <c r="B1225" s="1">
        <v>225</v>
      </c>
      <c r="C1225" s="5" t="s">
        <v>4277</v>
      </c>
      <c r="D1225" s="6" t="s">
        <v>4269</v>
      </c>
      <c r="E1225" s="236">
        <v>45264</v>
      </c>
      <c r="F1225" s="4">
        <v>2.7337962962962963E-2</v>
      </c>
      <c r="G1225" s="28"/>
      <c r="J1225" t="s">
        <v>199</v>
      </c>
    </row>
    <row r="1226" spans="1:10" hidden="1" outlineLevel="1">
      <c r="A1226" s="28"/>
      <c r="B1226" s="1">
        <v>226</v>
      </c>
      <c r="C1226" s="5" t="s">
        <v>4278</v>
      </c>
      <c r="D1226" s="6" t="s">
        <v>4270</v>
      </c>
      <c r="E1226" s="236">
        <v>45265</v>
      </c>
      <c r="F1226" s="4">
        <v>1.5914351851851853E-2</v>
      </c>
      <c r="G1226" s="28"/>
      <c r="J1226" t="s">
        <v>199</v>
      </c>
    </row>
    <row r="1227" spans="1:10" hidden="1" outlineLevel="1">
      <c r="A1227" s="28"/>
      <c r="B1227" s="1">
        <v>227</v>
      </c>
      <c r="C1227" s="5" t="s">
        <v>4279</v>
      </c>
      <c r="D1227" s="6" t="s">
        <v>4271</v>
      </c>
      <c r="E1227" s="236">
        <v>45266</v>
      </c>
      <c r="F1227" s="4">
        <v>1.6076388888888887E-2</v>
      </c>
      <c r="G1227" s="28"/>
      <c r="J1227" t="s">
        <v>199</v>
      </c>
    </row>
    <row r="1228" spans="1:10" hidden="1" outlineLevel="1">
      <c r="A1228" s="28"/>
      <c r="B1228" s="1">
        <v>228</v>
      </c>
      <c r="C1228" s="5" t="s">
        <v>4280</v>
      </c>
      <c r="D1228" s="6" t="s">
        <v>4272</v>
      </c>
      <c r="E1228" s="236">
        <v>45267</v>
      </c>
      <c r="F1228" s="4">
        <v>9.7569444444444448E-3</v>
      </c>
      <c r="G1228" s="28"/>
      <c r="J1228" t="s">
        <v>199</v>
      </c>
    </row>
    <row r="1229" spans="1:10" hidden="1" outlineLevel="1">
      <c r="A1229" s="28"/>
      <c r="B1229" s="1">
        <v>229</v>
      </c>
      <c r="C1229" s="5" t="s">
        <v>4281</v>
      </c>
      <c r="D1229" s="6" t="s">
        <v>4273</v>
      </c>
      <c r="E1229" s="236">
        <v>45268</v>
      </c>
      <c r="F1229" s="4">
        <v>1.5416666666666667E-2</v>
      </c>
      <c r="G1229" s="28"/>
      <c r="J1229" t="s">
        <v>199</v>
      </c>
    </row>
    <row r="1230" spans="1:10" hidden="1" outlineLevel="1">
      <c r="A1230" s="28"/>
      <c r="B1230" s="1">
        <v>230</v>
      </c>
      <c r="C1230" s="5" t="s">
        <v>4282</v>
      </c>
      <c r="D1230" s="6" t="s">
        <v>4274</v>
      </c>
      <c r="E1230" s="236">
        <v>45269</v>
      </c>
      <c r="F1230" s="4">
        <v>1.4733796296296295E-2</v>
      </c>
      <c r="G1230" s="28"/>
      <c r="J1230" t="s">
        <v>199</v>
      </c>
    </row>
    <row r="1231" spans="1:10" hidden="1" outlineLevel="1">
      <c r="A1231" s="28"/>
      <c r="B1231" s="1">
        <v>231</v>
      </c>
      <c r="C1231" s="5" t="s">
        <v>4283</v>
      </c>
      <c r="D1231" s="6" t="s">
        <v>4252</v>
      </c>
      <c r="E1231" s="236">
        <v>45270</v>
      </c>
      <c r="F1231" s="4">
        <v>6.5162037037037037E-3</v>
      </c>
      <c r="G1231" s="28"/>
      <c r="J1231" t="s">
        <v>199</v>
      </c>
    </row>
    <row r="1232" spans="1:10" hidden="1" outlineLevel="1">
      <c r="A1232" s="28"/>
      <c r="B1232" s="1">
        <v>232</v>
      </c>
      <c r="C1232" s="5" t="s">
        <v>4284</v>
      </c>
      <c r="D1232" s="6" t="s">
        <v>4253</v>
      </c>
      <c r="E1232" s="236">
        <v>45271</v>
      </c>
      <c r="F1232" s="4">
        <v>1.2048611111111112E-2</v>
      </c>
      <c r="G1232" s="28"/>
      <c r="J1232" t="s">
        <v>199</v>
      </c>
    </row>
    <row r="1233" spans="1:10" hidden="1" outlineLevel="1">
      <c r="A1233" s="28"/>
      <c r="B1233" s="1">
        <v>233</v>
      </c>
      <c r="C1233" s="5" t="s">
        <v>4285</v>
      </c>
      <c r="D1233" s="6" t="s">
        <v>4254</v>
      </c>
      <c r="E1233" s="236">
        <v>45272</v>
      </c>
      <c r="F1233" s="4">
        <v>1.4571759259259258E-2</v>
      </c>
      <c r="G1233" s="28"/>
      <c r="J1233" t="s">
        <v>199</v>
      </c>
    </row>
    <row r="1234" spans="1:10" hidden="1" outlineLevel="1">
      <c r="A1234" s="28"/>
      <c r="B1234" s="1">
        <v>234</v>
      </c>
      <c r="C1234" s="5" t="s">
        <v>4286</v>
      </c>
      <c r="D1234" s="6" t="s">
        <v>4255</v>
      </c>
      <c r="E1234" s="236">
        <v>45273</v>
      </c>
      <c r="F1234" s="4">
        <v>9.7337962962962977E-3</v>
      </c>
      <c r="G1234" s="28"/>
      <c r="J1234" t="s">
        <v>199</v>
      </c>
    </row>
    <row r="1235" spans="1:10" hidden="1" outlineLevel="1">
      <c r="A1235" s="28"/>
      <c r="B1235" s="1">
        <v>235</v>
      </c>
      <c r="C1235" s="5" t="s">
        <v>4287</v>
      </c>
      <c r="D1235" s="6" t="s">
        <v>4256</v>
      </c>
      <c r="E1235" s="236">
        <v>45274</v>
      </c>
      <c r="F1235" s="4">
        <v>1.8506944444444444E-2</v>
      </c>
      <c r="G1235" s="28"/>
      <c r="J1235" t="s">
        <v>199</v>
      </c>
    </row>
    <row r="1236" spans="1:10" hidden="1" outlineLevel="1">
      <c r="A1236" s="28"/>
      <c r="B1236" s="1">
        <v>236</v>
      </c>
      <c r="C1236" s="5" t="s">
        <v>4288</v>
      </c>
      <c r="D1236" s="6" t="s">
        <v>4257</v>
      </c>
      <c r="E1236" s="236">
        <v>45275</v>
      </c>
      <c r="F1236" s="4">
        <v>1.1099537037037038E-2</v>
      </c>
      <c r="G1236" s="28"/>
      <c r="J1236" t="s">
        <v>199</v>
      </c>
    </row>
    <row r="1237" spans="1:10" hidden="1" outlineLevel="1">
      <c r="A1237" s="28"/>
      <c r="B1237" s="1">
        <v>237</v>
      </c>
      <c r="C1237" s="5" t="s">
        <v>4289</v>
      </c>
      <c r="D1237" s="6" t="s">
        <v>4258</v>
      </c>
      <c r="E1237" s="236">
        <v>45276</v>
      </c>
      <c r="F1237" s="4">
        <v>7.0717592592592594E-3</v>
      </c>
      <c r="G1237" s="28"/>
      <c r="J1237" t="s">
        <v>199</v>
      </c>
    </row>
    <row r="1238" spans="1:10" hidden="1" outlineLevel="1">
      <c r="A1238" s="28"/>
      <c r="B1238" s="1">
        <v>238</v>
      </c>
      <c r="C1238" s="5" t="s">
        <v>4290</v>
      </c>
      <c r="D1238" s="6" t="s">
        <v>4259</v>
      </c>
      <c r="E1238" s="236">
        <v>45277</v>
      </c>
      <c r="F1238" s="4">
        <v>5.9837962962962961E-3</v>
      </c>
      <c r="G1238" s="28"/>
      <c r="J1238" t="s">
        <v>199</v>
      </c>
    </row>
    <row r="1239" spans="1:10" hidden="1" outlineLevel="1">
      <c r="A1239" s="28"/>
      <c r="B1239" s="1">
        <v>239</v>
      </c>
      <c r="C1239" s="5" t="s">
        <v>4291</v>
      </c>
      <c r="D1239" s="6" t="s">
        <v>4260</v>
      </c>
      <c r="E1239" s="236">
        <v>45278</v>
      </c>
      <c r="F1239" s="4">
        <v>2.0821759259259259E-2</v>
      </c>
      <c r="G1239" s="28"/>
      <c r="J1239" t="s">
        <v>199</v>
      </c>
    </row>
    <row r="1240" spans="1:10" hidden="1" outlineLevel="1">
      <c r="A1240" s="28"/>
      <c r="B1240" s="1">
        <v>240</v>
      </c>
      <c r="C1240" s="5" t="s">
        <v>4292</v>
      </c>
      <c r="D1240" s="6" t="s">
        <v>4261</v>
      </c>
      <c r="E1240" s="236">
        <v>45279</v>
      </c>
      <c r="F1240" s="4">
        <v>1.7615740740740741E-2</v>
      </c>
      <c r="G1240" s="28"/>
      <c r="J1240" t="s">
        <v>199</v>
      </c>
    </row>
    <row r="1241" spans="1:10" hidden="1" outlineLevel="1">
      <c r="A1241" s="28"/>
      <c r="B1241" s="1">
        <v>241</v>
      </c>
      <c r="C1241" s="5" t="s">
        <v>4293</v>
      </c>
      <c r="D1241" s="6" t="s">
        <v>4262</v>
      </c>
      <c r="E1241" s="236">
        <v>45280</v>
      </c>
      <c r="F1241" s="4">
        <v>1.9710648148148147E-2</v>
      </c>
      <c r="G1241" s="28"/>
      <c r="J1241" t="s">
        <v>199</v>
      </c>
    </row>
    <row r="1242" spans="1:10" hidden="1" outlineLevel="1">
      <c r="A1242" s="28"/>
      <c r="B1242" s="1">
        <v>242</v>
      </c>
      <c r="C1242" s="5" t="s">
        <v>4294</v>
      </c>
      <c r="D1242" s="6" t="s">
        <v>4263</v>
      </c>
      <c r="E1242" s="236">
        <v>45281</v>
      </c>
      <c r="F1242" s="4">
        <v>1.5555555555555553E-2</v>
      </c>
      <c r="G1242" s="28"/>
      <c r="J1242" t="s">
        <v>199</v>
      </c>
    </row>
    <row r="1243" spans="1:10" hidden="1" outlineLevel="1">
      <c r="A1243" s="28"/>
      <c r="B1243" s="1">
        <v>243</v>
      </c>
      <c r="C1243" s="5" t="s">
        <v>4295</v>
      </c>
      <c r="D1243" s="6" t="s">
        <v>4264</v>
      </c>
      <c r="E1243" s="236">
        <v>45282</v>
      </c>
      <c r="F1243" s="4">
        <v>7.8009259259259256E-3</v>
      </c>
      <c r="G1243" s="28"/>
      <c r="J1243" t="s">
        <v>199</v>
      </c>
    </row>
    <row r="1244" spans="1:10" hidden="1" outlineLevel="1">
      <c r="A1244" s="28"/>
      <c r="B1244" s="1">
        <v>244</v>
      </c>
      <c r="C1244" s="5" t="s">
        <v>4296</v>
      </c>
      <c r="D1244" s="6" t="s">
        <v>4265</v>
      </c>
      <c r="E1244" s="236">
        <v>45283</v>
      </c>
      <c r="F1244" s="4">
        <v>1.8958333333333334E-2</v>
      </c>
      <c r="G1244" s="28"/>
      <c r="J1244" t="s">
        <v>199</v>
      </c>
    </row>
    <row r="1245" spans="1:10" hidden="1" outlineLevel="1">
      <c r="A1245" s="28"/>
      <c r="B1245" s="1">
        <v>245</v>
      </c>
      <c r="C1245" s="5" t="s">
        <v>4297</v>
      </c>
      <c r="D1245" s="6" t="s">
        <v>4266</v>
      </c>
      <c r="E1245" s="236">
        <v>45284</v>
      </c>
      <c r="F1245" s="4">
        <v>3.1307870370370368E-2</v>
      </c>
      <c r="G1245" s="28"/>
      <c r="J1245" t="s">
        <v>199</v>
      </c>
    </row>
    <row r="1246" spans="1:10" hidden="1" outlineLevel="1">
      <c r="A1246" s="28"/>
      <c r="B1246" s="533">
        <v>246</v>
      </c>
      <c r="C1246" s="534" t="s">
        <v>4386</v>
      </c>
      <c r="D1246" s="537">
        <v>69</v>
      </c>
      <c r="E1246" s="543">
        <v>45317</v>
      </c>
      <c r="F1246" s="536">
        <v>0.15916666666666668</v>
      </c>
      <c r="G1246" s="28"/>
      <c r="J1246" t="s">
        <v>199</v>
      </c>
    </row>
    <row r="1247" spans="1:10" hidden="1" outlineLevel="1">
      <c r="A1247" s="28"/>
      <c r="B1247" s="1">
        <v>247</v>
      </c>
      <c r="C1247" s="5" t="s">
        <v>4388</v>
      </c>
      <c r="D1247" s="6" t="s">
        <v>4387</v>
      </c>
      <c r="E1247" s="236">
        <v>45320</v>
      </c>
      <c r="F1247" s="4">
        <v>8.3831018518518527E-2</v>
      </c>
      <c r="G1247" s="28"/>
      <c r="J1247" t="s">
        <v>199</v>
      </c>
    </row>
    <row r="1248" spans="1:10" hidden="1" outlineLevel="1">
      <c r="A1248" s="28"/>
      <c r="B1248" s="533">
        <v>248</v>
      </c>
      <c r="C1248" s="534" t="s">
        <v>4467</v>
      </c>
      <c r="D1248" s="537">
        <v>224</v>
      </c>
      <c r="E1248" s="543">
        <v>45343</v>
      </c>
      <c r="F1248" s="536">
        <v>9.9918981481481484E-2</v>
      </c>
      <c r="G1248" s="28"/>
      <c r="J1248" t="s">
        <v>199</v>
      </c>
    </row>
    <row r="1249" spans="1:10" hidden="1" outlineLevel="1">
      <c r="A1249" s="28"/>
      <c r="B1249" s="1">
        <v>249</v>
      </c>
      <c r="C1249" s="5" t="s">
        <v>4469</v>
      </c>
      <c r="D1249" s="6" t="s">
        <v>4468</v>
      </c>
      <c r="E1249" s="236">
        <v>45359</v>
      </c>
      <c r="F1249" s="4">
        <v>3.15625E-2</v>
      </c>
      <c r="G1249" s="28"/>
      <c r="J1249" t="s">
        <v>199</v>
      </c>
    </row>
    <row r="1250" spans="1:10" hidden="1" outlineLevel="1">
      <c r="A1250" s="28"/>
      <c r="B1250" s="533">
        <v>250</v>
      </c>
      <c r="C1250" s="534" t="s">
        <v>4470</v>
      </c>
      <c r="D1250" s="537">
        <v>163</v>
      </c>
      <c r="E1250" s="543">
        <v>45373</v>
      </c>
      <c r="F1250" s="536">
        <v>8.9641203703703709E-2</v>
      </c>
      <c r="G1250" s="28"/>
      <c r="J1250" t="s">
        <v>199</v>
      </c>
    </row>
    <row r="1251" spans="1:10" hidden="1" outlineLevel="1">
      <c r="A1251" s="28"/>
      <c r="B1251" s="533">
        <v>251</v>
      </c>
      <c r="C1251" s="734" t="s">
        <v>4471</v>
      </c>
      <c r="D1251" s="735">
        <v>88</v>
      </c>
      <c r="E1251" s="736">
        <v>45399</v>
      </c>
      <c r="F1251" s="737">
        <v>0.15184027777777778</v>
      </c>
      <c r="G1251" s="28"/>
      <c r="J1251" t="s">
        <v>199</v>
      </c>
    </row>
    <row r="1252" spans="1:10">
      <c r="A1252" s="28"/>
      <c r="B1252" s="40"/>
      <c r="C1252" s="40"/>
      <c r="D1252" s="35"/>
      <c r="E1252" s="36"/>
      <c r="F1252" s="41"/>
      <c r="G1252" s="28"/>
    </row>
    <row r="1253" spans="1:10">
      <c r="A1253" s="28"/>
      <c r="B1253" s="28"/>
      <c r="C1253" s="28"/>
      <c r="D1253" s="29"/>
      <c r="E1253" s="52"/>
      <c r="F1253" s="53"/>
      <c r="G1253" s="28"/>
    </row>
    <row r="1254" spans="1:10">
      <c r="A1254" s="28"/>
      <c r="B1254" s="33"/>
      <c r="C1254" s="34" t="s">
        <v>1309</v>
      </c>
      <c r="D1254" s="40"/>
      <c r="E1254" s="36"/>
      <c r="F1254" s="37"/>
      <c r="G1254" s="28"/>
    </row>
    <row r="1255" spans="1:10" collapsed="1">
      <c r="A1255" s="28"/>
      <c r="B1255" s="38"/>
      <c r="C1255" s="229" t="s">
        <v>2368</v>
      </c>
      <c r="D1255" s="28"/>
      <c r="E1255" s="30"/>
      <c r="F1255" s="39"/>
      <c r="G1255" s="28"/>
    </row>
    <row r="1256" spans="1:10" hidden="1" outlineLevel="1">
      <c r="A1256" s="28"/>
      <c r="B1256" s="23" t="s">
        <v>5</v>
      </c>
      <c r="C1256" s="24" t="s">
        <v>6</v>
      </c>
      <c r="D1256" s="25" t="s">
        <v>4</v>
      </c>
      <c r="E1256" s="138" t="s">
        <v>8</v>
      </c>
      <c r="F1256" s="26" t="s">
        <v>7</v>
      </c>
      <c r="G1256" s="28"/>
    </row>
    <row r="1257" spans="1:10" hidden="1" outlineLevel="1">
      <c r="A1257" s="28"/>
      <c r="B1257" s="1">
        <v>1</v>
      </c>
      <c r="C1257" s="5" t="s">
        <v>602</v>
      </c>
      <c r="D1257" s="2">
        <v>110</v>
      </c>
      <c r="E1257" s="3">
        <v>43572.356608796297</v>
      </c>
      <c r="F1257" s="4">
        <v>5.1990740740740747E-2</v>
      </c>
      <c r="G1257" s="28"/>
      <c r="J1257" t="s">
        <v>572</v>
      </c>
    </row>
    <row r="1258" spans="1:10" hidden="1" outlineLevel="1">
      <c r="A1258" s="28"/>
      <c r="B1258" s="1">
        <v>2</v>
      </c>
      <c r="C1258" s="5" t="s">
        <v>604</v>
      </c>
      <c r="D1258" s="2">
        <v>110</v>
      </c>
      <c r="E1258" s="3">
        <v>43572.365254629629</v>
      </c>
      <c r="F1258" s="63">
        <v>2.5231481481481481E-3</v>
      </c>
      <c r="G1258" s="28"/>
      <c r="J1258" t="s">
        <v>572</v>
      </c>
    </row>
    <row r="1259" spans="1:10" hidden="1" outlineLevel="1">
      <c r="A1259" s="28"/>
      <c r="B1259" s="1">
        <v>3</v>
      </c>
      <c r="C1259" s="5" t="s">
        <v>603</v>
      </c>
      <c r="D1259" s="2">
        <v>72</v>
      </c>
      <c r="E1259" s="74">
        <v>43572</v>
      </c>
      <c r="F1259" s="75">
        <v>4.4722222222222219E-2</v>
      </c>
      <c r="G1259" s="28"/>
      <c r="J1259" t="s">
        <v>572</v>
      </c>
    </row>
    <row r="1260" spans="1:10" hidden="1" outlineLevel="1">
      <c r="A1260" s="28"/>
      <c r="B1260" s="1">
        <v>4</v>
      </c>
      <c r="C1260" s="5" t="s">
        <v>3059</v>
      </c>
      <c r="D1260" s="2">
        <v>169</v>
      </c>
      <c r="E1260" s="74">
        <v>43633</v>
      </c>
      <c r="F1260" s="75">
        <v>4.1030092592592597E-2</v>
      </c>
      <c r="G1260" s="28"/>
      <c r="J1260" t="s">
        <v>572</v>
      </c>
    </row>
    <row r="1261" spans="1:10" hidden="1" outlineLevel="1">
      <c r="A1261" s="28"/>
      <c r="B1261" s="1">
        <v>5</v>
      </c>
      <c r="C1261" s="5" t="s">
        <v>3060</v>
      </c>
      <c r="D1261" s="2">
        <v>92</v>
      </c>
      <c r="E1261" s="62">
        <v>43716</v>
      </c>
      <c r="F1261" s="4">
        <v>4.5879629629629631E-2</v>
      </c>
      <c r="G1261" s="28"/>
      <c r="J1261" t="s">
        <v>572</v>
      </c>
    </row>
    <row r="1262" spans="1:10" hidden="1" outlineLevel="1">
      <c r="A1262" s="28"/>
      <c r="B1262" s="1">
        <v>6</v>
      </c>
      <c r="C1262" s="5" t="s">
        <v>3061</v>
      </c>
      <c r="D1262" s="6" t="s">
        <v>485</v>
      </c>
      <c r="E1262" s="62">
        <v>43767</v>
      </c>
      <c r="F1262" s="63">
        <v>3.9490740740740743E-2</v>
      </c>
      <c r="G1262" s="28"/>
      <c r="J1262" t="s">
        <v>572</v>
      </c>
    </row>
    <row r="1263" spans="1:10" hidden="1" outlineLevel="1">
      <c r="A1263" s="28"/>
      <c r="B1263" s="1">
        <v>7</v>
      </c>
      <c r="C1263" s="5" t="s">
        <v>3062</v>
      </c>
      <c r="D1263" s="2">
        <v>209</v>
      </c>
      <c r="E1263" s="503">
        <v>44784</v>
      </c>
      <c r="F1263" s="504">
        <v>4.2986111111111114E-2</v>
      </c>
      <c r="G1263" s="28"/>
      <c r="J1263" t="s">
        <v>572</v>
      </c>
    </row>
    <row r="1264" spans="1:10" hidden="1" outlineLevel="1">
      <c r="A1264" s="28"/>
      <c r="B1264" s="1">
        <v>8</v>
      </c>
      <c r="C1264" s="5" t="s">
        <v>3058</v>
      </c>
      <c r="D1264" s="2">
        <v>100</v>
      </c>
      <c r="E1264" s="62">
        <v>44822</v>
      </c>
      <c r="F1264" s="63">
        <v>6.5439814814814812E-2</v>
      </c>
      <c r="G1264" s="28"/>
      <c r="J1264" t="s">
        <v>572</v>
      </c>
    </row>
    <row r="1265" spans="1:10" hidden="1" outlineLevel="1">
      <c r="A1265" s="28"/>
      <c r="B1265" s="1">
        <v>9</v>
      </c>
      <c r="C1265" s="5" t="s">
        <v>3305</v>
      </c>
      <c r="D1265" s="2">
        <v>183</v>
      </c>
      <c r="E1265" s="503">
        <v>44897</v>
      </c>
      <c r="F1265" s="504">
        <v>4.5509259259259256E-2</v>
      </c>
      <c r="G1265" s="28"/>
      <c r="J1265" t="s">
        <v>572</v>
      </c>
    </row>
    <row r="1266" spans="1:10" hidden="1" outlineLevel="1">
      <c r="A1266" s="28"/>
      <c r="B1266" s="1">
        <v>10</v>
      </c>
      <c r="C1266" s="5" t="s">
        <v>3764</v>
      </c>
      <c r="D1266" s="2">
        <v>17</v>
      </c>
      <c r="E1266" s="62">
        <v>44954</v>
      </c>
      <c r="F1266" s="63">
        <v>4.0787037037037038E-2</v>
      </c>
      <c r="G1266" s="28"/>
      <c r="J1266" t="s">
        <v>572</v>
      </c>
    </row>
    <row r="1267" spans="1:10" hidden="1" outlineLevel="1">
      <c r="A1267" s="28"/>
      <c r="B1267" s="1">
        <v>11</v>
      </c>
      <c r="C1267" s="5" t="s">
        <v>3765</v>
      </c>
      <c r="D1267" s="2">
        <v>0</v>
      </c>
      <c r="E1267" s="62">
        <v>44961</v>
      </c>
      <c r="F1267" s="63">
        <v>5.3391203703703705E-2</v>
      </c>
      <c r="G1267" s="28"/>
      <c r="J1267" t="s">
        <v>572</v>
      </c>
    </row>
    <row r="1268" spans="1:10">
      <c r="A1268" s="28"/>
      <c r="B1268" s="40"/>
      <c r="C1268" s="40"/>
      <c r="D1268" s="40"/>
      <c r="E1268" s="36"/>
      <c r="F1268" s="41"/>
      <c r="G1268" s="28"/>
    </row>
    <row r="1269" spans="1:10">
      <c r="A1269" s="28"/>
      <c r="B1269" s="28"/>
      <c r="C1269" s="28"/>
      <c r="D1269" s="28"/>
      <c r="E1269" s="30"/>
      <c r="F1269" s="31"/>
      <c r="G1269" s="28"/>
    </row>
    <row r="1270" spans="1:10">
      <c r="A1270" s="28"/>
      <c r="B1270" s="33"/>
      <c r="C1270" s="34" t="s">
        <v>1308</v>
      </c>
      <c r="D1270" s="40"/>
      <c r="E1270" s="36"/>
      <c r="F1270" s="37"/>
      <c r="G1270" s="28"/>
    </row>
    <row r="1271" spans="1:10" collapsed="1">
      <c r="A1271" s="28"/>
      <c r="B1271" s="38"/>
      <c r="C1271" s="229" t="s">
        <v>200</v>
      </c>
      <c r="D1271" s="28"/>
      <c r="E1271" s="30"/>
      <c r="F1271" s="39"/>
      <c r="G1271" s="28"/>
    </row>
    <row r="1272" spans="1:10" hidden="1" outlineLevel="1">
      <c r="A1272" s="28"/>
      <c r="B1272" s="23" t="s">
        <v>5</v>
      </c>
      <c r="C1272" s="24" t="s">
        <v>6</v>
      </c>
      <c r="D1272" s="25" t="s">
        <v>4</v>
      </c>
      <c r="E1272" s="138" t="s">
        <v>8</v>
      </c>
      <c r="F1272" s="26" t="s">
        <v>7</v>
      </c>
      <c r="G1272" s="28"/>
    </row>
    <row r="1273" spans="1:10" hidden="1" outlineLevel="1">
      <c r="A1273" s="28"/>
      <c r="B1273" s="1">
        <v>1</v>
      </c>
      <c r="C1273" s="5" t="s">
        <v>760</v>
      </c>
      <c r="D1273" s="2">
        <v>0</v>
      </c>
      <c r="E1273" s="62">
        <v>43637</v>
      </c>
      <c r="F1273" s="4">
        <v>2.5543981481481483E-2</v>
      </c>
      <c r="G1273" s="28"/>
      <c r="J1273" t="s">
        <v>201</v>
      </c>
    </row>
    <row r="1274" spans="1:10" hidden="1" outlineLevel="1">
      <c r="A1274" s="28"/>
      <c r="B1274" s="1">
        <v>2</v>
      </c>
      <c r="C1274" s="5" t="s">
        <v>761</v>
      </c>
      <c r="D1274" s="2">
        <v>5</v>
      </c>
      <c r="E1274" s="62">
        <v>43637</v>
      </c>
      <c r="F1274" s="63">
        <v>4.462962962962963E-2</v>
      </c>
      <c r="G1274" s="28"/>
      <c r="J1274" t="s">
        <v>201</v>
      </c>
    </row>
    <row r="1275" spans="1:10" hidden="1" outlineLevel="1">
      <c r="A1275" s="28"/>
      <c r="B1275" s="1">
        <v>3</v>
      </c>
      <c r="C1275" s="5" t="s">
        <v>762</v>
      </c>
      <c r="D1275" s="2">
        <v>200</v>
      </c>
      <c r="E1275" s="62">
        <v>43679</v>
      </c>
      <c r="F1275" s="4">
        <v>6.3668981481481479E-2</v>
      </c>
      <c r="G1275" s="28"/>
      <c r="J1275" t="s">
        <v>201</v>
      </c>
    </row>
    <row r="1276" spans="1:10" hidden="1" outlineLevel="1">
      <c r="A1276" s="28"/>
      <c r="B1276" s="1">
        <v>4</v>
      </c>
      <c r="C1276" s="5" t="s">
        <v>763</v>
      </c>
      <c r="D1276" s="2">
        <v>200</v>
      </c>
      <c r="E1276" s="62">
        <v>43686</v>
      </c>
      <c r="F1276" s="63">
        <v>6.773148148148149E-2</v>
      </c>
      <c r="G1276" s="28"/>
      <c r="J1276" t="s">
        <v>201</v>
      </c>
    </row>
    <row r="1277" spans="1:10" hidden="1" outlineLevel="1">
      <c r="A1277" s="28"/>
      <c r="B1277" s="1">
        <v>5</v>
      </c>
      <c r="C1277" s="5" t="s">
        <v>764</v>
      </c>
      <c r="D1277" s="2">
        <v>200</v>
      </c>
      <c r="E1277" s="62">
        <v>43707</v>
      </c>
      <c r="F1277" s="63">
        <v>6.3657407407407399E-2</v>
      </c>
      <c r="G1277" s="28"/>
      <c r="J1277" t="s">
        <v>201</v>
      </c>
    </row>
    <row r="1278" spans="1:10" hidden="1" outlineLevel="1">
      <c r="A1278" s="28"/>
      <c r="B1278" s="1">
        <v>6</v>
      </c>
      <c r="C1278" s="5" t="s">
        <v>765</v>
      </c>
      <c r="D1278" s="2">
        <v>200</v>
      </c>
      <c r="E1278" s="3">
        <v>43714</v>
      </c>
      <c r="F1278" s="63">
        <v>7.795138888888889E-2</v>
      </c>
      <c r="G1278" s="28"/>
      <c r="J1278" t="s">
        <v>201</v>
      </c>
    </row>
    <row r="1279" spans="1:10" hidden="1" outlineLevel="1">
      <c r="A1279" s="28"/>
      <c r="B1279" s="1">
        <v>7</v>
      </c>
      <c r="C1279" s="5" t="s">
        <v>766</v>
      </c>
      <c r="D1279" s="2">
        <v>4</v>
      </c>
      <c r="E1279" s="62">
        <v>43785</v>
      </c>
      <c r="F1279" s="63">
        <v>4.3784722222222218E-2</v>
      </c>
      <c r="G1279" s="28"/>
      <c r="J1279" t="s">
        <v>201</v>
      </c>
    </row>
    <row r="1280" spans="1:10" hidden="1" outlineLevel="1">
      <c r="A1280" s="28"/>
      <c r="B1280" s="1">
        <v>8</v>
      </c>
      <c r="C1280" s="5" t="s">
        <v>767</v>
      </c>
      <c r="D1280" s="2">
        <v>167</v>
      </c>
      <c r="E1280" s="74">
        <v>43917</v>
      </c>
      <c r="F1280" s="75">
        <v>9.2175925925925925E-2</v>
      </c>
      <c r="G1280" s="28"/>
      <c r="J1280" t="s">
        <v>201</v>
      </c>
    </row>
    <row r="1281" spans="1:10" hidden="1" outlineLevel="1">
      <c r="A1281" s="28"/>
      <c r="B1281" s="1">
        <v>9</v>
      </c>
      <c r="C1281" s="5" t="s">
        <v>768</v>
      </c>
      <c r="D1281" s="2">
        <v>25</v>
      </c>
      <c r="E1281" s="62">
        <v>44001</v>
      </c>
      <c r="F1281" s="63">
        <v>9.3090277777777786E-2</v>
      </c>
      <c r="G1281" s="28"/>
      <c r="J1281" t="s">
        <v>201</v>
      </c>
    </row>
    <row r="1282" spans="1:10" hidden="1" outlineLevel="1">
      <c r="A1282" s="28"/>
      <c r="B1282" s="76">
        <v>10</v>
      </c>
      <c r="C1282" s="77" t="s">
        <v>3160</v>
      </c>
      <c r="D1282" s="78">
        <v>26</v>
      </c>
      <c r="E1282" s="548">
        <v>44074</v>
      </c>
      <c r="F1282" s="80">
        <v>0</v>
      </c>
      <c r="G1282" s="28"/>
      <c r="J1282" t="s">
        <v>201</v>
      </c>
    </row>
    <row r="1283" spans="1:10" hidden="1" outlineLevel="1">
      <c r="A1283" s="28"/>
      <c r="B1283" s="81">
        <v>11</v>
      </c>
      <c r="C1283" s="82" t="s">
        <v>3161</v>
      </c>
      <c r="D1283" s="83">
        <v>148</v>
      </c>
      <c r="E1283" s="549">
        <v>44104</v>
      </c>
      <c r="F1283" s="84">
        <v>0</v>
      </c>
      <c r="G1283" s="28"/>
      <c r="J1283" t="s">
        <v>201</v>
      </c>
    </row>
    <row r="1284" spans="1:10">
      <c r="A1284" s="28"/>
      <c r="B1284" s="40"/>
      <c r="C1284" s="40"/>
      <c r="D1284" s="35"/>
      <c r="E1284" s="50"/>
      <c r="F1284" s="51"/>
      <c r="G1284" s="28"/>
    </row>
    <row r="1285" spans="1:10">
      <c r="A1285" s="28"/>
      <c r="B1285" s="28"/>
      <c r="C1285" s="28"/>
      <c r="D1285" s="29"/>
      <c r="E1285" s="52"/>
      <c r="F1285" s="53"/>
      <c r="G1285" s="28"/>
    </row>
    <row r="1286" spans="1:10">
      <c r="A1286" s="28"/>
      <c r="B1286" s="33"/>
      <c r="C1286" s="34" t="s">
        <v>1333</v>
      </c>
      <c r="D1286" s="40"/>
      <c r="E1286" s="36"/>
      <c r="F1286" s="37"/>
      <c r="G1286" s="28"/>
    </row>
    <row r="1287" spans="1:10" collapsed="1">
      <c r="A1287" s="28"/>
      <c r="B1287" s="38"/>
      <c r="C1287" s="229" t="s">
        <v>2369</v>
      </c>
      <c r="D1287" s="28"/>
      <c r="E1287" s="30"/>
      <c r="F1287" s="39"/>
      <c r="G1287" s="28"/>
    </row>
    <row r="1288" spans="1:10" hidden="1" outlineLevel="1">
      <c r="A1288" s="28"/>
      <c r="B1288" s="23" t="s">
        <v>5</v>
      </c>
      <c r="C1288" s="24" t="s">
        <v>6</v>
      </c>
      <c r="D1288" s="25" t="s">
        <v>4</v>
      </c>
      <c r="E1288" s="138" t="s">
        <v>8</v>
      </c>
      <c r="F1288" s="26" t="s">
        <v>7</v>
      </c>
      <c r="G1288" s="28"/>
    </row>
    <row r="1289" spans="1:10" hidden="1" outlineLevel="1">
      <c r="A1289" s="28"/>
      <c r="B1289" s="1">
        <v>1</v>
      </c>
      <c r="C1289" s="5" t="s">
        <v>1302</v>
      </c>
      <c r="D1289" s="2">
        <v>2</v>
      </c>
      <c r="E1289" s="3">
        <v>43913</v>
      </c>
      <c r="F1289" s="4">
        <v>5.7314814814814818E-2</v>
      </c>
      <c r="G1289" s="28"/>
      <c r="J1289" t="s">
        <v>235</v>
      </c>
    </row>
    <row r="1290" spans="1:10" hidden="1" outlineLevel="1">
      <c r="A1290" s="28"/>
      <c r="B1290" s="1">
        <v>2</v>
      </c>
      <c r="C1290" s="5" t="s">
        <v>1303</v>
      </c>
      <c r="D1290" s="2">
        <v>11</v>
      </c>
      <c r="E1290" s="3">
        <v>43943</v>
      </c>
      <c r="F1290" s="4">
        <v>5.8437499999999996E-2</v>
      </c>
      <c r="G1290" s="28"/>
      <c r="J1290" t="s">
        <v>235</v>
      </c>
    </row>
    <row r="1291" spans="1:10" hidden="1" outlineLevel="1">
      <c r="A1291" s="28"/>
      <c r="B1291" s="1">
        <v>3</v>
      </c>
      <c r="C1291" s="5" t="s">
        <v>1340</v>
      </c>
      <c r="D1291" s="2">
        <v>152</v>
      </c>
      <c r="E1291" s="3">
        <v>43961</v>
      </c>
      <c r="F1291" s="4">
        <v>9.9675925925925932E-2</v>
      </c>
      <c r="G1291" s="28"/>
      <c r="J1291" t="s">
        <v>235</v>
      </c>
    </row>
    <row r="1292" spans="1:10" hidden="1" outlineLevel="1">
      <c r="A1292" s="28"/>
      <c r="B1292" s="1">
        <v>4</v>
      </c>
      <c r="C1292" s="5" t="s">
        <v>1341</v>
      </c>
      <c r="D1292" s="2">
        <v>207</v>
      </c>
      <c r="E1292" s="3">
        <v>44142</v>
      </c>
      <c r="F1292" s="4">
        <v>9.8229166666666659E-2</v>
      </c>
      <c r="G1292" s="28"/>
      <c r="J1292" t="s">
        <v>235</v>
      </c>
    </row>
    <row r="1293" spans="1:10" hidden="1" outlineLevel="1">
      <c r="A1293" s="28"/>
      <c r="B1293" s="205">
        <v>5</v>
      </c>
      <c r="C1293" s="206" t="s">
        <v>1584</v>
      </c>
      <c r="D1293" s="207">
        <v>124</v>
      </c>
      <c r="E1293" s="208">
        <v>44208</v>
      </c>
      <c r="F1293" s="209">
        <v>7.4328703703703702E-2</v>
      </c>
      <c r="G1293" s="28"/>
      <c r="J1293" t="s">
        <v>235</v>
      </c>
    </row>
    <row r="1294" spans="1:10" hidden="1" outlineLevel="1">
      <c r="A1294" s="28"/>
      <c r="B1294" s="1">
        <v>6</v>
      </c>
      <c r="C1294" s="5" t="s">
        <v>1793</v>
      </c>
      <c r="D1294" s="2">
        <v>103</v>
      </c>
      <c r="E1294" s="3">
        <v>44336</v>
      </c>
      <c r="F1294" s="4">
        <v>5.935185185185185E-2</v>
      </c>
      <c r="G1294" s="28"/>
      <c r="J1294" t="s">
        <v>235</v>
      </c>
    </row>
    <row r="1295" spans="1:10" hidden="1" outlineLevel="1">
      <c r="A1295" s="28"/>
      <c r="B1295" s="1">
        <v>7</v>
      </c>
      <c r="C1295" s="5" t="s">
        <v>1799</v>
      </c>
      <c r="D1295" s="2">
        <v>111</v>
      </c>
      <c r="E1295" s="3">
        <v>44367</v>
      </c>
      <c r="F1295" s="4">
        <v>6.6724537037037041E-2</v>
      </c>
      <c r="G1295" s="28"/>
      <c r="J1295" t="s">
        <v>235</v>
      </c>
    </row>
    <row r="1296" spans="1:10">
      <c r="A1296" s="28"/>
      <c r="B1296" s="40"/>
      <c r="C1296" s="40"/>
      <c r="D1296" s="35"/>
      <c r="E1296" s="50"/>
      <c r="F1296" s="51"/>
      <c r="G1296" s="28"/>
    </row>
    <row r="1297" spans="1:10">
      <c r="A1297" s="28"/>
      <c r="B1297" s="28"/>
      <c r="C1297" s="28"/>
      <c r="D1297" s="29"/>
      <c r="E1297" s="52"/>
      <c r="F1297" s="53"/>
      <c r="G1297" s="28"/>
    </row>
    <row r="1298" spans="1:10">
      <c r="A1298" s="28"/>
      <c r="B1298" s="33"/>
      <c r="C1298" s="34" t="s">
        <v>3678</v>
      </c>
      <c r="D1298" s="40"/>
      <c r="E1298" s="36"/>
      <c r="F1298" s="37"/>
      <c r="G1298" s="28"/>
    </row>
    <row r="1299" spans="1:10" collapsed="1">
      <c r="A1299" s="28"/>
      <c r="B1299" s="38"/>
      <c r="C1299" s="229" t="s">
        <v>3655</v>
      </c>
      <c r="D1299" s="28"/>
      <c r="E1299" s="560" t="s">
        <v>3656</v>
      </c>
      <c r="F1299" s="39"/>
      <c r="G1299" s="28"/>
    </row>
    <row r="1300" spans="1:10" hidden="1" outlineLevel="1">
      <c r="A1300" s="28"/>
      <c r="B1300" s="23" t="s">
        <v>5</v>
      </c>
      <c r="C1300" s="24" t="s">
        <v>6</v>
      </c>
      <c r="D1300" s="25" t="s">
        <v>4</v>
      </c>
      <c r="E1300" s="138" t="s">
        <v>8</v>
      </c>
      <c r="F1300" s="26" t="s">
        <v>7</v>
      </c>
      <c r="G1300" s="28"/>
    </row>
    <row r="1301" spans="1:10" hidden="1" outlineLevel="1">
      <c r="A1301" s="28"/>
      <c r="B1301" s="1">
        <v>1</v>
      </c>
      <c r="C1301" s="5" t="s">
        <v>3657</v>
      </c>
      <c r="D1301" s="2">
        <v>1</v>
      </c>
      <c r="E1301" s="236">
        <v>43966</v>
      </c>
      <c r="F1301" s="4">
        <v>4.2337962962962966E-2</v>
      </c>
      <c r="G1301" s="28"/>
      <c r="J1301" t="s">
        <v>3639</v>
      </c>
    </row>
    <row r="1302" spans="1:10" hidden="1" outlineLevel="1">
      <c r="A1302" s="28"/>
      <c r="B1302" s="1">
        <v>2</v>
      </c>
      <c r="C1302" s="5" t="s">
        <v>3679</v>
      </c>
      <c r="D1302" s="2">
        <v>1</v>
      </c>
      <c r="E1302" s="236">
        <v>43966</v>
      </c>
      <c r="F1302" s="4">
        <v>2.6030092592592594E-2</v>
      </c>
      <c r="G1302" s="28"/>
      <c r="J1302" t="s">
        <v>3639</v>
      </c>
    </row>
    <row r="1303" spans="1:10" hidden="1" outlineLevel="1">
      <c r="A1303" s="28"/>
      <c r="B1303" s="1">
        <v>3</v>
      </c>
      <c r="C1303" s="5" t="s">
        <v>3658</v>
      </c>
      <c r="D1303" s="2">
        <v>2</v>
      </c>
      <c r="E1303" s="236">
        <v>44001</v>
      </c>
      <c r="F1303" s="4">
        <v>3.3912037037037039E-2</v>
      </c>
      <c r="G1303" s="28"/>
      <c r="J1303" t="s">
        <v>3639</v>
      </c>
    </row>
    <row r="1304" spans="1:10" hidden="1" outlineLevel="1">
      <c r="A1304" s="28"/>
      <c r="B1304" s="1">
        <v>4</v>
      </c>
      <c r="C1304" s="5" t="s">
        <v>3680</v>
      </c>
      <c r="D1304" s="2">
        <v>2</v>
      </c>
      <c r="E1304" s="236">
        <v>44001</v>
      </c>
      <c r="F1304" s="4">
        <v>1.9930555555555556E-2</v>
      </c>
      <c r="G1304" s="28"/>
      <c r="J1304" t="s">
        <v>3639</v>
      </c>
    </row>
    <row r="1305" spans="1:10" hidden="1" outlineLevel="1">
      <c r="A1305" s="28"/>
      <c r="B1305" s="1">
        <v>5</v>
      </c>
      <c r="C1305" s="5" t="s">
        <v>3659</v>
      </c>
      <c r="D1305" s="2">
        <v>3</v>
      </c>
      <c r="E1305" s="236">
        <v>44029</v>
      </c>
      <c r="F1305" s="4">
        <v>3.7465277777777778E-2</v>
      </c>
      <c r="G1305" s="28"/>
      <c r="J1305" t="s">
        <v>3639</v>
      </c>
    </row>
    <row r="1306" spans="1:10" hidden="1" outlineLevel="1">
      <c r="A1306" s="28"/>
      <c r="B1306" s="1">
        <v>6</v>
      </c>
      <c r="C1306" s="5" t="s">
        <v>3681</v>
      </c>
      <c r="D1306" s="2">
        <v>3</v>
      </c>
      <c r="E1306" s="236">
        <v>44029</v>
      </c>
      <c r="F1306" s="4">
        <v>3.4861111111111114E-2</v>
      </c>
      <c r="G1306" s="28"/>
      <c r="J1306" t="s">
        <v>3639</v>
      </c>
    </row>
    <row r="1307" spans="1:10" hidden="1" outlineLevel="1">
      <c r="A1307" s="28"/>
      <c r="B1307" s="1">
        <v>7</v>
      </c>
      <c r="C1307" s="5" t="s">
        <v>3660</v>
      </c>
      <c r="D1307" s="2">
        <v>4</v>
      </c>
      <c r="E1307" s="236">
        <v>44064</v>
      </c>
      <c r="F1307" s="559">
        <v>4.4664351851851851E-2</v>
      </c>
      <c r="G1307" s="28"/>
      <c r="J1307" t="s">
        <v>3639</v>
      </c>
    </row>
    <row r="1308" spans="1:10" hidden="1" outlineLevel="1">
      <c r="A1308" s="28"/>
      <c r="B1308" s="1">
        <v>8</v>
      </c>
      <c r="C1308" s="5" t="s">
        <v>3682</v>
      </c>
      <c r="D1308" s="2">
        <v>4</v>
      </c>
      <c r="E1308" s="236">
        <v>44064</v>
      </c>
      <c r="F1308" s="4">
        <v>1.741898148148148E-2</v>
      </c>
      <c r="G1308" s="28"/>
      <c r="J1308" t="s">
        <v>3639</v>
      </c>
    </row>
    <row r="1309" spans="1:10" hidden="1" outlineLevel="1">
      <c r="A1309" s="28"/>
      <c r="B1309" s="1">
        <v>9</v>
      </c>
      <c r="C1309" s="5" t="s">
        <v>3661</v>
      </c>
      <c r="D1309" s="2">
        <v>5</v>
      </c>
      <c r="E1309" s="236">
        <v>44092</v>
      </c>
      <c r="F1309" s="559">
        <v>4.7789351851851847E-2</v>
      </c>
      <c r="G1309" s="28"/>
      <c r="J1309" t="s">
        <v>3639</v>
      </c>
    </row>
    <row r="1310" spans="1:10" hidden="1" outlineLevel="1">
      <c r="A1310" s="28"/>
      <c r="B1310" s="1">
        <v>10</v>
      </c>
      <c r="C1310" s="5" t="s">
        <v>3683</v>
      </c>
      <c r="D1310" s="2">
        <v>5</v>
      </c>
      <c r="E1310" s="236">
        <v>44092</v>
      </c>
      <c r="F1310" s="4">
        <v>2.1030092592592597E-2</v>
      </c>
      <c r="G1310" s="28"/>
      <c r="J1310" t="s">
        <v>3639</v>
      </c>
    </row>
    <row r="1311" spans="1:10" hidden="1" outlineLevel="1">
      <c r="A1311" s="28"/>
      <c r="B1311" s="1">
        <v>11</v>
      </c>
      <c r="C1311" s="5" t="s">
        <v>3662</v>
      </c>
      <c r="D1311" s="2">
        <v>6</v>
      </c>
      <c r="E1311" s="236">
        <v>44120</v>
      </c>
      <c r="F1311" s="559">
        <v>5.2928240740740741E-2</v>
      </c>
      <c r="G1311" s="28"/>
      <c r="J1311" t="s">
        <v>3639</v>
      </c>
    </row>
    <row r="1312" spans="1:10" hidden="1" outlineLevel="1">
      <c r="A1312" s="28"/>
      <c r="B1312" s="1">
        <v>12</v>
      </c>
      <c r="C1312" s="5" t="s">
        <v>3663</v>
      </c>
      <c r="D1312" s="2">
        <v>7</v>
      </c>
      <c r="E1312" s="236">
        <v>44155</v>
      </c>
      <c r="F1312" s="559">
        <v>5.9513888888888887E-2</v>
      </c>
      <c r="G1312" s="28"/>
      <c r="J1312" t="s">
        <v>3639</v>
      </c>
    </row>
    <row r="1313" spans="1:10" hidden="1" outlineLevel="1">
      <c r="A1313" s="28"/>
      <c r="B1313" s="1">
        <v>13</v>
      </c>
      <c r="C1313" s="5" t="s">
        <v>3664</v>
      </c>
      <c r="D1313" s="2">
        <v>8</v>
      </c>
      <c r="E1313" s="236">
        <v>44183</v>
      </c>
      <c r="F1313" s="559">
        <v>5.5023148148148147E-2</v>
      </c>
      <c r="G1313" s="28"/>
      <c r="J1313" t="s">
        <v>3639</v>
      </c>
    </row>
    <row r="1314" spans="1:10" hidden="1" outlineLevel="1">
      <c r="A1314" s="28"/>
      <c r="B1314" s="1">
        <v>14</v>
      </c>
      <c r="C1314" s="5" t="s">
        <v>3665</v>
      </c>
      <c r="D1314" s="2">
        <v>9</v>
      </c>
      <c r="E1314" s="236">
        <v>44211</v>
      </c>
      <c r="F1314" s="559">
        <v>5.6527777777777781E-2</v>
      </c>
      <c r="G1314" s="28"/>
      <c r="J1314" t="s">
        <v>3639</v>
      </c>
    </row>
    <row r="1315" spans="1:10" hidden="1" outlineLevel="1">
      <c r="A1315" s="28"/>
      <c r="B1315" s="1">
        <v>15</v>
      </c>
      <c r="C1315" s="5" t="s">
        <v>3666</v>
      </c>
      <c r="D1315" s="2">
        <v>10</v>
      </c>
      <c r="E1315" s="236">
        <v>44246</v>
      </c>
      <c r="F1315" s="559">
        <v>5.3564814814814815E-2</v>
      </c>
      <c r="G1315" s="28"/>
      <c r="J1315" t="s">
        <v>3639</v>
      </c>
    </row>
    <row r="1316" spans="1:10" hidden="1" outlineLevel="1">
      <c r="A1316" s="28"/>
      <c r="B1316" s="1">
        <v>16</v>
      </c>
      <c r="C1316" s="5" t="s">
        <v>3667</v>
      </c>
      <c r="D1316" s="2">
        <v>11</v>
      </c>
      <c r="E1316" s="236">
        <v>44274</v>
      </c>
      <c r="F1316" s="559">
        <v>7.2928240740740738E-2</v>
      </c>
      <c r="G1316" s="28"/>
      <c r="J1316" t="s">
        <v>3639</v>
      </c>
    </row>
    <row r="1317" spans="1:10" hidden="1" outlineLevel="1">
      <c r="A1317" s="28"/>
      <c r="B1317" s="1">
        <v>17</v>
      </c>
      <c r="C1317" s="5" t="s">
        <v>3668</v>
      </c>
      <c r="D1317" s="2">
        <v>12</v>
      </c>
      <c r="E1317" s="236">
        <v>44302</v>
      </c>
      <c r="F1317" s="559">
        <v>6.0925925925925932E-2</v>
      </c>
      <c r="G1317" s="28"/>
      <c r="J1317" t="s">
        <v>3639</v>
      </c>
    </row>
    <row r="1318" spans="1:10" hidden="1" outlineLevel="1">
      <c r="A1318" s="28"/>
      <c r="B1318" s="1">
        <v>18</v>
      </c>
      <c r="C1318" s="5" t="s">
        <v>3669</v>
      </c>
      <c r="D1318" s="2">
        <v>13</v>
      </c>
      <c r="E1318" s="236">
        <v>44337</v>
      </c>
      <c r="F1318" s="559">
        <v>4.8692129629629627E-2</v>
      </c>
      <c r="G1318" s="28"/>
      <c r="J1318" t="s">
        <v>3639</v>
      </c>
    </row>
    <row r="1319" spans="1:10" hidden="1" outlineLevel="1">
      <c r="A1319" s="28"/>
      <c r="B1319" s="1">
        <v>19</v>
      </c>
      <c r="C1319" s="5" t="s">
        <v>3670</v>
      </c>
      <c r="D1319" s="2">
        <v>14</v>
      </c>
      <c r="E1319" s="236">
        <v>44365</v>
      </c>
      <c r="F1319" s="559">
        <v>5.3553240740740742E-2</v>
      </c>
      <c r="G1319" s="28"/>
      <c r="J1319" t="s">
        <v>3639</v>
      </c>
    </row>
    <row r="1320" spans="1:10" hidden="1" outlineLevel="1">
      <c r="A1320" s="28"/>
      <c r="B1320" s="1">
        <v>20</v>
      </c>
      <c r="C1320" s="5" t="s">
        <v>3671</v>
      </c>
      <c r="D1320" s="558">
        <v>0</v>
      </c>
      <c r="E1320" s="236">
        <v>44386</v>
      </c>
      <c r="F1320" s="559">
        <v>4.355324074074074E-2</v>
      </c>
      <c r="G1320" s="28"/>
      <c r="J1320" t="s">
        <v>3639</v>
      </c>
    </row>
    <row r="1321" spans="1:10" hidden="1" outlineLevel="1">
      <c r="A1321" s="28"/>
      <c r="B1321" s="1">
        <v>21</v>
      </c>
      <c r="C1321" s="5" t="s">
        <v>3672</v>
      </c>
      <c r="D1321" s="558">
        <v>15</v>
      </c>
      <c r="E1321" s="236">
        <v>44393</v>
      </c>
      <c r="F1321" s="559">
        <v>4.628472222222222E-2</v>
      </c>
      <c r="G1321" s="28"/>
      <c r="J1321" t="s">
        <v>3639</v>
      </c>
    </row>
    <row r="1322" spans="1:10" hidden="1" outlineLevel="1">
      <c r="A1322" s="28"/>
      <c r="B1322" s="1">
        <v>22</v>
      </c>
      <c r="C1322" s="5" t="s">
        <v>3673</v>
      </c>
      <c r="D1322" s="558">
        <v>16</v>
      </c>
      <c r="E1322" s="236">
        <v>44428</v>
      </c>
      <c r="F1322" s="559">
        <v>5.8981481481481489E-2</v>
      </c>
      <c r="G1322" s="28"/>
      <c r="J1322" t="s">
        <v>3639</v>
      </c>
    </row>
    <row r="1323" spans="1:10" hidden="1" outlineLevel="1">
      <c r="A1323" s="28"/>
      <c r="B1323" s="1">
        <v>23</v>
      </c>
      <c r="C1323" s="5" t="s">
        <v>3674</v>
      </c>
      <c r="D1323" s="558">
        <v>17</v>
      </c>
      <c r="E1323" s="236">
        <v>44456</v>
      </c>
      <c r="F1323" s="559">
        <v>6.340277777777778E-2</v>
      </c>
      <c r="G1323" s="28"/>
      <c r="J1323" t="s">
        <v>3639</v>
      </c>
    </row>
    <row r="1324" spans="1:10" hidden="1" outlineLevel="1">
      <c r="A1324" s="28"/>
      <c r="B1324" s="1">
        <v>24</v>
      </c>
      <c r="C1324" s="5" t="s">
        <v>3675</v>
      </c>
      <c r="D1324" s="558">
        <v>18</v>
      </c>
      <c r="E1324" s="236">
        <v>44484</v>
      </c>
      <c r="F1324" s="559">
        <v>5.8958333333333335E-2</v>
      </c>
      <c r="G1324" s="28"/>
      <c r="J1324" t="s">
        <v>3639</v>
      </c>
    </row>
    <row r="1325" spans="1:10" hidden="1" outlineLevel="1">
      <c r="A1325" s="28"/>
      <c r="B1325" s="1">
        <v>25</v>
      </c>
      <c r="C1325" s="5" t="s">
        <v>3676</v>
      </c>
      <c r="D1325" s="558">
        <v>19</v>
      </c>
      <c r="E1325" s="236">
        <v>44519</v>
      </c>
      <c r="F1325" s="559">
        <v>4.9155092592592597E-2</v>
      </c>
      <c r="G1325" s="28"/>
      <c r="J1325" t="s">
        <v>3639</v>
      </c>
    </row>
    <row r="1326" spans="1:10" hidden="1" outlineLevel="1">
      <c r="A1326" s="28"/>
      <c r="B1326" s="1">
        <v>26</v>
      </c>
      <c r="C1326" s="5" t="s">
        <v>3677</v>
      </c>
      <c r="D1326" s="558">
        <v>20</v>
      </c>
      <c r="E1326" s="236">
        <v>44547</v>
      </c>
      <c r="F1326" s="559">
        <v>5.4085648148148147E-2</v>
      </c>
      <c r="G1326" s="28"/>
      <c r="J1326" t="s">
        <v>3639</v>
      </c>
    </row>
    <row r="1327" spans="1:10" hidden="1" outlineLevel="1">
      <c r="A1327" s="28"/>
      <c r="B1327" s="1">
        <v>27</v>
      </c>
      <c r="C1327" s="557" t="s">
        <v>3640</v>
      </c>
      <c r="D1327" s="558">
        <v>21</v>
      </c>
      <c r="E1327" s="236">
        <v>44582</v>
      </c>
      <c r="F1327" s="559">
        <v>5.4502314814814816E-2</v>
      </c>
      <c r="G1327" s="28"/>
      <c r="J1327" t="s">
        <v>3639</v>
      </c>
    </row>
    <row r="1328" spans="1:10" hidden="1" outlineLevel="1">
      <c r="A1328" s="28"/>
      <c r="B1328" s="1">
        <v>28</v>
      </c>
      <c r="C1328" s="557" t="s">
        <v>3641</v>
      </c>
      <c r="D1328" s="558">
        <v>22</v>
      </c>
      <c r="E1328" s="236">
        <v>44610</v>
      </c>
      <c r="F1328" s="559">
        <v>5.5081018518518515E-2</v>
      </c>
      <c r="G1328" s="28"/>
      <c r="J1328" t="s">
        <v>3639</v>
      </c>
    </row>
    <row r="1329" spans="1:10" hidden="1" outlineLevel="1">
      <c r="A1329" s="28"/>
      <c r="B1329" s="1">
        <v>29</v>
      </c>
      <c r="C1329" s="557" t="s">
        <v>3642</v>
      </c>
      <c r="D1329" s="558">
        <v>23</v>
      </c>
      <c r="E1329" s="236">
        <v>44638</v>
      </c>
      <c r="F1329" s="559">
        <v>5.8252314814814819E-2</v>
      </c>
      <c r="G1329" s="28"/>
      <c r="J1329" t="s">
        <v>3639</v>
      </c>
    </row>
    <row r="1330" spans="1:10" hidden="1" outlineLevel="1">
      <c r="A1330" s="28"/>
      <c r="B1330" s="1">
        <v>30</v>
      </c>
      <c r="C1330" s="557" t="s">
        <v>3643</v>
      </c>
      <c r="D1330" s="558">
        <v>24</v>
      </c>
      <c r="E1330" s="236">
        <v>44666</v>
      </c>
      <c r="F1330" s="559">
        <v>6.4733796296296289E-2</v>
      </c>
      <c r="G1330" s="28"/>
      <c r="J1330" t="s">
        <v>3639</v>
      </c>
    </row>
    <row r="1331" spans="1:10" hidden="1" outlineLevel="1">
      <c r="A1331" s="28"/>
      <c r="B1331" s="1">
        <v>31</v>
      </c>
      <c r="C1331" s="557" t="s">
        <v>3644</v>
      </c>
      <c r="D1331" s="558">
        <v>25</v>
      </c>
      <c r="E1331" s="236">
        <v>44701</v>
      </c>
      <c r="F1331" s="559">
        <v>5.935185185185185E-2</v>
      </c>
      <c r="G1331" s="28"/>
      <c r="J1331" t="s">
        <v>3639</v>
      </c>
    </row>
    <row r="1332" spans="1:10" hidden="1" outlineLevel="1">
      <c r="A1332" s="28"/>
      <c r="B1332" s="1">
        <v>32</v>
      </c>
      <c r="C1332" s="557" t="s">
        <v>3645</v>
      </c>
      <c r="D1332" s="558">
        <v>26</v>
      </c>
      <c r="E1332" s="236">
        <v>44729</v>
      </c>
      <c r="F1332" s="559">
        <v>6.6226851851851856E-2</v>
      </c>
      <c r="G1332" s="28"/>
      <c r="J1332" t="s">
        <v>3639</v>
      </c>
    </row>
    <row r="1333" spans="1:10" hidden="1" outlineLevel="1">
      <c r="A1333" s="28"/>
      <c r="B1333" s="1">
        <v>33</v>
      </c>
      <c r="C1333" s="557" t="s">
        <v>3646</v>
      </c>
      <c r="D1333" s="558">
        <v>27</v>
      </c>
      <c r="E1333" s="236">
        <v>44757</v>
      </c>
      <c r="F1333" s="559">
        <v>6.4976851851851855E-2</v>
      </c>
      <c r="G1333" s="28"/>
      <c r="J1333" t="s">
        <v>3639</v>
      </c>
    </row>
    <row r="1334" spans="1:10" hidden="1" outlineLevel="1">
      <c r="A1334" s="28"/>
      <c r="B1334" s="1">
        <v>34</v>
      </c>
      <c r="C1334" s="557" t="s">
        <v>3647</v>
      </c>
      <c r="D1334" s="558">
        <v>0</v>
      </c>
      <c r="E1334" s="236">
        <v>44771</v>
      </c>
      <c r="F1334" s="559">
        <v>6.1817129629629632E-2</v>
      </c>
      <c r="G1334" s="28"/>
      <c r="J1334" t="s">
        <v>3639</v>
      </c>
    </row>
    <row r="1335" spans="1:10" hidden="1" outlineLevel="1">
      <c r="A1335" s="28"/>
      <c r="B1335" s="1">
        <v>35</v>
      </c>
      <c r="C1335" s="557" t="s">
        <v>3648</v>
      </c>
      <c r="D1335" s="558">
        <v>28</v>
      </c>
      <c r="E1335" s="236">
        <v>44792</v>
      </c>
      <c r="F1335" s="559">
        <v>6.5358796296296304E-2</v>
      </c>
      <c r="G1335" s="28"/>
      <c r="J1335" t="s">
        <v>3639</v>
      </c>
    </row>
    <row r="1336" spans="1:10" hidden="1" outlineLevel="1">
      <c r="A1336" s="28"/>
      <c r="B1336" s="1">
        <v>36</v>
      </c>
      <c r="C1336" s="557" t="s">
        <v>3649</v>
      </c>
      <c r="D1336" s="558">
        <v>29</v>
      </c>
      <c r="E1336" s="236">
        <v>44820</v>
      </c>
      <c r="F1336" s="559">
        <v>3.892361111111111E-2</v>
      </c>
      <c r="G1336" s="28"/>
      <c r="J1336" t="s">
        <v>3639</v>
      </c>
    </row>
    <row r="1337" spans="1:10" hidden="1" outlineLevel="1">
      <c r="A1337" s="28"/>
      <c r="B1337" s="1">
        <v>37</v>
      </c>
      <c r="C1337" s="557" t="s">
        <v>3650</v>
      </c>
      <c r="D1337" s="558">
        <v>30</v>
      </c>
      <c r="E1337" s="236">
        <v>44855</v>
      </c>
      <c r="F1337" s="559">
        <v>5.4756944444444448E-2</v>
      </c>
      <c r="G1337" s="28"/>
      <c r="J1337" t="s">
        <v>3639</v>
      </c>
    </row>
    <row r="1338" spans="1:10" hidden="1" outlineLevel="1">
      <c r="A1338" s="28"/>
      <c r="B1338" s="1">
        <v>38</v>
      </c>
      <c r="C1338" s="557" t="s">
        <v>3651</v>
      </c>
      <c r="D1338" s="558">
        <v>31</v>
      </c>
      <c r="E1338" s="236">
        <v>44883</v>
      </c>
      <c r="F1338" s="559">
        <v>7.0127314814814809E-2</v>
      </c>
      <c r="G1338" s="28"/>
      <c r="J1338" t="s">
        <v>3639</v>
      </c>
    </row>
    <row r="1339" spans="1:10" hidden="1" outlineLevel="1">
      <c r="A1339" s="28"/>
      <c r="B1339" s="1">
        <v>39</v>
      </c>
      <c r="C1339" s="557" t="s">
        <v>3652</v>
      </c>
      <c r="D1339" s="558">
        <v>32</v>
      </c>
      <c r="E1339" s="236">
        <v>44946</v>
      </c>
      <c r="F1339" s="559">
        <v>6.2465277777777772E-2</v>
      </c>
      <c r="G1339" s="28"/>
      <c r="J1339" t="s">
        <v>3639</v>
      </c>
    </row>
    <row r="1340" spans="1:10" hidden="1" outlineLevel="1">
      <c r="A1340" s="28"/>
      <c r="B1340" s="1">
        <v>40</v>
      </c>
      <c r="C1340" s="557" t="s">
        <v>3653</v>
      </c>
      <c r="D1340" s="558">
        <v>33</v>
      </c>
      <c r="E1340" s="236">
        <v>44974</v>
      </c>
      <c r="F1340" s="559">
        <v>6.2337962962962963E-2</v>
      </c>
      <c r="G1340" s="28"/>
      <c r="J1340" t="s">
        <v>3639</v>
      </c>
    </row>
    <row r="1341" spans="1:10" hidden="1" outlineLevel="1">
      <c r="A1341" s="28"/>
      <c r="B1341" s="1">
        <v>41</v>
      </c>
      <c r="C1341" s="5" t="s">
        <v>3654</v>
      </c>
      <c r="D1341" s="558">
        <v>34</v>
      </c>
      <c r="E1341" s="236">
        <v>45002</v>
      </c>
      <c r="F1341" s="559">
        <v>7.2835648148148149E-2</v>
      </c>
      <c r="G1341" s="28"/>
      <c r="J1341" t="s">
        <v>3639</v>
      </c>
    </row>
    <row r="1342" spans="1:10" hidden="1" outlineLevel="1">
      <c r="A1342" s="28"/>
      <c r="B1342" s="1">
        <v>42</v>
      </c>
      <c r="C1342" s="5" t="s">
        <v>3785</v>
      </c>
      <c r="D1342" s="2">
        <v>35</v>
      </c>
      <c r="E1342" s="236">
        <v>45037</v>
      </c>
      <c r="F1342" s="4">
        <v>8.4918981481481484E-2</v>
      </c>
      <c r="G1342" s="28"/>
      <c r="J1342" t="s">
        <v>3639</v>
      </c>
    </row>
    <row r="1343" spans="1:10" hidden="1" outlineLevel="1">
      <c r="A1343" s="28"/>
      <c r="B1343" s="1">
        <v>43</v>
      </c>
      <c r="C1343" s="5" t="s">
        <v>3957</v>
      </c>
      <c r="D1343" s="2">
        <v>36</v>
      </c>
      <c r="E1343" s="236">
        <v>45065</v>
      </c>
      <c r="F1343" s="4">
        <v>7.6111111111111115E-2</v>
      </c>
      <c r="G1343" s="28"/>
      <c r="J1343" t="s">
        <v>3639</v>
      </c>
    </row>
    <row r="1344" spans="1:10" hidden="1" outlineLevel="1">
      <c r="A1344" s="28"/>
      <c r="B1344" s="1">
        <v>44</v>
      </c>
      <c r="C1344" s="5" t="s">
        <v>3958</v>
      </c>
      <c r="D1344" s="2">
        <v>37</v>
      </c>
      <c r="E1344" s="236">
        <v>45093</v>
      </c>
      <c r="F1344" s="4">
        <v>8.1909722222222217E-2</v>
      </c>
      <c r="G1344" s="28"/>
      <c r="J1344" t="s">
        <v>3639</v>
      </c>
    </row>
    <row r="1345" spans="1:10" hidden="1" outlineLevel="1">
      <c r="A1345" s="28"/>
      <c r="B1345" s="1">
        <v>45</v>
      </c>
      <c r="C1345" s="5" t="s">
        <v>4031</v>
      </c>
      <c r="D1345" s="2">
        <v>38</v>
      </c>
      <c r="E1345" s="236">
        <v>45128</v>
      </c>
      <c r="F1345" s="4">
        <v>5.9571759259259262E-2</v>
      </c>
      <c r="G1345" s="28"/>
      <c r="J1345" t="s">
        <v>3639</v>
      </c>
    </row>
    <row r="1346" spans="1:10" hidden="1" outlineLevel="1">
      <c r="A1346" s="28"/>
      <c r="B1346" s="1">
        <v>46</v>
      </c>
      <c r="C1346" s="5" t="s">
        <v>4043</v>
      </c>
      <c r="D1346" s="2">
        <v>39</v>
      </c>
      <c r="E1346" s="236">
        <v>45156</v>
      </c>
      <c r="F1346" s="4">
        <v>7.5567129629629637E-2</v>
      </c>
      <c r="G1346" s="28"/>
      <c r="J1346" t="s">
        <v>3639</v>
      </c>
    </row>
    <row r="1347" spans="1:10" hidden="1" outlineLevel="1">
      <c r="A1347" s="28"/>
      <c r="B1347" s="691">
        <v>47</v>
      </c>
      <c r="C1347" s="557" t="s">
        <v>4144</v>
      </c>
      <c r="D1347" s="558">
        <v>40</v>
      </c>
      <c r="E1347" s="236">
        <v>45184</v>
      </c>
      <c r="F1347" s="559">
        <v>7.2835648148148149E-2</v>
      </c>
      <c r="G1347" s="28"/>
      <c r="J1347" t="s">
        <v>3639</v>
      </c>
    </row>
    <row r="1348" spans="1:10" hidden="1" outlineLevel="1">
      <c r="A1348" s="28"/>
      <c r="B1348" s="691">
        <v>48</v>
      </c>
      <c r="C1348" s="557" t="s">
        <v>4145</v>
      </c>
      <c r="D1348" s="558">
        <v>41</v>
      </c>
      <c r="E1348" s="236">
        <v>45219</v>
      </c>
      <c r="F1348" s="559">
        <v>7.480324074074074E-2</v>
      </c>
      <c r="G1348" s="28"/>
      <c r="J1348" t="s">
        <v>3639</v>
      </c>
    </row>
    <row r="1349" spans="1:10" hidden="1" outlineLevel="1">
      <c r="A1349" s="28"/>
      <c r="B1349" s="691">
        <v>49</v>
      </c>
      <c r="C1349" s="557" t="s">
        <v>4313</v>
      </c>
      <c r="D1349" s="558">
        <v>42</v>
      </c>
      <c r="E1349" s="236">
        <v>45247</v>
      </c>
      <c r="F1349" s="559">
        <v>7.4537037037037041E-2</v>
      </c>
      <c r="G1349" s="28"/>
      <c r="J1349" t="s">
        <v>3639</v>
      </c>
    </row>
    <row r="1350" spans="1:10" hidden="1" outlineLevel="1">
      <c r="A1350" s="28"/>
      <c r="B1350" s="1">
        <v>50</v>
      </c>
      <c r="C1350" s="5" t="s">
        <v>4333</v>
      </c>
      <c r="D1350" s="2">
        <v>0</v>
      </c>
      <c r="E1350" s="236">
        <v>45275</v>
      </c>
      <c r="F1350" s="4">
        <v>3.7453703703703704E-2</v>
      </c>
      <c r="G1350" s="28"/>
      <c r="J1350" t="s">
        <v>3639</v>
      </c>
    </row>
    <row r="1351" spans="1:10" hidden="1" outlineLevel="1">
      <c r="A1351" s="28"/>
      <c r="B1351" s="1">
        <v>51</v>
      </c>
      <c r="C1351" s="5" t="s">
        <v>4314</v>
      </c>
      <c r="D1351" s="2">
        <v>43</v>
      </c>
      <c r="E1351" s="236">
        <v>45310</v>
      </c>
      <c r="F1351" s="4">
        <v>7.0439814814814816E-2</v>
      </c>
      <c r="G1351" s="28"/>
      <c r="J1351" t="s">
        <v>3639</v>
      </c>
    </row>
    <row r="1352" spans="1:10" hidden="1" outlineLevel="1">
      <c r="A1352" s="28"/>
      <c r="B1352" s="1">
        <v>52</v>
      </c>
      <c r="C1352" s="5" t="s">
        <v>4411</v>
      </c>
      <c r="D1352" s="2">
        <v>44</v>
      </c>
      <c r="E1352" s="236">
        <v>45338</v>
      </c>
      <c r="F1352" s="4">
        <v>8.0428240740740745E-2</v>
      </c>
      <c r="G1352" s="28"/>
      <c r="J1352" t="s">
        <v>3639</v>
      </c>
    </row>
    <row r="1353" spans="1:10" hidden="1" outlineLevel="1">
      <c r="A1353" s="28"/>
      <c r="B1353" s="1">
        <v>53</v>
      </c>
      <c r="C1353" s="5" t="s">
        <v>4472</v>
      </c>
      <c r="D1353" s="2">
        <v>45</v>
      </c>
      <c r="E1353" s="236">
        <v>45366</v>
      </c>
      <c r="F1353" s="4">
        <v>8.2071759259259261E-2</v>
      </c>
      <c r="G1353" s="28"/>
      <c r="J1353" t="s">
        <v>3639</v>
      </c>
    </row>
    <row r="1354" spans="1:10" hidden="1" outlineLevel="1">
      <c r="A1354" s="28"/>
      <c r="B1354" s="1">
        <v>54</v>
      </c>
      <c r="C1354" s="5" t="s">
        <v>4473</v>
      </c>
      <c r="D1354" s="2">
        <v>0</v>
      </c>
      <c r="E1354" s="236">
        <v>45380</v>
      </c>
      <c r="F1354" s="4">
        <v>3.3912037037037039E-2</v>
      </c>
      <c r="G1354" s="28"/>
      <c r="J1354" t="s">
        <v>3639</v>
      </c>
    </row>
    <row r="1355" spans="1:10" hidden="1" outlineLevel="1">
      <c r="A1355" s="28"/>
      <c r="B1355" s="1">
        <v>55</v>
      </c>
      <c r="C1355" s="5" t="s">
        <v>4488</v>
      </c>
      <c r="D1355" s="2">
        <v>46</v>
      </c>
      <c r="E1355" s="236">
        <v>45401</v>
      </c>
      <c r="F1355" s="4">
        <v>7.9710648148148142E-2</v>
      </c>
      <c r="G1355" s="28"/>
      <c r="J1355" t="s">
        <v>3639</v>
      </c>
    </row>
    <row r="1356" spans="1:10" hidden="1" outlineLevel="1">
      <c r="A1356" s="28"/>
      <c r="B1356" s="76">
        <v>56</v>
      </c>
      <c r="C1356" s="77" t="s">
        <v>4489</v>
      </c>
      <c r="D1356" s="78">
        <v>47</v>
      </c>
      <c r="E1356" s="261">
        <v>45429</v>
      </c>
      <c r="F1356" s="80">
        <v>0</v>
      </c>
      <c r="G1356" s="28"/>
      <c r="J1356" t="s">
        <v>3639</v>
      </c>
    </row>
    <row r="1357" spans="1:10">
      <c r="A1357" s="28"/>
      <c r="B1357" s="40"/>
      <c r="C1357" s="40"/>
      <c r="D1357" s="35"/>
      <c r="E1357" s="50"/>
      <c r="F1357" s="51"/>
      <c r="G1357" s="28"/>
    </row>
    <row r="1358" spans="1:10">
      <c r="A1358" s="28"/>
      <c r="B1358" s="28"/>
      <c r="C1358" s="28"/>
      <c r="D1358" s="29"/>
      <c r="E1358" s="52"/>
      <c r="F1358" s="53"/>
      <c r="G1358" s="28"/>
    </row>
    <row r="1359" spans="1:10">
      <c r="A1359" s="28"/>
      <c r="B1359" s="33"/>
      <c r="C1359" s="34" t="s">
        <v>1689</v>
      </c>
      <c r="D1359" s="40"/>
      <c r="E1359" s="36"/>
      <c r="F1359" s="37"/>
      <c r="G1359" s="28"/>
    </row>
    <row r="1360" spans="1:10" collapsed="1">
      <c r="A1360" s="28"/>
      <c r="B1360" s="38"/>
      <c r="C1360" s="229" t="s">
        <v>3876</v>
      </c>
      <c r="D1360" s="635" t="s">
        <v>1328</v>
      </c>
      <c r="E1360" s="30"/>
      <c r="F1360" s="39"/>
      <c r="G1360" s="28"/>
    </row>
    <row r="1361" spans="1:10" hidden="1" outlineLevel="1">
      <c r="A1361" s="28"/>
      <c r="B1361" s="23" t="s">
        <v>5</v>
      </c>
      <c r="C1361" s="24" t="s">
        <v>6</v>
      </c>
      <c r="D1361" s="25" t="s">
        <v>4</v>
      </c>
      <c r="E1361" s="138" t="s">
        <v>8</v>
      </c>
      <c r="F1361" s="26" t="s">
        <v>7</v>
      </c>
      <c r="G1361" s="28"/>
    </row>
    <row r="1362" spans="1:10" hidden="1" outlineLevel="1">
      <c r="A1362" s="28"/>
      <c r="B1362" s="1">
        <v>1</v>
      </c>
      <c r="C1362" s="5" t="s">
        <v>1327</v>
      </c>
      <c r="D1362" s="2">
        <v>1</v>
      </c>
      <c r="E1362" s="3">
        <v>44067</v>
      </c>
      <c r="F1362" s="4">
        <v>2.2013888888888888E-2</v>
      </c>
      <c r="G1362" s="28"/>
      <c r="J1362" t="s">
        <v>1329</v>
      </c>
    </row>
    <row r="1363" spans="1:10" hidden="1" outlineLevel="1">
      <c r="A1363" s="28"/>
      <c r="B1363" s="1">
        <v>2</v>
      </c>
      <c r="C1363" s="5" t="s">
        <v>1565</v>
      </c>
      <c r="D1363" s="2">
        <v>2</v>
      </c>
      <c r="E1363" s="3">
        <v>44187</v>
      </c>
      <c r="F1363" s="4">
        <v>1.909722222222222E-2</v>
      </c>
      <c r="G1363" s="28"/>
      <c r="J1363" t="s">
        <v>1329</v>
      </c>
    </row>
    <row r="1364" spans="1:10" hidden="1" outlineLevel="1">
      <c r="A1364" s="28"/>
      <c r="B1364" s="1">
        <v>3</v>
      </c>
      <c r="C1364" s="5" t="s">
        <v>1569</v>
      </c>
      <c r="D1364" s="2">
        <v>3</v>
      </c>
      <c r="E1364" s="3">
        <v>44192</v>
      </c>
      <c r="F1364" s="11">
        <v>1.2025462962962962E-2</v>
      </c>
      <c r="G1364" s="28"/>
      <c r="J1364" t="s">
        <v>1329</v>
      </c>
    </row>
    <row r="1365" spans="1:10">
      <c r="A1365" s="28"/>
      <c r="B1365" s="40"/>
      <c r="C1365" s="40"/>
      <c r="D1365" s="35"/>
      <c r="E1365" s="50"/>
      <c r="F1365" s="51"/>
      <c r="G1365" s="28"/>
    </row>
    <row r="1366" spans="1:10">
      <c r="A1366" s="28"/>
      <c r="B1366" s="28"/>
      <c r="C1366" s="28"/>
      <c r="D1366" s="29"/>
      <c r="E1366" s="52"/>
      <c r="F1366" s="53"/>
      <c r="G1366" s="28"/>
    </row>
    <row r="1367" spans="1:10">
      <c r="A1367" s="28"/>
      <c r="B1367" s="33"/>
      <c r="C1367" s="34" t="s">
        <v>1780</v>
      </c>
      <c r="D1367" s="40"/>
      <c r="E1367" s="36"/>
      <c r="F1367" s="37"/>
      <c r="G1367" s="28"/>
    </row>
    <row r="1368" spans="1:10" collapsed="1">
      <c r="A1368" s="28"/>
      <c r="B1368" s="38"/>
      <c r="C1368" s="229" t="s">
        <v>2370</v>
      </c>
      <c r="D1368" s="28"/>
      <c r="E1368" s="30"/>
      <c r="F1368" s="39"/>
      <c r="G1368" s="28"/>
    </row>
    <row r="1369" spans="1:10" hidden="1" outlineLevel="1">
      <c r="A1369" s="28"/>
      <c r="B1369" s="23" t="s">
        <v>5</v>
      </c>
      <c r="C1369" s="24" t="s">
        <v>6</v>
      </c>
      <c r="D1369" s="25" t="s">
        <v>4</v>
      </c>
      <c r="E1369" s="138" t="s">
        <v>8</v>
      </c>
      <c r="F1369" s="26" t="s">
        <v>7</v>
      </c>
      <c r="G1369" s="28"/>
    </row>
    <row r="1370" spans="1:10" hidden="1" outlineLevel="1">
      <c r="A1370" s="28"/>
      <c r="B1370" s="1">
        <v>1</v>
      </c>
      <c r="C1370" s="5" t="s">
        <v>1628</v>
      </c>
      <c r="D1370" s="2">
        <v>52</v>
      </c>
      <c r="E1370" s="62">
        <v>44074</v>
      </c>
      <c r="F1370" s="4">
        <v>7.631944444444444E-2</v>
      </c>
      <c r="G1370" s="28"/>
      <c r="J1370" t="s">
        <v>1326</v>
      </c>
    </row>
    <row r="1371" spans="1:10" hidden="1" outlineLevel="1">
      <c r="A1371" s="28"/>
      <c r="B1371" s="1">
        <v>2</v>
      </c>
      <c r="C1371" s="5" t="s">
        <v>1629</v>
      </c>
      <c r="D1371" s="2">
        <v>161</v>
      </c>
      <c r="E1371" s="62">
        <v>44104</v>
      </c>
      <c r="F1371" s="63">
        <v>8.5844907407407411E-2</v>
      </c>
      <c r="G1371" s="28"/>
      <c r="J1371" t="s">
        <v>1326</v>
      </c>
    </row>
    <row r="1372" spans="1:10" hidden="1" outlineLevel="1">
      <c r="A1372" s="28"/>
      <c r="B1372" s="1">
        <v>3</v>
      </c>
      <c r="C1372" s="5" t="s">
        <v>1630</v>
      </c>
      <c r="D1372" s="2">
        <v>41</v>
      </c>
      <c r="E1372" s="3">
        <v>44128</v>
      </c>
      <c r="F1372" s="4">
        <v>7.1539351851851854E-2</v>
      </c>
      <c r="G1372" s="28"/>
      <c r="J1372" t="s">
        <v>1326</v>
      </c>
    </row>
    <row r="1373" spans="1:10" hidden="1" outlineLevel="1">
      <c r="A1373" s="28"/>
      <c r="B1373" s="1">
        <v>4</v>
      </c>
      <c r="C1373" s="5" t="s">
        <v>1631</v>
      </c>
      <c r="D1373" s="2">
        <v>138</v>
      </c>
      <c r="E1373" s="3">
        <v>44158</v>
      </c>
      <c r="F1373" s="4">
        <v>8.0451388888888892E-2</v>
      </c>
      <c r="G1373" s="28"/>
      <c r="J1373" t="s">
        <v>1326</v>
      </c>
    </row>
    <row r="1374" spans="1:10" hidden="1" outlineLevel="1">
      <c r="A1374" s="28"/>
      <c r="B1374" s="1">
        <v>5</v>
      </c>
      <c r="C1374" s="5" t="s">
        <v>1542</v>
      </c>
      <c r="D1374" s="2">
        <v>0</v>
      </c>
      <c r="E1374" s="74">
        <v>44178</v>
      </c>
      <c r="F1374" s="75">
        <v>4.0138888888888884E-2</v>
      </c>
      <c r="G1374" s="28"/>
      <c r="J1374" t="s">
        <v>1326</v>
      </c>
    </row>
    <row r="1375" spans="1:10" hidden="1" outlineLevel="1">
      <c r="A1375" s="28"/>
      <c r="B1375" s="1">
        <v>6</v>
      </c>
      <c r="C1375" s="5" t="s">
        <v>1632</v>
      </c>
      <c r="D1375" s="2">
        <v>11</v>
      </c>
      <c r="E1375" s="3">
        <v>44191</v>
      </c>
      <c r="F1375" s="4">
        <v>7.6631944444444447E-2</v>
      </c>
      <c r="G1375" s="28"/>
      <c r="J1375" t="s">
        <v>1326</v>
      </c>
    </row>
    <row r="1376" spans="1:10" hidden="1" outlineLevel="1">
      <c r="A1376" s="28"/>
      <c r="B1376" s="1">
        <v>7</v>
      </c>
      <c r="C1376" s="5" t="s">
        <v>1633</v>
      </c>
      <c r="D1376" s="2">
        <v>113</v>
      </c>
      <c r="E1376" s="3">
        <v>44219</v>
      </c>
      <c r="F1376" s="4">
        <v>7.7118055555555551E-2</v>
      </c>
      <c r="G1376" s="28"/>
      <c r="J1376" t="s">
        <v>1326</v>
      </c>
    </row>
    <row r="1377" spans="1:10" hidden="1" outlineLevel="1">
      <c r="A1377" s="28"/>
      <c r="B1377" s="1">
        <v>8</v>
      </c>
      <c r="C1377" s="5" t="s">
        <v>1634</v>
      </c>
      <c r="D1377" s="2">
        <v>88</v>
      </c>
      <c r="E1377" s="3">
        <v>44251</v>
      </c>
      <c r="F1377" s="4">
        <v>8.7962962962962965E-2</v>
      </c>
      <c r="G1377" s="28"/>
      <c r="J1377" t="s">
        <v>1326</v>
      </c>
    </row>
    <row r="1378" spans="1:10" hidden="1" outlineLevel="1">
      <c r="A1378" s="28"/>
      <c r="B1378" s="1">
        <v>9</v>
      </c>
      <c r="C1378" s="5" t="s">
        <v>1635</v>
      </c>
      <c r="D1378" s="2">
        <v>174</v>
      </c>
      <c r="E1378" s="74">
        <v>44278</v>
      </c>
      <c r="F1378" s="75">
        <v>7.2465277777777781E-2</v>
      </c>
      <c r="G1378" s="28"/>
      <c r="J1378" t="s">
        <v>1326</v>
      </c>
    </row>
    <row r="1379" spans="1:10" hidden="1" outlineLevel="1">
      <c r="A1379" s="28"/>
      <c r="B1379" s="1">
        <v>10</v>
      </c>
      <c r="C1379" s="5" t="s">
        <v>1687</v>
      </c>
      <c r="D1379" s="2">
        <v>54</v>
      </c>
      <c r="E1379" s="3">
        <v>44309</v>
      </c>
      <c r="F1379" s="4">
        <v>8.1365740740740738E-2</v>
      </c>
      <c r="G1379" s="28"/>
      <c r="J1379" t="s">
        <v>1326</v>
      </c>
    </row>
    <row r="1380" spans="1:10" hidden="1" outlineLevel="1">
      <c r="A1380" s="28"/>
      <c r="B1380" s="1">
        <v>11</v>
      </c>
      <c r="C1380" s="5" t="s">
        <v>1688</v>
      </c>
      <c r="D1380" s="2">
        <v>175</v>
      </c>
      <c r="E1380" s="3">
        <v>44341</v>
      </c>
      <c r="F1380" s="4">
        <v>0.12680555555555556</v>
      </c>
      <c r="G1380" s="28"/>
      <c r="J1380" t="s">
        <v>1326</v>
      </c>
    </row>
    <row r="1381" spans="1:10" hidden="1" outlineLevel="1">
      <c r="A1381" s="28"/>
      <c r="B1381" s="1">
        <v>12</v>
      </c>
      <c r="C1381" s="5" t="s">
        <v>1781</v>
      </c>
      <c r="D1381" s="2">
        <v>85</v>
      </c>
      <c r="E1381" s="3">
        <v>44370</v>
      </c>
      <c r="F1381" s="4">
        <v>8.0613425925925922E-2</v>
      </c>
      <c r="G1381" s="28"/>
      <c r="J1381" t="s">
        <v>1326</v>
      </c>
    </row>
    <row r="1382" spans="1:10" hidden="1" outlineLevel="1">
      <c r="A1382" s="28"/>
      <c r="B1382" s="1">
        <v>13</v>
      </c>
      <c r="C1382" s="5" t="s">
        <v>1803</v>
      </c>
      <c r="D1382" s="2">
        <v>143</v>
      </c>
      <c r="E1382" s="3">
        <v>44400</v>
      </c>
      <c r="F1382" s="4">
        <v>8.1226851851851856E-2</v>
      </c>
      <c r="G1382" s="28"/>
      <c r="J1382" t="s">
        <v>1326</v>
      </c>
    </row>
    <row r="1383" spans="1:10" hidden="1" outlineLevel="1">
      <c r="A1383" s="28"/>
      <c r="B1383" s="1">
        <v>14</v>
      </c>
      <c r="C1383" s="5" t="s">
        <v>1856</v>
      </c>
      <c r="D1383" s="2">
        <v>63</v>
      </c>
      <c r="E1383" s="3">
        <v>44436</v>
      </c>
      <c r="F1383" s="4">
        <v>8.5752314814814823E-2</v>
      </c>
      <c r="G1383" s="28"/>
      <c r="J1383" t="s">
        <v>1326</v>
      </c>
    </row>
    <row r="1384" spans="1:10" hidden="1" outlineLevel="1">
      <c r="A1384" s="28"/>
      <c r="B1384" s="1">
        <v>15</v>
      </c>
      <c r="C1384" s="5" t="s">
        <v>1922</v>
      </c>
      <c r="D1384" s="2">
        <v>0</v>
      </c>
      <c r="E1384" s="247">
        <v>44452</v>
      </c>
      <c r="F1384" s="248">
        <v>5.6446759259259259E-2</v>
      </c>
      <c r="G1384" s="28"/>
      <c r="J1384" t="s">
        <v>1326</v>
      </c>
    </row>
    <row r="1385" spans="1:10" hidden="1" outlineLevel="1">
      <c r="A1385" s="28"/>
      <c r="B1385" s="1">
        <v>16</v>
      </c>
      <c r="C1385" s="5" t="s">
        <v>2014</v>
      </c>
      <c r="D1385" s="2">
        <v>103</v>
      </c>
      <c r="E1385" s="3">
        <v>44465</v>
      </c>
      <c r="F1385" s="4">
        <v>7.8506944444444449E-2</v>
      </c>
      <c r="G1385" s="28"/>
      <c r="J1385" t="s">
        <v>1326</v>
      </c>
    </row>
    <row r="1386" spans="1:10" hidden="1" outlineLevel="1">
      <c r="A1386" s="28"/>
      <c r="B1386" s="1">
        <v>17</v>
      </c>
      <c r="C1386" s="5" t="s">
        <v>2015</v>
      </c>
      <c r="D1386" s="2">
        <v>2</v>
      </c>
      <c r="E1386" s="3">
        <v>44493</v>
      </c>
      <c r="F1386" s="4">
        <v>7.8414351851851846E-2</v>
      </c>
      <c r="G1386" s="28"/>
      <c r="J1386" t="s">
        <v>1326</v>
      </c>
    </row>
    <row r="1387" spans="1:10" hidden="1" outlineLevel="1">
      <c r="A1387" s="28"/>
      <c r="B1387" s="1">
        <v>18</v>
      </c>
      <c r="C1387" s="5" t="s">
        <v>2355</v>
      </c>
      <c r="D1387" s="2">
        <v>110</v>
      </c>
      <c r="E1387" s="3">
        <v>44528</v>
      </c>
      <c r="F1387" s="4">
        <v>7.5520833333333329E-2</v>
      </c>
      <c r="G1387" s="28"/>
      <c r="J1387" t="s">
        <v>1326</v>
      </c>
    </row>
    <row r="1388" spans="1:10" hidden="1" outlineLevel="1">
      <c r="A1388" s="28"/>
      <c r="B1388" s="1">
        <v>19</v>
      </c>
      <c r="C1388" s="5" t="s">
        <v>2489</v>
      </c>
      <c r="D1388" s="2">
        <v>14</v>
      </c>
      <c r="E1388" s="3">
        <v>44554</v>
      </c>
      <c r="F1388" s="4">
        <v>6.9791666666666669E-2</v>
      </c>
      <c r="G1388" s="28"/>
      <c r="J1388" t="s">
        <v>1326</v>
      </c>
    </row>
    <row r="1389" spans="1:10" hidden="1" outlineLevel="1">
      <c r="A1389" s="28"/>
      <c r="B1389" s="1">
        <v>20</v>
      </c>
      <c r="C1389" s="5" t="s">
        <v>2646</v>
      </c>
      <c r="D1389" s="2">
        <v>107</v>
      </c>
      <c r="E1389" s="3">
        <v>44585</v>
      </c>
      <c r="F1389" s="4">
        <v>7.9201388888888891E-2</v>
      </c>
      <c r="G1389" s="28"/>
      <c r="J1389" t="s">
        <v>1326</v>
      </c>
    </row>
    <row r="1390" spans="1:10" hidden="1" outlineLevel="1">
      <c r="A1390" s="28"/>
      <c r="B1390" s="1">
        <v>21</v>
      </c>
      <c r="C1390" s="5" t="s">
        <v>2677</v>
      </c>
      <c r="D1390" s="2">
        <v>77</v>
      </c>
      <c r="E1390" s="3">
        <v>44614</v>
      </c>
      <c r="F1390" s="4">
        <v>7.9259259259259265E-2</v>
      </c>
      <c r="G1390" s="28"/>
      <c r="J1390" t="s">
        <v>1326</v>
      </c>
    </row>
    <row r="1391" spans="1:10" hidden="1" outlineLevel="1">
      <c r="A1391" s="28"/>
      <c r="B1391" s="1">
        <v>22</v>
      </c>
      <c r="C1391" s="5" t="s">
        <v>2735</v>
      </c>
      <c r="D1391" s="2">
        <v>172</v>
      </c>
      <c r="E1391" s="3">
        <v>44644</v>
      </c>
      <c r="F1391" s="4">
        <v>7.9502314814814817E-2</v>
      </c>
      <c r="G1391" s="28"/>
      <c r="J1391" t="s">
        <v>1326</v>
      </c>
    </row>
    <row r="1392" spans="1:10" hidden="1" outlineLevel="1">
      <c r="A1392" s="28"/>
      <c r="B1392" s="1">
        <v>23</v>
      </c>
      <c r="C1392" s="5" t="s">
        <v>2866</v>
      </c>
      <c r="D1392" s="2">
        <v>73</v>
      </c>
      <c r="E1392" s="3">
        <v>44672</v>
      </c>
      <c r="F1392" s="4">
        <v>7.6655092592592594E-2</v>
      </c>
      <c r="G1392" s="28"/>
      <c r="J1392" t="s">
        <v>1326</v>
      </c>
    </row>
    <row r="1393" spans="1:10" hidden="1" outlineLevel="1">
      <c r="A1393" s="28"/>
      <c r="B1393" s="1">
        <v>24</v>
      </c>
      <c r="C1393" s="5" t="s">
        <v>2899</v>
      </c>
      <c r="D1393" s="2">
        <v>171</v>
      </c>
      <c r="E1393" s="3">
        <v>44710</v>
      </c>
      <c r="F1393" s="4">
        <v>7.6504629629629631E-2</v>
      </c>
      <c r="G1393" s="28"/>
      <c r="J1393" t="s">
        <v>1326</v>
      </c>
    </row>
    <row r="1394" spans="1:10" hidden="1" outlineLevel="1">
      <c r="A1394" s="28"/>
      <c r="B1394" s="1">
        <v>25</v>
      </c>
      <c r="C1394" s="5" t="s">
        <v>2944</v>
      </c>
      <c r="D1394" s="2">
        <v>81</v>
      </c>
      <c r="E1394" s="3">
        <v>44736</v>
      </c>
      <c r="F1394" s="4">
        <v>8.2476851851851843E-2</v>
      </c>
      <c r="G1394" s="28"/>
      <c r="J1394" t="s">
        <v>1326</v>
      </c>
    </row>
    <row r="1395" spans="1:10" hidden="1" outlineLevel="1">
      <c r="A1395" s="28"/>
      <c r="B1395" s="1">
        <v>26</v>
      </c>
      <c r="C1395" s="5" t="s">
        <v>2976</v>
      </c>
      <c r="D1395" s="2">
        <v>154</v>
      </c>
      <c r="E1395" s="3">
        <v>44768</v>
      </c>
      <c r="F1395" s="4">
        <v>8.7210648148148148E-2</v>
      </c>
      <c r="G1395" s="28"/>
      <c r="J1395" t="s">
        <v>1326</v>
      </c>
    </row>
    <row r="1396" spans="1:10" hidden="1" outlineLevel="1">
      <c r="A1396" s="28"/>
      <c r="B1396" s="1">
        <v>27</v>
      </c>
      <c r="C1396" s="5" t="s">
        <v>3014</v>
      </c>
      <c r="D1396" s="2">
        <v>0</v>
      </c>
      <c r="E1396" s="62">
        <v>44797</v>
      </c>
      <c r="F1396" s="63">
        <v>4.9016203703703708E-2</v>
      </c>
      <c r="G1396" s="28"/>
      <c r="J1396" t="s">
        <v>1326</v>
      </c>
    </row>
    <row r="1397" spans="1:10" hidden="1" outlineLevel="1">
      <c r="A1397" s="28"/>
      <c r="B1397" s="1">
        <v>28</v>
      </c>
      <c r="C1397" s="5" t="s">
        <v>3015</v>
      </c>
      <c r="D1397" s="2">
        <v>16</v>
      </c>
      <c r="E1397" s="3">
        <v>44804</v>
      </c>
      <c r="F1397" s="4">
        <v>7.9247685185185185E-2</v>
      </c>
      <c r="G1397" s="28"/>
      <c r="J1397" t="s">
        <v>1326</v>
      </c>
    </row>
    <row r="1398" spans="1:10" hidden="1" outlineLevel="1">
      <c r="A1398" s="28"/>
      <c r="B1398" s="1">
        <v>29</v>
      </c>
      <c r="C1398" s="5" t="s">
        <v>3111</v>
      </c>
      <c r="D1398" s="2">
        <v>147</v>
      </c>
      <c r="E1398" s="3">
        <v>44879</v>
      </c>
      <c r="F1398" s="4">
        <v>7.3321759259259267E-2</v>
      </c>
      <c r="G1398" s="28"/>
      <c r="J1398" t="s">
        <v>1326</v>
      </c>
    </row>
    <row r="1399" spans="1:10" hidden="1" outlineLevel="1">
      <c r="A1399" s="28"/>
      <c r="B1399" s="76">
        <v>30</v>
      </c>
      <c r="C1399" s="77" t="s">
        <v>3112</v>
      </c>
      <c r="D1399" s="78">
        <v>0</v>
      </c>
      <c r="E1399" s="79">
        <v>44925</v>
      </c>
      <c r="F1399" s="80">
        <v>0</v>
      </c>
      <c r="G1399" s="28"/>
      <c r="J1399" t="s">
        <v>1326</v>
      </c>
    </row>
    <row r="1400" spans="1:10" hidden="1" outlineLevel="1">
      <c r="A1400" s="28"/>
      <c r="B1400" s="1">
        <v>31</v>
      </c>
      <c r="C1400" s="5" t="s">
        <v>3445</v>
      </c>
      <c r="D1400" s="2">
        <v>0</v>
      </c>
      <c r="E1400" s="3">
        <v>44925.541666666664</v>
      </c>
      <c r="F1400" s="504">
        <v>5.9837962962962961E-3</v>
      </c>
      <c r="G1400" s="28"/>
      <c r="J1400" t="s">
        <v>1326</v>
      </c>
    </row>
    <row r="1401" spans="1:10" hidden="1" outlineLevel="1">
      <c r="A1401" s="28"/>
      <c r="B1401" s="1">
        <v>32</v>
      </c>
      <c r="C1401" s="5" t="s">
        <v>3743</v>
      </c>
      <c r="D1401" s="2">
        <v>177</v>
      </c>
      <c r="E1401" s="577">
        <v>44946</v>
      </c>
      <c r="F1401" s="562">
        <v>9.0972222222222218E-2</v>
      </c>
      <c r="G1401" s="28"/>
      <c r="J1401" t="s">
        <v>1326</v>
      </c>
    </row>
    <row r="1402" spans="1:10" hidden="1" outlineLevel="1">
      <c r="A1402" s="28"/>
      <c r="B1402" s="1">
        <v>33</v>
      </c>
      <c r="C1402" s="5" t="s">
        <v>3744</v>
      </c>
      <c r="D1402" s="2" t="s">
        <v>3745</v>
      </c>
      <c r="E1402" s="577">
        <v>44971</v>
      </c>
      <c r="F1402" s="562">
        <v>4.0682870370370376E-2</v>
      </c>
      <c r="G1402" s="28"/>
      <c r="J1402" t="s">
        <v>1326</v>
      </c>
    </row>
    <row r="1403" spans="1:10" hidden="1" outlineLevel="1">
      <c r="A1403" s="28"/>
      <c r="B1403" s="1">
        <v>34</v>
      </c>
      <c r="C1403" s="5" t="s">
        <v>3746</v>
      </c>
      <c r="D1403" s="2">
        <v>53</v>
      </c>
      <c r="E1403" s="577">
        <v>44986</v>
      </c>
      <c r="F1403" s="562">
        <v>8.3587962962962961E-2</v>
      </c>
      <c r="G1403" s="28"/>
      <c r="J1403" t="s">
        <v>1326</v>
      </c>
    </row>
    <row r="1404" spans="1:10" hidden="1" outlineLevel="1">
      <c r="A1404" s="28"/>
      <c r="B1404" s="1">
        <v>35</v>
      </c>
      <c r="C1404" s="5" t="s">
        <v>3747</v>
      </c>
      <c r="D1404" s="2">
        <v>189</v>
      </c>
      <c r="E1404" s="577">
        <v>45009</v>
      </c>
      <c r="F1404" s="562">
        <v>8.2129629629629622E-2</v>
      </c>
      <c r="G1404" s="28"/>
      <c r="J1404" t="s">
        <v>1326</v>
      </c>
    </row>
    <row r="1405" spans="1:10" hidden="1" outlineLevel="1">
      <c r="A1405" s="28"/>
      <c r="B1405" s="1">
        <v>36</v>
      </c>
      <c r="C1405" s="5" t="s">
        <v>3766</v>
      </c>
      <c r="D1405" s="2">
        <v>32</v>
      </c>
      <c r="E1405" s="3">
        <v>45040</v>
      </c>
      <c r="F1405" s="4">
        <v>8.3506944444444453E-2</v>
      </c>
      <c r="G1405" s="28"/>
      <c r="J1405" t="s">
        <v>1326</v>
      </c>
    </row>
    <row r="1406" spans="1:10" hidden="1" outlineLevel="1">
      <c r="A1406" s="28"/>
      <c r="B1406" s="1">
        <v>37</v>
      </c>
      <c r="C1406" s="5" t="s">
        <v>3898</v>
      </c>
      <c r="D1406" s="2">
        <v>129</v>
      </c>
      <c r="E1406" s="3">
        <v>45070</v>
      </c>
      <c r="F1406" s="4">
        <v>7.9398148148148148E-2</v>
      </c>
      <c r="G1406" s="28"/>
      <c r="J1406" t="s">
        <v>1326</v>
      </c>
    </row>
    <row r="1407" spans="1:10" hidden="1" outlineLevel="1">
      <c r="A1407" s="28"/>
      <c r="B1407" s="1">
        <v>38</v>
      </c>
      <c r="C1407" s="5" t="s">
        <v>3940</v>
      </c>
      <c r="D1407" s="2">
        <v>86</v>
      </c>
      <c r="E1407" s="3">
        <v>45101</v>
      </c>
      <c r="F1407" s="4">
        <v>8.0266203703703701E-2</v>
      </c>
      <c r="G1407" s="28"/>
      <c r="J1407" t="s">
        <v>1326</v>
      </c>
    </row>
    <row r="1408" spans="1:10" hidden="1" outlineLevel="1">
      <c r="A1408" s="28"/>
      <c r="B1408" s="1">
        <v>39</v>
      </c>
      <c r="C1408" s="5" t="s">
        <v>3960</v>
      </c>
      <c r="D1408" s="2">
        <v>183</v>
      </c>
      <c r="E1408" s="3">
        <v>45131</v>
      </c>
      <c r="F1408" s="4">
        <v>9.0509259259259248E-2</v>
      </c>
      <c r="G1408" s="28"/>
      <c r="J1408" t="s">
        <v>1326</v>
      </c>
    </row>
    <row r="1409" spans="1:10" hidden="1" outlineLevel="1">
      <c r="A1409" s="28"/>
      <c r="B1409" s="1">
        <v>40</v>
      </c>
      <c r="C1409" s="5" t="s">
        <v>4032</v>
      </c>
      <c r="D1409" s="2">
        <v>44</v>
      </c>
      <c r="E1409" s="3">
        <v>45169</v>
      </c>
      <c r="F1409" s="4">
        <v>8.6990740740740743E-2</v>
      </c>
      <c r="G1409" s="28"/>
      <c r="J1409" t="s">
        <v>1326</v>
      </c>
    </row>
    <row r="1410" spans="1:10" hidden="1" outlineLevel="1">
      <c r="A1410" s="28"/>
      <c r="B1410" s="1">
        <v>41</v>
      </c>
      <c r="C1410" s="5" t="s">
        <v>4119</v>
      </c>
      <c r="D1410" s="2">
        <v>117</v>
      </c>
      <c r="E1410" s="3">
        <v>45194</v>
      </c>
      <c r="F1410" s="4">
        <v>7.5486111111111115E-2</v>
      </c>
      <c r="G1410" s="28"/>
      <c r="J1410" t="s">
        <v>1326</v>
      </c>
    </row>
    <row r="1411" spans="1:10" hidden="1" outlineLevel="1">
      <c r="A1411" s="28"/>
      <c r="B1411" s="1">
        <v>42</v>
      </c>
      <c r="C1411" s="5" t="s">
        <v>4156</v>
      </c>
      <c r="D1411" s="2">
        <v>39</v>
      </c>
      <c r="E1411" s="3">
        <v>45224</v>
      </c>
      <c r="F1411" s="4">
        <v>8.2071759259259261E-2</v>
      </c>
      <c r="G1411" s="28"/>
      <c r="J1411" t="s">
        <v>1326</v>
      </c>
    </row>
    <row r="1412" spans="1:10" hidden="1" outlineLevel="1">
      <c r="A1412" s="28"/>
      <c r="B1412" s="1">
        <v>43</v>
      </c>
      <c r="C1412" s="5" t="s">
        <v>4158</v>
      </c>
      <c r="D1412" s="2">
        <v>148</v>
      </c>
      <c r="E1412" s="3">
        <v>45254</v>
      </c>
      <c r="F1412" s="4">
        <v>8.8599537037037046E-2</v>
      </c>
      <c r="G1412" s="28"/>
      <c r="J1412" t="s">
        <v>1326</v>
      </c>
    </row>
    <row r="1413" spans="1:10" hidden="1" outlineLevel="1">
      <c r="A1413" s="28"/>
      <c r="B1413" s="1">
        <v>44</v>
      </c>
      <c r="C1413" s="5" t="s">
        <v>4157</v>
      </c>
      <c r="D1413" s="2">
        <v>222</v>
      </c>
      <c r="E1413" s="3">
        <v>45282</v>
      </c>
      <c r="F1413" s="4">
        <v>9.3761574074074081E-2</v>
      </c>
      <c r="G1413" s="28"/>
      <c r="J1413" t="s">
        <v>1326</v>
      </c>
    </row>
    <row r="1414" spans="1:10" hidden="1" outlineLevel="1">
      <c r="A1414" s="28"/>
      <c r="B1414" s="1">
        <v>45</v>
      </c>
      <c r="C1414" s="5" t="s">
        <v>4412</v>
      </c>
      <c r="D1414" s="2">
        <v>0</v>
      </c>
      <c r="E1414" s="62">
        <v>45289</v>
      </c>
      <c r="F1414" s="63">
        <v>2.8622685185185185E-2</v>
      </c>
      <c r="G1414" s="28"/>
      <c r="J1414" t="s">
        <v>1326</v>
      </c>
    </row>
    <row r="1415" spans="1:10" hidden="1" outlineLevel="1">
      <c r="A1415" s="28"/>
      <c r="B1415" s="1">
        <v>46</v>
      </c>
      <c r="C1415" s="5" t="s">
        <v>4372</v>
      </c>
      <c r="D1415" s="2">
        <v>82</v>
      </c>
      <c r="E1415" s="3">
        <v>45319</v>
      </c>
      <c r="F1415" s="4">
        <v>8.4027777777777771E-2</v>
      </c>
      <c r="G1415" s="28"/>
      <c r="J1415" t="s">
        <v>1326</v>
      </c>
    </row>
    <row r="1416" spans="1:10" hidden="1" outlineLevel="1">
      <c r="A1416" s="28"/>
      <c r="B1416" s="1">
        <v>47</v>
      </c>
      <c r="C1416" s="5" t="s">
        <v>4389</v>
      </c>
      <c r="D1416" s="2">
        <v>132</v>
      </c>
      <c r="E1416" s="3">
        <v>45348</v>
      </c>
      <c r="F1416" s="4">
        <v>7.8981481481481486E-2</v>
      </c>
      <c r="G1416" s="28"/>
      <c r="J1416" t="s">
        <v>1326</v>
      </c>
    </row>
    <row r="1417" spans="1:10" hidden="1" outlineLevel="1">
      <c r="A1417" s="28"/>
      <c r="B1417" s="1">
        <v>48</v>
      </c>
      <c r="C1417" s="5" t="s">
        <v>4474</v>
      </c>
      <c r="D1417" s="2">
        <v>76</v>
      </c>
      <c r="E1417" s="3">
        <v>45379</v>
      </c>
      <c r="F1417" s="4">
        <v>0.10311342592592593</v>
      </c>
      <c r="G1417" s="28"/>
      <c r="J1417" t="s">
        <v>1326</v>
      </c>
    </row>
    <row r="1418" spans="1:10" hidden="1" outlineLevel="1">
      <c r="A1418" s="28"/>
      <c r="B1418" s="76">
        <v>49</v>
      </c>
      <c r="C1418" s="77" t="s">
        <v>4475</v>
      </c>
      <c r="D1418" s="78">
        <v>215</v>
      </c>
      <c r="E1418" s="79">
        <v>45406</v>
      </c>
      <c r="F1418" s="80">
        <v>0</v>
      </c>
      <c r="G1418" s="28"/>
      <c r="J1418" t="s">
        <v>1326</v>
      </c>
    </row>
    <row r="1419" spans="1:10" hidden="1" outlineLevel="1">
      <c r="A1419" s="28"/>
      <c r="B1419" s="76">
        <v>50</v>
      </c>
      <c r="C1419" s="77" t="s">
        <v>4476</v>
      </c>
      <c r="D1419" s="78">
        <v>0</v>
      </c>
      <c r="E1419" s="79">
        <v>45436</v>
      </c>
      <c r="F1419" s="80">
        <v>0</v>
      </c>
      <c r="G1419" s="28"/>
      <c r="J1419" t="s">
        <v>1326</v>
      </c>
    </row>
    <row r="1420" spans="1:10">
      <c r="A1420" s="28"/>
      <c r="B1420" s="40"/>
      <c r="C1420" s="40"/>
      <c r="D1420" s="35"/>
      <c r="E1420" s="50"/>
      <c r="F1420" s="51"/>
      <c r="G1420" s="28"/>
    </row>
    <row r="1421" spans="1:10">
      <c r="A1421" s="28"/>
      <c r="B1421" s="28"/>
      <c r="C1421" s="28"/>
      <c r="D1421" s="29"/>
      <c r="E1421" s="52"/>
      <c r="F1421" s="53"/>
      <c r="G1421" s="28"/>
    </row>
    <row r="1422" spans="1:10">
      <c r="A1422" s="28"/>
      <c r="B1422" s="33"/>
      <c r="C1422" s="34" t="s">
        <v>1540</v>
      </c>
      <c r="D1422" s="40"/>
      <c r="E1422" s="36"/>
      <c r="F1422" s="37"/>
      <c r="G1422" s="28"/>
    </row>
    <row r="1423" spans="1:10" collapsed="1">
      <c r="A1423" s="28"/>
      <c r="B1423" s="38"/>
      <c r="C1423" s="230" t="s">
        <v>3877</v>
      </c>
      <c r="D1423" s="635" t="s">
        <v>1503</v>
      </c>
      <c r="E1423" s="30"/>
      <c r="F1423" s="39"/>
      <c r="G1423" s="28"/>
    </row>
    <row r="1424" spans="1:10" hidden="1" outlineLevel="1">
      <c r="A1424" s="28"/>
      <c r="B1424" s="23" t="s">
        <v>5</v>
      </c>
      <c r="C1424" s="24" t="s">
        <v>6</v>
      </c>
      <c r="D1424" s="25" t="s">
        <v>4</v>
      </c>
      <c r="E1424" s="138" t="s">
        <v>8</v>
      </c>
      <c r="F1424" s="26" t="s">
        <v>7</v>
      </c>
      <c r="G1424" s="28"/>
    </row>
    <row r="1425" spans="1:10" hidden="1" outlineLevel="1">
      <c r="A1425" s="28"/>
      <c r="B1425" s="1">
        <v>1</v>
      </c>
      <c r="C1425" s="5" t="s">
        <v>3326</v>
      </c>
      <c r="D1425" s="2">
        <v>0</v>
      </c>
      <c r="E1425" s="62">
        <v>44157</v>
      </c>
      <c r="F1425" s="4">
        <v>3.3090277777777781E-2</v>
      </c>
      <c r="G1425" s="28"/>
      <c r="J1425" t="s">
        <v>1504</v>
      </c>
    </row>
    <row r="1426" spans="1:10" hidden="1" outlineLevel="1">
      <c r="A1426" s="28"/>
      <c r="B1426" s="1">
        <v>2</v>
      </c>
      <c r="C1426" s="5" t="s">
        <v>3327</v>
      </c>
      <c r="D1426" s="2">
        <v>1</v>
      </c>
      <c r="E1426" s="62">
        <v>44164</v>
      </c>
      <c r="F1426" s="63">
        <v>8.3854166666666674E-2</v>
      </c>
      <c r="G1426" s="28"/>
      <c r="J1426" t="s">
        <v>1504</v>
      </c>
    </row>
    <row r="1427" spans="1:10" hidden="1" outlineLevel="1">
      <c r="A1427" s="28"/>
      <c r="B1427" s="1">
        <v>3</v>
      </c>
      <c r="C1427" s="5" t="s">
        <v>3328</v>
      </c>
      <c r="D1427" s="2">
        <v>10</v>
      </c>
      <c r="E1427" s="3">
        <v>44170</v>
      </c>
      <c r="F1427" s="4">
        <v>8.9803240740740739E-2</v>
      </c>
      <c r="G1427" s="28"/>
      <c r="J1427" t="s">
        <v>1504</v>
      </c>
    </row>
    <row r="1428" spans="1:10" hidden="1" outlineLevel="1">
      <c r="A1428" s="28"/>
      <c r="B1428" s="1">
        <v>4</v>
      </c>
      <c r="C1428" s="5" t="s">
        <v>2220</v>
      </c>
      <c r="D1428" s="2">
        <v>11</v>
      </c>
      <c r="E1428" s="3">
        <v>44178</v>
      </c>
      <c r="F1428" s="4">
        <v>6.8761574074074072E-2</v>
      </c>
      <c r="G1428" s="28"/>
      <c r="J1428" t="s">
        <v>1504</v>
      </c>
    </row>
    <row r="1429" spans="1:10" hidden="1" outlineLevel="1">
      <c r="A1429" s="28"/>
      <c r="B1429" s="1">
        <v>5</v>
      </c>
      <c r="C1429" s="5" t="s">
        <v>2215</v>
      </c>
      <c r="D1429" s="2">
        <v>0</v>
      </c>
      <c r="E1429" s="62">
        <v>44184</v>
      </c>
      <c r="F1429" s="63">
        <v>4.108796296296297E-3</v>
      </c>
      <c r="G1429" s="28"/>
      <c r="J1429" t="s">
        <v>1504</v>
      </c>
    </row>
    <row r="1430" spans="1:10" hidden="1" outlineLevel="1">
      <c r="A1430" s="28"/>
      <c r="B1430" s="1">
        <v>6</v>
      </c>
      <c r="C1430" s="5" t="s">
        <v>2216</v>
      </c>
      <c r="D1430" s="2">
        <v>0</v>
      </c>
      <c r="E1430" s="3">
        <v>44192</v>
      </c>
      <c r="F1430" s="4">
        <v>5.7291666666666671E-3</v>
      </c>
      <c r="G1430" s="28"/>
      <c r="J1430" t="s">
        <v>1504</v>
      </c>
    </row>
    <row r="1431" spans="1:10" hidden="1" outlineLevel="1">
      <c r="A1431" s="28"/>
      <c r="B1431" s="1">
        <v>7</v>
      </c>
      <c r="C1431" s="5" t="s">
        <v>2221</v>
      </c>
      <c r="D1431" s="2">
        <v>48</v>
      </c>
      <c r="E1431" s="74">
        <v>44251</v>
      </c>
      <c r="F1431" s="75">
        <v>7.4976851851851864E-2</v>
      </c>
      <c r="G1431" s="28"/>
      <c r="J1431" t="s">
        <v>1504</v>
      </c>
    </row>
    <row r="1432" spans="1:10" hidden="1" outlineLevel="1">
      <c r="A1432" s="28"/>
      <c r="B1432" s="1">
        <v>8</v>
      </c>
      <c r="C1432" s="5" t="s">
        <v>2211</v>
      </c>
      <c r="D1432" s="2">
        <v>0</v>
      </c>
      <c r="E1432" s="247">
        <v>44252</v>
      </c>
      <c r="F1432" s="248">
        <v>1.3078703703703705E-3</v>
      </c>
      <c r="G1432" s="28"/>
      <c r="H1432" s="268" t="s">
        <v>2212</v>
      </c>
      <c r="J1432" t="s">
        <v>1504</v>
      </c>
    </row>
    <row r="1433" spans="1:10" hidden="1" outlineLevel="1">
      <c r="A1433" s="28"/>
      <c r="B1433" s="1">
        <v>9</v>
      </c>
      <c r="C1433" s="5" t="s">
        <v>2222</v>
      </c>
      <c r="D1433" s="2">
        <v>84</v>
      </c>
      <c r="E1433" s="74">
        <v>44268</v>
      </c>
      <c r="F1433" s="75">
        <v>8.7083333333333332E-2</v>
      </c>
      <c r="G1433" s="28"/>
      <c r="J1433" t="s">
        <v>1504</v>
      </c>
    </row>
    <row r="1434" spans="1:10" hidden="1" outlineLevel="1">
      <c r="A1434" s="28"/>
      <c r="B1434" s="1">
        <v>10</v>
      </c>
      <c r="C1434" s="5" t="s">
        <v>2217</v>
      </c>
      <c r="D1434" s="2">
        <v>0</v>
      </c>
      <c r="E1434" s="74">
        <v>44287</v>
      </c>
      <c r="F1434" s="75">
        <v>2.2453703703703708E-2</v>
      </c>
      <c r="G1434" s="28"/>
      <c r="J1434" t="s">
        <v>1504</v>
      </c>
    </row>
    <row r="1435" spans="1:10" hidden="1" outlineLevel="1">
      <c r="A1435" s="28"/>
      <c r="B1435" s="1">
        <v>11</v>
      </c>
      <c r="C1435" s="5" t="s">
        <v>2223</v>
      </c>
      <c r="D1435" s="2">
        <v>86</v>
      </c>
      <c r="E1435" s="3">
        <v>44299</v>
      </c>
      <c r="F1435" s="4">
        <v>5.3217592592592594E-2</v>
      </c>
      <c r="G1435" s="28"/>
      <c r="J1435" t="s">
        <v>1504</v>
      </c>
    </row>
    <row r="1436" spans="1:10" hidden="1" outlineLevel="1">
      <c r="A1436" s="28"/>
      <c r="B1436" s="1">
        <v>12</v>
      </c>
      <c r="C1436" s="5" t="s">
        <v>2224</v>
      </c>
      <c r="D1436" s="2">
        <v>76</v>
      </c>
      <c r="E1436" s="3">
        <v>44326</v>
      </c>
      <c r="F1436" s="4">
        <v>9.1655092592592594E-2</v>
      </c>
      <c r="G1436" s="28"/>
      <c r="J1436" t="s">
        <v>1504</v>
      </c>
    </row>
    <row r="1437" spans="1:10" hidden="1" outlineLevel="1">
      <c r="A1437" s="28"/>
      <c r="B1437" s="1">
        <v>13</v>
      </c>
      <c r="C1437" s="5" t="s">
        <v>2225</v>
      </c>
      <c r="D1437" s="2">
        <v>202</v>
      </c>
      <c r="E1437" s="3">
        <v>44339</v>
      </c>
      <c r="F1437" s="4">
        <v>7.0057870370370368E-2</v>
      </c>
      <c r="G1437" s="28"/>
      <c r="J1437" t="s">
        <v>1504</v>
      </c>
    </row>
    <row r="1438" spans="1:10" hidden="1" outlineLevel="1">
      <c r="A1438" s="28"/>
      <c r="B1438" s="1">
        <v>14</v>
      </c>
      <c r="C1438" s="5" t="s">
        <v>2213</v>
      </c>
      <c r="D1438" s="2">
        <v>0</v>
      </c>
      <c r="E1438" s="62">
        <v>44375</v>
      </c>
      <c r="F1438" s="63">
        <v>1.7708333333333332E-3</v>
      </c>
      <c r="G1438" s="28"/>
      <c r="H1438" s="268" t="s">
        <v>2214</v>
      </c>
      <c r="J1438" t="s">
        <v>1504</v>
      </c>
    </row>
    <row r="1439" spans="1:10" hidden="1" outlineLevel="1">
      <c r="A1439" s="28"/>
      <c r="B1439" s="1">
        <v>15</v>
      </c>
      <c r="C1439" s="5" t="s">
        <v>2218</v>
      </c>
      <c r="D1439" s="2">
        <v>0</v>
      </c>
      <c r="E1439" s="3">
        <v>44379</v>
      </c>
      <c r="F1439" s="4">
        <v>4.9074074074074072E-3</v>
      </c>
      <c r="G1439" s="28"/>
      <c r="J1439" t="s">
        <v>1504</v>
      </c>
    </row>
    <row r="1440" spans="1:10" hidden="1" outlineLevel="1">
      <c r="A1440" s="28"/>
      <c r="B1440" s="1">
        <v>16</v>
      </c>
      <c r="C1440" s="5" t="s">
        <v>2226</v>
      </c>
      <c r="D1440" s="2">
        <v>103</v>
      </c>
      <c r="E1440" s="3">
        <v>44381</v>
      </c>
      <c r="F1440" s="4">
        <v>0.10871527777777779</v>
      </c>
      <c r="G1440" s="28"/>
      <c r="J1440" t="s">
        <v>1504</v>
      </c>
    </row>
    <row r="1441" spans="1:10" hidden="1" outlineLevel="1">
      <c r="A1441" s="28"/>
      <c r="B1441" s="1">
        <v>17</v>
      </c>
      <c r="C1441" s="5" t="s">
        <v>2219</v>
      </c>
      <c r="D1441" s="2">
        <v>0</v>
      </c>
      <c r="E1441" s="3">
        <v>44391</v>
      </c>
      <c r="F1441" s="4">
        <v>7.3449074074074069E-2</v>
      </c>
      <c r="G1441" s="28"/>
      <c r="J1441" t="s">
        <v>1504</v>
      </c>
    </row>
    <row r="1442" spans="1:10" hidden="1" outlineLevel="1">
      <c r="A1442" s="28"/>
      <c r="B1442" s="1">
        <v>18</v>
      </c>
      <c r="C1442" s="5" t="s">
        <v>2227</v>
      </c>
      <c r="D1442" s="2">
        <v>159</v>
      </c>
      <c r="E1442" s="62">
        <v>44419</v>
      </c>
      <c r="F1442" s="4">
        <v>0.10457175925925925</v>
      </c>
      <c r="G1442" s="28"/>
      <c r="J1442" t="s">
        <v>1504</v>
      </c>
    </row>
    <row r="1443" spans="1:10" hidden="1" outlineLevel="1">
      <c r="A1443" s="28"/>
      <c r="B1443" s="1">
        <v>19</v>
      </c>
      <c r="C1443" s="5" t="s">
        <v>2228</v>
      </c>
      <c r="D1443" s="2">
        <v>179</v>
      </c>
      <c r="E1443" s="62">
        <v>44439</v>
      </c>
      <c r="F1443" s="4">
        <v>3.2615740740740744E-2</v>
      </c>
      <c r="G1443" s="28"/>
      <c r="J1443" t="s">
        <v>1504</v>
      </c>
    </row>
    <row r="1444" spans="1:10" hidden="1" outlineLevel="1">
      <c r="A1444" s="28"/>
      <c r="B1444" s="1">
        <v>20</v>
      </c>
      <c r="C1444" s="5" t="s">
        <v>3325</v>
      </c>
      <c r="D1444" s="2">
        <v>106</v>
      </c>
      <c r="E1444" s="397">
        <v>44559</v>
      </c>
      <c r="F1444" s="310">
        <v>4.9999999999999996E-2</v>
      </c>
      <c r="G1444" s="28"/>
      <c r="J1444" t="s">
        <v>1504</v>
      </c>
    </row>
    <row r="1445" spans="1:10" hidden="1" outlineLevel="1">
      <c r="A1445" s="28"/>
      <c r="B1445" s="1">
        <v>21</v>
      </c>
      <c r="C1445" s="5" t="s">
        <v>2827</v>
      </c>
      <c r="D1445" s="2">
        <v>17</v>
      </c>
      <c r="E1445" s="3">
        <v>44623</v>
      </c>
      <c r="F1445" s="4">
        <v>6.2430555555555552E-2</v>
      </c>
      <c r="G1445" s="28"/>
      <c r="J1445" t="s">
        <v>1504</v>
      </c>
    </row>
    <row r="1446" spans="1:10" hidden="1" outlineLevel="1">
      <c r="A1446" s="28"/>
      <c r="B1446" s="76">
        <v>22</v>
      </c>
      <c r="C1446" s="77" t="s">
        <v>3387</v>
      </c>
      <c r="D1446" s="78">
        <v>0</v>
      </c>
      <c r="E1446" s="79">
        <v>44626</v>
      </c>
      <c r="F1446" s="80">
        <v>6.9444444444444444E-5</v>
      </c>
      <c r="G1446" s="28"/>
      <c r="J1446" t="s">
        <v>1504</v>
      </c>
    </row>
    <row r="1447" spans="1:10">
      <c r="A1447" s="28"/>
      <c r="B1447" s="40"/>
      <c r="C1447" s="40"/>
      <c r="D1447" s="35"/>
      <c r="E1447" s="50"/>
      <c r="F1447" s="51"/>
      <c r="G1447" s="28"/>
    </row>
    <row r="1448" spans="1:10">
      <c r="A1448" s="28"/>
      <c r="B1448" s="28"/>
      <c r="C1448" s="28"/>
      <c r="D1448" s="29"/>
      <c r="E1448" s="52"/>
      <c r="F1448" s="53"/>
      <c r="G1448" s="28"/>
    </row>
    <row r="1449" spans="1:10">
      <c r="A1449" s="28"/>
      <c r="B1449" s="33"/>
      <c r="C1449" s="34" t="s">
        <v>3130</v>
      </c>
      <c r="D1449" s="40"/>
      <c r="E1449" s="36"/>
      <c r="F1449" s="37"/>
      <c r="G1449" s="28"/>
    </row>
    <row r="1450" spans="1:10" collapsed="1">
      <c r="A1450" s="28"/>
      <c r="B1450" s="38"/>
      <c r="C1450" s="230" t="s">
        <v>1704</v>
      </c>
      <c r="D1450" s="28"/>
      <c r="E1450" s="30"/>
      <c r="F1450" s="39"/>
      <c r="G1450" s="28"/>
    </row>
    <row r="1451" spans="1:10" hidden="1" outlineLevel="1">
      <c r="A1451" s="28"/>
      <c r="B1451" s="23" t="s">
        <v>5</v>
      </c>
      <c r="C1451" s="24" t="s">
        <v>6</v>
      </c>
      <c r="D1451" s="25" t="s">
        <v>4</v>
      </c>
      <c r="E1451" s="138" t="s">
        <v>8</v>
      </c>
      <c r="F1451" s="26" t="s">
        <v>7</v>
      </c>
      <c r="G1451" s="28"/>
    </row>
    <row r="1452" spans="1:10" hidden="1" outlineLevel="1">
      <c r="A1452" s="28"/>
      <c r="B1452" s="1">
        <v>1</v>
      </c>
      <c r="C1452" s="5" t="s">
        <v>1743</v>
      </c>
      <c r="D1452" s="219" t="s">
        <v>1663</v>
      </c>
      <c r="E1452" s="62">
        <v>44158</v>
      </c>
      <c r="F1452" s="4">
        <v>4.0567129629629627E-2</v>
      </c>
      <c r="G1452" s="28"/>
    </row>
    <row r="1453" spans="1:10" hidden="1" outlineLevel="1">
      <c r="A1453" s="28"/>
      <c r="B1453" s="1">
        <v>2</v>
      </c>
      <c r="C1453" s="5" t="s">
        <v>1744</v>
      </c>
      <c r="D1453" s="219" t="s">
        <v>1664</v>
      </c>
      <c r="E1453" s="62">
        <v>44176</v>
      </c>
      <c r="F1453" s="63">
        <v>3.5497685185185188E-2</v>
      </c>
      <c r="G1453" s="28"/>
    </row>
    <row r="1454" spans="1:10" hidden="1" outlineLevel="1">
      <c r="A1454" s="28"/>
      <c r="B1454" s="1">
        <v>3</v>
      </c>
      <c r="C1454" s="5" t="s">
        <v>1692</v>
      </c>
      <c r="D1454" s="219" t="s">
        <v>1691</v>
      </c>
      <c r="E1454" s="3">
        <v>44196</v>
      </c>
      <c r="F1454" s="4">
        <v>4.4178240740740747E-2</v>
      </c>
      <c r="G1454" s="28"/>
    </row>
    <row r="1455" spans="1:10" hidden="1" outlineLevel="1">
      <c r="A1455" s="28"/>
      <c r="B1455" s="1">
        <v>4</v>
      </c>
      <c r="C1455" s="5" t="s">
        <v>1745</v>
      </c>
      <c r="D1455" s="219" t="s">
        <v>1665</v>
      </c>
      <c r="E1455" s="62">
        <v>44212</v>
      </c>
      <c r="F1455" s="63">
        <v>4.0520833333333332E-2</v>
      </c>
      <c r="G1455" s="28"/>
    </row>
    <row r="1456" spans="1:10" hidden="1" outlineLevel="1">
      <c r="A1456" s="28"/>
      <c r="B1456" s="1">
        <v>5</v>
      </c>
      <c r="C1456" s="5" t="s">
        <v>1746</v>
      </c>
      <c r="D1456" s="220" t="s">
        <v>1681</v>
      </c>
      <c r="E1456" s="62">
        <v>44232</v>
      </c>
      <c r="F1456" s="63">
        <v>6.1631944444444448E-2</v>
      </c>
      <c r="G1456" s="28"/>
    </row>
    <row r="1457" spans="1:7" hidden="1" outlineLevel="1">
      <c r="A1457" s="28"/>
      <c r="B1457" s="1">
        <v>6</v>
      </c>
      <c r="C1457" s="5" t="s">
        <v>1747</v>
      </c>
      <c r="D1457" s="219" t="s">
        <v>1709</v>
      </c>
      <c r="E1457" s="3">
        <v>44253</v>
      </c>
      <c r="F1457" s="4">
        <v>3.8680555555555558E-2</v>
      </c>
      <c r="G1457" s="28"/>
    </row>
    <row r="1458" spans="1:7" hidden="1" outlineLevel="1">
      <c r="A1458" s="28"/>
      <c r="B1458" s="1">
        <v>7</v>
      </c>
      <c r="C1458" s="5" t="s">
        <v>1748</v>
      </c>
      <c r="D1458" s="219" t="s">
        <v>1666</v>
      </c>
      <c r="E1458" s="74">
        <v>44274</v>
      </c>
      <c r="F1458" s="75">
        <v>4.9456018518518517E-2</v>
      </c>
      <c r="G1458" s="28"/>
    </row>
    <row r="1459" spans="1:7" hidden="1" outlineLevel="1">
      <c r="A1459" s="28"/>
      <c r="B1459" s="1">
        <v>8</v>
      </c>
      <c r="C1459" s="5" t="s">
        <v>1749</v>
      </c>
      <c r="D1459" s="219" t="s">
        <v>1667</v>
      </c>
      <c r="E1459" s="74">
        <v>44295</v>
      </c>
      <c r="F1459" s="75">
        <v>5.153935185185185E-2</v>
      </c>
      <c r="G1459" s="28"/>
    </row>
    <row r="1460" spans="1:7" hidden="1" outlineLevel="1">
      <c r="A1460" s="28"/>
      <c r="B1460" s="1">
        <v>9</v>
      </c>
      <c r="C1460" s="5" t="s">
        <v>1782</v>
      </c>
      <c r="D1460" s="219" t="s">
        <v>1708</v>
      </c>
      <c r="E1460" s="3">
        <v>44316</v>
      </c>
      <c r="F1460" s="4">
        <v>5.4965277777777773E-2</v>
      </c>
      <c r="G1460" s="28"/>
    </row>
    <row r="1461" spans="1:7" hidden="1" outlineLevel="1">
      <c r="A1461" s="28"/>
      <c r="B1461" s="1">
        <v>10</v>
      </c>
      <c r="C1461" s="5" t="s">
        <v>1783</v>
      </c>
      <c r="D1461" s="219" t="s">
        <v>1765</v>
      </c>
      <c r="E1461" s="3">
        <v>44337</v>
      </c>
      <c r="F1461" s="4">
        <v>5.8750000000000004E-2</v>
      </c>
      <c r="G1461" s="28"/>
    </row>
    <row r="1462" spans="1:7" hidden="1" outlineLevel="1">
      <c r="A1462" s="28"/>
      <c r="B1462" s="1">
        <v>11</v>
      </c>
      <c r="C1462" s="5" t="s">
        <v>1784</v>
      </c>
      <c r="D1462" s="219" t="s">
        <v>1786</v>
      </c>
      <c r="E1462" s="62">
        <v>44358</v>
      </c>
      <c r="F1462" s="63">
        <v>4.6493055555555551E-2</v>
      </c>
      <c r="G1462" s="28"/>
    </row>
    <row r="1463" spans="1:7" hidden="1" outlineLevel="1">
      <c r="A1463" s="28"/>
      <c r="B1463" s="1">
        <v>12</v>
      </c>
      <c r="C1463" s="5" t="s">
        <v>1785</v>
      </c>
      <c r="D1463" s="219" t="s">
        <v>2408</v>
      </c>
      <c r="E1463" s="3">
        <v>44365</v>
      </c>
      <c r="F1463" s="4">
        <v>2.8414351851851847E-2</v>
      </c>
      <c r="G1463" s="28"/>
    </row>
    <row r="1464" spans="1:7" hidden="1" outlineLevel="1">
      <c r="A1464" s="28"/>
      <c r="B1464" s="1">
        <v>13</v>
      </c>
      <c r="C1464" s="5" t="s">
        <v>1890</v>
      </c>
      <c r="D1464" s="219" t="s">
        <v>1891</v>
      </c>
      <c r="E1464" s="247">
        <v>44435</v>
      </c>
      <c r="F1464" s="248">
        <v>3.4953703703703702E-2</v>
      </c>
      <c r="G1464" s="28"/>
    </row>
    <row r="1465" spans="1:7" hidden="1" outlineLevel="1">
      <c r="A1465" s="28"/>
      <c r="B1465" s="1">
        <v>14</v>
      </c>
      <c r="C1465" s="5" t="s">
        <v>2004</v>
      </c>
      <c r="D1465" s="219" t="s">
        <v>2005</v>
      </c>
      <c r="E1465" s="3">
        <v>44463</v>
      </c>
      <c r="F1465" s="4">
        <v>5.2569444444444446E-2</v>
      </c>
      <c r="G1465" s="28"/>
    </row>
    <row r="1466" spans="1:7" hidden="1" outlineLevel="1">
      <c r="A1466" s="28"/>
      <c r="B1466" s="1">
        <v>15</v>
      </c>
      <c r="C1466" s="5" t="s">
        <v>2207</v>
      </c>
      <c r="D1466" s="219" t="s">
        <v>2209</v>
      </c>
      <c r="E1466" s="3">
        <v>44484</v>
      </c>
      <c r="F1466" s="4">
        <v>5.9004629629629629E-2</v>
      </c>
      <c r="G1466" s="28"/>
    </row>
    <row r="1467" spans="1:7" hidden="1" outlineLevel="1">
      <c r="A1467" s="28"/>
      <c r="B1467" s="1">
        <v>16</v>
      </c>
      <c r="C1467" s="5" t="s">
        <v>2398</v>
      </c>
      <c r="D1467" s="219" t="s">
        <v>2406</v>
      </c>
      <c r="E1467" s="304">
        <v>44496</v>
      </c>
      <c r="F1467" s="305">
        <v>7.407407407407407E-4</v>
      </c>
      <c r="G1467" s="28"/>
    </row>
    <row r="1468" spans="1:7" hidden="1" outlineLevel="1">
      <c r="A1468" s="28"/>
      <c r="B1468" s="1">
        <v>17</v>
      </c>
      <c r="C1468" s="5" t="s">
        <v>2405</v>
      </c>
      <c r="D1468" s="219" t="s">
        <v>2407</v>
      </c>
      <c r="E1468" s="304">
        <v>44505</v>
      </c>
      <c r="F1468" s="305">
        <v>3.3888888888888885E-2</v>
      </c>
      <c r="G1468" s="28"/>
    </row>
    <row r="1469" spans="1:7" hidden="1" outlineLevel="1">
      <c r="A1469" s="28"/>
      <c r="B1469" s="1">
        <v>18</v>
      </c>
      <c r="C1469" s="5" t="s">
        <v>2487</v>
      </c>
      <c r="D1469" s="220" t="s">
        <v>2486</v>
      </c>
      <c r="E1469" s="3">
        <v>44526</v>
      </c>
      <c r="F1469" s="4">
        <v>7.2164351851851841E-2</v>
      </c>
      <c r="G1469" s="28"/>
    </row>
    <row r="1470" spans="1:7" hidden="1" outlineLevel="1">
      <c r="A1470" s="28"/>
      <c r="B1470" s="1">
        <v>19</v>
      </c>
      <c r="C1470" s="5" t="s">
        <v>2607</v>
      </c>
      <c r="D1470" s="219" t="s">
        <v>2608</v>
      </c>
      <c r="E1470" s="3">
        <v>44547</v>
      </c>
      <c r="F1470" s="4">
        <v>7.1678240740740737E-2</v>
      </c>
      <c r="G1470" s="28"/>
    </row>
    <row r="1471" spans="1:7" hidden="1" outlineLevel="1">
      <c r="A1471" s="28"/>
      <c r="B1471" s="1">
        <v>20</v>
      </c>
      <c r="C1471" s="5" t="s">
        <v>2678</v>
      </c>
      <c r="D1471" s="220" t="s">
        <v>2679</v>
      </c>
      <c r="E1471" s="62">
        <v>44582</v>
      </c>
      <c r="F1471" s="63">
        <v>9.4293981481481479E-2</v>
      </c>
      <c r="G1471" s="28"/>
    </row>
    <row r="1472" spans="1:7" hidden="1" outlineLevel="1">
      <c r="A1472" s="28"/>
      <c r="B1472" s="1">
        <v>21</v>
      </c>
      <c r="C1472" s="5" t="s">
        <v>2779</v>
      </c>
      <c r="D1472" s="219" t="s">
        <v>2780</v>
      </c>
      <c r="E1472" s="62">
        <v>44617</v>
      </c>
      <c r="F1472" s="63">
        <v>5.3946759259259257E-2</v>
      </c>
      <c r="G1472" s="28"/>
    </row>
    <row r="1473" spans="1:7" hidden="1" outlineLevel="1">
      <c r="A1473" s="28"/>
      <c r="B1473" s="1">
        <v>22</v>
      </c>
      <c r="C1473" s="5" t="s">
        <v>2892</v>
      </c>
      <c r="D1473" s="219" t="s">
        <v>2861</v>
      </c>
      <c r="E1473" s="503">
        <v>44638</v>
      </c>
      <c r="F1473" s="504">
        <v>5.3888888888888896E-2</v>
      </c>
      <c r="G1473" s="28"/>
    </row>
    <row r="1474" spans="1:7" hidden="1" outlineLevel="1">
      <c r="A1474" s="28"/>
      <c r="B1474" s="1">
        <v>23</v>
      </c>
      <c r="C1474" s="5" t="s">
        <v>2891</v>
      </c>
      <c r="D1474" s="219" t="s">
        <v>2890</v>
      </c>
      <c r="E1474" s="503">
        <v>44666</v>
      </c>
      <c r="F1474" s="504">
        <v>5.7986111111111106E-2</v>
      </c>
      <c r="G1474" s="28"/>
    </row>
    <row r="1475" spans="1:7" hidden="1" outlineLevel="1">
      <c r="A1475" s="28"/>
      <c r="B1475" s="1">
        <v>24</v>
      </c>
      <c r="C1475" s="5" t="s">
        <v>2941</v>
      </c>
      <c r="D1475" s="219" t="s">
        <v>2940</v>
      </c>
      <c r="E1475" s="503">
        <v>44708</v>
      </c>
      <c r="F1475" s="504">
        <v>4.9479166666666664E-2</v>
      </c>
      <c r="G1475" s="28"/>
    </row>
    <row r="1476" spans="1:7" hidden="1" outlineLevel="1">
      <c r="A1476" s="28"/>
      <c r="B1476" s="1">
        <v>25</v>
      </c>
      <c r="C1476" s="5" t="s">
        <v>2977</v>
      </c>
      <c r="D1476" s="219" t="s">
        <v>3018</v>
      </c>
      <c r="E1476" s="3">
        <v>44736</v>
      </c>
      <c r="F1476" s="4">
        <v>2.8055555555555556E-2</v>
      </c>
      <c r="G1476" s="28"/>
    </row>
    <row r="1477" spans="1:7" hidden="1" outlineLevel="1">
      <c r="A1477" s="28"/>
      <c r="B1477" s="1">
        <v>26</v>
      </c>
      <c r="C1477" s="5" t="s">
        <v>3016</v>
      </c>
      <c r="D1477" s="219" t="s">
        <v>3017</v>
      </c>
      <c r="E1477" s="3">
        <v>44764</v>
      </c>
      <c r="F1477" s="4">
        <v>5.6469907407407406E-2</v>
      </c>
      <c r="G1477" s="28"/>
    </row>
    <row r="1478" spans="1:7" hidden="1" outlineLevel="1">
      <c r="A1478" s="28"/>
      <c r="B1478" s="1">
        <v>27</v>
      </c>
      <c r="C1478" s="5" t="s">
        <v>3019</v>
      </c>
      <c r="D1478" s="219" t="s">
        <v>3020</v>
      </c>
      <c r="E1478" s="3">
        <v>44792</v>
      </c>
      <c r="F1478" s="4">
        <v>6.0752314814814821E-2</v>
      </c>
      <c r="G1478" s="28"/>
    </row>
    <row r="1479" spans="1:7" hidden="1" outlineLevel="1">
      <c r="A1479" s="28"/>
      <c r="B1479" s="1">
        <v>28</v>
      </c>
      <c r="C1479" s="5" t="s">
        <v>3047</v>
      </c>
      <c r="D1479" s="219" t="s">
        <v>3048</v>
      </c>
      <c r="E1479" s="3">
        <v>44827</v>
      </c>
      <c r="F1479" s="4">
        <v>5.800925925925926E-2</v>
      </c>
      <c r="G1479" s="28"/>
    </row>
    <row r="1480" spans="1:7" hidden="1" outlineLevel="1">
      <c r="A1480" s="28"/>
      <c r="B1480" s="1">
        <v>29</v>
      </c>
      <c r="C1480" s="5" t="s">
        <v>3079</v>
      </c>
      <c r="D1480" s="219" t="s">
        <v>3080</v>
      </c>
      <c r="E1480" s="3">
        <v>44855</v>
      </c>
      <c r="F1480" s="4">
        <v>7.4918981481481475E-2</v>
      </c>
      <c r="G1480" s="28"/>
    </row>
    <row r="1481" spans="1:7" hidden="1" outlineLevel="1">
      <c r="A1481" s="28"/>
      <c r="B1481" s="1">
        <v>30</v>
      </c>
      <c r="C1481" s="5" t="s">
        <v>3129</v>
      </c>
      <c r="D1481" s="219" t="s">
        <v>3128</v>
      </c>
      <c r="E1481" s="503">
        <v>44883</v>
      </c>
      <c r="F1481" s="504">
        <v>4.2766203703703702E-2</v>
      </c>
      <c r="G1481" s="28"/>
    </row>
    <row r="1482" spans="1:7" hidden="1" outlineLevel="1">
      <c r="A1482" s="28"/>
      <c r="B1482" s="1">
        <v>31</v>
      </c>
      <c r="C1482" s="5" t="s">
        <v>3138</v>
      </c>
      <c r="D1482" s="219" t="s">
        <v>3139</v>
      </c>
      <c r="E1482" s="3">
        <v>44890</v>
      </c>
      <c r="F1482" s="4">
        <v>3.5474537037037041E-2</v>
      </c>
      <c r="G1482" s="28"/>
    </row>
    <row r="1483" spans="1:7" hidden="1" outlineLevel="1">
      <c r="A1483" s="28"/>
      <c r="B1483" s="1">
        <v>32</v>
      </c>
      <c r="C1483" s="5" t="s">
        <v>3415</v>
      </c>
      <c r="D1483" s="219" t="s">
        <v>3416</v>
      </c>
      <c r="E1483" s="3">
        <v>44918</v>
      </c>
      <c r="F1483" s="4">
        <v>7.2974537037037032E-2</v>
      </c>
      <c r="G1483" s="28"/>
    </row>
    <row r="1484" spans="1:7" hidden="1" outlineLevel="1">
      <c r="A1484" s="28"/>
      <c r="B1484" s="1">
        <v>33</v>
      </c>
      <c r="C1484" s="5" t="s">
        <v>3748</v>
      </c>
      <c r="D1484" s="219" t="s">
        <v>3749</v>
      </c>
      <c r="E1484" s="577">
        <v>44953</v>
      </c>
      <c r="F1484" s="562">
        <v>8.2083333333333341E-2</v>
      </c>
      <c r="G1484" s="28"/>
    </row>
    <row r="1485" spans="1:7" hidden="1" outlineLevel="1">
      <c r="A1485" s="28"/>
      <c r="B1485" s="1">
        <v>34</v>
      </c>
      <c r="C1485" s="5" t="s">
        <v>3751</v>
      </c>
      <c r="D1485" s="219" t="s">
        <v>3750</v>
      </c>
      <c r="E1485" s="577">
        <v>44981</v>
      </c>
      <c r="F1485" s="562">
        <v>7.0671296296296301E-2</v>
      </c>
      <c r="G1485" s="28"/>
    </row>
    <row r="1486" spans="1:7" hidden="1" outlineLevel="1">
      <c r="A1486" s="28"/>
      <c r="B1486" s="1">
        <v>35</v>
      </c>
      <c r="C1486" s="5" t="s">
        <v>3754</v>
      </c>
      <c r="D1486" s="219" t="s">
        <v>3755</v>
      </c>
      <c r="E1486" s="577">
        <v>45009</v>
      </c>
      <c r="F1486" s="562">
        <v>8.4861111111111109E-2</v>
      </c>
      <c r="G1486" s="28"/>
    </row>
    <row r="1487" spans="1:7" hidden="1" outlineLevel="1">
      <c r="A1487" s="28"/>
      <c r="B1487" s="1">
        <v>36</v>
      </c>
      <c r="C1487" s="5" t="s">
        <v>3900</v>
      </c>
      <c r="D1487" s="219" t="s">
        <v>3901</v>
      </c>
      <c r="E1487" s="62">
        <v>45044</v>
      </c>
      <c r="F1487" s="63">
        <v>7.7071759259259257E-2</v>
      </c>
      <c r="G1487" s="28"/>
    </row>
    <row r="1488" spans="1:7" hidden="1" outlineLevel="1">
      <c r="A1488" s="28"/>
      <c r="B1488" s="1">
        <v>37</v>
      </c>
      <c r="C1488" s="5" t="s">
        <v>3941</v>
      </c>
      <c r="D1488" s="219" t="s">
        <v>3942</v>
      </c>
      <c r="E1488" s="62">
        <v>45079</v>
      </c>
      <c r="F1488" s="63">
        <v>8.4664351851851852E-2</v>
      </c>
      <c r="G1488" s="28"/>
    </row>
    <row r="1489" spans="1:10" hidden="1" outlineLevel="1">
      <c r="A1489" s="28"/>
      <c r="B1489" s="1">
        <v>38</v>
      </c>
      <c r="C1489" s="5" t="s">
        <v>3972</v>
      </c>
      <c r="D1489" s="6">
        <v>6</v>
      </c>
      <c r="E1489" s="62">
        <v>45107</v>
      </c>
      <c r="F1489" s="63">
        <v>5.1990740740740747E-2</v>
      </c>
      <c r="G1489" s="28"/>
      <c r="J1489" t="s">
        <v>1662</v>
      </c>
    </row>
    <row r="1490" spans="1:10" hidden="1" outlineLevel="1">
      <c r="A1490" s="28"/>
      <c r="B1490" s="1">
        <v>39</v>
      </c>
      <c r="C1490" s="5" t="s">
        <v>4033</v>
      </c>
      <c r="D1490" s="6">
        <v>114</v>
      </c>
      <c r="E1490" s="62">
        <v>45121</v>
      </c>
      <c r="F1490" s="63">
        <v>4.4780092592592587E-2</v>
      </c>
      <c r="G1490" s="28"/>
      <c r="J1490" t="s">
        <v>1662</v>
      </c>
    </row>
    <row r="1491" spans="1:10" hidden="1" outlineLevel="1">
      <c r="A1491" s="28"/>
      <c r="B1491" s="1">
        <v>40</v>
      </c>
      <c r="C1491" s="5" t="s">
        <v>4034</v>
      </c>
      <c r="D1491" s="6">
        <v>95</v>
      </c>
      <c r="E1491" s="62">
        <v>45135</v>
      </c>
      <c r="F1491" s="63">
        <v>5.1643518518518526E-2</v>
      </c>
      <c r="G1491" s="28"/>
      <c r="J1491" t="s">
        <v>1662</v>
      </c>
    </row>
    <row r="1492" spans="1:10" hidden="1" outlineLevel="1">
      <c r="A1492" s="28"/>
      <c r="B1492" s="1">
        <v>41</v>
      </c>
      <c r="C1492" s="5" t="s">
        <v>4056</v>
      </c>
      <c r="D1492" s="226">
        <v>221</v>
      </c>
      <c r="E1492" s="62">
        <v>45149</v>
      </c>
      <c r="F1492" s="63">
        <v>5.0567129629629635E-2</v>
      </c>
      <c r="G1492" s="28"/>
      <c r="J1492" t="s">
        <v>1662</v>
      </c>
    </row>
    <row r="1493" spans="1:10" hidden="1" outlineLevel="1">
      <c r="A1493" s="28"/>
      <c r="B1493" s="1">
        <v>42</v>
      </c>
      <c r="C1493" s="5" t="s">
        <v>4068</v>
      </c>
      <c r="D1493" s="226">
        <v>141</v>
      </c>
      <c r="E1493" s="577">
        <v>45163</v>
      </c>
      <c r="F1493" s="562">
        <v>4.9143518518518524E-2</v>
      </c>
      <c r="G1493" s="28"/>
      <c r="J1493" t="s">
        <v>1662</v>
      </c>
    </row>
    <row r="1494" spans="1:10" hidden="1" outlineLevel="1">
      <c r="A1494" s="28"/>
      <c r="B1494" s="1">
        <v>43</v>
      </c>
      <c r="C1494" s="5" t="s">
        <v>4142</v>
      </c>
      <c r="D1494" s="6">
        <v>9</v>
      </c>
      <c r="E1494" s="62">
        <v>45177</v>
      </c>
      <c r="F1494" s="63">
        <v>3.9004629629629632E-2</v>
      </c>
      <c r="G1494" s="28"/>
      <c r="J1494" t="s">
        <v>1662</v>
      </c>
    </row>
    <row r="1495" spans="1:10" hidden="1" outlineLevel="1">
      <c r="A1495" s="28"/>
      <c r="B1495" s="1">
        <v>44</v>
      </c>
      <c r="C1495" s="5" t="s">
        <v>4143</v>
      </c>
      <c r="D1495" s="6">
        <v>44</v>
      </c>
      <c r="E1495" s="62">
        <v>45205</v>
      </c>
      <c r="F1495" s="63">
        <v>5.1006944444444445E-2</v>
      </c>
      <c r="G1495" s="28"/>
      <c r="J1495" t="s">
        <v>1662</v>
      </c>
    </row>
    <row r="1496" spans="1:10" hidden="1" outlineLevel="1">
      <c r="A1496" s="28"/>
      <c r="B1496" s="1">
        <v>45</v>
      </c>
      <c r="C1496" s="5" t="s">
        <v>4171</v>
      </c>
      <c r="D1496" s="6">
        <v>101</v>
      </c>
      <c r="E1496" s="3">
        <v>45233</v>
      </c>
      <c r="F1496" s="4">
        <v>5.5138888888888883E-2</v>
      </c>
      <c r="G1496" s="28"/>
      <c r="J1496" t="s">
        <v>1662</v>
      </c>
    </row>
    <row r="1497" spans="1:10" hidden="1" outlineLevel="1">
      <c r="A1497" s="28"/>
      <c r="B1497" s="1">
        <v>46</v>
      </c>
      <c r="C1497" s="5" t="s">
        <v>4317</v>
      </c>
      <c r="D1497" s="226">
        <v>100</v>
      </c>
      <c r="E1497" s="577">
        <v>45261</v>
      </c>
      <c r="F1497" s="562">
        <v>6.5497685185185187E-2</v>
      </c>
      <c r="G1497" s="28"/>
      <c r="J1497" t="s">
        <v>1662</v>
      </c>
    </row>
    <row r="1498" spans="1:10" hidden="1" outlineLevel="1">
      <c r="A1498" s="28"/>
      <c r="B1498" s="1">
        <v>47</v>
      </c>
      <c r="C1498" s="5" t="s">
        <v>4352</v>
      </c>
      <c r="D1498" s="6">
        <v>0</v>
      </c>
      <c r="E1498" s="62">
        <v>45263</v>
      </c>
      <c r="F1498" s="63">
        <v>1.1689814814814816E-3</v>
      </c>
      <c r="G1498" s="28"/>
      <c r="J1498" t="s">
        <v>1662</v>
      </c>
    </row>
    <row r="1499" spans="1:10" hidden="1" outlineLevel="1">
      <c r="A1499" s="28"/>
      <c r="B1499" s="1">
        <v>48</v>
      </c>
      <c r="C1499" s="5" t="s">
        <v>4390</v>
      </c>
      <c r="D1499" s="6">
        <v>27</v>
      </c>
      <c r="E1499" s="62">
        <v>45289</v>
      </c>
      <c r="F1499" s="63">
        <v>4.9629629629629635E-2</v>
      </c>
      <c r="G1499" s="28"/>
      <c r="J1499" t="s">
        <v>1662</v>
      </c>
    </row>
    <row r="1500" spans="1:10" hidden="1" outlineLevel="1">
      <c r="A1500" s="28"/>
      <c r="B1500" s="1">
        <v>49</v>
      </c>
      <c r="C1500" s="5" t="s">
        <v>4391</v>
      </c>
      <c r="D1500" s="6">
        <v>136</v>
      </c>
      <c r="E1500" s="62">
        <v>45323</v>
      </c>
      <c r="F1500" s="63">
        <v>3.7731481481481484E-2</v>
      </c>
      <c r="G1500" s="28"/>
      <c r="J1500" t="s">
        <v>1662</v>
      </c>
    </row>
    <row r="1501" spans="1:10" hidden="1" outlineLevel="1">
      <c r="A1501" s="28"/>
      <c r="B1501" s="1">
        <v>50</v>
      </c>
      <c r="C1501" s="5" t="s">
        <v>4462</v>
      </c>
      <c r="D1501" s="6">
        <v>38</v>
      </c>
      <c r="E1501" s="3">
        <v>45352</v>
      </c>
      <c r="F1501" s="4">
        <v>4.0729166666666664E-2</v>
      </c>
      <c r="G1501" s="28"/>
      <c r="J1501" t="s">
        <v>1662</v>
      </c>
    </row>
    <row r="1502" spans="1:10" hidden="1" outlineLevel="1">
      <c r="A1502" s="28"/>
      <c r="B1502" s="7">
        <v>51</v>
      </c>
      <c r="C1502" s="8" t="s">
        <v>4463</v>
      </c>
      <c r="D1502" s="27">
        <v>109</v>
      </c>
      <c r="E1502" s="726">
        <v>45380</v>
      </c>
      <c r="F1502" s="727">
        <v>3.8379629629629632E-2</v>
      </c>
      <c r="G1502" s="28"/>
      <c r="J1502" t="s">
        <v>1662</v>
      </c>
    </row>
    <row r="1503" spans="1:10" ht="0.5" customHeight="1">
      <c r="A1503" s="28"/>
      <c r="B1503" s="231"/>
      <c r="C1503" s="231"/>
      <c r="D1503" s="232"/>
      <c r="E1503" s="233"/>
      <c r="F1503" s="234"/>
      <c r="G1503" s="28"/>
    </row>
    <row r="1504" spans="1:10" collapsed="1">
      <c r="A1504" s="28"/>
      <c r="B1504" s="221"/>
      <c r="C1504" s="222" t="s">
        <v>1728</v>
      </c>
      <c r="D1504" s="223"/>
      <c r="E1504" s="224"/>
      <c r="F1504" s="225"/>
      <c r="G1504" s="28"/>
    </row>
    <row r="1505" spans="1:10" hidden="1" outlineLevel="1">
      <c r="A1505" s="28"/>
      <c r="B1505" s="23" t="s">
        <v>5</v>
      </c>
      <c r="C1505" s="24" t="s">
        <v>6</v>
      </c>
      <c r="D1505" s="25" t="s">
        <v>4</v>
      </c>
      <c r="E1505" s="138" t="s">
        <v>8</v>
      </c>
      <c r="F1505" s="26" t="s">
        <v>7</v>
      </c>
      <c r="G1505" s="28"/>
    </row>
    <row r="1506" spans="1:10" hidden="1" outlineLevel="1">
      <c r="A1506" s="28"/>
      <c r="B1506" s="1">
        <v>1</v>
      </c>
      <c r="C1506" s="5" t="s">
        <v>1706</v>
      </c>
      <c r="D1506" s="226">
        <v>36</v>
      </c>
      <c r="E1506" s="62">
        <v>44158</v>
      </c>
      <c r="F1506" s="4">
        <v>1.877314814814815E-2</v>
      </c>
      <c r="G1506" s="28"/>
      <c r="J1506" t="s">
        <v>1662</v>
      </c>
    </row>
    <row r="1507" spans="1:10" hidden="1" outlineLevel="1">
      <c r="A1507" s="28"/>
      <c r="B1507" s="1">
        <v>2</v>
      </c>
      <c r="C1507" s="5" t="s">
        <v>1131</v>
      </c>
      <c r="D1507" s="226">
        <v>104</v>
      </c>
      <c r="E1507" s="62">
        <v>44158</v>
      </c>
      <c r="F1507" s="63">
        <v>2.179398148148148E-2</v>
      </c>
      <c r="G1507" s="28"/>
      <c r="J1507" t="s">
        <v>1662</v>
      </c>
    </row>
    <row r="1508" spans="1:10" hidden="1" outlineLevel="1">
      <c r="A1508" s="28"/>
      <c r="B1508" s="1">
        <v>3</v>
      </c>
      <c r="C1508" s="5" t="s">
        <v>1690</v>
      </c>
      <c r="D1508" s="226">
        <v>97</v>
      </c>
      <c r="E1508" s="3">
        <v>44176</v>
      </c>
      <c r="F1508" s="4">
        <v>1.7708333333333333E-2</v>
      </c>
      <c r="G1508" s="28"/>
      <c r="J1508" t="s">
        <v>1662</v>
      </c>
    </row>
    <row r="1509" spans="1:10" hidden="1" outlineLevel="1">
      <c r="A1509" s="28"/>
      <c r="B1509" s="1">
        <v>4</v>
      </c>
      <c r="C1509" s="5" t="s">
        <v>1147</v>
      </c>
      <c r="D1509" s="226">
        <v>120</v>
      </c>
      <c r="E1509" s="3">
        <v>44176</v>
      </c>
      <c r="F1509" s="63">
        <v>1.7789351851851851E-2</v>
      </c>
      <c r="G1509" s="28"/>
      <c r="J1509" t="s">
        <v>1662</v>
      </c>
    </row>
    <row r="1510" spans="1:10" hidden="1" outlineLevel="1">
      <c r="A1510" s="28"/>
      <c r="B1510" s="1">
        <v>5</v>
      </c>
      <c r="C1510" s="5" t="s">
        <v>1693</v>
      </c>
      <c r="D1510" s="226">
        <v>12</v>
      </c>
      <c r="E1510" s="62">
        <v>44196</v>
      </c>
      <c r="F1510" s="63">
        <v>2.359953703703704E-2</v>
      </c>
      <c r="G1510" s="28"/>
      <c r="J1510" t="s">
        <v>1662</v>
      </c>
    </row>
    <row r="1511" spans="1:10" hidden="1" outlineLevel="1">
      <c r="A1511" s="28"/>
      <c r="B1511" s="1">
        <v>6</v>
      </c>
      <c r="C1511" s="5" t="s">
        <v>1106</v>
      </c>
      <c r="D1511" s="226">
        <v>78</v>
      </c>
      <c r="E1511" s="3">
        <v>44196</v>
      </c>
      <c r="F1511" s="63">
        <v>2.0578703703703703E-2</v>
      </c>
      <c r="G1511" s="28"/>
      <c r="J1511" t="s">
        <v>1662</v>
      </c>
    </row>
    <row r="1512" spans="1:10" hidden="1" outlineLevel="1">
      <c r="A1512" s="28"/>
      <c r="B1512" s="1">
        <v>7</v>
      </c>
      <c r="C1512" s="5" t="s">
        <v>1695</v>
      </c>
      <c r="D1512" s="226">
        <v>39</v>
      </c>
      <c r="E1512" s="74">
        <v>44212</v>
      </c>
      <c r="F1512" s="63">
        <v>2.2013888888888888E-2</v>
      </c>
      <c r="G1512" s="28"/>
      <c r="J1512" t="s">
        <v>1662</v>
      </c>
    </row>
    <row r="1513" spans="1:10" hidden="1" outlineLevel="1">
      <c r="A1513" s="28"/>
      <c r="B1513" s="1">
        <v>8</v>
      </c>
      <c r="C1513" s="5" t="s">
        <v>1694</v>
      </c>
      <c r="D1513" s="226">
        <v>187</v>
      </c>
      <c r="E1513" s="74">
        <v>44212</v>
      </c>
      <c r="F1513" s="63">
        <v>1.8506944444444444E-2</v>
      </c>
      <c r="G1513" s="28"/>
      <c r="J1513" t="s">
        <v>1662</v>
      </c>
    </row>
    <row r="1514" spans="1:10" hidden="1" outlineLevel="1">
      <c r="A1514" s="28"/>
      <c r="B1514" s="1">
        <v>9</v>
      </c>
      <c r="C1514" s="5" t="s">
        <v>1104</v>
      </c>
      <c r="D1514" s="226">
        <v>76</v>
      </c>
      <c r="E1514" s="74">
        <v>44232</v>
      </c>
      <c r="F1514" s="63">
        <v>2.3634259259259258E-2</v>
      </c>
      <c r="G1514" s="28"/>
      <c r="J1514" t="s">
        <v>1662</v>
      </c>
    </row>
    <row r="1515" spans="1:10" hidden="1" outlineLevel="1">
      <c r="A1515" s="28"/>
      <c r="B1515" s="1">
        <v>10</v>
      </c>
      <c r="C1515" s="5" t="s">
        <v>1127</v>
      </c>
      <c r="D1515" s="226">
        <v>99</v>
      </c>
      <c r="E1515" s="74">
        <v>44232</v>
      </c>
      <c r="F1515" s="63">
        <v>2.0439814814814817E-2</v>
      </c>
      <c r="G1515" s="28"/>
      <c r="J1515" t="s">
        <v>1662</v>
      </c>
    </row>
    <row r="1516" spans="1:10" hidden="1" outlineLevel="1">
      <c r="A1516" s="28"/>
      <c r="B1516" s="1">
        <v>11</v>
      </c>
      <c r="C1516" s="5" t="s">
        <v>1212</v>
      </c>
      <c r="D1516" s="226">
        <v>188</v>
      </c>
      <c r="E1516" s="74">
        <v>44232</v>
      </c>
      <c r="F1516" s="63">
        <v>1.7557870370370373E-2</v>
      </c>
      <c r="G1516" s="28"/>
      <c r="J1516" t="s">
        <v>1662</v>
      </c>
    </row>
    <row r="1517" spans="1:10" hidden="1" outlineLevel="1">
      <c r="A1517" s="28"/>
      <c r="B1517" s="1">
        <v>12</v>
      </c>
      <c r="C1517" s="5" t="s">
        <v>1697</v>
      </c>
      <c r="D1517" s="226">
        <v>8</v>
      </c>
      <c r="E1517" s="74">
        <v>44253</v>
      </c>
      <c r="F1517" s="63">
        <v>2.3715277777777776E-2</v>
      </c>
      <c r="G1517" s="28"/>
      <c r="J1517" t="s">
        <v>1662</v>
      </c>
    </row>
    <row r="1518" spans="1:10" hidden="1" outlineLevel="1">
      <c r="A1518" s="28"/>
      <c r="B1518" s="1">
        <v>13</v>
      </c>
      <c r="C1518" s="5" t="s">
        <v>1696</v>
      </c>
      <c r="D1518" s="226">
        <v>199</v>
      </c>
      <c r="E1518" s="74">
        <v>44253</v>
      </c>
      <c r="F1518" s="63">
        <v>1.4965277777777779E-2</v>
      </c>
      <c r="G1518" s="28"/>
      <c r="J1518" t="s">
        <v>1662</v>
      </c>
    </row>
    <row r="1519" spans="1:10" hidden="1" outlineLevel="1">
      <c r="A1519" s="28"/>
      <c r="B1519" s="1">
        <v>14</v>
      </c>
      <c r="C1519" s="5" t="s">
        <v>1699</v>
      </c>
      <c r="D1519" s="226">
        <v>22</v>
      </c>
      <c r="E1519" s="74">
        <v>44274</v>
      </c>
      <c r="F1519" s="63">
        <v>2.9629629629629627E-2</v>
      </c>
      <c r="G1519" s="28"/>
      <c r="J1519" t="s">
        <v>1662</v>
      </c>
    </row>
    <row r="1520" spans="1:10" hidden="1" outlineLevel="1">
      <c r="A1520" s="28"/>
      <c r="B1520" s="1">
        <v>15</v>
      </c>
      <c r="C1520" s="5" t="s">
        <v>1698</v>
      </c>
      <c r="D1520" s="226">
        <v>107</v>
      </c>
      <c r="E1520" s="74">
        <v>44274</v>
      </c>
      <c r="F1520" s="63">
        <v>1.982638888888889E-2</v>
      </c>
      <c r="G1520" s="28"/>
      <c r="J1520" t="s">
        <v>1662</v>
      </c>
    </row>
    <row r="1521" spans="1:10" hidden="1" outlineLevel="1">
      <c r="A1521" s="28"/>
      <c r="B1521" s="1">
        <v>16</v>
      </c>
      <c r="C1521" s="5" t="s">
        <v>1700</v>
      </c>
      <c r="D1521" s="226">
        <v>23</v>
      </c>
      <c r="E1521" s="3">
        <v>44295</v>
      </c>
      <c r="F1521" s="4">
        <v>2.3842592592592596E-2</v>
      </c>
      <c r="G1521" s="28"/>
      <c r="J1521" t="s">
        <v>1662</v>
      </c>
    </row>
    <row r="1522" spans="1:10" hidden="1" outlineLevel="1">
      <c r="A1522" s="28"/>
      <c r="B1522" s="1">
        <v>17</v>
      </c>
      <c r="C1522" s="5" t="s">
        <v>1701</v>
      </c>
      <c r="D1522" s="226">
        <v>180</v>
      </c>
      <c r="E1522" s="3">
        <v>44295</v>
      </c>
      <c r="F1522" s="4">
        <v>2.7696759259259258E-2</v>
      </c>
      <c r="G1522" s="28"/>
      <c r="J1522" t="s">
        <v>1662</v>
      </c>
    </row>
    <row r="1523" spans="1:10" hidden="1" outlineLevel="1">
      <c r="A1523" s="28"/>
      <c r="B1523" s="1">
        <v>18</v>
      </c>
      <c r="C1523" s="5" t="s">
        <v>1710</v>
      </c>
      <c r="D1523" s="226">
        <v>4</v>
      </c>
      <c r="E1523" s="62">
        <v>44316</v>
      </c>
      <c r="F1523" s="63">
        <v>2.6261574074074076E-2</v>
      </c>
      <c r="G1523" s="28"/>
      <c r="J1523" t="s">
        <v>1662</v>
      </c>
    </row>
    <row r="1524" spans="1:10" hidden="1" outlineLevel="1">
      <c r="A1524" s="28"/>
      <c r="B1524" s="1">
        <v>19</v>
      </c>
      <c r="C1524" s="5" t="s">
        <v>1711</v>
      </c>
      <c r="D1524" s="226">
        <v>167</v>
      </c>
      <c r="E1524" s="62">
        <v>44316</v>
      </c>
      <c r="F1524" s="63">
        <v>2.8703703703703703E-2</v>
      </c>
      <c r="G1524" s="28"/>
      <c r="J1524" t="s">
        <v>1662</v>
      </c>
    </row>
    <row r="1525" spans="1:10" hidden="1" outlineLevel="1">
      <c r="A1525" s="28"/>
      <c r="B1525" s="1">
        <v>20</v>
      </c>
      <c r="C1525" s="5" t="s">
        <v>1722</v>
      </c>
      <c r="D1525" s="226">
        <v>2</v>
      </c>
      <c r="E1525" s="3">
        <v>44337</v>
      </c>
      <c r="F1525" s="4">
        <v>2.9872685185185183E-2</v>
      </c>
      <c r="G1525" s="28"/>
      <c r="J1525" t="s">
        <v>1662</v>
      </c>
    </row>
    <row r="1526" spans="1:10" hidden="1" outlineLevel="1">
      <c r="A1526" s="28"/>
      <c r="B1526" s="1">
        <v>21</v>
      </c>
      <c r="C1526" s="5" t="s">
        <v>1766</v>
      </c>
      <c r="D1526" s="226">
        <v>171</v>
      </c>
      <c r="E1526" s="3">
        <v>44337</v>
      </c>
      <c r="F1526" s="4">
        <v>2.8877314814814817E-2</v>
      </c>
      <c r="G1526" s="28"/>
      <c r="J1526" t="s">
        <v>1662</v>
      </c>
    </row>
    <row r="1527" spans="1:10" hidden="1" outlineLevel="1">
      <c r="A1527" s="28"/>
      <c r="B1527" s="1">
        <v>22</v>
      </c>
      <c r="C1527" s="5" t="s">
        <v>1787</v>
      </c>
      <c r="D1527" s="226">
        <v>25</v>
      </c>
      <c r="E1527" s="62">
        <v>44358</v>
      </c>
      <c r="F1527" s="63">
        <v>2.388888888888889E-2</v>
      </c>
      <c r="G1527" s="28"/>
      <c r="J1527" t="s">
        <v>1662</v>
      </c>
    </row>
    <row r="1528" spans="1:10" hidden="1" outlineLevel="1">
      <c r="A1528" s="28"/>
      <c r="B1528" s="1">
        <v>23</v>
      </c>
      <c r="C1528" s="5" t="s">
        <v>1788</v>
      </c>
      <c r="D1528" s="226">
        <v>26</v>
      </c>
      <c r="E1528" s="62">
        <v>44358</v>
      </c>
      <c r="F1528" s="63">
        <v>2.2604166666666665E-2</v>
      </c>
      <c r="G1528" s="28"/>
      <c r="J1528" t="s">
        <v>1662</v>
      </c>
    </row>
    <row r="1529" spans="1:10" hidden="1" outlineLevel="1">
      <c r="A1529" s="28"/>
      <c r="B1529" s="1">
        <v>24</v>
      </c>
      <c r="C1529" s="5" t="s">
        <v>1789</v>
      </c>
      <c r="D1529" s="226">
        <v>148</v>
      </c>
      <c r="E1529" s="3">
        <v>44365</v>
      </c>
      <c r="F1529" s="4">
        <v>2.8414351851851847E-2</v>
      </c>
      <c r="G1529" s="28"/>
      <c r="J1529" t="s">
        <v>1662</v>
      </c>
    </row>
    <row r="1530" spans="1:10" hidden="1" outlineLevel="1">
      <c r="A1530" s="28"/>
      <c r="B1530" s="1">
        <v>25</v>
      </c>
      <c r="C1530" s="5" t="s">
        <v>1892</v>
      </c>
      <c r="D1530" s="226">
        <v>73</v>
      </c>
      <c r="E1530" s="247">
        <v>44435</v>
      </c>
      <c r="F1530" s="248">
        <v>1.8680555555555554E-2</v>
      </c>
      <c r="G1530" s="28"/>
      <c r="J1530" t="s">
        <v>1662</v>
      </c>
    </row>
    <row r="1531" spans="1:10" hidden="1" outlineLevel="1">
      <c r="A1531" s="28"/>
      <c r="B1531" s="1">
        <v>26</v>
      </c>
      <c r="C1531" s="5" t="s">
        <v>1893</v>
      </c>
      <c r="D1531" s="226">
        <v>194</v>
      </c>
      <c r="E1531" s="3">
        <v>44435</v>
      </c>
      <c r="F1531" s="248">
        <v>1.6273148148148148E-2</v>
      </c>
      <c r="G1531" s="28"/>
      <c r="J1531" t="s">
        <v>1662</v>
      </c>
    </row>
    <row r="1532" spans="1:10" hidden="1" outlineLevel="1">
      <c r="A1532" s="28"/>
      <c r="B1532" s="1">
        <v>27</v>
      </c>
      <c r="C1532" s="5" t="s">
        <v>2006</v>
      </c>
      <c r="D1532" s="226">
        <v>18</v>
      </c>
      <c r="E1532" s="3">
        <v>44463</v>
      </c>
      <c r="F1532" s="4">
        <v>2.2847222222222224E-2</v>
      </c>
      <c r="G1532" s="28"/>
      <c r="J1532" t="s">
        <v>1662</v>
      </c>
    </row>
    <row r="1533" spans="1:10" hidden="1" outlineLevel="1">
      <c r="A1533" s="28"/>
      <c r="B1533" s="1">
        <v>28</v>
      </c>
      <c r="C1533" s="5" t="s">
        <v>1210</v>
      </c>
      <c r="D1533" s="226">
        <v>186</v>
      </c>
      <c r="E1533" s="3">
        <v>44463</v>
      </c>
      <c r="F1533" s="4">
        <v>2.9722222222222219E-2</v>
      </c>
      <c r="G1533" s="28"/>
      <c r="J1533" t="s">
        <v>1662</v>
      </c>
    </row>
    <row r="1534" spans="1:10" hidden="1" outlineLevel="1">
      <c r="A1534" s="28"/>
      <c r="B1534" s="1">
        <v>29</v>
      </c>
      <c r="C1534" s="5" t="s">
        <v>1099</v>
      </c>
      <c r="D1534" s="226">
        <v>71</v>
      </c>
      <c r="E1534" s="3">
        <v>44484</v>
      </c>
      <c r="F1534" s="4">
        <v>3.2685185185185185E-2</v>
      </c>
      <c r="G1534" s="28"/>
      <c r="J1534" t="s">
        <v>1662</v>
      </c>
    </row>
    <row r="1535" spans="1:10" hidden="1" outlineLevel="1">
      <c r="A1535" s="28"/>
      <c r="B1535" s="1">
        <v>30</v>
      </c>
      <c r="C1535" s="5" t="s">
        <v>2208</v>
      </c>
      <c r="D1535" s="226">
        <v>203</v>
      </c>
      <c r="E1535" s="3">
        <v>44484</v>
      </c>
      <c r="F1535" s="4">
        <v>2.631944444444444E-2</v>
      </c>
      <c r="G1535" s="28"/>
      <c r="J1535" t="s">
        <v>1662</v>
      </c>
    </row>
    <row r="1536" spans="1:10" hidden="1" outlineLevel="1">
      <c r="A1536" s="28"/>
      <c r="B1536" s="1">
        <v>31</v>
      </c>
      <c r="C1536" s="5" t="s">
        <v>1721</v>
      </c>
      <c r="D1536" s="226">
        <v>125</v>
      </c>
      <c r="E1536" s="62">
        <v>44505</v>
      </c>
      <c r="F1536" s="63">
        <v>3.3888888888888885E-2</v>
      </c>
      <c r="G1536" s="28"/>
      <c r="J1536" t="s">
        <v>1662</v>
      </c>
    </row>
    <row r="1537" spans="1:10" hidden="1" outlineLevel="1">
      <c r="A1537" s="28"/>
      <c r="B1537" s="1">
        <v>32</v>
      </c>
      <c r="C1537" s="5" t="s">
        <v>1117</v>
      </c>
      <c r="D1537" s="226">
        <v>89</v>
      </c>
      <c r="E1537" s="3">
        <v>44526</v>
      </c>
      <c r="F1537" s="4">
        <v>1.4444444444444446E-2</v>
      </c>
      <c r="G1537" s="28"/>
      <c r="J1537" t="s">
        <v>1662</v>
      </c>
    </row>
    <row r="1538" spans="1:10" hidden="1" outlineLevel="1">
      <c r="A1538" s="28"/>
      <c r="B1538" s="1">
        <v>33</v>
      </c>
      <c r="C1538" s="5" t="s">
        <v>2485</v>
      </c>
      <c r="D1538" s="226">
        <v>42</v>
      </c>
      <c r="E1538" s="3">
        <v>44526</v>
      </c>
      <c r="F1538" s="4">
        <v>1.2268518518518519E-2</v>
      </c>
      <c r="G1538" s="28"/>
      <c r="J1538" t="s">
        <v>1662</v>
      </c>
    </row>
    <row r="1539" spans="1:10" hidden="1" outlineLevel="1">
      <c r="A1539" s="28"/>
      <c r="B1539" s="1">
        <v>34</v>
      </c>
      <c r="C1539" s="5" t="s">
        <v>1914</v>
      </c>
      <c r="D1539" s="226">
        <v>10</v>
      </c>
      <c r="E1539" s="3">
        <v>44526</v>
      </c>
      <c r="F1539" s="4">
        <v>1.2499999999999999E-2</v>
      </c>
      <c r="G1539" s="28"/>
      <c r="J1539" t="s">
        <v>1662</v>
      </c>
    </row>
    <row r="1540" spans="1:10" hidden="1" outlineLevel="1">
      <c r="A1540" s="28"/>
      <c r="B1540" s="1">
        <v>35</v>
      </c>
      <c r="C1540" s="5" t="s">
        <v>2609</v>
      </c>
      <c r="D1540" s="226">
        <v>66</v>
      </c>
      <c r="E1540" s="3">
        <v>44547</v>
      </c>
      <c r="F1540" s="4">
        <v>3.3587962962962965E-2</v>
      </c>
      <c r="G1540" s="28"/>
      <c r="J1540" t="s">
        <v>1662</v>
      </c>
    </row>
    <row r="1541" spans="1:10" hidden="1" outlineLevel="1">
      <c r="A1541" s="28"/>
      <c r="B1541" s="1">
        <v>36</v>
      </c>
      <c r="C1541" s="5" t="s">
        <v>1190</v>
      </c>
      <c r="D1541" s="226">
        <v>165</v>
      </c>
      <c r="E1541" s="3">
        <v>44547</v>
      </c>
      <c r="F1541" s="4">
        <v>3.8090277777777778E-2</v>
      </c>
      <c r="G1541" s="28"/>
      <c r="J1541" t="s">
        <v>1662</v>
      </c>
    </row>
    <row r="1542" spans="1:10" hidden="1" outlineLevel="1">
      <c r="A1542" s="28"/>
      <c r="B1542" s="1">
        <v>37</v>
      </c>
      <c r="C1542" s="5" t="s">
        <v>2680</v>
      </c>
      <c r="D1542" s="226">
        <v>65</v>
      </c>
      <c r="E1542" s="62">
        <v>44582</v>
      </c>
      <c r="F1542" s="63">
        <v>3.1168981481481482E-2</v>
      </c>
      <c r="G1542" s="28"/>
      <c r="J1542" t="s">
        <v>1662</v>
      </c>
    </row>
    <row r="1543" spans="1:10" hidden="1" outlineLevel="1">
      <c r="A1543" s="28"/>
      <c r="B1543" s="1">
        <v>38</v>
      </c>
      <c r="C1543" s="5" t="s">
        <v>2681</v>
      </c>
      <c r="D1543" s="226">
        <v>67</v>
      </c>
      <c r="E1543" s="62">
        <v>44582</v>
      </c>
      <c r="F1543" s="63">
        <v>3.4421296296296297E-2</v>
      </c>
      <c r="G1543" s="28"/>
      <c r="J1543" t="s">
        <v>1662</v>
      </c>
    </row>
    <row r="1544" spans="1:10" hidden="1" outlineLevel="1">
      <c r="A1544" s="28"/>
      <c r="B1544" s="1">
        <v>39</v>
      </c>
      <c r="C1544" s="5" t="s">
        <v>2682</v>
      </c>
      <c r="D1544" s="226">
        <v>68</v>
      </c>
      <c r="E1544" s="62">
        <v>44582</v>
      </c>
      <c r="F1544" s="63">
        <v>2.8819444444444443E-2</v>
      </c>
      <c r="G1544" s="28"/>
      <c r="J1544" t="s">
        <v>1662</v>
      </c>
    </row>
    <row r="1545" spans="1:10" hidden="1" outlineLevel="1">
      <c r="A1545" s="28"/>
      <c r="B1545" s="1">
        <v>40</v>
      </c>
      <c r="C1545" s="5" t="s">
        <v>1120</v>
      </c>
      <c r="D1545" s="226">
        <v>92</v>
      </c>
      <c r="E1545" s="62">
        <v>44617</v>
      </c>
      <c r="F1545" s="63">
        <v>2.7893518518518515E-2</v>
      </c>
      <c r="G1545" s="28"/>
      <c r="J1545" t="s">
        <v>1662</v>
      </c>
    </row>
    <row r="1546" spans="1:10" hidden="1" outlineLevel="1">
      <c r="A1546" s="28"/>
      <c r="B1546" s="1">
        <v>41</v>
      </c>
      <c r="C1546" s="5" t="s">
        <v>1181</v>
      </c>
      <c r="D1546" s="226">
        <v>156</v>
      </c>
      <c r="E1546" s="62">
        <v>44617</v>
      </c>
      <c r="F1546" s="63">
        <v>2.6053240740740738E-2</v>
      </c>
      <c r="G1546" s="28"/>
      <c r="J1546" t="s">
        <v>1662</v>
      </c>
    </row>
    <row r="1547" spans="1:10" hidden="1" outlineLevel="1">
      <c r="A1547" s="28"/>
      <c r="B1547" s="1">
        <v>42</v>
      </c>
      <c r="C1547" s="5" t="s">
        <v>2602</v>
      </c>
      <c r="D1547" s="226">
        <v>11</v>
      </c>
      <c r="E1547" s="503">
        <v>44638</v>
      </c>
      <c r="F1547" s="504">
        <v>3.0300925925925926E-2</v>
      </c>
      <c r="G1547" s="28"/>
      <c r="J1547" t="s">
        <v>1662</v>
      </c>
    </row>
    <row r="1548" spans="1:10" hidden="1" outlineLevel="1">
      <c r="A1548" s="28"/>
      <c r="B1548" s="1">
        <v>43</v>
      </c>
      <c r="C1548" s="5" t="s">
        <v>1173</v>
      </c>
      <c r="D1548" s="226">
        <v>147</v>
      </c>
      <c r="E1548" s="503">
        <v>44638</v>
      </c>
      <c r="F1548" s="504">
        <v>2.3587962962962963E-2</v>
      </c>
      <c r="G1548" s="28"/>
      <c r="J1548" t="s">
        <v>1662</v>
      </c>
    </row>
    <row r="1549" spans="1:10" hidden="1" outlineLevel="1">
      <c r="A1549" s="28"/>
      <c r="B1549" s="1">
        <v>44</v>
      </c>
      <c r="C1549" s="5" t="s">
        <v>2889</v>
      </c>
      <c r="D1549" s="226">
        <v>16</v>
      </c>
      <c r="E1549" s="503">
        <v>44666</v>
      </c>
      <c r="F1549" s="504">
        <v>3.3969907407407407E-2</v>
      </c>
      <c r="G1549" s="28"/>
      <c r="J1549" t="s">
        <v>1662</v>
      </c>
    </row>
    <row r="1550" spans="1:10" hidden="1" outlineLevel="1">
      <c r="A1550" s="28"/>
      <c r="B1550" s="1">
        <v>45</v>
      </c>
      <c r="C1550" s="5" t="s">
        <v>1205</v>
      </c>
      <c r="D1550" s="226">
        <v>181</v>
      </c>
      <c r="E1550" s="503">
        <v>44666</v>
      </c>
      <c r="F1550" s="504">
        <v>2.4016203703703706E-2</v>
      </c>
      <c r="G1550" s="28"/>
      <c r="J1550" t="s">
        <v>1662</v>
      </c>
    </row>
    <row r="1551" spans="1:10" hidden="1" outlineLevel="1">
      <c r="A1551" s="28"/>
      <c r="B1551" s="1">
        <v>46</v>
      </c>
      <c r="C1551" s="5" t="s">
        <v>1724</v>
      </c>
      <c r="D1551" s="226">
        <v>3</v>
      </c>
      <c r="E1551" s="503">
        <v>44708</v>
      </c>
      <c r="F1551" s="504">
        <v>2.5983796296296297E-2</v>
      </c>
      <c r="G1551" s="28"/>
      <c r="J1551" t="s">
        <v>1662</v>
      </c>
    </row>
    <row r="1552" spans="1:10" hidden="1" outlineLevel="1">
      <c r="A1552" s="28"/>
      <c r="B1552" s="1">
        <v>47</v>
      </c>
      <c r="C1552" s="5" t="s">
        <v>1168</v>
      </c>
      <c r="D1552" s="226">
        <v>142</v>
      </c>
      <c r="E1552" s="503">
        <v>44708</v>
      </c>
      <c r="F1552" s="504">
        <v>2.3495370370370371E-2</v>
      </c>
      <c r="G1552" s="28"/>
      <c r="J1552" t="s">
        <v>1662</v>
      </c>
    </row>
    <row r="1553" spans="1:10" hidden="1" outlineLevel="1">
      <c r="A1553" s="28"/>
      <c r="B1553" s="1">
        <v>48</v>
      </c>
      <c r="C1553" s="5" t="s">
        <v>1720</v>
      </c>
      <c r="D1553" s="226">
        <v>1</v>
      </c>
      <c r="E1553" s="3">
        <v>44764</v>
      </c>
      <c r="F1553" s="4">
        <v>2.7754629629629629E-2</v>
      </c>
      <c r="G1553" s="28"/>
      <c r="J1553" t="s">
        <v>1662</v>
      </c>
    </row>
    <row r="1554" spans="1:10" hidden="1" outlineLevel="1">
      <c r="A1554" s="28"/>
      <c r="B1554" s="1">
        <v>49</v>
      </c>
      <c r="C1554" s="5" t="s">
        <v>2720</v>
      </c>
      <c r="D1554" s="226">
        <v>216</v>
      </c>
      <c r="E1554" s="3">
        <v>44764</v>
      </c>
      <c r="F1554" s="4">
        <v>2.8715277777777781E-2</v>
      </c>
      <c r="G1554" s="28"/>
      <c r="J1554" t="s">
        <v>1662</v>
      </c>
    </row>
    <row r="1555" spans="1:10" hidden="1" outlineLevel="1">
      <c r="A1555" s="28"/>
      <c r="B1555" s="1">
        <v>50</v>
      </c>
      <c r="C1555" s="5" t="s">
        <v>1103</v>
      </c>
      <c r="D1555" s="226">
        <v>75</v>
      </c>
      <c r="E1555" s="3">
        <v>44792</v>
      </c>
      <c r="F1555" s="4">
        <v>3.4722222222222224E-2</v>
      </c>
      <c r="G1555" s="28"/>
      <c r="J1555" t="s">
        <v>1662</v>
      </c>
    </row>
    <row r="1556" spans="1:10" hidden="1" outlineLevel="1">
      <c r="A1556" s="28"/>
      <c r="B1556" s="1">
        <v>51</v>
      </c>
      <c r="C1556" s="5" t="s">
        <v>1154</v>
      </c>
      <c r="D1556" s="226">
        <v>128</v>
      </c>
      <c r="E1556" s="3">
        <v>44792</v>
      </c>
      <c r="F1556" s="4">
        <v>2.6030092592592594E-2</v>
      </c>
      <c r="G1556" s="28"/>
      <c r="J1556" t="s">
        <v>1662</v>
      </c>
    </row>
    <row r="1557" spans="1:10" hidden="1" outlineLevel="1">
      <c r="A1557" s="28"/>
      <c r="B1557" s="1">
        <v>52</v>
      </c>
      <c r="C1557" s="5" t="s">
        <v>3049</v>
      </c>
      <c r="D1557" s="226">
        <v>77</v>
      </c>
      <c r="E1557" s="3">
        <v>44827</v>
      </c>
      <c r="F1557" s="4">
        <v>2.4236111111111111E-2</v>
      </c>
      <c r="G1557" s="28"/>
      <c r="J1557" t="s">
        <v>1662</v>
      </c>
    </row>
    <row r="1558" spans="1:10" hidden="1" outlineLevel="1">
      <c r="A1558" s="28"/>
      <c r="B1558" s="1">
        <v>53</v>
      </c>
      <c r="C1558" s="5" t="s">
        <v>2703</v>
      </c>
      <c r="D1558" s="226">
        <v>202</v>
      </c>
      <c r="E1558" s="3">
        <v>44827</v>
      </c>
      <c r="F1558" s="4">
        <v>3.3773148148148149E-2</v>
      </c>
      <c r="G1558" s="28"/>
      <c r="J1558" t="s">
        <v>1662</v>
      </c>
    </row>
    <row r="1559" spans="1:10" hidden="1" outlineLevel="1">
      <c r="A1559" s="28"/>
      <c r="B1559" s="1">
        <v>54</v>
      </c>
      <c r="C1559" s="5" t="s">
        <v>3081</v>
      </c>
      <c r="D1559" s="226">
        <v>35</v>
      </c>
      <c r="E1559" s="3">
        <v>44855</v>
      </c>
      <c r="F1559" s="4">
        <v>3.9282407407407412E-2</v>
      </c>
      <c r="G1559" s="28"/>
      <c r="J1559" t="s">
        <v>1662</v>
      </c>
    </row>
    <row r="1560" spans="1:10" hidden="1" outlineLevel="1">
      <c r="A1560" s="28"/>
      <c r="B1560" s="1">
        <v>55</v>
      </c>
      <c r="C1560" s="5" t="s">
        <v>3082</v>
      </c>
      <c r="D1560" s="226">
        <v>126</v>
      </c>
      <c r="E1560" s="3">
        <v>44855</v>
      </c>
      <c r="F1560" s="4">
        <v>3.5636574074074077E-2</v>
      </c>
      <c r="G1560" s="28"/>
      <c r="J1560" t="s">
        <v>1662</v>
      </c>
    </row>
    <row r="1561" spans="1:10" hidden="1" outlineLevel="1">
      <c r="A1561" s="28"/>
      <c r="B1561" s="1">
        <v>56</v>
      </c>
      <c r="C1561" s="5" t="s">
        <v>1114</v>
      </c>
      <c r="D1561" s="226">
        <v>86</v>
      </c>
      <c r="E1561" s="3">
        <v>44883</v>
      </c>
      <c r="F1561" s="4">
        <v>4.2766203703703702E-2</v>
      </c>
      <c r="G1561" s="28"/>
      <c r="J1561" t="s">
        <v>1662</v>
      </c>
    </row>
    <row r="1562" spans="1:10" hidden="1" outlineLevel="1">
      <c r="A1562" s="28"/>
      <c r="B1562" s="1">
        <v>57</v>
      </c>
      <c r="C1562" s="5" t="s">
        <v>1117</v>
      </c>
      <c r="D1562" s="226">
        <v>89</v>
      </c>
      <c r="E1562" s="3">
        <v>44890</v>
      </c>
      <c r="F1562" s="4">
        <v>3.5474537037037041E-2</v>
      </c>
      <c r="G1562" s="28"/>
      <c r="J1562" t="s">
        <v>1662</v>
      </c>
    </row>
    <row r="1563" spans="1:10" hidden="1" outlineLevel="1">
      <c r="A1563" s="28"/>
      <c r="B1563" s="1">
        <v>58</v>
      </c>
      <c r="C1563" s="5" t="s">
        <v>1107</v>
      </c>
      <c r="D1563" s="226">
        <v>79</v>
      </c>
      <c r="E1563" s="3">
        <v>44918</v>
      </c>
      <c r="F1563" s="4">
        <v>3.7222222222222219E-2</v>
      </c>
      <c r="G1563" s="28"/>
      <c r="J1563" t="s">
        <v>1662</v>
      </c>
    </row>
    <row r="1564" spans="1:10" hidden="1" outlineLevel="1">
      <c r="A1564" s="28"/>
      <c r="B1564" s="1">
        <v>59</v>
      </c>
      <c r="C1564" s="5" t="s">
        <v>2709</v>
      </c>
      <c r="D1564" s="226">
        <v>209</v>
      </c>
      <c r="E1564" s="3">
        <v>44918</v>
      </c>
      <c r="F1564" s="4">
        <v>3.5752314814814813E-2</v>
      </c>
      <c r="G1564" s="28"/>
      <c r="J1564" t="s">
        <v>1662</v>
      </c>
    </row>
    <row r="1565" spans="1:10" hidden="1" outlineLevel="1">
      <c r="A1565" s="28"/>
      <c r="B1565" s="1">
        <v>60</v>
      </c>
      <c r="C1565" s="5" t="s">
        <v>1119</v>
      </c>
      <c r="D1565" s="226">
        <v>91</v>
      </c>
      <c r="E1565" s="577">
        <v>44953</v>
      </c>
      <c r="F1565" s="562">
        <v>3.7615740740740741E-2</v>
      </c>
      <c r="G1565" s="28"/>
      <c r="J1565" t="s">
        <v>1662</v>
      </c>
    </row>
    <row r="1566" spans="1:10" hidden="1" outlineLevel="1">
      <c r="A1566" s="28"/>
      <c r="B1566" s="1">
        <v>61</v>
      </c>
      <c r="C1566" s="5" t="s">
        <v>1135</v>
      </c>
      <c r="D1566" s="226">
        <v>108</v>
      </c>
      <c r="E1566" s="577">
        <v>44953</v>
      </c>
      <c r="F1566" s="562">
        <v>4.4467592592592593E-2</v>
      </c>
      <c r="G1566" s="28"/>
      <c r="J1566" t="s">
        <v>1662</v>
      </c>
    </row>
    <row r="1567" spans="1:10" hidden="1" outlineLevel="1">
      <c r="A1567" s="28"/>
      <c r="B1567" s="1">
        <v>62</v>
      </c>
      <c r="C1567" s="5" t="s">
        <v>3752</v>
      </c>
      <c r="D1567" s="226">
        <v>5</v>
      </c>
      <c r="E1567" s="577">
        <v>44981</v>
      </c>
      <c r="F1567" s="562">
        <v>3.861111111111111E-2</v>
      </c>
      <c r="G1567" s="28"/>
      <c r="J1567" t="s">
        <v>1662</v>
      </c>
    </row>
    <row r="1568" spans="1:10" hidden="1" outlineLevel="1">
      <c r="A1568" s="28"/>
      <c r="B1568" s="1">
        <v>63</v>
      </c>
      <c r="C1568" s="5" t="s">
        <v>3753</v>
      </c>
      <c r="D1568" s="226">
        <v>213</v>
      </c>
      <c r="E1568" s="577">
        <v>44981</v>
      </c>
      <c r="F1568" s="562">
        <v>3.2060185185185185E-2</v>
      </c>
      <c r="G1568" s="28"/>
      <c r="J1568" t="s">
        <v>1662</v>
      </c>
    </row>
    <row r="1569" spans="1:10" hidden="1" outlineLevel="1">
      <c r="A1569" s="28"/>
      <c r="B1569" s="1">
        <v>64</v>
      </c>
      <c r="C1569" s="5" t="s">
        <v>1862</v>
      </c>
      <c r="D1569" s="226">
        <v>7</v>
      </c>
      <c r="E1569" s="577">
        <v>45009</v>
      </c>
      <c r="F1569" s="562">
        <v>4.628472222222222E-2</v>
      </c>
      <c r="G1569" s="28"/>
      <c r="J1569" t="s">
        <v>1662</v>
      </c>
    </row>
    <row r="1570" spans="1:10" hidden="1" outlineLevel="1">
      <c r="A1570" s="28"/>
      <c r="B1570" s="1">
        <v>65</v>
      </c>
      <c r="C1570" s="5" t="s">
        <v>1159</v>
      </c>
      <c r="D1570" s="226">
        <v>133</v>
      </c>
      <c r="E1570" s="577">
        <v>45009</v>
      </c>
      <c r="F1570" s="562">
        <v>3.8576388888888889E-2</v>
      </c>
      <c r="G1570" s="28"/>
      <c r="J1570" t="s">
        <v>1662</v>
      </c>
    </row>
    <row r="1571" spans="1:10" hidden="1" outlineLevel="1">
      <c r="A1571" s="28"/>
      <c r="B1571" s="1">
        <v>66</v>
      </c>
      <c r="C1571" s="5" t="s">
        <v>3902</v>
      </c>
      <c r="D1571" s="226">
        <v>47</v>
      </c>
      <c r="E1571" s="62">
        <v>45044</v>
      </c>
      <c r="F1571" s="63">
        <v>4.7071759259259265E-2</v>
      </c>
      <c r="G1571" s="28"/>
      <c r="J1571" t="s">
        <v>1662</v>
      </c>
    </row>
    <row r="1572" spans="1:10" hidden="1" outlineLevel="1">
      <c r="A1572" s="28"/>
      <c r="B1572" s="1">
        <v>67</v>
      </c>
      <c r="C1572" s="5" t="s">
        <v>1087</v>
      </c>
      <c r="D1572" s="226">
        <v>59</v>
      </c>
      <c r="E1572" s="62">
        <v>45044</v>
      </c>
      <c r="F1572" s="63">
        <v>3.0000000000000002E-2</v>
      </c>
      <c r="G1572" s="28"/>
      <c r="J1572" t="s">
        <v>1662</v>
      </c>
    </row>
    <row r="1573" spans="1:10" hidden="1" outlineLevel="1">
      <c r="A1573" s="28"/>
      <c r="B1573" s="1">
        <v>68</v>
      </c>
      <c r="C1573" s="5" t="s">
        <v>3943</v>
      </c>
      <c r="D1573" s="226">
        <v>32</v>
      </c>
      <c r="E1573" s="62">
        <v>45079</v>
      </c>
      <c r="F1573" s="63">
        <v>4.5196759259259256E-2</v>
      </c>
      <c r="G1573" s="28"/>
      <c r="J1573" t="s">
        <v>1662</v>
      </c>
    </row>
    <row r="1574" spans="1:10" hidden="1" outlineLevel="1">
      <c r="A1574" s="28"/>
      <c r="B1574" s="1">
        <v>69</v>
      </c>
      <c r="C1574" s="5" t="s">
        <v>1153</v>
      </c>
      <c r="D1574" s="226">
        <v>127</v>
      </c>
      <c r="E1574" s="62">
        <v>45079</v>
      </c>
      <c r="F1574" s="63">
        <v>3.9467592592592596E-2</v>
      </c>
      <c r="G1574" s="28"/>
      <c r="J1574" t="s">
        <v>1662</v>
      </c>
    </row>
    <row r="1575" spans="1:10">
      <c r="A1575" s="28"/>
      <c r="B1575" s="40"/>
      <c r="C1575" s="40"/>
      <c r="D1575" s="35"/>
      <c r="E1575" s="50"/>
      <c r="F1575" s="51"/>
      <c r="G1575" s="28"/>
    </row>
    <row r="1576" spans="1:10">
      <c r="A1576" s="28"/>
      <c r="B1576" s="28"/>
      <c r="C1576" s="28"/>
      <c r="D1576" s="29"/>
      <c r="E1576" s="52"/>
      <c r="F1576" s="53"/>
      <c r="G1576" s="28"/>
    </row>
    <row r="1577" spans="1:10">
      <c r="A1577" s="28"/>
      <c r="B1577" s="33"/>
      <c r="C1577" s="34" t="s">
        <v>1619</v>
      </c>
      <c r="D1577" s="40"/>
      <c r="E1577" s="36"/>
      <c r="F1577" s="37"/>
      <c r="G1577" s="28"/>
    </row>
    <row r="1578" spans="1:10" collapsed="1">
      <c r="A1578" s="28"/>
      <c r="B1578" s="38"/>
      <c r="C1578" s="230" t="s">
        <v>1614</v>
      </c>
      <c r="D1578" s="28"/>
      <c r="E1578" s="30"/>
      <c r="F1578" s="39"/>
      <c r="G1578" s="28"/>
    </row>
    <row r="1579" spans="1:10" hidden="1" outlineLevel="1">
      <c r="A1579" s="28"/>
      <c r="B1579" s="23" t="s">
        <v>5</v>
      </c>
      <c r="C1579" s="24" t="s">
        <v>6</v>
      </c>
      <c r="D1579" s="25" t="s">
        <v>4</v>
      </c>
      <c r="E1579" s="138" t="s">
        <v>8</v>
      </c>
      <c r="F1579" s="26" t="s">
        <v>7</v>
      </c>
      <c r="G1579" s="28"/>
    </row>
    <row r="1580" spans="1:10" hidden="1" outlineLevel="1">
      <c r="A1580" s="28"/>
      <c r="B1580" s="1">
        <v>1</v>
      </c>
      <c r="C1580" s="5" t="s">
        <v>1615</v>
      </c>
      <c r="D1580" s="2">
        <v>0</v>
      </c>
      <c r="E1580" s="236">
        <v>44169</v>
      </c>
      <c r="F1580" s="4">
        <v>3.0439814814814821E-3</v>
      </c>
      <c r="G1580" s="28"/>
      <c r="J1580" t="s">
        <v>1617</v>
      </c>
    </row>
    <row r="1581" spans="1:10" hidden="1" outlineLevel="1">
      <c r="A1581" s="28"/>
      <c r="B1581" s="1">
        <v>2</v>
      </c>
      <c r="C1581" s="5" t="s">
        <v>2110</v>
      </c>
      <c r="D1581" s="2">
        <v>45</v>
      </c>
      <c r="E1581" s="235">
        <v>44171</v>
      </c>
      <c r="F1581" s="217">
        <v>5.9212962962962967E-2</v>
      </c>
      <c r="G1581" s="28"/>
      <c r="J1581" t="s">
        <v>1617</v>
      </c>
    </row>
    <row r="1582" spans="1:10" hidden="1" outlineLevel="1">
      <c r="A1582" s="28"/>
      <c r="B1582" s="1">
        <v>3</v>
      </c>
      <c r="C1582" s="5" t="s">
        <v>2111</v>
      </c>
      <c r="D1582" s="2">
        <v>189</v>
      </c>
      <c r="E1582" s="236">
        <v>44178</v>
      </c>
      <c r="F1582" s="4">
        <v>5.5335648148148148E-2</v>
      </c>
      <c r="G1582" s="28"/>
      <c r="J1582" t="s">
        <v>1617</v>
      </c>
    </row>
    <row r="1583" spans="1:10" hidden="1" outlineLevel="1">
      <c r="A1583" s="28"/>
      <c r="B1583" s="1">
        <v>4</v>
      </c>
      <c r="C1583" s="5" t="s">
        <v>2112</v>
      </c>
      <c r="D1583" s="2">
        <v>101</v>
      </c>
      <c r="E1583" s="236">
        <v>44185</v>
      </c>
      <c r="F1583" s="4">
        <v>6.2407407407407411E-2</v>
      </c>
      <c r="G1583" s="28"/>
      <c r="J1583" t="s">
        <v>1617</v>
      </c>
    </row>
    <row r="1584" spans="1:10" hidden="1" outlineLevel="1">
      <c r="A1584" s="28"/>
      <c r="B1584" s="1">
        <v>5</v>
      </c>
      <c r="C1584" s="5" t="s">
        <v>2113</v>
      </c>
      <c r="D1584" s="2">
        <v>47</v>
      </c>
      <c r="E1584" s="236">
        <v>44189</v>
      </c>
      <c r="F1584" s="4">
        <v>4.9988425925925922E-2</v>
      </c>
      <c r="G1584" s="28"/>
      <c r="J1584" t="s">
        <v>1617</v>
      </c>
    </row>
    <row r="1585" spans="1:10" hidden="1" outlineLevel="1">
      <c r="A1585" s="28"/>
      <c r="B1585" s="1">
        <v>6</v>
      </c>
      <c r="C1585" s="5" t="s">
        <v>2114</v>
      </c>
      <c r="D1585" s="2">
        <v>5</v>
      </c>
      <c r="E1585" s="236">
        <v>44192</v>
      </c>
      <c r="F1585" s="4">
        <v>6.3333333333333339E-2</v>
      </c>
      <c r="G1585" s="28"/>
      <c r="J1585" t="s">
        <v>1617</v>
      </c>
    </row>
    <row r="1586" spans="1:10" hidden="1" outlineLevel="1">
      <c r="A1586" s="28"/>
      <c r="B1586" s="1">
        <v>7</v>
      </c>
      <c r="C1586" s="5" t="s">
        <v>2115</v>
      </c>
      <c r="D1586" s="2">
        <v>103</v>
      </c>
      <c r="E1586" s="236">
        <v>44199</v>
      </c>
      <c r="F1586" s="4">
        <v>6.190972222222222E-2</v>
      </c>
      <c r="G1586" s="28"/>
      <c r="J1586" t="s">
        <v>1617</v>
      </c>
    </row>
    <row r="1587" spans="1:10" hidden="1" outlineLevel="1">
      <c r="A1587" s="28"/>
      <c r="B1587" s="1">
        <v>8</v>
      </c>
      <c r="C1587" s="5" t="s">
        <v>2116</v>
      </c>
      <c r="D1587" s="2">
        <v>32</v>
      </c>
      <c r="E1587" s="236">
        <v>44206</v>
      </c>
      <c r="F1587" s="4">
        <v>4.8645833333333333E-2</v>
      </c>
      <c r="G1587" s="28"/>
      <c r="J1587" t="s">
        <v>1617</v>
      </c>
    </row>
    <row r="1588" spans="1:10" hidden="1" outlineLevel="1">
      <c r="A1588" s="28"/>
      <c r="B1588" s="1">
        <v>9</v>
      </c>
      <c r="C1588" s="5" t="s">
        <v>2117</v>
      </c>
      <c r="D1588" s="2">
        <v>56</v>
      </c>
      <c r="E1588" s="236">
        <v>44213</v>
      </c>
      <c r="F1588" s="4">
        <v>4.1608796296296297E-2</v>
      </c>
      <c r="G1588" s="28"/>
      <c r="J1588" t="s">
        <v>1617</v>
      </c>
    </row>
    <row r="1589" spans="1:10" hidden="1" outlineLevel="1">
      <c r="A1589" s="28"/>
      <c r="B1589" s="1">
        <v>10</v>
      </c>
      <c r="C1589" s="5" t="s">
        <v>2118</v>
      </c>
      <c r="D1589" s="2">
        <v>114</v>
      </c>
      <c r="E1589" s="236">
        <v>44220</v>
      </c>
      <c r="F1589" s="4">
        <v>4.7824074074074074E-2</v>
      </c>
      <c r="G1589" s="28"/>
      <c r="J1589" t="s">
        <v>1617</v>
      </c>
    </row>
    <row r="1590" spans="1:10" hidden="1" outlineLevel="1">
      <c r="A1590" s="28"/>
      <c r="B1590" s="1">
        <v>11</v>
      </c>
      <c r="C1590" s="5" t="s">
        <v>2119</v>
      </c>
      <c r="D1590" s="6" t="s">
        <v>3767</v>
      </c>
      <c r="E1590" s="236">
        <v>44224</v>
      </c>
      <c r="F1590" s="4">
        <v>4.2789351851851849E-2</v>
      </c>
      <c r="G1590" s="28"/>
      <c r="J1590" t="s">
        <v>1617</v>
      </c>
    </row>
    <row r="1591" spans="1:10" hidden="1" outlineLevel="1">
      <c r="A1591" s="28"/>
      <c r="B1591" s="1">
        <v>12</v>
      </c>
      <c r="C1591" s="5" t="s">
        <v>2120</v>
      </c>
      <c r="D1591" s="2">
        <v>1</v>
      </c>
      <c r="E1591" s="236">
        <v>44227</v>
      </c>
      <c r="F1591" s="4">
        <v>5.5925925925925928E-2</v>
      </c>
      <c r="G1591" s="28"/>
      <c r="J1591" t="s">
        <v>1617</v>
      </c>
    </row>
    <row r="1592" spans="1:10" hidden="1" outlineLevel="1">
      <c r="A1592" s="28"/>
      <c r="B1592" s="1">
        <v>13</v>
      </c>
      <c r="C1592" s="5" t="s">
        <v>2121</v>
      </c>
      <c r="D1592" s="2">
        <v>63</v>
      </c>
      <c r="E1592" s="236">
        <v>44234</v>
      </c>
      <c r="F1592" s="4">
        <v>5.1261574074074077E-2</v>
      </c>
      <c r="G1592" s="28"/>
      <c r="J1592" t="s">
        <v>1617</v>
      </c>
    </row>
    <row r="1593" spans="1:10" hidden="1" outlineLevel="1">
      <c r="A1593" s="28"/>
      <c r="B1593" s="1">
        <v>14</v>
      </c>
      <c r="C1593" s="5" t="s">
        <v>2122</v>
      </c>
      <c r="D1593" s="2">
        <v>59</v>
      </c>
      <c r="E1593" s="236">
        <v>44241</v>
      </c>
      <c r="F1593" s="4">
        <v>5.814814814814815E-2</v>
      </c>
      <c r="G1593" s="28"/>
      <c r="J1593" t="s">
        <v>1617</v>
      </c>
    </row>
    <row r="1594" spans="1:10" hidden="1" outlineLevel="1">
      <c r="A1594" s="28"/>
      <c r="B1594" s="1">
        <v>15</v>
      </c>
      <c r="C1594" s="5" t="s">
        <v>2123</v>
      </c>
      <c r="D1594" s="2">
        <v>146</v>
      </c>
      <c r="E1594" s="236">
        <v>44248</v>
      </c>
      <c r="F1594" s="4">
        <v>5.4583333333333338E-2</v>
      </c>
      <c r="G1594" s="28"/>
      <c r="J1594" t="s">
        <v>1617</v>
      </c>
    </row>
    <row r="1595" spans="1:10" hidden="1" outlineLevel="1">
      <c r="A1595" s="28"/>
      <c r="B1595" s="1">
        <v>16</v>
      </c>
      <c r="C1595" s="5" t="s">
        <v>2124</v>
      </c>
      <c r="D1595" s="2">
        <v>88</v>
      </c>
      <c r="E1595" s="236">
        <v>44255</v>
      </c>
      <c r="F1595" s="4">
        <v>6.0636574074074079E-2</v>
      </c>
      <c r="G1595" s="28"/>
      <c r="J1595" t="s">
        <v>1617</v>
      </c>
    </row>
    <row r="1596" spans="1:10" hidden="1" outlineLevel="1">
      <c r="A1596" s="28"/>
      <c r="B1596" s="1">
        <v>17</v>
      </c>
      <c r="C1596" s="5" t="s">
        <v>2125</v>
      </c>
      <c r="D1596" s="2">
        <v>76</v>
      </c>
      <c r="E1596" s="236">
        <v>44262</v>
      </c>
      <c r="F1596" s="4">
        <v>5.6064814814814817E-2</v>
      </c>
      <c r="G1596" s="28"/>
      <c r="J1596" t="s">
        <v>1617</v>
      </c>
    </row>
    <row r="1597" spans="1:10" hidden="1" outlineLevel="1">
      <c r="A1597" s="28"/>
      <c r="B1597" s="1">
        <v>18</v>
      </c>
      <c r="C1597" s="5" t="s">
        <v>2126</v>
      </c>
      <c r="D1597" s="6" t="s">
        <v>373</v>
      </c>
      <c r="E1597" s="236">
        <v>44268</v>
      </c>
      <c r="F1597" s="4">
        <v>6.1875000000000006E-2</v>
      </c>
      <c r="G1597" s="28"/>
      <c r="J1597" t="s">
        <v>1617</v>
      </c>
    </row>
    <row r="1598" spans="1:10" hidden="1" outlineLevel="1">
      <c r="A1598" s="28"/>
      <c r="B1598" s="1">
        <v>19</v>
      </c>
      <c r="C1598" s="5" t="s">
        <v>2127</v>
      </c>
      <c r="D1598" s="6" t="s">
        <v>3768</v>
      </c>
      <c r="E1598" s="236">
        <v>44269</v>
      </c>
      <c r="F1598" s="4">
        <v>6.5011574074074083E-2</v>
      </c>
      <c r="G1598" s="28"/>
      <c r="J1598" t="s">
        <v>1617</v>
      </c>
    </row>
    <row r="1599" spans="1:10" hidden="1" outlineLevel="1">
      <c r="A1599" s="28"/>
      <c r="B1599" s="1">
        <v>20</v>
      </c>
      <c r="C1599" s="5" t="s">
        <v>2128</v>
      </c>
      <c r="D1599" s="6" t="s">
        <v>3769</v>
      </c>
      <c r="E1599" s="236">
        <v>44269</v>
      </c>
      <c r="F1599" s="4">
        <v>9.1932870370370359E-2</v>
      </c>
      <c r="G1599" s="28"/>
      <c r="J1599" t="s">
        <v>1617</v>
      </c>
    </row>
    <row r="1600" spans="1:10" hidden="1" outlineLevel="1">
      <c r="A1600" s="28"/>
      <c r="B1600" s="1">
        <v>21</v>
      </c>
      <c r="C1600" s="5" t="s">
        <v>2129</v>
      </c>
      <c r="D1600" s="2">
        <v>106</v>
      </c>
      <c r="E1600" s="236">
        <v>44276</v>
      </c>
      <c r="F1600" s="4">
        <v>6.8379629629629637E-2</v>
      </c>
      <c r="G1600" s="28"/>
      <c r="J1600" t="s">
        <v>1617</v>
      </c>
    </row>
    <row r="1601" spans="1:10" hidden="1" outlineLevel="1">
      <c r="A1601" s="28"/>
      <c r="B1601" s="1">
        <v>22</v>
      </c>
      <c r="C1601" s="5" t="s">
        <v>2130</v>
      </c>
      <c r="D1601" s="2">
        <v>69</v>
      </c>
      <c r="E1601" s="236">
        <v>44283</v>
      </c>
      <c r="F1601" s="4">
        <v>5.1585648148148144E-2</v>
      </c>
      <c r="G1601" s="28"/>
      <c r="J1601" t="s">
        <v>1617</v>
      </c>
    </row>
    <row r="1602" spans="1:10" hidden="1" outlineLevel="1">
      <c r="A1602" s="28"/>
      <c r="B1602" s="1">
        <v>23</v>
      </c>
      <c r="C1602" s="5" t="s">
        <v>1616</v>
      </c>
      <c r="D1602" s="6" t="s">
        <v>1620</v>
      </c>
      <c r="E1602" s="236">
        <v>44286</v>
      </c>
      <c r="F1602" s="4">
        <v>1.6770833333333332E-2</v>
      </c>
      <c r="G1602" s="28"/>
      <c r="J1602" t="s">
        <v>1617</v>
      </c>
    </row>
    <row r="1603" spans="1:10" hidden="1" outlineLevel="1">
      <c r="A1603" s="28"/>
      <c r="B1603" s="1">
        <v>24</v>
      </c>
      <c r="C1603" s="5" t="s">
        <v>2131</v>
      </c>
      <c r="D1603" s="6" t="s">
        <v>3770</v>
      </c>
      <c r="E1603" s="236">
        <v>44288</v>
      </c>
      <c r="F1603" s="4">
        <v>5.707175925925926E-2</v>
      </c>
      <c r="G1603" s="28"/>
      <c r="J1603" t="s">
        <v>1617</v>
      </c>
    </row>
    <row r="1604" spans="1:10" hidden="1" outlineLevel="1">
      <c r="A1604" s="28"/>
      <c r="B1604" s="1">
        <v>25</v>
      </c>
      <c r="C1604" s="5" t="s">
        <v>2132</v>
      </c>
      <c r="D1604" s="2">
        <v>184</v>
      </c>
      <c r="E1604" s="236">
        <v>44290</v>
      </c>
      <c r="F1604" s="4">
        <v>5.1597222222222218E-2</v>
      </c>
      <c r="G1604" s="28"/>
      <c r="J1604" t="s">
        <v>1617</v>
      </c>
    </row>
    <row r="1605" spans="1:10" hidden="1" outlineLevel="1">
      <c r="A1605" s="28"/>
      <c r="B1605" s="1">
        <v>26</v>
      </c>
      <c r="C1605" s="5" t="s">
        <v>2102</v>
      </c>
      <c r="D1605" s="6" t="s">
        <v>1621</v>
      </c>
      <c r="E1605" s="236">
        <v>44293</v>
      </c>
      <c r="F1605" s="4">
        <v>1.2395833333333335E-2</v>
      </c>
      <c r="G1605" s="28"/>
      <c r="J1605" t="s">
        <v>1617</v>
      </c>
    </row>
    <row r="1606" spans="1:10" hidden="1" outlineLevel="1">
      <c r="A1606" s="28"/>
      <c r="B1606" s="1">
        <v>27</v>
      </c>
      <c r="C1606" s="5" t="s">
        <v>2133</v>
      </c>
      <c r="D1606" s="2">
        <v>149</v>
      </c>
      <c r="E1606" s="236">
        <v>44297</v>
      </c>
      <c r="F1606" s="4">
        <v>5.7893518518518518E-2</v>
      </c>
      <c r="G1606" s="28"/>
      <c r="J1606" t="s">
        <v>1617</v>
      </c>
    </row>
    <row r="1607" spans="1:10" hidden="1" outlineLevel="1">
      <c r="A1607" s="28"/>
      <c r="B1607" s="1">
        <v>28</v>
      </c>
      <c r="C1607" s="5" t="s">
        <v>2103</v>
      </c>
      <c r="D1607" s="6" t="s">
        <v>1622</v>
      </c>
      <c r="E1607" s="236">
        <v>44300</v>
      </c>
      <c r="F1607" s="4">
        <v>1.1759259259259259E-2</v>
      </c>
      <c r="G1607" s="28"/>
      <c r="J1607" t="s">
        <v>1617</v>
      </c>
    </row>
    <row r="1608" spans="1:10" hidden="1" outlineLevel="1">
      <c r="A1608" s="28"/>
      <c r="B1608" s="1">
        <v>29</v>
      </c>
      <c r="C1608" s="5" t="s">
        <v>2134</v>
      </c>
      <c r="D1608" s="2">
        <v>3</v>
      </c>
      <c r="E1608" s="236">
        <v>44304</v>
      </c>
      <c r="F1608" s="4">
        <v>5.5497685185185185E-2</v>
      </c>
      <c r="G1608" s="28"/>
      <c r="J1608" t="s">
        <v>1617</v>
      </c>
    </row>
    <row r="1609" spans="1:10" hidden="1" outlineLevel="1">
      <c r="A1609" s="28"/>
      <c r="B1609" s="1">
        <v>30</v>
      </c>
      <c r="C1609" s="5" t="s">
        <v>2104</v>
      </c>
      <c r="D1609" s="6" t="s">
        <v>1627</v>
      </c>
      <c r="E1609" s="235">
        <v>44307</v>
      </c>
      <c r="F1609" s="217">
        <v>1.4444444444444446E-2</v>
      </c>
      <c r="G1609" s="28"/>
      <c r="J1609" t="s">
        <v>1617</v>
      </c>
    </row>
    <row r="1610" spans="1:10" hidden="1" outlineLevel="1">
      <c r="A1610" s="28"/>
      <c r="B1610" s="1">
        <v>31</v>
      </c>
      <c r="C1610" s="5" t="s">
        <v>2135</v>
      </c>
      <c r="D1610" s="6">
        <v>14</v>
      </c>
      <c r="E1610" s="236">
        <v>44311</v>
      </c>
      <c r="F1610" s="4">
        <v>6.2581018518518508E-2</v>
      </c>
      <c r="G1610" s="28"/>
      <c r="J1610" t="s">
        <v>1617</v>
      </c>
    </row>
    <row r="1611" spans="1:10" hidden="1" outlineLevel="1">
      <c r="A1611" s="28"/>
      <c r="B1611" s="1">
        <v>32</v>
      </c>
      <c r="C1611" s="5" t="s">
        <v>2105</v>
      </c>
      <c r="D1611" s="6" t="s">
        <v>1637</v>
      </c>
      <c r="E1611" s="236">
        <v>44314</v>
      </c>
      <c r="F1611" s="4">
        <v>1.5416666666666667E-2</v>
      </c>
      <c r="G1611" s="28"/>
      <c r="J1611" t="s">
        <v>1617</v>
      </c>
    </row>
    <row r="1612" spans="1:10" hidden="1" outlineLevel="1">
      <c r="A1612" s="28"/>
      <c r="B1612" s="1">
        <v>33</v>
      </c>
      <c r="C1612" s="5" t="s">
        <v>2136</v>
      </c>
      <c r="D1612" s="6">
        <v>62</v>
      </c>
      <c r="E1612" s="236">
        <v>44318</v>
      </c>
      <c r="F1612" s="4">
        <v>5.303240740740741E-2</v>
      </c>
      <c r="G1612" s="28"/>
      <c r="J1612" t="s">
        <v>1617</v>
      </c>
    </row>
    <row r="1613" spans="1:10" hidden="1" outlineLevel="1">
      <c r="A1613" s="28"/>
      <c r="B1613" s="1">
        <v>34</v>
      </c>
      <c r="C1613" s="5" t="s">
        <v>2106</v>
      </c>
      <c r="D1613" s="6" t="s">
        <v>1712</v>
      </c>
      <c r="E1613" s="237">
        <v>44321</v>
      </c>
      <c r="F1613" s="63">
        <v>1.1967592592592592E-2</v>
      </c>
      <c r="G1613" s="28"/>
      <c r="J1613" t="s">
        <v>1617</v>
      </c>
    </row>
    <row r="1614" spans="1:10" hidden="1" outlineLevel="1">
      <c r="A1614" s="28"/>
      <c r="B1614" s="1">
        <v>35</v>
      </c>
      <c r="C1614" s="5" t="s">
        <v>2137</v>
      </c>
      <c r="D1614" s="6">
        <v>195</v>
      </c>
      <c r="E1614" s="236">
        <v>44325</v>
      </c>
      <c r="F1614" s="4">
        <v>5.7939814814814812E-2</v>
      </c>
      <c r="G1614" s="28"/>
      <c r="J1614" t="s">
        <v>1617</v>
      </c>
    </row>
    <row r="1615" spans="1:10" hidden="1" outlineLevel="1">
      <c r="A1615" s="28"/>
      <c r="B1615" s="1">
        <v>36</v>
      </c>
      <c r="C1615" s="5" t="s">
        <v>2107</v>
      </c>
      <c r="D1615" s="6" t="s">
        <v>1713</v>
      </c>
      <c r="E1615" s="236">
        <v>44328</v>
      </c>
      <c r="F1615" s="4">
        <v>1.0115740740740741E-2</v>
      </c>
      <c r="G1615" s="28"/>
      <c r="J1615" t="s">
        <v>1617</v>
      </c>
    </row>
    <row r="1616" spans="1:10" hidden="1" outlineLevel="1">
      <c r="A1616" s="28"/>
      <c r="B1616" s="1">
        <v>37</v>
      </c>
      <c r="C1616" s="5" t="s">
        <v>2138</v>
      </c>
      <c r="D1616" s="6">
        <v>97</v>
      </c>
      <c r="E1616" s="236">
        <v>44332</v>
      </c>
      <c r="F1616" s="4">
        <v>7.0532407407407405E-2</v>
      </c>
      <c r="G1616" s="28"/>
      <c r="J1616" t="s">
        <v>1617</v>
      </c>
    </row>
    <row r="1617" spans="1:10" hidden="1" outlineLevel="1">
      <c r="A1617" s="28"/>
      <c r="B1617" s="1">
        <v>38</v>
      </c>
      <c r="C1617" s="5" t="s">
        <v>2139</v>
      </c>
      <c r="D1617" s="6">
        <v>163</v>
      </c>
      <c r="E1617" s="236">
        <v>44339</v>
      </c>
      <c r="F1617" s="4">
        <v>4.7199074074074067E-2</v>
      </c>
      <c r="G1617" s="28"/>
      <c r="J1617" t="s">
        <v>1617</v>
      </c>
    </row>
    <row r="1618" spans="1:10" hidden="1" outlineLevel="1">
      <c r="A1618" s="28"/>
      <c r="B1618" s="1">
        <v>39</v>
      </c>
      <c r="C1618" s="188" t="s">
        <v>2108</v>
      </c>
      <c r="D1618" s="6" t="s">
        <v>1733</v>
      </c>
      <c r="E1618" s="236">
        <v>44342</v>
      </c>
      <c r="F1618" s="4">
        <v>1.7256944444444446E-2</v>
      </c>
      <c r="G1618" s="28"/>
      <c r="J1618" t="s">
        <v>1617</v>
      </c>
    </row>
    <row r="1619" spans="1:10" hidden="1" outlineLevel="1">
      <c r="A1619" s="28"/>
      <c r="B1619" s="1">
        <v>40</v>
      </c>
      <c r="C1619" s="5" t="s">
        <v>2140</v>
      </c>
      <c r="D1619" s="6">
        <v>54</v>
      </c>
      <c r="E1619" s="236">
        <v>44346</v>
      </c>
      <c r="F1619" s="4">
        <v>4.7199074074074067E-2</v>
      </c>
      <c r="G1619" s="28"/>
      <c r="J1619" t="s">
        <v>1617</v>
      </c>
    </row>
    <row r="1620" spans="1:10" hidden="1" outlineLevel="1">
      <c r="A1620" s="28"/>
      <c r="B1620" s="1">
        <v>41</v>
      </c>
      <c r="C1620" s="5" t="s">
        <v>2141</v>
      </c>
      <c r="D1620" s="6">
        <v>87</v>
      </c>
      <c r="E1620" s="236">
        <v>44353</v>
      </c>
      <c r="F1620" s="4">
        <v>5.3900462962962963E-2</v>
      </c>
      <c r="G1620" s="28"/>
      <c r="J1620" t="s">
        <v>1617</v>
      </c>
    </row>
    <row r="1621" spans="1:10" hidden="1" outlineLevel="1">
      <c r="A1621" s="28"/>
      <c r="B1621" s="1">
        <v>42</v>
      </c>
      <c r="C1621" s="5" t="s">
        <v>2142</v>
      </c>
      <c r="D1621" s="6">
        <v>79</v>
      </c>
      <c r="E1621" s="236">
        <v>44360</v>
      </c>
      <c r="F1621" s="4">
        <v>7.846064814814814E-2</v>
      </c>
      <c r="G1621" s="28"/>
      <c r="J1621" t="s">
        <v>1617</v>
      </c>
    </row>
    <row r="1622" spans="1:10" hidden="1" outlineLevel="1">
      <c r="A1622" s="28"/>
      <c r="B1622" s="1">
        <v>43</v>
      </c>
      <c r="C1622" s="5" t="s">
        <v>2109</v>
      </c>
      <c r="D1622" s="6" t="s">
        <v>1797</v>
      </c>
      <c r="E1622" s="236">
        <v>44363</v>
      </c>
      <c r="F1622" s="4">
        <v>1.5578703703703704E-2</v>
      </c>
      <c r="G1622" s="28"/>
      <c r="J1622" t="s">
        <v>1617</v>
      </c>
    </row>
    <row r="1623" spans="1:10" hidden="1" outlineLevel="1">
      <c r="A1623" s="28"/>
      <c r="B1623" s="1">
        <v>44</v>
      </c>
      <c r="C1623" s="5" t="s">
        <v>2143</v>
      </c>
      <c r="D1623" s="6">
        <v>180</v>
      </c>
      <c r="E1623" s="236">
        <v>44367</v>
      </c>
      <c r="F1623" s="4">
        <v>7.6666666666666661E-2</v>
      </c>
      <c r="G1623" s="28"/>
      <c r="J1623" t="s">
        <v>1617</v>
      </c>
    </row>
    <row r="1624" spans="1:10" hidden="1" outlineLevel="1">
      <c r="A1624" s="28"/>
      <c r="B1624" s="1">
        <v>45</v>
      </c>
      <c r="C1624" s="5" t="s">
        <v>1801</v>
      </c>
      <c r="D1624" s="6" t="s">
        <v>1798</v>
      </c>
      <c r="E1624" s="236">
        <v>44370</v>
      </c>
      <c r="F1624" s="4">
        <v>1.2349537037037039E-2</v>
      </c>
      <c r="G1624" s="28"/>
      <c r="J1624" t="s">
        <v>1617</v>
      </c>
    </row>
    <row r="1625" spans="1:10" hidden="1" outlineLevel="1">
      <c r="A1625" s="28"/>
      <c r="B1625" s="1">
        <v>46</v>
      </c>
      <c r="C1625" s="5" t="s">
        <v>2144</v>
      </c>
      <c r="D1625" s="6">
        <v>6</v>
      </c>
      <c r="E1625" s="236">
        <v>44374</v>
      </c>
      <c r="F1625" s="4">
        <v>5.9293981481481482E-2</v>
      </c>
      <c r="G1625" s="28"/>
      <c r="J1625" t="s">
        <v>1617</v>
      </c>
    </row>
    <row r="1626" spans="1:10" hidden="1" outlineLevel="1">
      <c r="A1626" s="28"/>
      <c r="B1626" s="1">
        <v>47</v>
      </c>
      <c r="C1626" s="5" t="s">
        <v>1900</v>
      </c>
      <c r="D1626" s="6" t="s">
        <v>2691</v>
      </c>
      <c r="E1626" s="237">
        <v>44390</v>
      </c>
      <c r="F1626" s="63">
        <v>3.3553240740740745E-2</v>
      </c>
      <c r="G1626" s="28"/>
      <c r="J1626" t="s">
        <v>1617</v>
      </c>
    </row>
    <row r="1627" spans="1:10" hidden="1" outlineLevel="1">
      <c r="A1627" s="28"/>
      <c r="B1627" s="1">
        <v>48</v>
      </c>
      <c r="C1627" s="5" t="s">
        <v>2250</v>
      </c>
      <c r="D1627" s="6">
        <v>0</v>
      </c>
      <c r="E1627" s="296">
        <v>44418</v>
      </c>
      <c r="F1627" s="297">
        <v>4.5138888888888892E-4</v>
      </c>
      <c r="G1627" s="28"/>
      <c r="J1627" t="s">
        <v>1617</v>
      </c>
    </row>
    <row r="1628" spans="1:10" hidden="1" outlineLevel="1">
      <c r="A1628" s="28"/>
      <c r="B1628" s="1">
        <v>49</v>
      </c>
      <c r="C1628" s="5" t="s">
        <v>2145</v>
      </c>
      <c r="D1628" s="6">
        <v>191</v>
      </c>
      <c r="E1628" s="237">
        <v>44423</v>
      </c>
      <c r="F1628" s="63">
        <v>6.582175925925926E-2</v>
      </c>
      <c r="G1628" s="28"/>
      <c r="J1628" t="s">
        <v>1617</v>
      </c>
    </row>
    <row r="1629" spans="1:10" hidden="1" outlineLevel="1">
      <c r="A1629" s="28"/>
      <c r="B1629" s="1">
        <v>50</v>
      </c>
      <c r="C1629" s="5" t="s">
        <v>2146</v>
      </c>
      <c r="D1629" s="6">
        <v>147</v>
      </c>
      <c r="E1629" s="237">
        <v>44437</v>
      </c>
      <c r="F1629" s="63">
        <v>5.7118055555555554E-2</v>
      </c>
      <c r="G1629" s="28"/>
      <c r="J1629" t="s">
        <v>1617</v>
      </c>
    </row>
    <row r="1630" spans="1:10" hidden="1" outlineLevel="1">
      <c r="A1630" s="28"/>
      <c r="B1630" s="1">
        <v>51</v>
      </c>
      <c r="C1630" s="5" t="s">
        <v>2551</v>
      </c>
      <c r="D1630" s="6">
        <v>136</v>
      </c>
      <c r="E1630" s="237">
        <v>44451</v>
      </c>
      <c r="F1630" s="63">
        <v>7.075231481481481E-2</v>
      </c>
      <c r="G1630" s="28"/>
      <c r="J1630" t="s">
        <v>1617</v>
      </c>
    </row>
    <row r="1631" spans="1:10" hidden="1" outlineLevel="1">
      <c r="A1631" s="28"/>
      <c r="B1631" s="1">
        <v>52</v>
      </c>
      <c r="C1631" s="5" t="s">
        <v>2147</v>
      </c>
      <c r="D1631" s="6">
        <v>49</v>
      </c>
      <c r="E1631" s="236">
        <v>44465</v>
      </c>
      <c r="F1631" s="4">
        <v>4.9212962962962958E-2</v>
      </c>
      <c r="G1631" s="28"/>
      <c r="J1631" t="s">
        <v>1617</v>
      </c>
    </row>
    <row r="1632" spans="1:10" hidden="1" outlineLevel="1">
      <c r="A1632" s="28"/>
      <c r="B1632" s="1">
        <v>53</v>
      </c>
      <c r="C1632" s="5" t="s">
        <v>2148</v>
      </c>
      <c r="D1632" s="6">
        <v>206</v>
      </c>
      <c r="E1632" s="236">
        <v>44479</v>
      </c>
      <c r="F1632" s="4">
        <v>6.3912037037037031E-2</v>
      </c>
      <c r="G1632" s="28"/>
      <c r="J1632" t="s">
        <v>1617</v>
      </c>
    </row>
    <row r="1633" spans="1:10" hidden="1" outlineLevel="1">
      <c r="A1633" s="28"/>
      <c r="B1633" s="1">
        <v>54</v>
      </c>
      <c r="C1633" s="5" t="s">
        <v>2354</v>
      </c>
      <c r="D1633" s="6">
        <v>121</v>
      </c>
      <c r="E1633" s="236">
        <v>44493</v>
      </c>
      <c r="F1633" s="4">
        <v>4.9027777777777781E-2</v>
      </c>
      <c r="G1633" s="28"/>
      <c r="J1633" t="s">
        <v>1617</v>
      </c>
    </row>
    <row r="1634" spans="1:10" hidden="1" outlineLevel="1">
      <c r="A1634" s="28"/>
      <c r="B1634" s="1">
        <v>55</v>
      </c>
      <c r="C1634" s="5" t="s">
        <v>2409</v>
      </c>
      <c r="D1634" s="6">
        <v>194</v>
      </c>
      <c r="E1634" s="236">
        <v>44507</v>
      </c>
      <c r="F1634" s="4">
        <v>7.9131944444444449E-2</v>
      </c>
      <c r="G1634" s="28"/>
      <c r="J1634" t="s">
        <v>1617</v>
      </c>
    </row>
    <row r="1635" spans="1:10" hidden="1" outlineLevel="1">
      <c r="A1635" s="28"/>
      <c r="B1635" s="1">
        <v>56</v>
      </c>
      <c r="C1635" s="5" t="s">
        <v>2468</v>
      </c>
      <c r="D1635" s="6">
        <v>30</v>
      </c>
      <c r="E1635" s="236">
        <v>44521</v>
      </c>
      <c r="F1635" s="4">
        <v>7.6377314814814815E-2</v>
      </c>
      <c r="G1635" s="28"/>
      <c r="J1635" t="s">
        <v>1617</v>
      </c>
    </row>
    <row r="1636" spans="1:10" hidden="1" outlineLevel="1">
      <c r="A1636" s="28"/>
      <c r="B1636" s="1">
        <v>57</v>
      </c>
      <c r="C1636" s="5" t="s">
        <v>2550</v>
      </c>
      <c r="D1636" s="6">
        <v>183</v>
      </c>
      <c r="E1636" s="236">
        <v>44535</v>
      </c>
      <c r="F1636" s="4">
        <v>8.9155092592592591E-2</v>
      </c>
      <c r="G1636" s="28"/>
      <c r="J1636" t="s">
        <v>1617</v>
      </c>
    </row>
    <row r="1637" spans="1:10" hidden="1" outlineLevel="1">
      <c r="A1637" s="28"/>
      <c r="B1637" s="1">
        <v>58</v>
      </c>
      <c r="C1637" s="5" t="s">
        <v>4324</v>
      </c>
      <c r="D1637" s="6" t="s">
        <v>3771</v>
      </c>
      <c r="E1637" s="236">
        <v>44536</v>
      </c>
      <c r="F1637" s="4">
        <v>9.4432870370370361E-2</v>
      </c>
      <c r="G1637" s="28"/>
      <c r="J1637" t="s">
        <v>1617</v>
      </c>
    </row>
    <row r="1638" spans="1:10" hidden="1" outlineLevel="1">
      <c r="A1638" s="28"/>
      <c r="B1638" s="1">
        <v>59</v>
      </c>
      <c r="C1638" s="5" t="s">
        <v>2614</v>
      </c>
      <c r="D1638" s="6">
        <v>21</v>
      </c>
      <c r="E1638" s="236">
        <v>44549</v>
      </c>
      <c r="F1638" s="4">
        <v>5.5891203703703707E-2</v>
      </c>
      <c r="G1638" s="28"/>
      <c r="J1638" t="s">
        <v>1617</v>
      </c>
    </row>
    <row r="1639" spans="1:10" hidden="1" outlineLevel="1">
      <c r="A1639" s="28"/>
      <c r="B1639" s="1">
        <v>60</v>
      </c>
      <c r="C1639" s="5" t="s">
        <v>2657</v>
      </c>
      <c r="D1639" s="6" t="s">
        <v>1391</v>
      </c>
      <c r="E1639" s="236">
        <v>44556</v>
      </c>
      <c r="F1639" s="310">
        <v>3.0821759259259257E-2</v>
      </c>
      <c r="G1639" s="28"/>
      <c r="J1639" t="s">
        <v>1617</v>
      </c>
    </row>
    <row r="1640" spans="1:10" hidden="1" outlineLevel="1">
      <c r="A1640" s="28"/>
      <c r="B1640" s="1">
        <v>61</v>
      </c>
      <c r="C1640" s="5" t="s">
        <v>2673</v>
      </c>
      <c r="D1640" s="6">
        <v>94</v>
      </c>
      <c r="E1640" s="236">
        <v>44571.001273148147</v>
      </c>
      <c r="F1640" s="4">
        <v>7.1932870370370369E-2</v>
      </c>
      <c r="G1640" s="28"/>
      <c r="J1640" t="s">
        <v>1617</v>
      </c>
    </row>
    <row r="1641" spans="1:10" hidden="1" outlineLevel="1">
      <c r="A1641" s="28"/>
      <c r="B1641" s="1">
        <v>62</v>
      </c>
      <c r="C1641" s="5" t="s">
        <v>2674</v>
      </c>
      <c r="D1641" s="6">
        <v>201</v>
      </c>
      <c r="E1641" s="237">
        <v>44585.000949074078</v>
      </c>
      <c r="F1641" s="63">
        <v>7.4548611111111107E-2</v>
      </c>
      <c r="G1641" s="28"/>
      <c r="J1641" t="s">
        <v>1617</v>
      </c>
    </row>
    <row r="1642" spans="1:10" hidden="1" outlineLevel="1">
      <c r="A1642" s="28"/>
      <c r="B1642" s="1">
        <v>63</v>
      </c>
      <c r="C1642" s="5" t="s">
        <v>2675</v>
      </c>
      <c r="D1642" s="6" t="s">
        <v>2692</v>
      </c>
      <c r="E1642" s="237">
        <v>44589.812106481484</v>
      </c>
      <c r="F1642" s="63">
        <v>3.920138888888889E-2</v>
      </c>
      <c r="G1642" s="28"/>
      <c r="J1642" t="s">
        <v>1617</v>
      </c>
    </row>
    <row r="1643" spans="1:10" hidden="1" outlineLevel="1">
      <c r="A1643" s="28"/>
      <c r="B1643" s="1">
        <v>64</v>
      </c>
      <c r="C1643" s="5" t="s">
        <v>2676</v>
      </c>
      <c r="D1643" s="6">
        <v>25</v>
      </c>
      <c r="E1643" s="236">
        <v>44599.001319444447</v>
      </c>
      <c r="F1643" s="4">
        <v>6.0034722222222225E-2</v>
      </c>
      <c r="G1643" s="28"/>
      <c r="J1643" t="s">
        <v>1617</v>
      </c>
    </row>
    <row r="1644" spans="1:10" hidden="1" outlineLevel="1">
      <c r="A1644" s="28"/>
      <c r="B1644" s="1">
        <v>65</v>
      </c>
      <c r="C1644" s="5" t="s">
        <v>2700</v>
      </c>
      <c r="D1644" s="6">
        <v>77</v>
      </c>
      <c r="E1644" s="236">
        <v>44612.04215277778</v>
      </c>
      <c r="F1644" s="4">
        <v>8.7106481481481479E-2</v>
      </c>
      <c r="G1644" s="28"/>
      <c r="J1644" t="s">
        <v>1617</v>
      </c>
    </row>
    <row r="1645" spans="1:10" hidden="1" outlineLevel="1">
      <c r="A1645" s="28"/>
      <c r="B1645" s="1">
        <v>66</v>
      </c>
      <c r="C1645" s="5" t="s">
        <v>2832</v>
      </c>
      <c r="D1645" s="6">
        <v>157</v>
      </c>
      <c r="E1645" s="236">
        <v>44626.007939814815</v>
      </c>
      <c r="F1645" s="4">
        <v>6.9027777777777785E-2</v>
      </c>
      <c r="G1645" s="28"/>
      <c r="J1645" t="s">
        <v>1617</v>
      </c>
    </row>
    <row r="1646" spans="1:10" hidden="1" outlineLevel="1">
      <c r="A1646" s="28"/>
      <c r="B1646" s="1">
        <v>67</v>
      </c>
      <c r="C1646" s="5" t="s">
        <v>2856</v>
      </c>
      <c r="D1646" s="6" t="s">
        <v>2857</v>
      </c>
      <c r="E1646" s="237">
        <v>44638.001296296294</v>
      </c>
      <c r="F1646" s="63">
        <v>7.1921296296296303E-2</v>
      </c>
      <c r="G1646" s="28"/>
      <c r="J1646" t="s">
        <v>1617</v>
      </c>
    </row>
    <row r="1647" spans="1:10" hidden="1" outlineLevel="1">
      <c r="A1647" s="28"/>
      <c r="B1647" s="1">
        <v>68</v>
      </c>
      <c r="C1647" s="5" t="s">
        <v>2858</v>
      </c>
      <c r="D1647" s="6" t="s">
        <v>3772</v>
      </c>
      <c r="E1647" s="237">
        <v>44639.000706018516</v>
      </c>
      <c r="F1647" s="63">
        <v>6.5752314814814819E-2</v>
      </c>
      <c r="G1647" s="28"/>
      <c r="J1647" t="s">
        <v>1617</v>
      </c>
    </row>
    <row r="1648" spans="1:10" hidden="1" outlineLevel="1">
      <c r="A1648" s="28"/>
      <c r="B1648" s="1">
        <v>69</v>
      </c>
      <c r="C1648" s="5" t="s">
        <v>2873</v>
      </c>
      <c r="D1648" s="6">
        <v>42</v>
      </c>
      <c r="E1648" s="236">
        <v>44640.001226851855</v>
      </c>
      <c r="F1648" s="4">
        <v>6.475694444444445E-2</v>
      </c>
      <c r="G1648" s="28"/>
      <c r="J1648" t="s">
        <v>1617</v>
      </c>
    </row>
    <row r="1649" spans="1:10" hidden="1" outlineLevel="1">
      <c r="A1649" s="28"/>
      <c r="B1649" s="1">
        <v>70</v>
      </c>
      <c r="C1649" s="5" t="s">
        <v>2874</v>
      </c>
      <c r="D1649" s="6">
        <v>45</v>
      </c>
      <c r="E1649" s="236">
        <v>44652.001111111109</v>
      </c>
      <c r="F1649" s="4">
        <v>6.8298611111111115E-2</v>
      </c>
      <c r="G1649" s="28"/>
      <c r="J1649" t="s">
        <v>1617</v>
      </c>
    </row>
    <row r="1650" spans="1:10" hidden="1" outlineLevel="1">
      <c r="A1650" s="28"/>
      <c r="B1650" s="1">
        <v>71</v>
      </c>
      <c r="C1650" s="5" t="s">
        <v>2885</v>
      </c>
      <c r="D1650" s="6">
        <v>113</v>
      </c>
      <c r="E1650" s="236">
        <v>44654</v>
      </c>
      <c r="F1650" s="4">
        <v>5.6840277777777781E-2</v>
      </c>
      <c r="G1650" s="28"/>
      <c r="J1650" t="s">
        <v>1617</v>
      </c>
    </row>
    <row r="1651" spans="1:10" hidden="1" outlineLevel="1">
      <c r="A1651" s="28"/>
      <c r="B1651" s="1">
        <v>72</v>
      </c>
      <c r="C1651" s="5" t="s">
        <v>2893</v>
      </c>
      <c r="D1651" s="6">
        <v>91</v>
      </c>
      <c r="E1651" s="236">
        <v>44668</v>
      </c>
      <c r="F1651" s="4">
        <v>7.7962962962962956E-2</v>
      </c>
      <c r="G1651" s="28"/>
      <c r="J1651" t="s">
        <v>1617</v>
      </c>
    </row>
    <row r="1652" spans="1:10" hidden="1" outlineLevel="1">
      <c r="A1652" s="28"/>
      <c r="B1652" s="1">
        <v>73</v>
      </c>
      <c r="C1652" s="5" t="s">
        <v>2912</v>
      </c>
      <c r="D1652" s="6" t="s">
        <v>3100</v>
      </c>
      <c r="E1652" s="237">
        <v>44681</v>
      </c>
      <c r="F1652" s="63">
        <v>4.9884259259259265E-3</v>
      </c>
      <c r="G1652" s="28"/>
      <c r="J1652" t="s">
        <v>1617</v>
      </c>
    </row>
    <row r="1653" spans="1:10" hidden="1" outlineLevel="1">
      <c r="A1653" s="28"/>
      <c r="B1653" s="1">
        <v>74</v>
      </c>
      <c r="C1653" s="5" t="s">
        <v>2911</v>
      </c>
      <c r="D1653" s="6">
        <v>92</v>
      </c>
      <c r="E1653" s="236">
        <v>44682</v>
      </c>
      <c r="F1653" s="4">
        <v>9.5023148148148148E-2</v>
      </c>
      <c r="G1653" s="28"/>
      <c r="J1653" t="s">
        <v>1617</v>
      </c>
    </row>
    <row r="1654" spans="1:10" hidden="1" outlineLevel="1">
      <c r="A1654" s="28"/>
      <c r="B1654" s="1">
        <v>75</v>
      </c>
      <c r="C1654" s="5" t="s">
        <v>2928</v>
      </c>
      <c r="D1654" s="6">
        <v>11</v>
      </c>
      <c r="E1654" s="236">
        <v>44696.000706018516</v>
      </c>
      <c r="F1654" s="4">
        <v>8.2789351851851864E-2</v>
      </c>
      <c r="G1654" s="28"/>
      <c r="J1654" t="s">
        <v>1617</v>
      </c>
    </row>
    <row r="1655" spans="1:10" hidden="1" outlineLevel="1">
      <c r="A1655" s="28"/>
      <c r="B1655" s="1">
        <v>76</v>
      </c>
      <c r="C1655" s="5" t="s">
        <v>2929</v>
      </c>
      <c r="D1655" s="6" t="s">
        <v>3773</v>
      </c>
      <c r="E1655" s="236">
        <v>44696.001562500001</v>
      </c>
      <c r="F1655" s="4">
        <v>3.3622685185185179E-2</v>
      </c>
      <c r="G1655" s="28"/>
      <c r="J1655" t="s">
        <v>1617</v>
      </c>
    </row>
    <row r="1656" spans="1:10" hidden="1" outlineLevel="1">
      <c r="A1656" s="28"/>
      <c r="B1656" s="1">
        <v>77</v>
      </c>
      <c r="C1656" s="5" t="s">
        <v>2942</v>
      </c>
      <c r="D1656" s="6" t="s">
        <v>3101</v>
      </c>
      <c r="E1656" s="528">
        <v>44709</v>
      </c>
      <c r="F1656" s="504">
        <v>2.0127314814814817E-2</v>
      </c>
      <c r="G1656" s="28"/>
      <c r="J1656" t="s">
        <v>1617</v>
      </c>
    </row>
    <row r="1657" spans="1:10" hidden="1" outlineLevel="1">
      <c r="A1657" s="28"/>
      <c r="B1657" s="1">
        <v>78</v>
      </c>
      <c r="C1657" s="5" t="s">
        <v>2943</v>
      </c>
      <c r="D1657" s="6">
        <v>214</v>
      </c>
      <c r="E1657" s="236">
        <v>44710</v>
      </c>
      <c r="F1657" s="4">
        <v>9.5844907407407406E-2</v>
      </c>
      <c r="G1657" s="28"/>
      <c r="J1657" t="s">
        <v>1617</v>
      </c>
    </row>
    <row r="1658" spans="1:10" hidden="1" outlineLevel="1">
      <c r="A1658" s="28"/>
      <c r="B1658" s="1">
        <v>79</v>
      </c>
      <c r="C1658" s="5" t="s">
        <v>2965</v>
      </c>
      <c r="D1658" s="6">
        <v>67</v>
      </c>
      <c r="E1658" s="236">
        <v>44724</v>
      </c>
      <c r="F1658" s="4">
        <v>8.3564814814814814E-2</v>
      </c>
      <c r="G1658" s="28"/>
      <c r="J1658" t="s">
        <v>1617</v>
      </c>
    </row>
    <row r="1659" spans="1:10" hidden="1" outlineLevel="1">
      <c r="A1659" s="28"/>
      <c r="B1659" s="1">
        <v>80</v>
      </c>
      <c r="C1659" s="5" t="s">
        <v>2979</v>
      </c>
      <c r="D1659" s="6">
        <v>28</v>
      </c>
      <c r="E1659" s="236">
        <v>44738</v>
      </c>
      <c r="F1659" s="4">
        <v>6.5787037037037033E-2</v>
      </c>
      <c r="G1659" s="28"/>
      <c r="J1659" t="s">
        <v>1617</v>
      </c>
    </row>
    <row r="1660" spans="1:10" hidden="1" outlineLevel="1">
      <c r="A1660" s="28"/>
      <c r="B1660" s="1">
        <v>81</v>
      </c>
      <c r="C1660" s="5" t="s">
        <v>3009</v>
      </c>
      <c r="D1660" s="6">
        <v>61</v>
      </c>
      <c r="E1660" s="236">
        <v>44752</v>
      </c>
      <c r="F1660" s="4">
        <v>8.413194444444444E-2</v>
      </c>
      <c r="G1660" s="28"/>
      <c r="J1660" t="s">
        <v>1617</v>
      </c>
    </row>
    <row r="1661" spans="1:10" hidden="1" outlineLevel="1">
      <c r="A1661" s="28"/>
      <c r="B1661" s="1">
        <v>82</v>
      </c>
      <c r="C1661" s="5" t="s">
        <v>3010</v>
      </c>
      <c r="D1661" s="6">
        <v>211</v>
      </c>
      <c r="E1661" s="236">
        <v>44766</v>
      </c>
      <c r="F1661" s="4">
        <v>0.1019212962962963</v>
      </c>
      <c r="G1661" s="28"/>
      <c r="J1661" t="s">
        <v>1617</v>
      </c>
    </row>
    <row r="1662" spans="1:10" hidden="1" outlineLevel="1">
      <c r="A1662" s="28"/>
      <c r="B1662" s="1">
        <v>83</v>
      </c>
      <c r="C1662" s="5" t="s">
        <v>3011</v>
      </c>
      <c r="D1662" s="6">
        <v>107</v>
      </c>
      <c r="E1662" s="236">
        <v>44780</v>
      </c>
      <c r="F1662" s="4">
        <v>5.5868055555555553E-2</v>
      </c>
      <c r="G1662" s="28"/>
      <c r="J1662" t="s">
        <v>1617</v>
      </c>
    </row>
    <row r="1663" spans="1:10" hidden="1" outlineLevel="1">
      <c r="A1663" s="28"/>
      <c r="B1663" s="1">
        <v>84</v>
      </c>
      <c r="C1663" s="5" t="s">
        <v>3012</v>
      </c>
      <c r="D1663" s="6">
        <v>192</v>
      </c>
      <c r="E1663" s="236">
        <v>44794</v>
      </c>
      <c r="F1663" s="4">
        <v>5.28587962962963E-2</v>
      </c>
      <c r="G1663" s="28"/>
      <c r="J1663" t="s">
        <v>1617</v>
      </c>
    </row>
    <row r="1664" spans="1:10" hidden="1" outlineLevel="1">
      <c r="A1664" s="28"/>
      <c r="B1664" s="1">
        <v>85</v>
      </c>
      <c r="C1664" s="5" t="s">
        <v>3013</v>
      </c>
      <c r="D1664" s="6">
        <v>167</v>
      </c>
      <c r="E1664" s="236">
        <v>44808</v>
      </c>
      <c r="F1664" s="4">
        <v>7.2141203703703707E-2</v>
      </c>
      <c r="G1664" s="28"/>
      <c r="J1664" t="s">
        <v>1617</v>
      </c>
    </row>
    <row r="1665" spans="1:10" hidden="1" outlineLevel="1">
      <c r="A1665" s="28"/>
      <c r="B1665" s="1">
        <v>86</v>
      </c>
      <c r="C1665" s="5" t="s">
        <v>3041</v>
      </c>
      <c r="D1665" s="6">
        <v>110</v>
      </c>
      <c r="E1665" s="236">
        <v>44822</v>
      </c>
      <c r="F1665" s="4">
        <v>7.6597222222222219E-2</v>
      </c>
      <c r="G1665" s="28"/>
      <c r="J1665" t="s">
        <v>1617</v>
      </c>
    </row>
    <row r="1666" spans="1:10" hidden="1" outlineLevel="1">
      <c r="A1666" s="28"/>
      <c r="B1666" s="1">
        <v>87</v>
      </c>
      <c r="C1666" s="5" t="s">
        <v>3063</v>
      </c>
      <c r="D1666" s="6">
        <v>12</v>
      </c>
      <c r="E1666" s="236">
        <v>44836</v>
      </c>
      <c r="F1666" s="4">
        <v>6.9490740740740742E-2</v>
      </c>
      <c r="G1666" s="28"/>
      <c r="J1666" t="s">
        <v>1617</v>
      </c>
    </row>
    <row r="1667" spans="1:10" hidden="1" outlineLevel="1">
      <c r="A1667" s="28"/>
      <c r="B1667" s="1">
        <v>88</v>
      </c>
      <c r="C1667" s="5" t="s">
        <v>3076</v>
      </c>
      <c r="D1667" s="6">
        <v>127</v>
      </c>
      <c r="E1667" s="236">
        <v>44850</v>
      </c>
      <c r="F1667" s="4">
        <v>9.5902777777777781E-2</v>
      </c>
      <c r="G1667" s="28"/>
      <c r="J1667" t="s">
        <v>1617</v>
      </c>
    </row>
    <row r="1668" spans="1:10" hidden="1" outlineLevel="1">
      <c r="A1668" s="28"/>
      <c r="B1668" s="1">
        <v>89</v>
      </c>
      <c r="C1668" s="5" t="s">
        <v>3085</v>
      </c>
      <c r="D1668" s="6" t="s">
        <v>3086</v>
      </c>
      <c r="E1668" s="237">
        <v>44860</v>
      </c>
      <c r="F1668" s="63">
        <v>4.4953703703703697E-2</v>
      </c>
      <c r="G1668" s="28"/>
      <c r="J1668" t="s">
        <v>1617</v>
      </c>
    </row>
    <row r="1669" spans="1:10" hidden="1" outlineLevel="1">
      <c r="A1669" s="28"/>
      <c r="B1669" s="1">
        <v>90</v>
      </c>
      <c r="C1669" s="5" t="s">
        <v>3087</v>
      </c>
      <c r="D1669" s="6">
        <v>209</v>
      </c>
      <c r="E1669" s="236">
        <v>44864</v>
      </c>
      <c r="F1669" s="4">
        <v>6.1458333333333337E-2</v>
      </c>
      <c r="G1669" s="28"/>
      <c r="J1669" t="s">
        <v>1617</v>
      </c>
    </row>
    <row r="1670" spans="1:10" hidden="1" outlineLevel="1">
      <c r="A1670" s="28"/>
      <c r="B1670" s="1">
        <v>91</v>
      </c>
      <c r="C1670" s="5" t="s">
        <v>3102</v>
      </c>
      <c r="D1670" s="6" t="s">
        <v>3103</v>
      </c>
      <c r="E1670" s="236">
        <v>44866</v>
      </c>
      <c r="F1670" s="4">
        <v>4.1851851851851855E-2</v>
      </c>
      <c r="G1670" s="28"/>
      <c r="J1670" t="s">
        <v>1617</v>
      </c>
    </row>
    <row r="1671" spans="1:10" hidden="1" outlineLevel="1">
      <c r="A1671" s="28"/>
      <c r="B1671" s="1">
        <v>92</v>
      </c>
      <c r="C1671" s="5" t="s">
        <v>3110</v>
      </c>
      <c r="D1671" s="6">
        <v>84</v>
      </c>
      <c r="E1671" s="236">
        <v>44878</v>
      </c>
      <c r="F1671" s="4">
        <v>8.5729166666666676E-2</v>
      </c>
      <c r="G1671" s="28"/>
      <c r="J1671" t="s">
        <v>1617</v>
      </c>
    </row>
    <row r="1672" spans="1:10" hidden="1" outlineLevel="1">
      <c r="A1672" s="28"/>
      <c r="B1672" s="1">
        <v>93</v>
      </c>
      <c r="C1672" s="5" t="s">
        <v>3137</v>
      </c>
      <c r="D1672" s="6">
        <v>33</v>
      </c>
      <c r="E1672" s="236">
        <v>44892</v>
      </c>
      <c r="F1672" s="4">
        <v>4.9999999999999996E-2</v>
      </c>
      <c r="G1672" s="28"/>
      <c r="J1672" t="s">
        <v>1617</v>
      </c>
    </row>
    <row r="1673" spans="1:10" hidden="1" outlineLevel="1">
      <c r="A1673" s="28"/>
      <c r="B1673" s="1">
        <v>94</v>
      </c>
      <c r="C1673" s="5" t="s">
        <v>3320</v>
      </c>
      <c r="D1673" s="6" t="s">
        <v>3774</v>
      </c>
      <c r="E1673" s="528">
        <v>44899</v>
      </c>
      <c r="F1673" s="504">
        <v>5.5648148148148148E-2</v>
      </c>
      <c r="G1673" s="28"/>
      <c r="J1673" t="s">
        <v>1617</v>
      </c>
    </row>
    <row r="1674" spans="1:10" hidden="1" outlineLevel="1">
      <c r="A1674" s="28"/>
      <c r="B1674" s="1">
        <v>95</v>
      </c>
      <c r="C1674" s="5" t="s">
        <v>4325</v>
      </c>
      <c r="D1674" s="6" t="s">
        <v>3775</v>
      </c>
      <c r="E1674" s="528">
        <v>44901</v>
      </c>
      <c r="F1674" s="504">
        <v>7.4282407407407408E-2</v>
      </c>
      <c r="G1674" s="28"/>
      <c r="J1674" t="s">
        <v>1617</v>
      </c>
    </row>
    <row r="1675" spans="1:10" hidden="1" outlineLevel="1">
      <c r="A1675" s="28"/>
      <c r="B1675" s="1">
        <v>96</v>
      </c>
      <c r="C1675" s="5" t="s">
        <v>3321</v>
      </c>
      <c r="D1675" s="6">
        <v>133</v>
      </c>
      <c r="E1675" s="236">
        <v>44906</v>
      </c>
      <c r="F1675" s="4">
        <v>3.8726851851851853E-2</v>
      </c>
      <c r="G1675" s="28"/>
      <c r="J1675" t="s">
        <v>1617</v>
      </c>
    </row>
    <row r="1676" spans="1:10" hidden="1" outlineLevel="1">
      <c r="A1676" s="28"/>
      <c r="B1676" s="1">
        <v>97</v>
      </c>
      <c r="C1676" s="5" t="s">
        <v>3389</v>
      </c>
      <c r="D1676" s="6" t="s">
        <v>3390</v>
      </c>
      <c r="E1676" s="236">
        <v>44913</v>
      </c>
      <c r="F1676" s="63">
        <v>3.4432870370370371E-2</v>
      </c>
      <c r="G1676" s="28"/>
      <c r="J1676" t="s">
        <v>1617</v>
      </c>
    </row>
    <row r="1677" spans="1:10" hidden="1" outlineLevel="1">
      <c r="A1677" s="28"/>
      <c r="B1677" s="1">
        <v>98</v>
      </c>
      <c r="C1677" s="5" t="s">
        <v>3417</v>
      </c>
      <c r="D1677" s="6" t="s">
        <v>3738</v>
      </c>
      <c r="E1677" s="236">
        <v>44920</v>
      </c>
      <c r="F1677" s="4">
        <v>0.15745370370370371</v>
      </c>
      <c r="G1677" s="28"/>
      <c r="J1677" t="s">
        <v>1617</v>
      </c>
    </row>
    <row r="1678" spans="1:10" hidden="1" outlineLevel="1">
      <c r="A1678" s="28"/>
      <c r="B1678" s="1">
        <v>99</v>
      </c>
      <c r="C1678" s="5" t="s">
        <v>3733</v>
      </c>
      <c r="D1678" s="6">
        <v>72</v>
      </c>
      <c r="E1678" s="561">
        <v>44934</v>
      </c>
      <c r="F1678" s="562">
        <v>6.621527777777779E-2</v>
      </c>
      <c r="G1678" s="28"/>
      <c r="J1678" t="s">
        <v>1617</v>
      </c>
    </row>
    <row r="1679" spans="1:10" hidden="1" outlineLevel="1">
      <c r="A1679" s="28"/>
      <c r="B1679" s="1">
        <v>100</v>
      </c>
      <c r="C1679" s="5" t="s">
        <v>3731</v>
      </c>
      <c r="D1679" s="6">
        <v>0</v>
      </c>
      <c r="E1679" s="561">
        <v>44941</v>
      </c>
      <c r="F1679" s="562">
        <v>8.1828703703703699E-3</v>
      </c>
      <c r="G1679" s="28"/>
      <c r="J1679" t="s">
        <v>1617</v>
      </c>
    </row>
    <row r="1680" spans="1:10" hidden="1" outlineLevel="1">
      <c r="A1680" s="28"/>
      <c r="B1680" s="1">
        <v>101</v>
      </c>
      <c r="C1680" s="5" t="s">
        <v>3732</v>
      </c>
      <c r="D1680" s="6">
        <v>99</v>
      </c>
      <c r="E1680" s="561">
        <v>44948</v>
      </c>
      <c r="F1680" s="562">
        <v>9.7708333333333328E-2</v>
      </c>
      <c r="G1680" s="28"/>
      <c r="J1680" t="s">
        <v>1617</v>
      </c>
    </row>
    <row r="1681" spans="1:10" hidden="1" outlineLevel="1">
      <c r="A1681" s="28"/>
      <c r="B1681" s="1">
        <v>102</v>
      </c>
      <c r="C1681" s="5" t="s">
        <v>3734</v>
      </c>
      <c r="D1681" s="6">
        <v>177</v>
      </c>
      <c r="E1681" s="237">
        <v>44962</v>
      </c>
      <c r="F1681" s="63">
        <v>7.8078703703703692E-2</v>
      </c>
      <c r="G1681" s="28"/>
      <c r="J1681" t="s">
        <v>1617</v>
      </c>
    </row>
    <row r="1682" spans="1:10" hidden="1" outlineLevel="1">
      <c r="A1682" s="28"/>
      <c r="B1682" s="1">
        <v>103</v>
      </c>
      <c r="C1682" s="5" t="s">
        <v>3735</v>
      </c>
      <c r="D1682" s="6">
        <v>216</v>
      </c>
      <c r="E1682" s="237">
        <v>44976</v>
      </c>
      <c r="F1682" s="63">
        <v>5.917824074074074E-2</v>
      </c>
      <c r="G1682" s="28"/>
      <c r="J1682" t="s">
        <v>1617</v>
      </c>
    </row>
    <row r="1683" spans="1:10" hidden="1" outlineLevel="1">
      <c r="A1683" s="28"/>
      <c r="B1683" s="1">
        <v>104</v>
      </c>
      <c r="C1683" s="5" t="s">
        <v>3736</v>
      </c>
      <c r="D1683" s="6">
        <v>31</v>
      </c>
      <c r="E1683" s="237">
        <v>44990</v>
      </c>
      <c r="F1683" s="63">
        <v>6.177083333333333E-2</v>
      </c>
      <c r="G1683" s="28"/>
      <c r="J1683" t="s">
        <v>1617</v>
      </c>
    </row>
    <row r="1684" spans="1:10" hidden="1" outlineLevel="1">
      <c r="A1684" s="28"/>
      <c r="B1684" s="1">
        <v>105</v>
      </c>
      <c r="C1684" s="5" t="s">
        <v>3737</v>
      </c>
      <c r="D1684" s="6" t="s">
        <v>3739</v>
      </c>
      <c r="E1684" s="237">
        <v>45002</v>
      </c>
      <c r="F1684" s="63">
        <v>0.11820601851851853</v>
      </c>
      <c r="G1684" s="28"/>
      <c r="J1684" t="s">
        <v>1617</v>
      </c>
    </row>
    <row r="1685" spans="1:10" hidden="1" outlineLevel="1">
      <c r="A1685" s="28"/>
      <c r="B1685" s="1">
        <v>106</v>
      </c>
      <c r="C1685" s="5" t="s">
        <v>3741</v>
      </c>
      <c r="D1685" s="6" t="s">
        <v>3740</v>
      </c>
      <c r="E1685" s="237">
        <v>45003</v>
      </c>
      <c r="F1685" s="63">
        <v>5.8356481481481481E-2</v>
      </c>
      <c r="G1685" s="28"/>
      <c r="J1685" t="s">
        <v>1617</v>
      </c>
    </row>
    <row r="1686" spans="1:10" hidden="1" outlineLevel="1">
      <c r="A1686" s="28"/>
      <c r="B1686" s="1">
        <v>107</v>
      </c>
      <c r="C1686" s="5" t="s">
        <v>3742</v>
      </c>
      <c r="D1686" s="6">
        <v>75</v>
      </c>
      <c r="E1686" s="237">
        <v>45004</v>
      </c>
      <c r="F1686" s="63">
        <v>5.1608796296296298E-2</v>
      </c>
      <c r="G1686" s="28"/>
      <c r="J1686" t="s">
        <v>1617</v>
      </c>
    </row>
    <row r="1687" spans="1:10" hidden="1" outlineLevel="1">
      <c r="A1687" s="28"/>
      <c r="B1687" s="1">
        <v>108</v>
      </c>
      <c r="C1687" s="5" t="s">
        <v>3899</v>
      </c>
      <c r="D1687" s="6">
        <v>217</v>
      </c>
      <c r="E1687" s="236">
        <v>45046</v>
      </c>
      <c r="F1687" s="4">
        <v>7.4224537037037033E-2</v>
      </c>
      <c r="G1687" s="28"/>
      <c r="J1687" t="s">
        <v>1617</v>
      </c>
    </row>
    <row r="1688" spans="1:10" hidden="1" outlineLevel="1">
      <c r="A1688" s="28"/>
      <c r="B1688" s="1">
        <v>109</v>
      </c>
      <c r="C1688" s="5" t="s">
        <v>3925</v>
      </c>
      <c r="D1688" s="6">
        <v>166</v>
      </c>
      <c r="E1688" s="237">
        <v>45060</v>
      </c>
      <c r="F1688" s="63">
        <v>4.8819444444444443E-2</v>
      </c>
      <c r="G1688" s="28"/>
      <c r="J1688" t="s">
        <v>1617</v>
      </c>
    </row>
    <row r="1689" spans="1:10" hidden="1" outlineLevel="1">
      <c r="A1689" s="28"/>
      <c r="B1689" s="1">
        <v>110</v>
      </c>
      <c r="C1689" s="5" t="s">
        <v>3926</v>
      </c>
      <c r="D1689" s="6">
        <v>78</v>
      </c>
      <c r="E1689" s="237">
        <v>45074</v>
      </c>
      <c r="F1689" s="63">
        <v>6.8831018518518514E-2</v>
      </c>
      <c r="G1689" s="28"/>
      <c r="J1689" t="s">
        <v>1617</v>
      </c>
    </row>
    <row r="1690" spans="1:10" hidden="1" outlineLevel="1">
      <c r="A1690" s="28"/>
      <c r="B1690" s="1">
        <v>111</v>
      </c>
      <c r="C1690" s="5" t="s">
        <v>3927</v>
      </c>
      <c r="D1690" s="6">
        <v>48</v>
      </c>
      <c r="E1690" s="237">
        <v>45088</v>
      </c>
      <c r="F1690" s="63">
        <v>6.9756944444444455E-2</v>
      </c>
      <c r="G1690" s="28"/>
      <c r="J1690" t="s">
        <v>1617</v>
      </c>
    </row>
    <row r="1691" spans="1:10" hidden="1" outlineLevel="1">
      <c r="A1691" s="28"/>
      <c r="B1691" s="1">
        <v>112</v>
      </c>
      <c r="C1691" s="5" t="s">
        <v>3961</v>
      </c>
      <c r="D1691" s="6">
        <v>85</v>
      </c>
      <c r="E1691" s="237">
        <v>45102</v>
      </c>
      <c r="F1691" s="63">
        <v>6.5520833333333334E-2</v>
      </c>
      <c r="G1691" s="28"/>
      <c r="J1691" t="s">
        <v>1617</v>
      </c>
    </row>
    <row r="1692" spans="1:10" hidden="1" outlineLevel="1">
      <c r="A1692" s="28"/>
      <c r="B1692" s="1">
        <v>113</v>
      </c>
      <c r="C1692" s="5" t="s">
        <v>3979</v>
      </c>
      <c r="D1692" s="6">
        <v>60</v>
      </c>
      <c r="E1692" s="237">
        <v>45116</v>
      </c>
      <c r="F1692" s="63">
        <v>3.9212962962962963E-2</v>
      </c>
      <c r="G1692" s="28"/>
      <c r="J1692" t="s">
        <v>1617</v>
      </c>
    </row>
    <row r="1693" spans="1:10" hidden="1" outlineLevel="1">
      <c r="A1693" s="28"/>
      <c r="B1693" s="1">
        <v>114</v>
      </c>
      <c r="C1693" s="5" t="s">
        <v>4035</v>
      </c>
      <c r="D1693" s="6">
        <v>98</v>
      </c>
      <c r="E1693" s="237">
        <v>45130</v>
      </c>
      <c r="F1693" s="63">
        <v>5.9282407407407402E-2</v>
      </c>
      <c r="G1693" s="28"/>
      <c r="J1693" t="s">
        <v>1617</v>
      </c>
    </row>
    <row r="1694" spans="1:10" hidden="1" outlineLevel="1">
      <c r="A1694" s="28"/>
      <c r="B1694" s="1">
        <v>115</v>
      </c>
      <c r="C1694" s="5" t="s">
        <v>4050</v>
      </c>
      <c r="D1694" s="6">
        <v>35</v>
      </c>
      <c r="E1694" s="236">
        <v>45144</v>
      </c>
      <c r="F1694" s="4">
        <v>8.7708333333333333E-2</v>
      </c>
      <c r="G1694" s="28"/>
      <c r="J1694" t="s">
        <v>1617</v>
      </c>
    </row>
    <row r="1695" spans="1:10" hidden="1" outlineLevel="1">
      <c r="A1695" s="28"/>
      <c r="B1695" s="1">
        <v>116</v>
      </c>
      <c r="C1695" s="5" t="s">
        <v>4061</v>
      </c>
      <c r="D1695" s="6">
        <v>4</v>
      </c>
      <c r="E1695" s="236">
        <v>45158</v>
      </c>
      <c r="F1695" s="4">
        <v>5.4791666666666662E-2</v>
      </c>
      <c r="G1695" s="28"/>
      <c r="J1695" t="s">
        <v>1617</v>
      </c>
    </row>
    <row r="1696" spans="1:10" hidden="1" outlineLevel="1">
      <c r="A1696" s="28"/>
      <c r="B1696" s="1">
        <v>117</v>
      </c>
      <c r="C1696" s="5" t="s">
        <v>4140</v>
      </c>
      <c r="D1696" s="6">
        <v>213</v>
      </c>
      <c r="E1696" s="561">
        <v>45200</v>
      </c>
      <c r="F1696" s="562">
        <v>7.5497685185185182E-2</v>
      </c>
      <c r="G1696" s="28"/>
      <c r="J1696" t="s">
        <v>1617</v>
      </c>
    </row>
    <row r="1697" spans="1:10" hidden="1" outlineLevel="1">
      <c r="A1697" s="28"/>
      <c r="B1697" s="1">
        <v>118</v>
      </c>
      <c r="C1697" s="5" t="s">
        <v>4141</v>
      </c>
      <c r="D1697" s="6">
        <v>0</v>
      </c>
      <c r="E1697" s="561">
        <v>45214</v>
      </c>
      <c r="F1697" s="562">
        <v>5.7025462962962958E-2</v>
      </c>
      <c r="G1697" s="28"/>
      <c r="J1697" t="s">
        <v>1617</v>
      </c>
    </row>
    <row r="1698" spans="1:10" hidden="1" outlineLevel="1">
      <c r="A1698" s="28"/>
      <c r="B1698" s="1">
        <v>119</v>
      </c>
      <c r="C1698" s="5" t="s">
        <v>4166</v>
      </c>
      <c r="D1698" s="6">
        <v>46</v>
      </c>
      <c r="E1698" s="236">
        <v>45230.519594907404</v>
      </c>
      <c r="F1698" s="4">
        <v>4.3807870370370372E-2</v>
      </c>
      <c r="G1698" s="28"/>
      <c r="J1698" t="s">
        <v>1617</v>
      </c>
    </row>
    <row r="1699" spans="1:10" hidden="1" outlineLevel="1">
      <c r="A1699" s="28"/>
      <c r="B1699" s="1">
        <v>120</v>
      </c>
      <c r="C1699" s="5" t="s">
        <v>4326</v>
      </c>
      <c r="D1699" s="6">
        <v>0</v>
      </c>
      <c r="E1699" s="236">
        <v>45242</v>
      </c>
      <c r="F1699" s="4">
        <v>2.9456018518518517E-2</v>
      </c>
      <c r="G1699" s="28"/>
      <c r="J1699" t="s">
        <v>1617</v>
      </c>
    </row>
    <row r="1700" spans="1:10" hidden="1" outlineLevel="1">
      <c r="A1700" s="28"/>
      <c r="B1700" s="1">
        <v>121</v>
      </c>
      <c r="C1700" s="5" t="s">
        <v>4318</v>
      </c>
      <c r="D1700" s="6">
        <v>0</v>
      </c>
      <c r="E1700" s="237">
        <v>45256</v>
      </c>
      <c r="F1700" s="63">
        <v>4.5567129629629631E-2</v>
      </c>
      <c r="G1700" s="28"/>
      <c r="J1700" t="s">
        <v>1617</v>
      </c>
    </row>
    <row r="1701" spans="1:10" hidden="1" outlineLevel="1">
      <c r="A1701" s="28"/>
      <c r="B1701" s="1">
        <v>122</v>
      </c>
      <c r="C1701" s="5" t="s">
        <v>4327</v>
      </c>
      <c r="D1701" s="6" t="s">
        <v>4319</v>
      </c>
      <c r="E1701" s="237">
        <v>45266</v>
      </c>
      <c r="F1701" s="63">
        <v>5.7465277777777775E-2</v>
      </c>
      <c r="G1701" s="28"/>
      <c r="J1701" t="s">
        <v>1617</v>
      </c>
    </row>
    <row r="1702" spans="1:10" hidden="1" outlineLevel="1">
      <c r="A1702" s="28"/>
      <c r="B1702" s="1">
        <v>123</v>
      </c>
      <c r="C1702" s="5" t="s">
        <v>4320</v>
      </c>
      <c r="D1702" s="6">
        <v>221</v>
      </c>
      <c r="E1702" s="237">
        <v>45270</v>
      </c>
      <c r="F1702" s="63">
        <v>4.3946759259259255E-2</v>
      </c>
      <c r="G1702" s="28"/>
      <c r="J1702" t="s">
        <v>1617</v>
      </c>
    </row>
    <row r="1703" spans="1:10" hidden="1" outlineLevel="1">
      <c r="A1703" s="28"/>
      <c r="B1703" s="1">
        <v>124</v>
      </c>
      <c r="C1703" s="5" t="s">
        <v>4461</v>
      </c>
      <c r="D1703" s="6">
        <v>123</v>
      </c>
      <c r="E1703" s="236">
        <v>45382</v>
      </c>
      <c r="F1703" s="4">
        <v>6.0092592592592593E-2</v>
      </c>
      <c r="G1703" s="28"/>
      <c r="J1703" t="s">
        <v>1617</v>
      </c>
    </row>
    <row r="1704" spans="1:10" hidden="1" outlineLevel="1">
      <c r="A1704" s="28"/>
      <c r="B1704" s="1">
        <v>125</v>
      </c>
      <c r="C1704" s="5" t="s">
        <v>4480</v>
      </c>
      <c r="D1704" s="6">
        <v>0</v>
      </c>
      <c r="E1704" s="561">
        <v>45398</v>
      </c>
      <c r="F1704" s="562">
        <v>4.3796296296296298E-2</v>
      </c>
      <c r="G1704" s="28"/>
      <c r="J1704" t="s">
        <v>1617</v>
      </c>
    </row>
    <row r="1705" spans="1:10" hidden="1" outlineLevel="1">
      <c r="A1705" s="28"/>
      <c r="B1705" s="76">
        <v>126</v>
      </c>
      <c r="C1705" s="77" t="s">
        <v>4479</v>
      </c>
      <c r="D1705" s="246">
        <v>148</v>
      </c>
      <c r="E1705" s="747">
        <v>46387</v>
      </c>
      <c r="F1705" s="84">
        <v>0</v>
      </c>
      <c r="G1705" s="28"/>
      <c r="J1705" t="s">
        <v>1617</v>
      </c>
    </row>
    <row r="1706" spans="1:10">
      <c r="A1706" s="28"/>
      <c r="B1706" s="40"/>
      <c r="C1706" s="40"/>
      <c r="D1706" s="35"/>
      <c r="E1706" s="50"/>
      <c r="F1706" s="51"/>
      <c r="G1706" s="28"/>
    </row>
    <row r="1707" spans="1:10">
      <c r="A1707" s="28"/>
      <c r="B1707" s="28"/>
      <c r="C1707" s="28"/>
      <c r="D1707" s="29"/>
      <c r="E1707" s="52"/>
      <c r="F1707" s="53"/>
      <c r="G1707" s="28"/>
    </row>
    <row r="1708" spans="1:10">
      <c r="A1708" s="28"/>
      <c r="B1708" s="33"/>
      <c r="C1708" s="34" t="s">
        <v>2025</v>
      </c>
      <c r="D1708" s="40"/>
      <c r="E1708" s="36"/>
      <c r="F1708" s="37"/>
      <c r="G1708" s="28"/>
    </row>
    <row r="1709" spans="1:10" collapsed="1">
      <c r="A1709" s="28"/>
      <c r="B1709" s="38"/>
      <c r="C1709" s="230" t="s">
        <v>2371</v>
      </c>
      <c r="D1709" s="271" t="s">
        <v>2028</v>
      </c>
      <c r="E1709" s="30"/>
      <c r="F1709" s="39"/>
      <c r="G1709" s="28"/>
    </row>
    <row r="1710" spans="1:10" hidden="1" outlineLevel="1">
      <c r="A1710" s="28"/>
      <c r="B1710" s="23" t="s">
        <v>5</v>
      </c>
      <c r="C1710" s="24" t="s">
        <v>6</v>
      </c>
      <c r="D1710" s="25" t="s">
        <v>4</v>
      </c>
      <c r="E1710" s="138" t="s">
        <v>8</v>
      </c>
      <c r="F1710" s="26" t="s">
        <v>7</v>
      </c>
      <c r="G1710" s="28"/>
    </row>
    <row r="1711" spans="1:10" hidden="1" outlineLevel="1">
      <c r="A1711" s="28"/>
      <c r="B1711" s="1">
        <v>1</v>
      </c>
      <c r="C1711" s="5" t="s">
        <v>1596</v>
      </c>
      <c r="D1711" s="259" t="s">
        <v>1625</v>
      </c>
      <c r="E1711" s="3">
        <v>44258</v>
      </c>
      <c r="F1711" s="4">
        <v>5.1018518518518519E-2</v>
      </c>
      <c r="G1711" s="28"/>
    </row>
    <row r="1712" spans="1:10" hidden="1" outlineLevel="1">
      <c r="A1712" s="28"/>
      <c r="B1712" s="1">
        <v>2</v>
      </c>
      <c r="C1712" s="5" t="s">
        <v>1626</v>
      </c>
      <c r="D1712" s="219" t="s">
        <v>1717</v>
      </c>
      <c r="E1712" s="3">
        <v>44289</v>
      </c>
      <c r="F1712" s="4">
        <v>4.1655092592592598E-2</v>
      </c>
      <c r="G1712" s="28"/>
    </row>
    <row r="1713" spans="1:7" hidden="1" outlineLevel="1">
      <c r="A1713" s="28"/>
      <c r="B1713" s="1">
        <v>3</v>
      </c>
      <c r="C1713" s="260" t="s">
        <v>1716</v>
      </c>
      <c r="D1713" s="219" t="s">
        <v>1718</v>
      </c>
      <c r="E1713" s="3">
        <v>44319</v>
      </c>
      <c r="F1713" s="4">
        <v>4.4930555555555557E-2</v>
      </c>
      <c r="G1713" s="28"/>
    </row>
    <row r="1714" spans="1:7" hidden="1" outlineLevel="1">
      <c r="A1714" s="28"/>
      <c r="B1714" s="1">
        <v>4</v>
      </c>
      <c r="C1714" s="260" t="s">
        <v>1790</v>
      </c>
      <c r="D1714" s="219" t="s">
        <v>1719</v>
      </c>
      <c r="E1714" s="3">
        <v>44350</v>
      </c>
      <c r="F1714" s="4">
        <v>4.0486111111111105E-2</v>
      </c>
      <c r="G1714" s="28"/>
    </row>
    <row r="1715" spans="1:7" hidden="1" outlineLevel="1">
      <c r="A1715" s="28"/>
      <c r="B1715" s="1">
        <v>5</v>
      </c>
      <c r="C1715" s="5" t="s">
        <v>1805</v>
      </c>
      <c r="D1715" s="219" t="s">
        <v>1791</v>
      </c>
      <c r="E1715" s="3">
        <v>44380</v>
      </c>
      <c r="F1715" s="4">
        <v>5.2037037037037041E-2</v>
      </c>
      <c r="G1715" s="28"/>
    </row>
    <row r="1716" spans="1:7" hidden="1" outlineLevel="1">
      <c r="A1716" s="28"/>
      <c r="B1716" s="1">
        <v>6</v>
      </c>
      <c r="C1716" s="5" t="s">
        <v>1857</v>
      </c>
      <c r="D1716" s="219" t="s">
        <v>1860</v>
      </c>
      <c r="E1716" s="3">
        <v>44411</v>
      </c>
      <c r="F1716" s="4">
        <v>4.53587962962963E-2</v>
      </c>
      <c r="G1716" s="28"/>
    </row>
    <row r="1717" spans="1:7" hidden="1" outlineLevel="1">
      <c r="A1717" s="28"/>
      <c r="B1717" s="1">
        <v>7</v>
      </c>
      <c r="C1717" s="262" t="s">
        <v>1901</v>
      </c>
      <c r="D1717" s="219" t="s">
        <v>1861</v>
      </c>
      <c r="E1717" s="3">
        <v>44442</v>
      </c>
      <c r="F1717" s="4">
        <v>4.1423611111111112E-2</v>
      </c>
      <c r="G1717" s="28"/>
    </row>
    <row r="1718" spans="1:7" hidden="1" outlineLevel="1">
      <c r="A1718" s="28"/>
      <c r="B1718" s="1">
        <v>8</v>
      </c>
      <c r="C1718" s="260" t="s">
        <v>2027</v>
      </c>
      <c r="D1718" s="219" t="s">
        <v>1912</v>
      </c>
      <c r="E1718" s="3">
        <v>44472</v>
      </c>
      <c r="F1718" s="4">
        <v>4.8310185185185185E-2</v>
      </c>
      <c r="G1718" s="28"/>
    </row>
    <row r="1719" spans="1:7" hidden="1" outlineLevel="1">
      <c r="A1719" s="28"/>
      <c r="B1719" s="1">
        <v>9</v>
      </c>
      <c r="C1719" s="260" t="s">
        <v>2400</v>
      </c>
      <c r="D1719" s="219" t="s">
        <v>2029</v>
      </c>
      <c r="E1719" s="3">
        <v>44503</v>
      </c>
      <c r="F1719" s="4">
        <v>4.4652777777777784E-2</v>
      </c>
      <c r="G1719" s="28"/>
    </row>
    <row r="1720" spans="1:7" hidden="1" outlineLevel="1">
      <c r="A1720" s="28"/>
      <c r="B1720" s="1">
        <v>10</v>
      </c>
      <c r="C1720" s="262" t="s">
        <v>2541</v>
      </c>
      <c r="D1720" s="219" t="s">
        <v>2401</v>
      </c>
      <c r="E1720" s="3">
        <v>44533</v>
      </c>
      <c r="F1720" s="4">
        <v>4.5370370370370366E-2</v>
      </c>
      <c r="G1720" s="28"/>
    </row>
    <row r="1721" spans="1:7" hidden="1" outlineLevel="1">
      <c r="A1721" s="28"/>
      <c r="B1721" s="1">
        <v>11</v>
      </c>
      <c r="C1721" s="262" t="s">
        <v>2658</v>
      </c>
      <c r="D1721" s="219" t="s">
        <v>110</v>
      </c>
      <c r="E1721" s="3">
        <v>44554</v>
      </c>
      <c r="F1721" s="4">
        <v>3.7199074074074072E-2</v>
      </c>
      <c r="G1721" s="28"/>
    </row>
    <row r="1722" spans="1:7" hidden="1" outlineLevel="1">
      <c r="A1722" s="28"/>
      <c r="B1722" s="1">
        <v>12</v>
      </c>
      <c r="C1722" s="262" t="s">
        <v>2683</v>
      </c>
      <c r="D1722" s="219" t="s">
        <v>2684</v>
      </c>
      <c r="E1722" s="3">
        <v>44564</v>
      </c>
      <c r="F1722" s="4">
        <v>4.6041666666666668E-2</v>
      </c>
      <c r="G1722" s="28"/>
    </row>
    <row r="1723" spans="1:7" hidden="1" outlineLevel="1">
      <c r="A1723" s="28"/>
      <c r="B1723" s="1">
        <v>13</v>
      </c>
      <c r="C1723" s="5" t="s">
        <v>2685</v>
      </c>
      <c r="D1723" s="219" t="s">
        <v>2686</v>
      </c>
      <c r="E1723" s="3">
        <v>44595</v>
      </c>
      <c r="F1723" s="4">
        <v>4.7754629629629626E-2</v>
      </c>
      <c r="G1723" s="28"/>
    </row>
    <row r="1724" spans="1:7" hidden="1" outlineLevel="1">
      <c r="A1724" s="28"/>
      <c r="B1724" s="1">
        <v>14</v>
      </c>
      <c r="C1724" s="262" t="s">
        <v>2820</v>
      </c>
      <c r="D1724" s="219" t="s">
        <v>2821</v>
      </c>
      <c r="E1724" s="3">
        <v>44623</v>
      </c>
      <c r="F1724" s="4">
        <v>4.4907407407407403E-2</v>
      </c>
      <c r="G1724" s="28"/>
    </row>
    <row r="1725" spans="1:7" hidden="1" outlineLevel="1">
      <c r="A1725" s="28"/>
      <c r="B1725" s="1">
        <v>15</v>
      </c>
      <c r="C1725" s="262" t="s">
        <v>2886</v>
      </c>
      <c r="D1725" s="219" t="s">
        <v>2823</v>
      </c>
      <c r="E1725" s="3">
        <v>44654</v>
      </c>
      <c r="F1725" s="4">
        <v>4.4872685185185189E-2</v>
      </c>
      <c r="G1725" s="28"/>
    </row>
    <row r="1726" spans="1:7" hidden="1" outlineLevel="1">
      <c r="A1726" s="28"/>
      <c r="B1726" s="1">
        <v>16</v>
      </c>
      <c r="C1726" s="262" t="s">
        <v>2914</v>
      </c>
      <c r="D1726" s="219" t="s">
        <v>2890</v>
      </c>
      <c r="E1726" s="3">
        <v>44684</v>
      </c>
      <c r="F1726" s="4">
        <v>4.6157407407407404E-2</v>
      </c>
      <c r="G1726" s="28"/>
    </row>
    <row r="1727" spans="1:7" hidden="1" outlineLevel="1">
      <c r="A1727" s="28"/>
      <c r="B1727" s="1">
        <v>17</v>
      </c>
      <c r="C1727" s="262" t="s">
        <v>2949</v>
      </c>
      <c r="D1727" s="219" t="s">
        <v>2915</v>
      </c>
      <c r="E1727" s="3">
        <v>44715</v>
      </c>
      <c r="F1727" s="4">
        <v>4.5370370370370366E-2</v>
      </c>
      <c r="G1727" s="28"/>
    </row>
    <row r="1728" spans="1:7" hidden="1" outlineLevel="1">
      <c r="A1728" s="28"/>
      <c r="B1728" s="1">
        <v>18</v>
      </c>
      <c r="C1728" s="262" t="s">
        <v>3021</v>
      </c>
      <c r="D1728" s="219" t="s">
        <v>2951</v>
      </c>
      <c r="E1728" s="3">
        <v>44745</v>
      </c>
      <c r="F1728" s="4">
        <v>4.5555555555555551E-2</v>
      </c>
      <c r="G1728" s="28"/>
    </row>
    <row r="1729" spans="1:7" hidden="1" outlineLevel="1">
      <c r="A1729" s="28"/>
      <c r="B1729" s="1">
        <v>19</v>
      </c>
      <c r="C1729" s="262" t="s">
        <v>3022</v>
      </c>
      <c r="D1729" s="219" t="s">
        <v>3023</v>
      </c>
      <c r="E1729" s="3">
        <v>44776</v>
      </c>
      <c r="F1729" s="4">
        <v>4.5798611111111109E-2</v>
      </c>
      <c r="G1729" s="28"/>
    </row>
    <row r="1730" spans="1:7" hidden="1" outlineLevel="1">
      <c r="A1730" s="28"/>
      <c r="B1730" s="1">
        <v>20</v>
      </c>
      <c r="C1730" s="262" t="s">
        <v>3024</v>
      </c>
      <c r="D1730" s="219" t="s">
        <v>3025</v>
      </c>
      <c r="E1730" s="3">
        <v>44807</v>
      </c>
      <c r="F1730" s="4">
        <v>4.3472222222222225E-2</v>
      </c>
      <c r="G1730" s="28"/>
    </row>
    <row r="1731" spans="1:7" hidden="1" outlineLevel="1">
      <c r="A1731" s="28"/>
      <c r="B1731" s="1">
        <v>21</v>
      </c>
      <c r="C1731" s="262" t="s">
        <v>3064</v>
      </c>
      <c r="D1731" s="219" t="s">
        <v>3026</v>
      </c>
      <c r="E1731" s="3">
        <v>44837</v>
      </c>
      <c r="F1731" s="4">
        <v>4.5138888888888888E-2</v>
      </c>
      <c r="G1731" s="28"/>
    </row>
    <row r="1732" spans="1:7" hidden="1" outlineLevel="1">
      <c r="A1732" s="28"/>
      <c r="B1732" s="1">
        <v>22</v>
      </c>
      <c r="C1732" s="262" t="s">
        <v>3094</v>
      </c>
      <c r="D1732" s="219" t="s">
        <v>3065</v>
      </c>
      <c r="E1732" s="3">
        <v>44868</v>
      </c>
      <c r="F1732" s="4">
        <v>4.4872685185185189E-2</v>
      </c>
      <c r="G1732" s="28"/>
    </row>
    <row r="1733" spans="1:7" hidden="1" outlineLevel="1">
      <c r="A1733" s="28"/>
      <c r="B1733" s="1">
        <v>23</v>
      </c>
      <c r="C1733" s="262" t="s">
        <v>3265</v>
      </c>
      <c r="D1733" s="219" t="s">
        <v>3095</v>
      </c>
      <c r="E1733" s="3">
        <v>44898</v>
      </c>
      <c r="F1733" s="4">
        <v>4.5173611111111116E-2</v>
      </c>
      <c r="G1733" s="28"/>
    </row>
    <row r="1734" spans="1:7" hidden="1" outlineLevel="1">
      <c r="A1734" s="28"/>
      <c r="B1734" s="1">
        <v>24</v>
      </c>
      <c r="C1734" s="262" t="s">
        <v>3756</v>
      </c>
      <c r="D1734" s="219" t="s">
        <v>3266</v>
      </c>
      <c r="E1734" s="3">
        <v>44929</v>
      </c>
      <c r="F1734" s="4">
        <v>4.462962962962963E-2</v>
      </c>
      <c r="G1734" s="28"/>
    </row>
    <row r="1735" spans="1:7" hidden="1" outlineLevel="1">
      <c r="A1735" s="28"/>
      <c r="B1735" s="1">
        <v>25</v>
      </c>
      <c r="C1735" s="262" t="s">
        <v>3758</v>
      </c>
      <c r="D1735" s="219" t="s">
        <v>3759</v>
      </c>
      <c r="E1735" s="3">
        <v>44960</v>
      </c>
      <c r="F1735" s="4">
        <v>4.3668981481481482E-2</v>
      </c>
      <c r="G1735" s="28"/>
    </row>
    <row r="1736" spans="1:7" hidden="1" outlineLevel="1">
      <c r="A1736" s="28"/>
      <c r="B1736" s="1">
        <v>26</v>
      </c>
      <c r="C1736" s="262" t="s">
        <v>3760</v>
      </c>
      <c r="D1736" s="219" t="s">
        <v>3761</v>
      </c>
      <c r="E1736" s="3">
        <v>44988</v>
      </c>
      <c r="F1736" s="4">
        <v>4.1435185185185179E-2</v>
      </c>
      <c r="G1736" s="28"/>
    </row>
    <row r="1737" spans="1:7" hidden="1" outlineLevel="1">
      <c r="A1737" s="28"/>
      <c r="B1737" s="1">
        <v>27</v>
      </c>
      <c r="C1737" s="262" t="s">
        <v>3805</v>
      </c>
      <c r="D1737" s="219" t="s">
        <v>3762</v>
      </c>
      <c r="E1737" s="3">
        <v>45019</v>
      </c>
      <c r="F1737" s="4">
        <v>4.3310185185185181E-2</v>
      </c>
      <c r="G1737" s="28"/>
    </row>
    <row r="1738" spans="1:7" hidden="1" outlineLevel="1">
      <c r="A1738" s="28"/>
      <c r="B1738" s="1">
        <v>28</v>
      </c>
      <c r="C1738" s="262" t="s">
        <v>3903</v>
      </c>
      <c r="D1738" s="219" t="s">
        <v>3859</v>
      </c>
      <c r="E1738" s="3">
        <v>45049</v>
      </c>
      <c r="F1738" s="4">
        <v>4.1226851851851855E-2</v>
      </c>
      <c r="G1738" s="28"/>
    </row>
    <row r="1739" spans="1:7" hidden="1" outlineLevel="1">
      <c r="A1739" s="28"/>
      <c r="B1739" s="1">
        <v>29</v>
      </c>
      <c r="C1739" s="262" t="s">
        <v>3944</v>
      </c>
      <c r="D1739" s="219" t="s">
        <v>3905</v>
      </c>
      <c r="E1739" s="3">
        <v>45080</v>
      </c>
      <c r="F1739" s="4">
        <v>4.2881944444444438E-2</v>
      </c>
      <c r="G1739" s="28"/>
    </row>
    <row r="1740" spans="1:7" hidden="1" outlineLevel="1">
      <c r="A1740" s="28"/>
      <c r="B1740" s="1">
        <v>30</v>
      </c>
      <c r="C1740" s="262" t="s">
        <v>3976</v>
      </c>
      <c r="D1740" s="219" t="s">
        <v>3946</v>
      </c>
      <c r="E1740" s="3">
        <v>45110</v>
      </c>
      <c r="F1740" s="4">
        <v>4.5995370370370374E-2</v>
      </c>
      <c r="G1740" s="28"/>
    </row>
    <row r="1741" spans="1:7" hidden="1" outlineLevel="1">
      <c r="A1741" s="28"/>
      <c r="B1741" s="1">
        <v>31</v>
      </c>
      <c r="C1741" s="262" t="s">
        <v>4044</v>
      </c>
      <c r="D1741" s="219" t="s">
        <v>4026</v>
      </c>
      <c r="E1741" s="3">
        <v>45141</v>
      </c>
      <c r="F1741" s="4">
        <v>4.3819444444444446E-2</v>
      </c>
      <c r="G1741" s="28"/>
    </row>
    <row r="1742" spans="1:7" hidden="1" outlineLevel="1">
      <c r="A1742" s="28"/>
      <c r="B1742" s="1">
        <v>32</v>
      </c>
      <c r="C1742" s="262" t="s">
        <v>4135</v>
      </c>
      <c r="D1742" s="219" t="s">
        <v>4046</v>
      </c>
      <c r="E1742" s="3">
        <v>45172</v>
      </c>
      <c r="F1742" s="4">
        <v>4.4143518518518519E-2</v>
      </c>
      <c r="G1742" s="28"/>
    </row>
    <row r="1743" spans="1:7" hidden="1" outlineLevel="1">
      <c r="A1743" s="28"/>
      <c r="B1743" s="1">
        <v>33</v>
      </c>
      <c r="C1743" s="262" t="s">
        <v>4136</v>
      </c>
      <c r="D1743" s="219" t="s">
        <v>4137</v>
      </c>
      <c r="E1743" s="3">
        <v>45202</v>
      </c>
      <c r="F1743" s="4">
        <v>4.5324074074074072E-2</v>
      </c>
      <c r="G1743" s="28"/>
    </row>
    <row r="1744" spans="1:7" hidden="1" outlineLevel="1">
      <c r="A1744" s="28"/>
      <c r="B1744" s="1">
        <v>34</v>
      </c>
      <c r="C1744" s="262" t="s">
        <v>4167</v>
      </c>
      <c r="D1744" s="219" t="s">
        <v>4139</v>
      </c>
      <c r="E1744" s="3">
        <v>45233</v>
      </c>
      <c r="F1744" s="4">
        <v>4.386574074074074E-2</v>
      </c>
      <c r="G1744" s="28"/>
    </row>
    <row r="1745" spans="1:10" hidden="1" outlineLevel="1">
      <c r="A1745" s="28"/>
      <c r="B1745" s="1">
        <v>35</v>
      </c>
      <c r="C1745" s="262" t="s">
        <v>4308</v>
      </c>
      <c r="D1745" s="219" t="s">
        <v>4168</v>
      </c>
      <c r="E1745" s="3">
        <v>45263</v>
      </c>
      <c r="F1745" s="4">
        <v>4.2395833333333334E-2</v>
      </c>
      <c r="G1745" s="28"/>
    </row>
    <row r="1746" spans="1:10" hidden="1" outlineLevel="1">
      <c r="A1746" s="28"/>
      <c r="B1746" s="1">
        <v>36</v>
      </c>
      <c r="C1746" s="262" t="s">
        <v>4392</v>
      </c>
      <c r="D1746" s="219" t="s">
        <v>4309</v>
      </c>
      <c r="E1746" s="3">
        <v>45294</v>
      </c>
      <c r="F1746" s="4">
        <v>4.6655092592592595E-2</v>
      </c>
      <c r="G1746" s="28"/>
    </row>
    <row r="1747" spans="1:10" hidden="1" outlineLevel="1">
      <c r="A1747" s="28"/>
      <c r="B1747" s="1">
        <v>37</v>
      </c>
      <c r="C1747" s="262" t="s">
        <v>4393</v>
      </c>
      <c r="D1747" s="219" t="s">
        <v>4394</v>
      </c>
      <c r="E1747" s="3">
        <v>45325</v>
      </c>
      <c r="F1747" s="4">
        <v>5.7905092592592598E-2</v>
      </c>
      <c r="G1747" s="28"/>
    </row>
    <row r="1748" spans="1:10" hidden="1" outlineLevel="1">
      <c r="A1748" s="28"/>
      <c r="B1748" s="1">
        <v>38</v>
      </c>
      <c r="C1748" s="725" t="s">
        <v>4425</v>
      </c>
      <c r="D1748" s="219" t="s">
        <v>4397</v>
      </c>
      <c r="E1748" s="3">
        <v>45354</v>
      </c>
      <c r="F1748" s="4">
        <v>4.3912037037037034E-2</v>
      </c>
      <c r="G1748" s="28"/>
    </row>
    <row r="1749" spans="1:10" hidden="1" outlineLevel="1">
      <c r="A1749" s="28"/>
      <c r="B1749" s="1">
        <v>39</v>
      </c>
      <c r="C1749" s="262" t="s">
        <v>4457</v>
      </c>
      <c r="D1749" s="219" t="s">
        <v>4427</v>
      </c>
      <c r="E1749" s="3">
        <v>45385</v>
      </c>
      <c r="F1749" s="4">
        <v>5.0462962962962966E-2</v>
      </c>
      <c r="G1749" s="28"/>
    </row>
    <row r="1750" spans="1:10" hidden="1" outlineLevel="1">
      <c r="A1750" s="28"/>
      <c r="B1750" s="81">
        <v>40</v>
      </c>
      <c r="C1750" s="644" t="s">
        <v>4460</v>
      </c>
      <c r="D1750" s="645" t="s">
        <v>4459</v>
      </c>
      <c r="E1750" s="646">
        <v>45415</v>
      </c>
      <c r="F1750" s="80">
        <v>0</v>
      </c>
      <c r="G1750" s="28"/>
    </row>
    <row r="1751" spans="1:10" ht="0.5" customHeight="1">
      <c r="A1751" s="28"/>
      <c r="B1751" s="231"/>
      <c r="C1751" s="231"/>
      <c r="D1751" s="232"/>
      <c r="E1751" s="233"/>
      <c r="F1751" s="234"/>
      <c r="G1751" s="28"/>
    </row>
    <row r="1752" spans="1:10" collapsed="1">
      <c r="A1752" s="28"/>
      <c r="B1752" s="221"/>
      <c r="C1752" s="222" t="s">
        <v>1727</v>
      </c>
      <c r="D1752" s="223"/>
      <c r="E1752" s="224"/>
      <c r="F1752" s="225"/>
      <c r="G1752" s="28"/>
    </row>
    <row r="1753" spans="1:10" hidden="1" outlineLevel="1">
      <c r="A1753" s="28"/>
      <c r="B1753" s="23" t="s">
        <v>5</v>
      </c>
      <c r="C1753" s="24" t="s">
        <v>6</v>
      </c>
      <c r="D1753" s="25" t="s">
        <v>4</v>
      </c>
      <c r="E1753" s="138" t="s">
        <v>8</v>
      </c>
      <c r="F1753" s="26" t="s">
        <v>7</v>
      </c>
      <c r="G1753" s="28"/>
    </row>
    <row r="1754" spans="1:10" hidden="1" outlineLevel="1">
      <c r="A1754" s="28"/>
      <c r="B1754" s="1">
        <v>1</v>
      </c>
      <c r="C1754" s="5" t="s">
        <v>1720</v>
      </c>
      <c r="D1754" s="5">
        <v>1</v>
      </c>
      <c r="E1754" s="3">
        <v>44258</v>
      </c>
      <c r="F1754" s="4">
        <v>2.0995370370370373E-2</v>
      </c>
      <c r="G1754" s="28"/>
      <c r="J1754" t="s">
        <v>1684</v>
      </c>
    </row>
    <row r="1755" spans="1:10" hidden="1" outlineLevel="1">
      <c r="A1755" s="28"/>
      <c r="B1755" s="1">
        <v>2</v>
      </c>
      <c r="C1755" s="5" t="s">
        <v>1721</v>
      </c>
      <c r="D1755" s="5">
        <v>125</v>
      </c>
      <c r="E1755" s="3">
        <v>44258</v>
      </c>
      <c r="F1755" s="4">
        <v>1.3344907407407408E-2</v>
      </c>
      <c r="G1755" s="28"/>
      <c r="J1755" t="s">
        <v>1684</v>
      </c>
    </row>
    <row r="1756" spans="1:10" hidden="1" outlineLevel="1">
      <c r="A1756" s="28"/>
      <c r="B1756" s="1">
        <v>3</v>
      </c>
      <c r="C1756" s="5" t="s">
        <v>1195</v>
      </c>
      <c r="D1756" s="5">
        <v>170</v>
      </c>
      <c r="E1756" s="3">
        <v>44258</v>
      </c>
      <c r="F1756" s="4">
        <v>1.667824074074074E-2</v>
      </c>
      <c r="G1756" s="28"/>
      <c r="J1756" t="s">
        <v>1684</v>
      </c>
    </row>
    <row r="1757" spans="1:10" hidden="1" outlineLevel="1">
      <c r="A1757" s="28"/>
      <c r="B1757" s="1">
        <v>4</v>
      </c>
      <c r="C1757" s="5" t="s">
        <v>1722</v>
      </c>
      <c r="D1757" s="5">
        <v>2</v>
      </c>
      <c r="E1757" s="3">
        <v>44289</v>
      </c>
      <c r="F1757" s="4">
        <v>1.5416666666666667E-2</v>
      </c>
      <c r="G1757" s="28"/>
      <c r="J1757" t="s">
        <v>1684</v>
      </c>
    </row>
    <row r="1758" spans="1:10" hidden="1" outlineLevel="1">
      <c r="A1758" s="28"/>
      <c r="B1758" s="1">
        <v>5</v>
      </c>
      <c r="C1758" s="5" t="s">
        <v>1723</v>
      </c>
      <c r="D1758" s="5">
        <v>172</v>
      </c>
      <c r="E1758" s="3">
        <v>44289</v>
      </c>
      <c r="F1758" s="4">
        <v>2.6238425925925925E-2</v>
      </c>
      <c r="G1758" s="28"/>
      <c r="J1758" t="s">
        <v>1684</v>
      </c>
    </row>
    <row r="1759" spans="1:10" hidden="1" outlineLevel="1">
      <c r="A1759" s="28"/>
      <c r="B1759" s="1">
        <v>6</v>
      </c>
      <c r="C1759" s="5" t="s">
        <v>1724</v>
      </c>
      <c r="D1759" s="5">
        <v>3</v>
      </c>
      <c r="E1759" s="3">
        <v>44319</v>
      </c>
      <c r="F1759" s="4">
        <v>2.3159722222222224E-2</v>
      </c>
      <c r="G1759" s="28"/>
      <c r="J1759" t="s">
        <v>1684</v>
      </c>
    </row>
    <row r="1760" spans="1:10" hidden="1" outlineLevel="1">
      <c r="A1760" s="28"/>
      <c r="B1760" s="1">
        <v>7</v>
      </c>
      <c r="C1760" s="5" t="s">
        <v>1725</v>
      </c>
      <c r="D1760" s="5">
        <v>136</v>
      </c>
      <c r="E1760" s="3">
        <v>44319</v>
      </c>
      <c r="F1760" s="4">
        <v>2.1770833333333336E-2</v>
      </c>
      <c r="G1760" s="28"/>
      <c r="J1760" t="s">
        <v>1684</v>
      </c>
    </row>
    <row r="1761" spans="1:10" hidden="1" outlineLevel="1">
      <c r="A1761" s="28"/>
      <c r="B1761" s="1">
        <v>8</v>
      </c>
      <c r="C1761" s="5" t="s">
        <v>1710</v>
      </c>
      <c r="D1761" s="5">
        <v>4</v>
      </c>
      <c r="E1761" s="3">
        <v>44350</v>
      </c>
      <c r="F1761" s="4">
        <v>1.9976851851851853E-2</v>
      </c>
      <c r="G1761" s="28"/>
      <c r="J1761" t="s">
        <v>1684</v>
      </c>
    </row>
    <row r="1762" spans="1:10" hidden="1" outlineLevel="1">
      <c r="A1762" s="28"/>
      <c r="B1762" s="1">
        <v>9</v>
      </c>
      <c r="C1762" s="5" t="s">
        <v>1222</v>
      </c>
      <c r="D1762" s="5">
        <v>198</v>
      </c>
      <c r="E1762" s="3">
        <v>44350</v>
      </c>
      <c r="F1762" s="4">
        <v>2.0509259259259258E-2</v>
      </c>
      <c r="G1762" s="28"/>
      <c r="J1762" t="s">
        <v>1684</v>
      </c>
    </row>
    <row r="1763" spans="1:10" hidden="1" outlineLevel="1">
      <c r="A1763" s="28"/>
      <c r="B1763" s="1">
        <v>10</v>
      </c>
      <c r="C1763" s="5" t="s">
        <v>1726</v>
      </c>
      <c r="D1763" s="5">
        <v>5</v>
      </c>
      <c r="E1763" s="3">
        <v>44380</v>
      </c>
      <c r="F1763" s="4">
        <v>2.3692129629629629E-2</v>
      </c>
      <c r="G1763" s="28"/>
      <c r="J1763" t="s">
        <v>1684</v>
      </c>
    </row>
    <row r="1764" spans="1:10" hidden="1" outlineLevel="1">
      <c r="A1764" s="28"/>
      <c r="B1764" s="1">
        <v>11</v>
      </c>
      <c r="C1764" s="5" t="s">
        <v>1792</v>
      </c>
      <c r="D1764" s="5">
        <v>200</v>
      </c>
      <c r="E1764" s="3">
        <v>44380</v>
      </c>
      <c r="F1764" s="4">
        <v>2.8344907407407412E-2</v>
      </c>
      <c r="G1764" s="28"/>
      <c r="J1764" t="s">
        <v>1684</v>
      </c>
    </row>
    <row r="1765" spans="1:10" hidden="1" outlineLevel="1">
      <c r="A1765" s="28"/>
      <c r="B1765" s="1">
        <v>12</v>
      </c>
      <c r="C1765" s="5" t="s">
        <v>1858</v>
      </c>
      <c r="D1765" s="5">
        <v>6</v>
      </c>
      <c r="E1765" s="3">
        <v>44411</v>
      </c>
      <c r="F1765" s="4">
        <v>2.3715277777777776E-2</v>
      </c>
      <c r="G1765" s="28"/>
      <c r="J1765" t="s">
        <v>1684</v>
      </c>
    </row>
    <row r="1766" spans="1:10" hidden="1" outlineLevel="1">
      <c r="A1766" s="28"/>
      <c r="B1766" s="1">
        <v>13</v>
      </c>
      <c r="C1766" s="5" t="s">
        <v>1859</v>
      </c>
      <c r="D1766" s="219" t="s">
        <v>157</v>
      </c>
      <c r="E1766" s="3">
        <v>44411</v>
      </c>
      <c r="F1766" s="4">
        <v>2.164351851851852E-2</v>
      </c>
      <c r="G1766" s="28"/>
      <c r="J1766" t="s">
        <v>1684</v>
      </c>
    </row>
    <row r="1767" spans="1:10" hidden="1" outlineLevel="1">
      <c r="A1767" s="28"/>
      <c r="B1767" s="1">
        <v>14</v>
      </c>
      <c r="C1767" s="5" t="s">
        <v>1862</v>
      </c>
      <c r="D1767" s="226">
        <v>7</v>
      </c>
      <c r="E1767" s="3">
        <v>44442</v>
      </c>
      <c r="F1767" s="4">
        <v>2.326388888888889E-2</v>
      </c>
      <c r="G1767" s="28"/>
      <c r="J1767" t="s">
        <v>1684</v>
      </c>
    </row>
    <row r="1768" spans="1:10" hidden="1" outlineLevel="1">
      <c r="A1768" s="28"/>
      <c r="B1768" s="1">
        <v>15</v>
      </c>
      <c r="C1768" s="5" t="s">
        <v>1156</v>
      </c>
      <c r="D1768" s="226">
        <v>130</v>
      </c>
      <c r="E1768" s="3">
        <v>44442</v>
      </c>
      <c r="F1768" s="4">
        <v>1.8159722222222219E-2</v>
      </c>
      <c r="G1768" s="28"/>
      <c r="J1768" t="s">
        <v>1684</v>
      </c>
    </row>
    <row r="1769" spans="1:10" hidden="1" outlineLevel="1">
      <c r="A1769" s="28"/>
      <c r="B1769" s="1">
        <v>16</v>
      </c>
      <c r="C1769" s="5" t="s">
        <v>1697</v>
      </c>
      <c r="D1769" s="226">
        <v>8</v>
      </c>
      <c r="E1769" s="3">
        <v>44472</v>
      </c>
      <c r="F1769" s="4">
        <v>2.8460648148148148E-2</v>
      </c>
      <c r="G1769" s="28"/>
      <c r="J1769" t="s">
        <v>1684</v>
      </c>
    </row>
    <row r="1770" spans="1:10" hidden="1" outlineLevel="1">
      <c r="A1770" s="28"/>
      <c r="B1770" s="1">
        <v>17</v>
      </c>
      <c r="C1770" s="5" t="s">
        <v>1157</v>
      </c>
      <c r="D1770" s="226">
        <v>131</v>
      </c>
      <c r="E1770" s="3">
        <v>44472</v>
      </c>
      <c r="F1770" s="4">
        <v>1.9849537037037037E-2</v>
      </c>
      <c r="G1770" s="28"/>
      <c r="J1770" t="s">
        <v>1684</v>
      </c>
    </row>
    <row r="1771" spans="1:10" hidden="1" outlineLevel="1">
      <c r="A1771" s="28"/>
      <c r="B1771" s="1">
        <v>18</v>
      </c>
      <c r="C1771" s="5" t="s">
        <v>1913</v>
      </c>
      <c r="D1771" s="226">
        <v>9</v>
      </c>
      <c r="E1771" s="3">
        <v>44503</v>
      </c>
      <c r="F1771" s="4">
        <v>2.6724537037037036E-2</v>
      </c>
      <c r="G1771" s="28"/>
      <c r="J1771" t="s">
        <v>1684</v>
      </c>
    </row>
    <row r="1772" spans="1:10" hidden="1" outlineLevel="1">
      <c r="A1772" s="28"/>
      <c r="B1772" s="1">
        <v>19</v>
      </c>
      <c r="C1772" s="5" t="s">
        <v>1176</v>
      </c>
      <c r="D1772" s="226">
        <v>151</v>
      </c>
      <c r="E1772" s="3">
        <v>44503</v>
      </c>
      <c r="F1772" s="4">
        <v>1.7928240740740741E-2</v>
      </c>
      <c r="G1772" s="28"/>
      <c r="J1772" t="s">
        <v>1684</v>
      </c>
    </row>
    <row r="1773" spans="1:10" hidden="1" outlineLevel="1">
      <c r="A1773" s="28"/>
      <c r="B1773" s="1">
        <v>20</v>
      </c>
      <c r="C1773" s="5" t="s">
        <v>1914</v>
      </c>
      <c r="D1773" s="226">
        <v>10</v>
      </c>
      <c r="E1773" s="3">
        <v>44533</v>
      </c>
      <c r="F1773" s="4">
        <v>2.5624999999999998E-2</v>
      </c>
      <c r="G1773" s="28"/>
      <c r="J1773" t="s">
        <v>1684</v>
      </c>
    </row>
    <row r="1774" spans="1:10" hidden="1" outlineLevel="1">
      <c r="A1774" s="28"/>
      <c r="B1774" s="1">
        <v>21</v>
      </c>
      <c r="C1774" s="5" t="s">
        <v>1155</v>
      </c>
      <c r="D1774" s="226">
        <v>129</v>
      </c>
      <c r="E1774" s="3">
        <v>44533</v>
      </c>
      <c r="F1774" s="4">
        <v>1.9745370370370371E-2</v>
      </c>
      <c r="G1774" s="28"/>
      <c r="J1774" t="s">
        <v>1684</v>
      </c>
    </row>
    <row r="1775" spans="1:10" hidden="1" outlineLevel="1">
      <c r="A1775" s="28"/>
      <c r="B1775" s="1">
        <v>22</v>
      </c>
      <c r="C1775" s="5" t="s">
        <v>2659</v>
      </c>
      <c r="D1775" s="219" t="s">
        <v>110</v>
      </c>
      <c r="E1775" s="3">
        <v>44554</v>
      </c>
      <c r="F1775" s="4">
        <v>3.7199074074074072E-2</v>
      </c>
      <c r="G1775" s="28"/>
      <c r="J1775" t="s">
        <v>1684</v>
      </c>
    </row>
    <row r="1776" spans="1:10" hidden="1" outlineLevel="1">
      <c r="A1776" s="28"/>
      <c r="B1776" s="1">
        <v>23</v>
      </c>
      <c r="C1776" s="5" t="s">
        <v>2602</v>
      </c>
      <c r="D1776" s="226">
        <v>11</v>
      </c>
      <c r="E1776" s="3">
        <v>44564</v>
      </c>
      <c r="F1776" s="4">
        <v>2.4120370370370372E-2</v>
      </c>
      <c r="G1776" s="28"/>
      <c r="J1776" t="s">
        <v>1684</v>
      </c>
    </row>
    <row r="1777" spans="1:10" hidden="1" outlineLevel="1">
      <c r="A1777" s="28"/>
      <c r="B1777" s="1">
        <v>24</v>
      </c>
      <c r="C1777" s="5" t="s">
        <v>1693</v>
      </c>
      <c r="D1777" s="226">
        <v>12</v>
      </c>
      <c r="E1777" s="3">
        <v>44564</v>
      </c>
      <c r="F1777" s="4">
        <v>2.1921296296296296E-2</v>
      </c>
      <c r="G1777" s="28"/>
      <c r="J1777" t="s">
        <v>1684</v>
      </c>
    </row>
    <row r="1778" spans="1:10" hidden="1" outlineLevel="1">
      <c r="A1778" s="28"/>
      <c r="B1778" s="1">
        <v>25</v>
      </c>
      <c r="C1778" s="5" t="s">
        <v>2687</v>
      </c>
      <c r="D1778" s="226">
        <v>13</v>
      </c>
      <c r="E1778" s="3">
        <v>44595</v>
      </c>
      <c r="F1778" s="4">
        <v>2.5069444444444446E-2</v>
      </c>
      <c r="G1778" s="28"/>
      <c r="J1778" t="s">
        <v>1684</v>
      </c>
    </row>
    <row r="1779" spans="1:10" hidden="1" outlineLevel="1">
      <c r="A1779" s="28"/>
      <c r="B1779" s="1">
        <v>26</v>
      </c>
      <c r="C1779" s="5" t="s">
        <v>1152</v>
      </c>
      <c r="D1779" s="226">
        <v>126</v>
      </c>
      <c r="E1779" s="3">
        <v>44595</v>
      </c>
      <c r="F1779" s="4">
        <v>2.2685185185185183E-2</v>
      </c>
      <c r="G1779" s="28"/>
      <c r="J1779" t="s">
        <v>1684</v>
      </c>
    </row>
    <row r="1780" spans="1:10" hidden="1" outlineLevel="1">
      <c r="A1780" s="28"/>
      <c r="B1780" s="1">
        <v>27</v>
      </c>
      <c r="C1780" s="5" t="s">
        <v>2781</v>
      </c>
      <c r="D1780" s="226">
        <v>14</v>
      </c>
      <c r="E1780" s="3">
        <v>44623</v>
      </c>
      <c r="F1780" s="4">
        <v>3.0127314814814815E-2</v>
      </c>
      <c r="G1780" s="28"/>
      <c r="J1780" t="s">
        <v>1684</v>
      </c>
    </row>
    <row r="1781" spans="1:10" hidden="1" outlineLevel="1">
      <c r="A1781" s="28"/>
      <c r="B1781" s="1">
        <v>28</v>
      </c>
      <c r="C1781" s="5" t="s">
        <v>2822</v>
      </c>
      <c r="D1781" s="226">
        <v>174</v>
      </c>
      <c r="E1781" s="3">
        <v>44623</v>
      </c>
      <c r="F1781" s="4">
        <v>1.4780092592592595E-2</v>
      </c>
      <c r="G1781" s="28"/>
      <c r="J1781" t="s">
        <v>1684</v>
      </c>
    </row>
    <row r="1782" spans="1:10" hidden="1" outlineLevel="1">
      <c r="A1782" s="28"/>
      <c r="B1782" s="1">
        <v>29</v>
      </c>
      <c r="C1782" s="5" t="s">
        <v>2824</v>
      </c>
      <c r="D1782" s="226">
        <v>15</v>
      </c>
      <c r="E1782" s="3">
        <v>44654</v>
      </c>
      <c r="F1782" s="4">
        <v>2.5358796296296296E-2</v>
      </c>
      <c r="G1782" s="28"/>
      <c r="J1782" t="s">
        <v>1684</v>
      </c>
    </row>
    <row r="1783" spans="1:10" hidden="1" outlineLevel="1">
      <c r="A1783" s="28"/>
      <c r="B1783" s="1">
        <v>30</v>
      </c>
      <c r="C1783" s="5" t="s">
        <v>1711</v>
      </c>
      <c r="D1783" s="226">
        <v>167</v>
      </c>
      <c r="E1783" s="3">
        <v>44654</v>
      </c>
      <c r="F1783" s="4">
        <v>1.951388888888889E-2</v>
      </c>
      <c r="G1783" s="28"/>
      <c r="J1783" t="s">
        <v>1684</v>
      </c>
    </row>
    <row r="1784" spans="1:10" hidden="1" outlineLevel="1">
      <c r="A1784" s="28"/>
      <c r="B1784" s="1">
        <v>31</v>
      </c>
      <c r="C1784" s="5" t="s">
        <v>2889</v>
      </c>
      <c r="D1784" s="226">
        <v>16</v>
      </c>
      <c r="E1784" s="3">
        <v>44684</v>
      </c>
      <c r="F1784" s="4">
        <v>2.6655092592592591E-2</v>
      </c>
      <c r="G1784" s="28"/>
      <c r="J1784" t="s">
        <v>1684</v>
      </c>
    </row>
    <row r="1785" spans="1:10" hidden="1" outlineLevel="1">
      <c r="A1785" s="28"/>
      <c r="B1785" s="1">
        <v>32</v>
      </c>
      <c r="C1785" s="5" t="s">
        <v>1205</v>
      </c>
      <c r="D1785" s="226">
        <v>181</v>
      </c>
      <c r="E1785" s="3">
        <v>44684</v>
      </c>
      <c r="F1785" s="4">
        <v>1.9502314814814816E-2</v>
      </c>
      <c r="G1785" s="28"/>
      <c r="J1785" t="s">
        <v>1684</v>
      </c>
    </row>
    <row r="1786" spans="1:10" hidden="1" outlineLevel="1">
      <c r="A1786" s="28"/>
      <c r="B1786" s="1">
        <v>33</v>
      </c>
      <c r="C1786" s="5" t="s">
        <v>2900</v>
      </c>
      <c r="D1786" s="226">
        <v>17</v>
      </c>
      <c r="E1786" s="3">
        <v>44715</v>
      </c>
      <c r="F1786" s="4">
        <v>2.1828703703703701E-2</v>
      </c>
      <c r="G1786" s="28"/>
      <c r="J1786" t="s">
        <v>1684</v>
      </c>
    </row>
    <row r="1787" spans="1:10" hidden="1" outlineLevel="1">
      <c r="A1787" s="28"/>
      <c r="B1787" s="1">
        <v>34</v>
      </c>
      <c r="C1787" s="5" t="s">
        <v>1201</v>
      </c>
      <c r="D1787" s="226">
        <v>177</v>
      </c>
      <c r="E1787" s="3">
        <v>44715</v>
      </c>
      <c r="F1787" s="4">
        <v>2.3541666666666666E-2</v>
      </c>
      <c r="G1787" s="28"/>
      <c r="J1787" t="s">
        <v>1684</v>
      </c>
    </row>
    <row r="1788" spans="1:10" hidden="1" outlineLevel="1">
      <c r="A1788" s="28"/>
      <c r="B1788" s="1">
        <v>35</v>
      </c>
      <c r="C1788" s="5" t="s">
        <v>2901</v>
      </c>
      <c r="D1788" s="226">
        <v>18</v>
      </c>
      <c r="E1788" s="3">
        <v>44745</v>
      </c>
      <c r="F1788" s="4">
        <v>2.1759259259259259E-2</v>
      </c>
      <c r="G1788" s="28"/>
      <c r="J1788" t="s">
        <v>1684</v>
      </c>
    </row>
    <row r="1789" spans="1:10" hidden="1" outlineLevel="1">
      <c r="A1789" s="28"/>
      <c r="B1789" s="1">
        <v>36</v>
      </c>
      <c r="C1789" s="5" t="s">
        <v>2950</v>
      </c>
      <c r="D1789" s="226">
        <v>185</v>
      </c>
      <c r="E1789" s="3">
        <v>44745</v>
      </c>
      <c r="F1789" s="4">
        <v>2.3796296296296298E-2</v>
      </c>
      <c r="G1789" s="28"/>
      <c r="J1789" t="s">
        <v>1684</v>
      </c>
    </row>
    <row r="1790" spans="1:10" hidden="1" outlineLevel="1">
      <c r="A1790" s="28"/>
      <c r="B1790" s="1">
        <v>37</v>
      </c>
      <c r="C1790" s="5" t="s">
        <v>2902</v>
      </c>
      <c r="D1790" s="226">
        <v>19</v>
      </c>
      <c r="E1790" s="3">
        <v>44776</v>
      </c>
      <c r="F1790" s="4">
        <v>2.5115740740740741E-2</v>
      </c>
      <c r="G1790" s="28"/>
      <c r="J1790" t="s">
        <v>1684</v>
      </c>
    </row>
    <row r="1791" spans="1:10" hidden="1" outlineLevel="1">
      <c r="A1791" s="28"/>
      <c r="B1791" s="1">
        <v>38</v>
      </c>
      <c r="C1791" s="5" t="s">
        <v>1190</v>
      </c>
      <c r="D1791" s="226">
        <v>165</v>
      </c>
      <c r="E1791" s="3">
        <v>44776</v>
      </c>
      <c r="F1791" s="4">
        <v>2.0682870370370372E-2</v>
      </c>
      <c r="G1791" s="28"/>
      <c r="J1791" t="s">
        <v>1684</v>
      </c>
    </row>
    <row r="1792" spans="1:10" hidden="1" outlineLevel="1">
      <c r="A1792" s="28"/>
      <c r="B1792" s="1">
        <v>39</v>
      </c>
      <c r="C1792" s="5" t="s">
        <v>2903</v>
      </c>
      <c r="D1792" s="226">
        <v>20</v>
      </c>
      <c r="E1792" s="3">
        <v>44807</v>
      </c>
      <c r="F1792" s="4">
        <v>2.6574074074074073E-2</v>
      </c>
      <c r="G1792" s="28"/>
      <c r="J1792" t="s">
        <v>1684</v>
      </c>
    </row>
    <row r="1793" spans="1:10" hidden="1" outlineLevel="1">
      <c r="A1793" s="28"/>
      <c r="B1793" s="1">
        <v>40</v>
      </c>
      <c r="C1793" s="5" t="s">
        <v>1194</v>
      </c>
      <c r="D1793" s="226">
        <v>169</v>
      </c>
      <c r="E1793" s="3">
        <v>44807</v>
      </c>
      <c r="F1793" s="4">
        <v>1.6898148148148148E-2</v>
      </c>
      <c r="G1793" s="28"/>
      <c r="J1793" t="s">
        <v>1684</v>
      </c>
    </row>
    <row r="1794" spans="1:10" hidden="1" outlineLevel="1">
      <c r="A1794" s="28"/>
      <c r="B1794" s="1">
        <v>41</v>
      </c>
      <c r="C1794" s="5" t="s">
        <v>2904</v>
      </c>
      <c r="D1794" s="226">
        <v>21</v>
      </c>
      <c r="E1794" s="3">
        <v>44837</v>
      </c>
      <c r="F1794" s="4">
        <v>2.3472222222222217E-2</v>
      </c>
      <c r="G1794" s="28"/>
      <c r="J1794" t="s">
        <v>1684</v>
      </c>
    </row>
    <row r="1795" spans="1:10" hidden="1" outlineLevel="1">
      <c r="A1795" s="28"/>
      <c r="B1795" s="1">
        <v>42</v>
      </c>
      <c r="C1795" s="5" t="s">
        <v>1186</v>
      </c>
      <c r="D1795" s="226">
        <v>161</v>
      </c>
      <c r="E1795" s="3">
        <v>44837</v>
      </c>
      <c r="F1795" s="4">
        <v>2.1666666666666667E-2</v>
      </c>
      <c r="G1795" s="28"/>
      <c r="J1795" t="s">
        <v>1684</v>
      </c>
    </row>
    <row r="1796" spans="1:10" hidden="1" outlineLevel="1">
      <c r="A1796" s="28"/>
      <c r="B1796" s="1">
        <v>43</v>
      </c>
      <c r="C1796" s="5" t="s">
        <v>1699</v>
      </c>
      <c r="D1796" s="226">
        <v>22</v>
      </c>
      <c r="E1796" s="3">
        <v>44868</v>
      </c>
      <c r="F1796" s="4">
        <v>2.1388888888888888E-2</v>
      </c>
      <c r="G1796" s="28"/>
      <c r="J1796" t="s">
        <v>1684</v>
      </c>
    </row>
    <row r="1797" spans="1:10" hidden="1" outlineLevel="1">
      <c r="A1797" s="28"/>
      <c r="B1797" s="1">
        <v>44</v>
      </c>
      <c r="C1797" s="5" t="s">
        <v>1165</v>
      </c>
      <c r="D1797" s="226">
        <v>139</v>
      </c>
      <c r="E1797" s="3">
        <v>44868</v>
      </c>
      <c r="F1797" s="4">
        <v>2.3483796296296298E-2</v>
      </c>
      <c r="G1797" s="28"/>
      <c r="J1797" t="s">
        <v>1684</v>
      </c>
    </row>
    <row r="1798" spans="1:10" hidden="1" outlineLevel="1">
      <c r="A1798" s="28"/>
      <c r="B1798" s="1">
        <v>45</v>
      </c>
      <c r="C1798" s="5" t="s">
        <v>1700</v>
      </c>
      <c r="D1798" s="226">
        <v>23</v>
      </c>
      <c r="E1798" s="3">
        <v>44898</v>
      </c>
      <c r="F1798" s="4">
        <v>2.146990740740741E-2</v>
      </c>
      <c r="G1798" s="28"/>
      <c r="J1798" t="s">
        <v>1684</v>
      </c>
    </row>
    <row r="1799" spans="1:10" hidden="1" outlineLevel="1">
      <c r="A1799" s="28"/>
      <c r="B1799" s="1">
        <v>46</v>
      </c>
      <c r="C1799" s="5" t="s">
        <v>1153</v>
      </c>
      <c r="D1799" s="226">
        <v>127</v>
      </c>
      <c r="E1799" s="3">
        <v>44898</v>
      </c>
      <c r="F1799" s="4">
        <v>2.3703703703703703E-2</v>
      </c>
      <c r="G1799" s="28"/>
      <c r="J1799" t="s">
        <v>1684</v>
      </c>
    </row>
    <row r="1800" spans="1:10" hidden="1" outlineLevel="1">
      <c r="A1800" s="28"/>
      <c r="B1800" s="1">
        <v>47</v>
      </c>
      <c r="C1800" s="5" t="s">
        <v>3757</v>
      </c>
      <c r="D1800" s="226">
        <v>24</v>
      </c>
      <c r="E1800" s="3">
        <v>44929</v>
      </c>
      <c r="F1800" s="4">
        <v>2.5925925925925925E-2</v>
      </c>
      <c r="G1800" s="28"/>
      <c r="J1800" t="s">
        <v>1684</v>
      </c>
    </row>
    <row r="1801" spans="1:10" hidden="1" outlineLevel="1">
      <c r="A1801" s="28"/>
      <c r="B1801" s="1">
        <v>48</v>
      </c>
      <c r="C1801" s="5" t="s">
        <v>1177</v>
      </c>
      <c r="D1801" s="226">
        <v>152</v>
      </c>
      <c r="E1801" s="3">
        <v>44929</v>
      </c>
      <c r="F1801" s="4">
        <v>1.8703703703703705E-2</v>
      </c>
      <c r="G1801" s="28"/>
      <c r="J1801" t="s">
        <v>1684</v>
      </c>
    </row>
    <row r="1802" spans="1:10" hidden="1" outlineLevel="1">
      <c r="A1802" s="28"/>
      <c r="B1802" s="1">
        <v>49</v>
      </c>
      <c r="C1802" s="5" t="s">
        <v>1787</v>
      </c>
      <c r="D1802" s="226">
        <v>25</v>
      </c>
      <c r="E1802" s="3">
        <v>44960</v>
      </c>
      <c r="F1802" s="4">
        <v>2.2418981481481481E-2</v>
      </c>
      <c r="G1802" s="28"/>
      <c r="J1802" t="s">
        <v>1684</v>
      </c>
    </row>
    <row r="1803" spans="1:10" hidden="1" outlineLevel="1">
      <c r="A1803" s="28"/>
      <c r="B1803" s="1">
        <v>50</v>
      </c>
      <c r="C1803" s="5" t="s">
        <v>1220</v>
      </c>
      <c r="D1803" s="226">
        <v>196</v>
      </c>
      <c r="E1803" s="3">
        <v>44960</v>
      </c>
      <c r="F1803" s="4">
        <v>2.1250000000000002E-2</v>
      </c>
      <c r="G1803" s="28"/>
      <c r="J1803" t="s">
        <v>1684</v>
      </c>
    </row>
    <row r="1804" spans="1:10" hidden="1" outlineLevel="1">
      <c r="A1804" s="28"/>
      <c r="B1804" s="1">
        <v>51</v>
      </c>
      <c r="C1804" s="5" t="s">
        <v>1788</v>
      </c>
      <c r="D1804" s="226">
        <v>26</v>
      </c>
      <c r="E1804" s="3">
        <v>44988</v>
      </c>
      <c r="F1804" s="4">
        <v>2.2893518518518521E-2</v>
      </c>
      <c r="G1804" s="28"/>
      <c r="J1804" t="s">
        <v>1684</v>
      </c>
    </row>
    <row r="1805" spans="1:10" hidden="1" outlineLevel="1">
      <c r="A1805" s="28"/>
      <c r="B1805" s="1">
        <v>52</v>
      </c>
      <c r="C1805" s="5" t="s">
        <v>1789</v>
      </c>
      <c r="D1805" s="226">
        <v>148</v>
      </c>
      <c r="E1805" s="3">
        <v>44988</v>
      </c>
      <c r="F1805" s="4">
        <v>1.8541666666666668E-2</v>
      </c>
      <c r="G1805" s="28"/>
      <c r="J1805" t="s">
        <v>1684</v>
      </c>
    </row>
    <row r="1806" spans="1:10" hidden="1" outlineLevel="1">
      <c r="A1806" s="28"/>
      <c r="B1806" s="1">
        <v>53</v>
      </c>
      <c r="C1806" s="5" t="s">
        <v>3763</v>
      </c>
      <c r="D1806" s="226">
        <v>27</v>
      </c>
      <c r="E1806" s="3">
        <v>45019</v>
      </c>
      <c r="F1806" s="4">
        <v>2.2789351851851852E-2</v>
      </c>
      <c r="G1806" s="28"/>
      <c r="J1806" t="s">
        <v>1684</v>
      </c>
    </row>
    <row r="1807" spans="1:10" hidden="1" outlineLevel="1">
      <c r="A1807" s="28"/>
      <c r="B1807" s="1">
        <v>54</v>
      </c>
      <c r="C1807" s="5" t="s">
        <v>2785</v>
      </c>
      <c r="D1807" s="226">
        <v>221</v>
      </c>
      <c r="E1807" s="3">
        <v>45019</v>
      </c>
      <c r="F1807" s="4">
        <v>2.0520833333333332E-2</v>
      </c>
      <c r="G1807" s="28"/>
      <c r="J1807" t="s">
        <v>1684</v>
      </c>
    </row>
    <row r="1808" spans="1:10" hidden="1" outlineLevel="1">
      <c r="A1808" s="28"/>
      <c r="B1808" s="1">
        <v>55</v>
      </c>
      <c r="C1808" s="5" t="s">
        <v>3860</v>
      </c>
      <c r="D1808" s="226">
        <v>28</v>
      </c>
      <c r="E1808" s="3">
        <v>45049</v>
      </c>
      <c r="F1808" s="4">
        <v>2.4236111111111111E-2</v>
      </c>
      <c r="G1808" s="28"/>
      <c r="J1808" t="s">
        <v>1684</v>
      </c>
    </row>
    <row r="1809" spans="1:10" hidden="1" outlineLevel="1">
      <c r="A1809" s="28"/>
      <c r="B1809" s="1">
        <v>56</v>
      </c>
      <c r="C1809" s="5" t="s">
        <v>3861</v>
      </c>
      <c r="D1809" s="226">
        <v>211</v>
      </c>
      <c r="E1809" s="3">
        <v>45049</v>
      </c>
      <c r="F1809" s="4">
        <v>1.699074074074074E-2</v>
      </c>
      <c r="G1809" s="28"/>
      <c r="J1809" t="s">
        <v>1684</v>
      </c>
    </row>
    <row r="1810" spans="1:10" hidden="1" outlineLevel="1">
      <c r="A1810" s="28"/>
      <c r="B1810" s="1">
        <v>57</v>
      </c>
      <c r="C1810" s="5" t="s">
        <v>1057</v>
      </c>
      <c r="D1810" s="226">
        <v>29</v>
      </c>
      <c r="E1810" s="3">
        <v>45080</v>
      </c>
      <c r="F1810" s="4">
        <v>1.9074074074074073E-2</v>
      </c>
      <c r="G1810" s="28"/>
      <c r="J1810" t="s">
        <v>1684</v>
      </c>
    </row>
    <row r="1811" spans="1:10" hidden="1" outlineLevel="1">
      <c r="A1811" s="28"/>
      <c r="B1811" s="1">
        <v>58</v>
      </c>
      <c r="C1811" s="5" t="s">
        <v>3904</v>
      </c>
      <c r="D1811" s="226">
        <v>183</v>
      </c>
      <c r="E1811" s="3">
        <v>45080</v>
      </c>
      <c r="F1811" s="4">
        <v>2.3807870370370368E-2</v>
      </c>
      <c r="G1811" s="28"/>
      <c r="J1811" t="s">
        <v>1684</v>
      </c>
    </row>
    <row r="1812" spans="1:10" hidden="1" outlineLevel="1">
      <c r="A1812" s="28"/>
      <c r="B1812" s="1">
        <v>59</v>
      </c>
      <c r="C1812" s="5" t="s">
        <v>3945</v>
      </c>
      <c r="D1812" s="226">
        <v>30</v>
      </c>
      <c r="E1812" s="3">
        <v>45110</v>
      </c>
      <c r="F1812" s="4">
        <v>2.4143518518518519E-2</v>
      </c>
      <c r="G1812" s="28"/>
      <c r="J1812" t="s">
        <v>1684</v>
      </c>
    </row>
    <row r="1813" spans="1:10" hidden="1" outlineLevel="1">
      <c r="A1813" s="28"/>
      <c r="B1813" s="1">
        <v>60</v>
      </c>
      <c r="C1813" s="5" t="s">
        <v>1159</v>
      </c>
      <c r="D1813" s="226">
        <v>133</v>
      </c>
      <c r="E1813" s="3">
        <v>45110</v>
      </c>
      <c r="F1813" s="4">
        <v>2.1851851851851848E-2</v>
      </c>
      <c r="G1813" s="28"/>
      <c r="J1813" t="s">
        <v>1684</v>
      </c>
    </row>
    <row r="1814" spans="1:10" hidden="1" outlineLevel="1">
      <c r="A1814" s="28"/>
      <c r="B1814" s="1">
        <v>61</v>
      </c>
      <c r="C1814" s="5" t="s">
        <v>4024</v>
      </c>
      <c r="D1814" s="226">
        <v>31</v>
      </c>
      <c r="E1814" s="3">
        <v>45141</v>
      </c>
      <c r="F1814" s="4">
        <v>2.0960648148148148E-2</v>
      </c>
      <c r="G1814" s="28"/>
      <c r="J1814" t="s">
        <v>1684</v>
      </c>
    </row>
    <row r="1815" spans="1:10" hidden="1" outlineLevel="1">
      <c r="A1815" s="28"/>
      <c r="B1815" s="1">
        <v>62</v>
      </c>
      <c r="C1815" s="5" t="s">
        <v>4025</v>
      </c>
      <c r="D1815" s="219" t="s">
        <v>369</v>
      </c>
      <c r="E1815" s="3">
        <v>45141</v>
      </c>
      <c r="F1815" s="4">
        <v>2.2858796296296294E-2</v>
      </c>
      <c r="G1815" s="28"/>
      <c r="J1815" t="s">
        <v>1684</v>
      </c>
    </row>
    <row r="1816" spans="1:10" hidden="1" outlineLevel="1">
      <c r="A1816" s="28"/>
      <c r="B1816" s="1">
        <v>63</v>
      </c>
      <c r="C1816" s="5" t="s">
        <v>3943</v>
      </c>
      <c r="D1816" s="226">
        <v>32</v>
      </c>
      <c r="E1816" s="3">
        <v>45172</v>
      </c>
      <c r="F1816" s="4">
        <v>2.3634259259259258E-2</v>
      </c>
      <c r="G1816" s="28"/>
      <c r="J1816" t="s">
        <v>1684</v>
      </c>
    </row>
    <row r="1817" spans="1:10" hidden="1" outlineLevel="1">
      <c r="A1817" s="28"/>
      <c r="B1817" s="1">
        <v>64</v>
      </c>
      <c r="C1817" s="5" t="s">
        <v>4045</v>
      </c>
      <c r="D1817" s="226">
        <v>212</v>
      </c>
      <c r="E1817" s="3">
        <v>45172</v>
      </c>
      <c r="F1817" s="4">
        <v>2.0509259259259258E-2</v>
      </c>
      <c r="G1817" s="28"/>
      <c r="J1817" t="s">
        <v>1684</v>
      </c>
    </row>
    <row r="1818" spans="1:10" hidden="1" outlineLevel="1">
      <c r="A1818" s="28"/>
      <c r="B1818" s="1">
        <v>65</v>
      </c>
      <c r="C1818" s="5" t="s">
        <v>4048</v>
      </c>
      <c r="D1818" s="226">
        <v>33</v>
      </c>
      <c r="E1818" s="3">
        <v>45202</v>
      </c>
      <c r="F1818" s="4">
        <v>2.462962962962963E-2</v>
      </c>
      <c r="G1818" s="28"/>
      <c r="J1818" t="s">
        <v>1684</v>
      </c>
    </row>
    <row r="1819" spans="1:10" hidden="1" outlineLevel="1">
      <c r="A1819" s="28"/>
      <c r="B1819" s="1">
        <v>66</v>
      </c>
      <c r="C1819" s="5" t="s">
        <v>4138</v>
      </c>
      <c r="D1819" s="226">
        <v>217</v>
      </c>
      <c r="E1819" s="3">
        <v>45202</v>
      </c>
      <c r="F1819" s="4">
        <v>2.0694444444444446E-2</v>
      </c>
      <c r="G1819" s="28"/>
      <c r="J1819" t="s">
        <v>1684</v>
      </c>
    </row>
    <row r="1820" spans="1:10" hidden="1" outlineLevel="1">
      <c r="A1820" s="28"/>
      <c r="B1820" s="1">
        <v>67</v>
      </c>
      <c r="C1820" s="5" t="s">
        <v>4049</v>
      </c>
      <c r="D1820" s="226">
        <v>34</v>
      </c>
      <c r="E1820" s="3">
        <v>45233</v>
      </c>
      <c r="F1820" s="4">
        <v>1.832175925925926E-2</v>
      </c>
      <c r="G1820" s="28"/>
      <c r="J1820" t="s">
        <v>1684</v>
      </c>
    </row>
    <row r="1821" spans="1:10" hidden="1" outlineLevel="1">
      <c r="A1821" s="28"/>
      <c r="B1821" s="1">
        <v>68</v>
      </c>
      <c r="C1821" s="5" t="s">
        <v>1136</v>
      </c>
      <c r="D1821" s="226">
        <v>109</v>
      </c>
      <c r="E1821" s="3">
        <v>45233</v>
      </c>
      <c r="F1821" s="4">
        <v>2.5543981481481483E-2</v>
      </c>
      <c r="G1821" s="28"/>
      <c r="J1821" t="s">
        <v>1684</v>
      </c>
    </row>
    <row r="1822" spans="1:10" hidden="1" outlineLevel="1">
      <c r="A1822" s="28"/>
      <c r="B1822" s="1">
        <v>69</v>
      </c>
      <c r="C1822" s="5" t="s">
        <v>3081</v>
      </c>
      <c r="D1822" s="226">
        <v>35</v>
      </c>
      <c r="E1822" s="3">
        <v>45263</v>
      </c>
      <c r="F1822" s="4">
        <v>2.4976851851851851E-2</v>
      </c>
      <c r="G1822" s="28"/>
      <c r="J1822" t="s">
        <v>1684</v>
      </c>
    </row>
    <row r="1823" spans="1:10" hidden="1" outlineLevel="1">
      <c r="A1823" s="28"/>
      <c r="B1823" s="1">
        <v>70</v>
      </c>
      <c r="C1823" s="5" t="s">
        <v>1172</v>
      </c>
      <c r="D1823" s="226">
        <v>146</v>
      </c>
      <c r="E1823" s="3">
        <v>45263</v>
      </c>
      <c r="F1823" s="4">
        <v>1.741898148148148E-2</v>
      </c>
      <c r="G1823" s="28"/>
      <c r="J1823" t="s">
        <v>1684</v>
      </c>
    </row>
    <row r="1824" spans="1:10" hidden="1" outlineLevel="1">
      <c r="A1824" s="28"/>
      <c r="B1824" s="1">
        <v>71</v>
      </c>
      <c r="C1824" s="5" t="s">
        <v>1706</v>
      </c>
      <c r="D1824" s="226">
        <v>36</v>
      </c>
      <c r="E1824" s="3">
        <v>45294</v>
      </c>
      <c r="F1824" s="4">
        <v>1.8796296296296297E-2</v>
      </c>
      <c r="G1824" s="28"/>
      <c r="J1824" t="s">
        <v>1684</v>
      </c>
    </row>
    <row r="1825" spans="1:10" hidden="1" outlineLevel="1">
      <c r="A1825" s="28"/>
      <c r="B1825" s="1">
        <v>72</v>
      </c>
      <c r="C1825" s="5" t="s">
        <v>2208</v>
      </c>
      <c r="D1825" s="226">
        <v>203</v>
      </c>
      <c r="E1825" s="3">
        <v>45294</v>
      </c>
      <c r="F1825" s="4">
        <v>2.7858796296296298E-2</v>
      </c>
      <c r="G1825" s="28"/>
      <c r="J1825" t="s">
        <v>1684</v>
      </c>
    </row>
    <row r="1826" spans="1:10" hidden="1" outlineLevel="1">
      <c r="A1826" s="28"/>
      <c r="B1826" s="1">
        <v>73</v>
      </c>
      <c r="C1826" s="5" t="s">
        <v>4395</v>
      </c>
      <c r="D1826" s="226">
        <v>37</v>
      </c>
      <c r="E1826" s="3">
        <v>45325</v>
      </c>
      <c r="F1826" s="4">
        <v>2.7789351851851853E-2</v>
      </c>
      <c r="G1826" s="28"/>
      <c r="J1826" t="s">
        <v>1684</v>
      </c>
    </row>
    <row r="1827" spans="1:10" hidden="1" outlineLevel="1">
      <c r="A1827" s="28"/>
      <c r="B1827" s="1">
        <v>74</v>
      </c>
      <c r="C1827" s="5" t="s">
        <v>1701</v>
      </c>
      <c r="D1827" s="226">
        <v>180</v>
      </c>
      <c r="E1827" s="3">
        <v>45325</v>
      </c>
      <c r="F1827" s="4">
        <v>3.0115740740740738E-2</v>
      </c>
      <c r="G1827" s="28"/>
      <c r="J1827" t="s">
        <v>1684</v>
      </c>
    </row>
    <row r="1828" spans="1:10" hidden="1" outlineLevel="1">
      <c r="A1828" s="28"/>
      <c r="B1828" s="1">
        <v>75</v>
      </c>
      <c r="C1828" s="5" t="s">
        <v>4396</v>
      </c>
      <c r="D1828" s="226">
        <v>38</v>
      </c>
      <c r="E1828" s="3">
        <v>45354</v>
      </c>
      <c r="F1828" s="4">
        <v>2.2534722222222223E-2</v>
      </c>
      <c r="G1828" s="28"/>
      <c r="J1828" t="s">
        <v>1684</v>
      </c>
    </row>
    <row r="1829" spans="1:10" hidden="1" outlineLevel="1">
      <c r="A1829" s="28"/>
      <c r="B1829" s="1">
        <v>76</v>
      </c>
      <c r="C1829" s="5" t="s">
        <v>1210</v>
      </c>
      <c r="D1829" s="226">
        <v>186</v>
      </c>
      <c r="E1829" s="3">
        <v>45354</v>
      </c>
      <c r="F1829" s="4">
        <v>2.1377314814814818E-2</v>
      </c>
      <c r="G1829" s="28"/>
      <c r="J1829" t="s">
        <v>1684</v>
      </c>
    </row>
    <row r="1830" spans="1:10" hidden="1" outlineLevel="1">
      <c r="A1830" s="28"/>
      <c r="B1830" s="1">
        <v>77</v>
      </c>
      <c r="C1830" s="5" t="s">
        <v>1695</v>
      </c>
      <c r="D1830" s="226">
        <v>39</v>
      </c>
      <c r="E1830" s="3">
        <v>45385</v>
      </c>
      <c r="F1830" s="4">
        <v>2.9861111111111113E-2</v>
      </c>
      <c r="G1830" s="28"/>
      <c r="J1830" t="s">
        <v>1684</v>
      </c>
    </row>
    <row r="1831" spans="1:10" hidden="1" outlineLevel="1">
      <c r="A1831" s="28"/>
      <c r="B1831" s="1">
        <v>78</v>
      </c>
      <c r="C1831" s="5" t="s">
        <v>4426</v>
      </c>
      <c r="D1831" s="226">
        <v>145</v>
      </c>
      <c r="E1831" s="3">
        <v>45385</v>
      </c>
      <c r="F1831" s="4">
        <v>2.060185185185185E-2</v>
      </c>
      <c r="G1831" s="28"/>
      <c r="J1831" t="s">
        <v>1684</v>
      </c>
    </row>
    <row r="1832" spans="1:10" hidden="1" outlineLevel="1">
      <c r="A1832" s="28"/>
      <c r="B1832" s="76">
        <v>79</v>
      </c>
      <c r="C1832" s="77" t="s">
        <v>4458</v>
      </c>
      <c r="D1832" s="724">
        <v>40</v>
      </c>
      <c r="E1832" s="79">
        <v>45415</v>
      </c>
      <c r="F1832" s="80">
        <v>0</v>
      </c>
      <c r="G1832" s="28"/>
      <c r="J1832" t="s">
        <v>1684</v>
      </c>
    </row>
    <row r="1833" spans="1:10" hidden="1" outlineLevel="1">
      <c r="A1833" s="28"/>
      <c r="B1833" s="76">
        <v>80</v>
      </c>
      <c r="C1833" s="77" t="s">
        <v>1184</v>
      </c>
      <c r="D1833" s="724">
        <v>159</v>
      </c>
      <c r="E1833" s="79">
        <v>45415</v>
      </c>
      <c r="F1833" s="80">
        <v>0</v>
      </c>
      <c r="G1833" s="28"/>
      <c r="J1833" t="s">
        <v>1684</v>
      </c>
    </row>
    <row r="1834" spans="1:10">
      <c r="A1834" s="28"/>
      <c r="B1834" s="40"/>
      <c r="C1834" s="40"/>
      <c r="D1834" s="35"/>
      <c r="E1834" s="50"/>
      <c r="F1834" s="51"/>
      <c r="G1834" s="28"/>
    </row>
    <row r="1835" spans="1:10">
      <c r="A1835" s="28"/>
      <c r="B1835" s="28"/>
      <c r="C1835" s="28"/>
      <c r="D1835" s="29"/>
      <c r="E1835" s="52"/>
      <c r="F1835" s="53"/>
      <c r="G1835" s="28"/>
    </row>
    <row r="1836" spans="1:10">
      <c r="A1836" s="28"/>
      <c r="B1836" s="33"/>
      <c r="C1836" s="34" t="s">
        <v>2749</v>
      </c>
      <c r="D1836" s="40"/>
      <c r="E1836" s="36"/>
      <c r="F1836" s="37"/>
      <c r="G1836" s="28"/>
    </row>
    <row r="1837" spans="1:10" collapsed="1">
      <c r="A1837" s="28"/>
      <c r="B1837" s="38"/>
      <c r="C1837" s="230" t="s">
        <v>2751</v>
      </c>
      <c r="D1837" s="28"/>
      <c r="E1837" s="30"/>
      <c r="F1837" s="39"/>
      <c r="G1837" s="28"/>
    </row>
    <row r="1838" spans="1:10" hidden="1" outlineLevel="1">
      <c r="A1838" s="28"/>
      <c r="B1838" s="23" t="s">
        <v>5</v>
      </c>
      <c r="C1838" s="24" t="s">
        <v>6</v>
      </c>
      <c r="D1838" s="25" t="s">
        <v>4</v>
      </c>
      <c r="E1838" s="138" t="s">
        <v>8</v>
      </c>
      <c r="F1838" s="26" t="s">
        <v>7</v>
      </c>
      <c r="G1838" s="28"/>
    </row>
    <row r="1839" spans="1:10" hidden="1" outlineLevel="1">
      <c r="A1839" s="28"/>
      <c r="B1839" s="1">
        <v>1</v>
      </c>
      <c r="C1839" s="5" t="s">
        <v>1618</v>
      </c>
      <c r="D1839" s="2">
        <v>11</v>
      </c>
      <c r="E1839" s="3">
        <v>44289</v>
      </c>
      <c r="F1839" s="4">
        <v>2.8703703703703703E-2</v>
      </c>
      <c r="G1839" s="28"/>
      <c r="J1839" t="s">
        <v>1686</v>
      </c>
    </row>
    <row r="1840" spans="1:10" hidden="1" outlineLevel="1">
      <c r="A1840" s="28"/>
      <c r="B1840" s="1">
        <v>2</v>
      </c>
      <c r="C1840" s="5" t="s">
        <v>4084</v>
      </c>
      <c r="D1840" s="6" t="s">
        <v>4085</v>
      </c>
      <c r="E1840" s="62">
        <v>44360</v>
      </c>
      <c r="F1840" s="63">
        <v>3.8078703703703705E-2</v>
      </c>
      <c r="G1840" s="28"/>
      <c r="J1840" t="s">
        <v>1686</v>
      </c>
    </row>
    <row r="1841" spans="1:10" hidden="1" outlineLevel="1">
      <c r="A1841" s="28"/>
      <c r="B1841" s="1">
        <v>3</v>
      </c>
      <c r="C1841" s="5" t="s">
        <v>2744</v>
      </c>
      <c r="D1841" s="2">
        <v>21</v>
      </c>
      <c r="E1841" s="421">
        <v>44486</v>
      </c>
      <c r="F1841" s="217">
        <v>4.2731481481481481E-2</v>
      </c>
      <c r="G1841" s="28"/>
      <c r="J1841" t="s">
        <v>1686</v>
      </c>
    </row>
    <row r="1842" spans="1:10" hidden="1" outlineLevel="1">
      <c r="A1842" s="28"/>
      <c r="B1842" s="1">
        <v>4</v>
      </c>
      <c r="C1842" s="5" t="s">
        <v>4082</v>
      </c>
      <c r="D1842" s="6" t="s">
        <v>4083</v>
      </c>
      <c r="E1842" s="62">
        <v>44556</v>
      </c>
      <c r="F1842" s="63">
        <v>4.8668981481481487E-2</v>
      </c>
      <c r="G1842" s="28"/>
      <c r="J1842" t="s">
        <v>1686</v>
      </c>
    </row>
    <row r="1843" spans="1:10" hidden="1" outlineLevel="1">
      <c r="A1843" s="28"/>
      <c r="B1843" s="1">
        <v>5</v>
      </c>
      <c r="C1843" s="5" t="s">
        <v>2745</v>
      </c>
      <c r="D1843" s="6">
        <v>25</v>
      </c>
      <c r="E1843" s="3">
        <v>44605</v>
      </c>
      <c r="F1843" s="217">
        <v>4.670138888888889E-2</v>
      </c>
      <c r="G1843" s="28"/>
      <c r="J1843" t="s">
        <v>1686</v>
      </c>
    </row>
    <row r="1844" spans="1:10" hidden="1" outlineLevel="1">
      <c r="A1844" s="28"/>
      <c r="B1844" s="1">
        <v>6</v>
      </c>
      <c r="C1844" s="5" t="s">
        <v>2931</v>
      </c>
      <c r="D1844" s="2">
        <v>0</v>
      </c>
      <c r="E1844" s="3">
        <v>44703</v>
      </c>
      <c r="F1844" s="4">
        <v>5.7222222222222223E-2</v>
      </c>
      <c r="G1844" s="28"/>
      <c r="J1844" t="s">
        <v>1686</v>
      </c>
    </row>
    <row r="1845" spans="1:10" hidden="1" outlineLevel="1">
      <c r="A1845" s="28"/>
      <c r="B1845" s="1">
        <v>7</v>
      </c>
      <c r="C1845" s="5" t="s">
        <v>3066</v>
      </c>
      <c r="D1845" s="2">
        <v>32</v>
      </c>
      <c r="E1845" s="62">
        <v>44829</v>
      </c>
      <c r="F1845" s="63">
        <v>5.0358796296296297E-2</v>
      </c>
      <c r="G1845" s="28"/>
      <c r="J1845" t="s">
        <v>1686</v>
      </c>
    </row>
    <row r="1846" spans="1:10" hidden="1" outlineLevel="1">
      <c r="A1846" s="28"/>
      <c r="B1846" s="1">
        <v>8</v>
      </c>
      <c r="C1846" s="5" t="s">
        <v>4081</v>
      </c>
      <c r="D1846" s="6" t="s">
        <v>2448</v>
      </c>
      <c r="E1846" s="62">
        <v>44871</v>
      </c>
      <c r="F1846" s="63">
        <v>4.387731481481482E-2</v>
      </c>
      <c r="G1846" s="28"/>
      <c r="J1846" t="s">
        <v>1686</v>
      </c>
    </row>
    <row r="1847" spans="1:10" hidden="1" outlineLevel="1">
      <c r="A1847" s="28"/>
      <c r="B1847" s="1">
        <v>9</v>
      </c>
      <c r="C1847" s="5" t="s">
        <v>3132</v>
      </c>
      <c r="D1847" s="2">
        <v>81</v>
      </c>
      <c r="E1847" s="503">
        <v>44885</v>
      </c>
      <c r="F1847" s="504">
        <v>5.4340277777777779E-2</v>
      </c>
      <c r="G1847" s="28"/>
      <c r="J1847" t="s">
        <v>1686</v>
      </c>
    </row>
    <row r="1848" spans="1:10" hidden="1" outlineLevel="1">
      <c r="A1848" s="28"/>
      <c r="B1848" s="1">
        <v>10</v>
      </c>
      <c r="C1848" s="5" t="s">
        <v>3792</v>
      </c>
      <c r="D1848" s="2">
        <v>79</v>
      </c>
      <c r="E1848" s="577">
        <v>45011</v>
      </c>
      <c r="F1848" s="562">
        <v>5.9884259259259255E-2</v>
      </c>
      <c r="G1848" s="28"/>
      <c r="J1848" t="s">
        <v>1686</v>
      </c>
    </row>
    <row r="1849" spans="1:10" hidden="1" outlineLevel="1">
      <c r="A1849" s="28"/>
      <c r="B1849" s="1">
        <v>11</v>
      </c>
      <c r="C1849" s="5" t="s">
        <v>4080</v>
      </c>
      <c r="D1849" s="6" t="s">
        <v>4079</v>
      </c>
      <c r="E1849" s="62">
        <v>45025</v>
      </c>
      <c r="F1849" s="63">
        <v>5.7372685185185186E-2</v>
      </c>
      <c r="G1849" s="28"/>
      <c r="J1849" t="s">
        <v>1686</v>
      </c>
    </row>
    <row r="1850" spans="1:10" hidden="1" outlineLevel="1">
      <c r="A1850" s="28"/>
      <c r="B1850" s="1">
        <v>12</v>
      </c>
      <c r="C1850" s="5" t="s">
        <v>3924</v>
      </c>
      <c r="D1850" s="2">
        <v>30</v>
      </c>
      <c r="E1850" s="62">
        <v>45081</v>
      </c>
      <c r="F1850" s="63">
        <v>5.0277777777777775E-2</v>
      </c>
      <c r="G1850" s="28"/>
      <c r="J1850" t="s">
        <v>1686</v>
      </c>
    </row>
    <row r="1851" spans="1:10" hidden="1" outlineLevel="1">
      <c r="A1851" s="28"/>
      <c r="B1851" s="1">
        <v>13</v>
      </c>
      <c r="C1851" s="5" t="s">
        <v>4077</v>
      </c>
      <c r="D1851" s="6" t="s">
        <v>4078</v>
      </c>
      <c r="E1851" s="62">
        <v>45095</v>
      </c>
      <c r="F1851" s="63">
        <v>5.2604166666666667E-2</v>
      </c>
      <c r="G1851" s="28"/>
      <c r="J1851" t="s">
        <v>1686</v>
      </c>
    </row>
    <row r="1852" spans="1:10" hidden="1" outlineLevel="1">
      <c r="A1852" s="28"/>
      <c r="B1852" s="1">
        <v>14</v>
      </c>
      <c r="C1852" s="5" t="s">
        <v>4051</v>
      </c>
      <c r="D1852" s="2">
        <v>0</v>
      </c>
      <c r="E1852" s="577">
        <v>45144</v>
      </c>
      <c r="F1852" s="562">
        <v>5.8356481481481481E-2</v>
      </c>
      <c r="G1852" s="28"/>
      <c r="J1852" t="s">
        <v>1686</v>
      </c>
    </row>
    <row r="1853" spans="1:10" hidden="1" outlineLevel="1">
      <c r="A1853" s="28"/>
      <c r="B1853" s="1">
        <v>15</v>
      </c>
      <c r="C1853" s="5" t="s">
        <v>4380</v>
      </c>
      <c r="D1853" s="2">
        <v>56</v>
      </c>
      <c r="E1853" s="577">
        <v>45284</v>
      </c>
      <c r="F1853" s="562">
        <v>5.5509259259259258E-2</v>
      </c>
      <c r="G1853" s="28"/>
      <c r="J1853" t="s">
        <v>1686</v>
      </c>
    </row>
    <row r="1854" spans="1:10" hidden="1" outlineLevel="1">
      <c r="A1854" s="28"/>
      <c r="B1854" s="1">
        <v>16</v>
      </c>
      <c r="C1854" s="5" t="s">
        <v>4398</v>
      </c>
      <c r="D1854" s="6" t="s">
        <v>4399</v>
      </c>
      <c r="E1854" s="577">
        <v>45326</v>
      </c>
      <c r="F1854" s="562">
        <v>5.0115740740740738E-2</v>
      </c>
      <c r="G1854" s="28"/>
      <c r="J1854" t="s">
        <v>1686</v>
      </c>
    </row>
    <row r="1855" spans="1:10" hidden="1" outlineLevel="1">
      <c r="A1855" s="28"/>
      <c r="B1855" s="1">
        <v>17</v>
      </c>
      <c r="C1855" s="5" t="s">
        <v>4456</v>
      </c>
      <c r="D1855" s="2">
        <v>86</v>
      </c>
      <c r="E1855" s="62">
        <v>45396</v>
      </c>
      <c r="F1855" s="694">
        <v>7.4791666666666673E-2</v>
      </c>
      <c r="G1855" s="28"/>
      <c r="J1855" t="s">
        <v>1686</v>
      </c>
    </row>
    <row r="1856" spans="1:10">
      <c r="A1856" s="28"/>
      <c r="B1856" s="40"/>
      <c r="C1856" s="40"/>
      <c r="D1856" s="35"/>
      <c r="E1856" s="50"/>
      <c r="F1856" s="51"/>
      <c r="G1856" s="28"/>
    </row>
    <row r="1857" spans="1:10">
      <c r="A1857" s="28"/>
      <c r="B1857" s="28"/>
      <c r="C1857" s="28"/>
      <c r="D1857" s="29"/>
      <c r="E1857" s="52"/>
      <c r="F1857" s="53"/>
      <c r="G1857" s="28"/>
    </row>
    <row r="1858" spans="1:10">
      <c r="A1858" s="28"/>
      <c r="B1858" s="33"/>
      <c r="C1858" s="34" t="s">
        <v>1863</v>
      </c>
      <c r="D1858" s="40"/>
      <c r="E1858" s="36"/>
      <c r="F1858" s="37"/>
      <c r="G1858" s="28"/>
    </row>
    <row r="1859" spans="1:10" collapsed="1">
      <c r="A1859" s="28"/>
      <c r="B1859" s="38"/>
      <c r="C1859" s="230" t="s">
        <v>1866</v>
      </c>
      <c r="D1859" s="28"/>
      <c r="E1859" s="30"/>
      <c r="F1859" s="39"/>
      <c r="G1859" s="28"/>
      <c r="H1859" s="693" t="s">
        <v>4159</v>
      </c>
    </row>
    <row r="1860" spans="1:10" hidden="1" outlineLevel="1">
      <c r="A1860" s="28"/>
      <c r="B1860" s="23" t="s">
        <v>5</v>
      </c>
      <c r="C1860" s="24" t="s">
        <v>6</v>
      </c>
      <c r="D1860" s="25" t="s">
        <v>4</v>
      </c>
      <c r="E1860" s="138" t="s">
        <v>8</v>
      </c>
      <c r="F1860" s="26" t="s">
        <v>7</v>
      </c>
      <c r="G1860" s="28"/>
    </row>
    <row r="1861" spans="1:10" hidden="1" outlineLevel="1">
      <c r="A1861" s="28"/>
      <c r="B1861" s="1">
        <v>1</v>
      </c>
      <c r="C1861" s="5" t="s">
        <v>1867</v>
      </c>
      <c r="D1861" s="2">
        <v>0</v>
      </c>
      <c r="E1861" s="236">
        <v>44372</v>
      </c>
      <c r="F1861" s="4">
        <v>5.62037037037037E-2</v>
      </c>
      <c r="G1861" s="28"/>
      <c r="J1861" t="s">
        <v>1878</v>
      </c>
    </row>
    <row r="1862" spans="1:10" hidden="1" outlineLevel="1">
      <c r="A1862" s="28"/>
      <c r="B1862" s="1">
        <v>2</v>
      </c>
      <c r="C1862" s="5" t="s">
        <v>1868</v>
      </c>
      <c r="D1862" s="2">
        <v>86</v>
      </c>
      <c r="E1862" s="235">
        <v>44378</v>
      </c>
      <c r="F1862" s="217">
        <v>4.8518518518518516E-2</v>
      </c>
      <c r="G1862" s="28"/>
      <c r="J1862" t="s">
        <v>1878</v>
      </c>
    </row>
    <row r="1863" spans="1:10" hidden="1" outlineLevel="1">
      <c r="A1863" s="28"/>
      <c r="B1863" s="1">
        <v>3</v>
      </c>
      <c r="C1863" s="5" t="s">
        <v>1869</v>
      </c>
      <c r="D1863" s="6" t="s">
        <v>1879</v>
      </c>
      <c r="E1863" s="236">
        <v>44385</v>
      </c>
      <c r="F1863" s="217">
        <v>2.6712962962962966E-2</v>
      </c>
      <c r="G1863" s="28"/>
      <c r="J1863" t="s">
        <v>1878</v>
      </c>
    </row>
    <row r="1864" spans="1:10" hidden="1" outlineLevel="1">
      <c r="A1864" s="28"/>
      <c r="B1864" s="1">
        <v>4</v>
      </c>
      <c r="C1864" s="5" t="s">
        <v>1870</v>
      </c>
      <c r="D1864" s="6" t="s">
        <v>1879</v>
      </c>
      <c r="E1864" s="236">
        <v>44385</v>
      </c>
      <c r="F1864" s="217">
        <v>2.2442129629629631E-2</v>
      </c>
      <c r="G1864" s="28"/>
      <c r="J1864" t="s">
        <v>1878</v>
      </c>
    </row>
    <row r="1865" spans="1:10" hidden="1" outlineLevel="1">
      <c r="A1865" s="28"/>
      <c r="B1865" s="1">
        <v>5</v>
      </c>
      <c r="C1865" s="5" t="s">
        <v>1871</v>
      </c>
      <c r="D1865" s="2">
        <v>211</v>
      </c>
      <c r="E1865" s="236">
        <v>44393</v>
      </c>
      <c r="F1865" s="217">
        <v>3.3842592592592598E-2</v>
      </c>
      <c r="G1865" s="28"/>
      <c r="J1865" t="s">
        <v>1878</v>
      </c>
    </row>
    <row r="1866" spans="1:10" hidden="1" outlineLevel="1">
      <c r="A1866" s="28"/>
      <c r="B1866" s="1">
        <v>6</v>
      </c>
      <c r="C1866" s="5" t="s">
        <v>1872</v>
      </c>
      <c r="D1866" s="2">
        <v>88</v>
      </c>
      <c r="E1866" s="236">
        <v>44399</v>
      </c>
      <c r="F1866" s="217">
        <v>4.9328703703703701E-2</v>
      </c>
      <c r="G1866" s="28"/>
      <c r="J1866" t="s">
        <v>1878</v>
      </c>
    </row>
    <row r="1867" spans="1:10" hidden="1" outlineLevel="1">
      <c r="A1867" s="28"/>
      <c r="B1867" s="1">
        <v>7</v>
      </c>
      <c r="C1867" s="5" t="s">
        <v>1873</v>
      </c>
      <c r="D1867" s="2">
        <v>127</v>
      </c>
      <c r="E1867" s="236">
        <v>44406</v>
      </c>
      <c r="F1867" s="217">
        <v>7.2233796296296296E-2</v>
      </c>
      <c r="G1867" s="28"/>
      <c r="J1867" t="s">
        <v>1878</v>
      </c>
    </row>
    <row r="1868" spans="1:10" hidden="1" outlineLevel="1">
      <c r="A1868" s="28"/>
      <c r="B1868" s="1">
        <v>8</v>
      </c>
      <c r="C1868" s="5" t="s">
        <v>1911</v>
      </c>
      <c r="D1868" s="2">
        <v>0</v>
      </c>
      <c r="E1868" s="236">
        <v>44412</v>
      </c>
      <c r="F1868" s="217">
        <v>3.5833333333333335E-2</v>
      </c>
      <c r="G1868" s="28"/>
      <c r="J1868" t="s">
        <v>1878</v>
      </c>
    </row>
    <row r="1869" spans="1:10" hidden="1" outlineLevel="1">
      <c r="A1869" s="28"/>
      <c r="B1869" s="1">
        <v>9</v>
      </c>
      <c r="C1869" s="5" t="s">
        <v>1880</v>
      </c>
      <c r="D1869" s="6" t="s">
        <v>17</v>
      </c>
      <c r="E1869" s="236">
        <v>44420</v>
      </c>
      <c r="F1869" s="217">
        <v>5.3449074074074072E-2</v>
      </c>
      <c r="G1869" s="28"/>
      <c r="J1869" t="s">
        <v>1878</v>
      </c>
    </row>
    <row r="1870" spans="1:10" hidden="1" outlineLevel="1">
      <c r="A1870" s="28"/>
      <c r="B1870" s="1">
        <v>10</v>
      </c>
      <c r="C1870" s="5" t="s">
        <v>1874</v>
      </c>
      <c r="D1870" s="2">
        <v>23</v>
      </c>
      <c r="E1870" s="236">
        <v>44427</v>
      </c>
      <c r="F1870" s="217">
        <v>5.1261574074074077E-2</v>
      </c>
      <c r="G1870" s="28"/>
      <c r="J1870" t="s">
        <v>1878</v>
      </c>
    </row>
    <row r="1871" spans="1:10" hidden="1" outlineLevel="1">
      <c r="A1871" s="28"/>
      <c r="B1871" s="1">
        <v>11</v>
      </c>
      <c r="C1871" s="5" t="s">
        <v>1875</v>
      </c>
      <c r="D1871" s="2">
        <v>24</v>
      </c>
      <c r="E1871" s="236">
        <v>44434</v>
      </c>
      <c r="F1871" s="217">
        <v>5.618055555555556E-2</v>
      </c>
      <c r="G1871" s="28"/>
      <c r="J1871" t="s">
        <v>1878</v>
      </c>
    </row>
    <row r="1872" spans="1:10" hidden="1" outlineLevel="1">
      <c r="A1872" s="28"/>
      <c r="B1872" s="1">
        <v>12</v>
      </c>
      <c r="C1872" s="5" t="s">
        <v>1876</v>
      </c>
      <c r="D1872" s="2">
        <v>153</v>
      </c>
      <c r="E1872" s="236">
        <v>44442</v>
      </c>
      <c r="F1872" s="217">
        <v>5.3969907407407404E-2</v>
      </c>
      <c r="G1872" s="28"/>
      <c r="J1872" t="s">
        <v>1878</v>
      </c>
    </row>
    <row r="1873" spans="1:10" hidden="1" outlineLevel="1">
      <c r="A1873" s="28"/>
      <c r="B1873" s="1">
        <v>13</v>
      </c>
      <c r="C1873" s="5" t="s">
        <v>1877</v>
      </c>
      <c r="D1873" s="2">
        <v>155</v>
      </c>
      <c r="E1873" s="236">
        <v>44449</v>
      </c>
      <c r="F1873" s="217">
        <v>6.3518518518518516E-2</v>
      </c>
      <c r="G1873" s="28"/>
      <c r="J1873" t="s">
        <v>1878</v>
      </c>
    </row>
    <row r="1874" spans="1:10" hidden="1" outlineLevel="1">
      <c r="A1874" s="28"/>
      <c r="B1874" s="1">
        <v>14</v>
      </c>
      <c r="C1874" s="5" t="s">
        <v>2003</v>
      </c>
      <c r="D1874" s="2">
        <v>17</v>
      </c>
      <c r="E1874" s="236">
        <v>44463</v>
      </c>
      <c r="F1874" s="4">
        <v>5.2511574074074079E-2</v>
      </c>
      <c r="G1874" s="28"/>
      <c r="J1874" t="s">
        <v>1878</v>
      </c>
    </row>
    <row r="1875" spans="1:10" hidden="1" outlineLevel="1">
      <c r="A1875" s="28"/>
      <c r="B1875" s="1">
        <v>15</v>
      </c>
      <c r="C1875" s="5" t="s">
        <v>2012</v>
      </c>
      <c r="D1875" s="2">
        <v>212</v>
      </c>
      <c r="E1875" s="236">
        <v>44477</v>
      </c>
      <c r="F1875" s="4">
        <v>6.6053240740740746E-2</v>
      </c>
      <c r="G1875" s="28"/>
      <c r="J1875" t="s">
        <v>1878</v>
      </c>
    </row>
    <row r="1876" spans="1:10" hidden="1" outlineLevel="1">
      <c r="A1876" s="28"/>
      <c r="B1876" s="1">
        <v>16</v>
      </c>
      <c r="C1876" s="5" t="s">
        <v>2017</v>
      </c>
      <c r="D1876" s="2">
        <v>131</v>
      </c>
      <c r="E1876" s="236">
        <v>44491</v>
      </c>
      <c r="F1876" s="4">
        <v>5.7372685185185186E-2</v>
      </c>
      <c r="G1876" s="28"/>
      <c r="J1876" t="s">
        <v>1878</v>
      </c>
    </row>
    <row r="1877" spans="1:10" hidden="1" outlineLevel="1">
      <c r="A1877" s="28"/>
      <c r="B1877" s="1">
        <v>17</v>
      </c>
      <c r="C1877" s="5" t="s">
        <v>2018</v>
      </c>
      <c r="D1877" s="2">
        <v>27</v>
      </c>
      <c r="E1877" s="236">
        <v>44505</v>
      </c>
      <c r="F1877" s="4">
        <v>5.7893518518518518E-2</v>
      </c>
      <c r="G1877" s="28"/>
      <c r="J1877" t="s">
        <v>1878</v>
      </c>
    </row>
    <row r="1878" spans="1:10" hidden="1" outlineLevel="1">
      <c r="A1878" s="28"/>
      <c r="B1878" s="1">
        <v>18</v>
      </c>
      <c r="C1878" s="5" t="s">
        <v>2450</v>
      </c>
      <c r="D1878" s="2">
        <v>73</v>
      </c>
      <c r="E1878" s="236">
        <v>44519</v>
      </c>
      <c r="F1878" s="4">
        <v>6.2488425925925926E-2</v>
      </c>
      <c r="G1878" s="28"/>
      <c r="J1878" t="s">
        <v>1878</v>
      </c>
    </row>
    <row r="1879" spans="1:10" hidden="1" outlineLevel="1">
      <c r="A1879" s="28"/>
      <c r="B1879" s="1">
        <v>19</v>
      </c>
      <c r="C1879" s="5" t="s">
        <v>2451</v>
      </c>
      <c r="D1879" s="2">
        <v>89</v>
      </c>
      <c r="E1879" s="236">
        <v>44533</v>
      </c>
      <c r="F1879" s="4">
        <v>7.7407407407407411E-2</v>
      </c>
      <c r="G1879" s="28"/>
      <c r="J1879" t="s">
        <v>1878</v>
      </c>
    </row>
    <row r="1880" spans="1:10" hidden="1" outlineLevel="1">
      <c r="A1880" s="28"/>
      <c r="B1880" s="1">
        <v>20</v>
      </c>
      <c r="C1880" s="5" t="s">
        <v>2601</v>
      </c>
      <c r="D1880" s="6" t="s">
        <v>1391</v>
      </c>
      <c r="E1880" s="236">
        <v>44547</v>
      </c>
      <c r="F1880" s="4">
        <v>8.6249999999999993E-2</v>
      </c>
      <c r="G1880" s="28"/>
      <c r="J1880" t="s">
        <v>1878</v>
      </c>
    </row>
    <row r="1881" spans="1:10" hidden="1" outlineLevel="1">
      <c r="A1881" s="28"/>
      <c r="B1881" s="1">
        <v>21</v>
      </c>
      <c r="C1881" s="5" t="s">
        <v>2670</v>
      </c>
      <c r="D1881" s="2">
        <v>62</v>
      </c>
      <c r="E1881" s="236">
        <v>44575</v>
      </c>
      <c r="F1881" s="4">
        <v>9.8842592592592593E-2</v>
      </c>
      <c r="G1881" s="28"/>
      <c r="J1881" t="s">
        <v>1878</v>
      </c>
    </row>
    <row r="1882" spans="1:10" hidden="1" outlineLevel="1">
      <c r="A1882" s="28"/>
      <c r="B1882" s="1">
        <v>22</v>
      </c>
      <c r="C1882" s="5" t="s">
        <v>2671</v>
      </c>
      <c r="D1882" s="2">
        <v>105</v>
      </c>
      <c r="E1882" s="236">
        <v>44589</v>
      </c>
      <c r="F1882" s="4">
        <v>0.15488425925925928</v>
      </c>
      <c r="G1882" s="28"/>
      <c r="J1882" t="s">
        <v>1878</v>
      </c>
    </row>
    <row r="1883" spans="1:10" hidden="1" outlineLevel="1">
      <c r="A1883" s="28"/>
      <c r="B1883" s="1">
        <v>23</v>
      </c>
      <c r="C1883" s="5" t="s">
        <v>2672</v>
      </c>
      <c r="D1883" s="2">
        <v>154</v>
      </c>
      <c r="E1883" s="236">
        <v>44602</v>
      </c>
      <c r="F1883" s="4">
        <v>8.3912037037037035E-2</v>
      </c>
      <c r="G1883" s="28"/>
      <c r="J1883" t="s">
        <v>1878</v>
      </c>
    </row>
    <row r="1884" spans="1:10" hidden="1" outlineLevel="1">
      <c r="A1884" s="28"/>
      <c r="B1884" s="1">
        <v>24</v>
      </c>
      <c r="C1884" s="5" t="s">
        <v>2693</v>
      </c>
      <c r="D1884" s="2">
        <v>37</v>
      </c>
      <c r="E1884" s="236">
        <v>44617</v>
      </c>
      <c r="F1884" s="4">
        <v>7.4745370370370365E-2</v>
      </c>
      <c r="G1884" s="28"/>
      <c r="J1884" t="s">
        <v>1878</v>
      </c>
    </row>
    <row r="1885" spans="1:10" hidden="1" outlineLevel="1">
      <c r="A1885" s="28"/>
      <c r="B1885" s="1">
        <v>25</v>
      </c>
      <c r="C1885" s="5" t="s">
        <v>2698</v>
      </c>
      <c r="D1885" s="6" t="s">
        <v>21</v>
      </c>
      <c r="E1885" s="236">
        <v>44631</v>
      </c>
      <c r="F1885" s="4">
        <v>6.6840277777777776E-2</v>
      </c>
      <c r="G1885" s="28"/>
      <c r="J1885" t="s">
        <v>1878</v>
      </c>
    </row>
    <row r="1886" spans="1:10" hidden="1" outlineLevel="1">
      <c r="A1886" s="28"/>
      <c r="B1886" s="1">
        <v>26</v>
      </c>
      <c r="C1886" s="5" t="s">
        <v>2867</v>
      </c>
      <c r="D1886" s="2">
        <v>111</v>
      </c>
      <c r="E1886" s="236">
        <v>44645.083333333336</v>
      </c>
      <c r="F1886" s="4">
        <v>7.9988425925925921E-2</v>
      </c>
      <c r="G1886" s="28"/>
      <c r="J1886" t="s">
        <v>1878</v>
      </c>
    </row>
    <row r="1887" spans="1:10" hidden="1" outlineLevel="1">
      <c r="A1887" s="28"/>
      <c r="B1887" s="1">
        <v>27</v>
      </c>
      <c r="C1887" s="5" t="s">
        <v>3006</v>
      </c>
      <c r="D1887" s="2">
        <v>0</v>
      </c>
      <c r="E1887" s="237">
        <v>44658</v>
      </c>
      <c r="F1887" s="63">
        <v>1.4351851851851854E-3</v>
      </c>
      <c r="G1887" s="28"/>
      <c r="J1887" t="s">
        <v>1878</v>
      </c>
    </row>
    <row r="1888" spans="1:10" hidden="1" outlineLevel="1">
      <c r="A1888" s="28"/>
      <c r="B1888" s="1">
        <v>28</v>
      </c>
      <c r="C1888" s="5" t="s">
        <v>2869</v>
      </c>
      <c r="D1888" s="2">
        <v>84</v>
      </c>
      <c r="E1888" s="236">
        <v>44659</v>
      </c>
      <c r="F1888" s="4">
        <v>8.8761574074074076E-2</v>
      </c>
      <c r="G1888" s="28"/>
      <c r="J1888" t="s">
        <v>1878</v>
      </c>
    </row>
    <row r="1889" spans="1:10" hidden="1" outlineLevel="1">
      <c r="A1889" s="28"/>
      <c r="B1889" s="1">
        <v>29</v>
      </c>
      <c r="C1889" s="5" t="s">
        <v>2868</v>
      </c>
      <c r="D1889" s="2">
        <v>47</v>
      </c>
      <c r="E1889" s="236">
        <v>44673</v>
      </c>
      <c r="F1889" s="4">
        <v>7.8136574074074081E-2</v>
      </c>
      <c r="G1889" s="28"/>
      <c r="J1889" t="s">
        <v>1878</v>
      </c>
    </row>
    <row r="1890" spans="1:10" hidden="1" outlineLevel="1">
      <c r="A1890" s="28"/>
      <c r="B1890" s="1">
        <v>30</v>
      </c>
      <c r="C1890" s="5" t="s">
        <v>2898</v>
      </c>
      <c r="D1890" s="2">
        <v>207</v>
      </c>
      <c r="E1890" s="236">
        <v>44687</v>
      </c>
      <c r="F1890" s="4">
        <v>6.1793981481481484E-2</v>
      </c>
      <c r="G1890" s="28"/>
      <c r="J1890" t="s">
        <v>1878</v>
      </c>
    </row>
    <row r="1891" spans="1:10" hidden="1" outlineLevel="1">
      <c r="A1891" s="28"/>
      <c r="B1891" s="1">
        <v>31</v>
      </c>
      <c r="C1891" s="5" t="s">
        <v>2932</v>
      </c>
      <c r="D1891" s="2">
        <v>42</v>
      </c>
      <c r="E1891" s="236">
        <v>44701</v>
      </c>
      <c r="F1891" s="4">
        <v>6.834490740740741E-2</v>
      </c>
      <c r="G1891" s="28"/>
      <c r="J1891" t="s">
        <v>1878</v>
      </c>
    </row>
    <row r="1892" spans="1:10" hidden="1" outlineLevel="1">
      <c r="A1892" s="28"/>
      <c r="B1892" s="1">
        <v>32</v>
      </c>
      <c r="C1892" s="5" t="s">
        <v>2936</v>
      </c>
      <c r="D1892" s="2">
        <v>16</v>
      </c>
      <c r="E1892" s="236">
        <v>44715</v>
      </c>
      <c r="F1892" s="4">
        <v>5.7222222222222223E-2</v>
      </c>
      <c r="G1892" s="28"/>
      <c r="J1892" t="s">
        <v>1878</v>
      </c>
    </row>
    <row r="1893" spans="1:10" hidden="1" outlineLevel="1">
      <c r="A1893" s="28"/>
      <c r="B1893" s="1">
        <v>33</v>
      </c>
      <c r="C1893" s="5" t="s">
        <v>2980</v>
      </c>
      <c r="D1893" s="6" t="s">
        <v>1372</v>
      </c>
      <c r="E1893" s="236">
        <v>44737</v>
      </c>
      <c r="F1893" s="4">
        <v>0.1461226851851852</v>
      </c>
      <c r="G1893" s="28"/>
      <c r="J1893" t="s">
        <v>1878</v>
      </c>
    </row>
    <row r="1894" spans="1:10" hidden="1" outlineLevel="1">
      <c r="A1894" s="28"/>
      <c r="B1894" s="1">
        <v>34</v>
      </c>
      <c r="C1894" s="5" t="s">
        <v>2981</v>
      </c>
      <c r="D1894" s="2">
        <v>78</v>
      </c>
      <c r="E1894" s="236">
        <v>44792</v>
      </c>
      <c r="F1894" s="4">
        <v>9.121527777777777E-2</v>
      </c>
      <c r="G1894" s="28"/>
      <c r="J1894" t="s">
        <v>1878</v>
      </c>
    </row>
    <row r="1895" spans="1:10" hidden="1" outlineLevel="1">
      <c r="A1895" s="28"/>
      <c r="B1895" s="1">
        <v>35</v>
      </c>
      <c r="C1895" s="5" t="s">
        <v>3007</v>
      </c>
      <c r="D1895" s="2">
        <v>25</v>
      </c>
      <c r="E1895" s="236">
        <v>44806</v>
      </c>
      <c r="F1895" s="4">
        <v>9.0081018518518519E-2</v>
      </c>
      <c r="G1895" s="28"/>
      <c r="J1895" t="s">
        <v>1878</v>
      </c>
    </row>
    <row r="1896" spans="1:10" hidden="1" outlineLevel="1">
      <c r="A1896" s="28"/>
      <c r="B1896" s="1">
        <v>36</v>
      </c>
      <c r="C1896" s="5" t="s">
        <v>3008</v>
      </c>
      <c r="D1896" s="6" t="s">
        <v>22</v>
      </c>
      <c r="E1896" s="236">
        <v>44820</v>
      </c>
      <c r="F1896" s="4">
        <v>7.318287037037037E-2</v>
      </c>
      <c r="G1896" s="28"/>
      <c r="J1896" t="s">
        <v>1878</v>
      </c>
    </row>
    <row r="1897" spans="1:10" hidden="1" outlineLevel="1">
      <c r="A1897" s="28"/>
      <c r="B1897" s="1">
        <v>37</v>
      </c>
      <c r="C1897" s="5" t="s">
        <v>3067</v>
      </c>
      <c r="D1897" s="2">
        <v>94</v>
      </c>
      <c r="E1897" s="236">
        <v>44834</v>
      </c>
      <c r="F1897" s="4">
        <v>8.9131944444444444E-2</v>
      </c>
      <c r="G1897" s="28"/>
      <c r="J1897" t="s">
        <v>1878</v>
      </c>
    </row>
    <row r="1898" spans="1:10" hidden="1" outlineLevel="1">
      <c r="A1898" s="28"/>
      <c r="B1898" s="1">
        <v>38</v>
      </c>
      <c r="C1898" s="5" t="s">
        <v>3077</v>
      </c>
      <c r="D1898" s="2">
        <v>70</v>
      </c>
      <c r="E1898" s="236">
        <v>44848</v>
      </c>
      <c r="F1898" s="4">
        <v>9.420138888888889E-2</v>
      </c>
      <c r="G1898" s="28"/>
      <c r="J1898" t="s">
        <v>1878</v>
      </c>
    </row>
    <row r="1899" spans="1:10" hidden="1" outlineLevel="1">
      <c r="A1899" s="28"/>
      <c r="B1899" s="1">
        <v>39</v>
      </c>
      <c r="C1899" s="5" t="s">
        <v>3141</v>
      </c>
      <c r="D1899" s="2">
        <v>90</v>
      </c>
      <c r="E1899" s="236">
        <v>44862</v>
      </c>
      <c r="F1899" s="4">
        <v>0.13760416666666667</v>
      </c>
      <c r="G1899" s="28"/>
      <c r="J1899" t="s">
        <v>1878</v>
      </c>
    </row>
    <row r="1900" spans="1:10" hidden="1" outlineLevel="1">
      <c r="A1900" s="28"/>
      <c r="B1900" s="1">
        <v>40</v>
      </c>
      <c r="C1900" s="5" t="s">
        <v>3142</v>
      </c>
      <c r="D1900" s="2">
        <v>203</v>
      </c>
      <c r="E1900" s="236">
        <v>44876</v>
      </c>
      <c r="F1900" s="4">
        <v>0.12946759259259258</v>
      </c>
      <c r="G1900" s="28"/>
      <c r="J1900" t="s">
        <v>1878</v>
      </c>
    </row>
    <row r="1901" spans="1:10" hidden="1" outlineLevel="1">
      <c r="A1901" s="28"/>
      <c r="B1901" s="1">
        <v>41</v>
      </c>
      <c r="C1901" s="5" t="s">
        <v>3140</v>
      </c>
      <c r="D1901" s="2">
        <v>76</v>
      </c>
      <c r="E1901" s="236">
        <v>44890</v>
      </c>
      <c r="F1901" s="4">
        <v>0.12019675925925927</v>
      </c>
      <c r="G1901" s="28"/>
      <c r="J1901" t="s">
        <v>1878</v>
      </c>
    </row>
    <row r="1902" spans="1:10" hidden="1" outlineLevel="1">
      <c r="A1902" s="28"/>
      <c r="B1902" s="1">
        <v>42</v>
      </c>
      <c r="C1902" s="5" t="s">
        <v>3301</v>
      </c>
      <c r="D1902" s="259" t="s">
        <v>3196</v>
      </c>
      <c r="E1902" s="236">
        <v>44896</v>
      </c>
      <c r="F1902" s="4">
        <v>7.4421296296296293E-3</v>
      </c>
      <c r="G1902" s="28"/>
      <c r="J1902" t="s">
        <v>1878</v>
      </c>
    </row>
    <row r="1903" spans="1:10" hidden="1" outlineLevel="1">
      <c r="A1903" s="28"/>
      <c r="B1903" s="1">
        <v>43</v>
      </c>
      <c r="C1903" s="5" t="s">
        <v>3300</v>
      </c>
      <c r="D1903" s="259" t="s">
        <v>3256</v>
      </c>
      <c r="E1903" s="236">
        <v>44897</v>
      </c>
      <c r="F1903" s="4">
        <v>2.4305555555555556E-3</v>
      </c>
      <c r="G1903" s="28"/>
      <c r="J1903" t="s">
        <v>1878</v>
      </c>
    </row>
    <row r="1904" spans="1:10" hidden="1" outlineLevel="1">
      <c r="A1904" s="28"/>
      <c r="B1904" s="1">
        <v>44</v>
      </c>
      <c r="C1904" s="5" t="s">
        <v>3299</v>
      </c>
      <c r="D1904" s="259" t="s">
        <v>3261</v>
      </c>
      <c r="E1904" s="236">
        <v>44898</v>
      </c>
      <c r="F1904" s="4">
        <v>1.3773148148148147E-3</v>
      </c>
      <c r="G1904" s="28"/>
      <c r="J1904" t="s">
        <v>1878</v>
      </c>
    </row>
    <row r="1905" spans="1:10" hidden="1" outlineLevel="1">
      <c r="A1905" s="28"/>
      <c r="B1905" s="1">
        <v>45</v>
      </c>
      <c r="C1905" s="5" t="s">
        <v>3298</v>
      </c>
      <c r="D1905" s="259" t="s">
        <v>3267</v>
      </c>
      <c r="E1905" s="236">
        <v>44899</v>
      </c>
      <c r="F1905" s="4">
        <v>1.8171296296296297E-3</v>
      </c>
      <c r="G1905" s="28"/>
      <c r="J1905" t="s">
        <v>1878</v>
      </c>
    </row>
    <row r="1906" spans="1:10" hidden="1" outlineLevel="1">
      <c r="A1906" s="28"/>
      <c r="B1906" s="1">
        <v>46</v>
      </c>
      <c r="C1906" s="5" t="s">
        <v>3297</v>
      </c>
      <c r="D1906" s="259" t="s">
        <v>3276</v>
      </c>
      <c r="E1906" s="236">
        <v>44900</v>
      </c>
      <c r="F1906" s="4">
        <v>1.4004629629629629E-3</v>
      </c>
      <c r="G1906" s="28"/>
      <c r="J1906" t="s">
        <v>1878</v>
      </c>
    </row>
    <row r="1907" spans="1:10" hidden="1" outlineLevel="1">
      <c r="A1907" s="28"/>
      <c r="B1907" s="1">
        <v>47</v>
      </c>
      <c r="C1907" s="5" t="s">
        <v>3296</v>
      </c>
      <c r="D1907" s="259" t="s">
        <v>3282</v>
      </c>
      <c r="E1907" s="236">
        <v>44901</v>
      </c>
      <c r="F1907" s="4">
        <v>3.4027777777777784E-3</v>
      </c>
      <c r="G1907" s="28"/>
      <c r="J1907" t="s">
        <v>1878</v>
      </c>
    </row>
    <row r="1908" spans="1:10" hidden="1" outlineLevel="1">
      <c r="A1908" s="28"/>
      <c r="B1908" s="1">
        <v>48</v>
      </c>
      <c r="C1908" s="5" t="s">
        <v>3294</v>
      </c>
      <c r="D1908" s="259" t="s">
        <v>3290</v>
      </c>
      <c r="E1908" s="236">
        <v>44902</v>
      </c>
      <c r="F1908" s="4">
        <v>1.3773148148148147E-3</v>
      </c>
      <c r="G1908" s="28"/>
      <c r="J1908" t="s">
        <v>1878</v>
      </c>
    </row>
    <row r="1909" spans="1:10" hidden="1" outlineLevel="1">
      <c r="A1909" s="28"/>
      <c r="B1909" s="1">
        <v>49</v>
      </c>
      <c r="C1909" s="5" t="s">
        <v>3295</v>
      </c>
      <c r="D1909" s="259" t="s">
        <v>3293</v>
      </c>
      <c r="E1909" s="236">
        <v>44903</v>
      </c>
      <c r="F1909" s="4">
        <v>1.7245370370370372E-3</v>
      </c>
      <c r="G1909" s="28"/>
      <c r="J1909" t="s">
        <v>1878</v>
      </c>
    </row>
    <row r="1910" spans="1:10" hidden="1" outlineLevel="1">
      <c r="A1910" s="28"/>
      <c r="B1910" s="1">
        <v>50</v>
      </c>
      <c r="C1910" s="5" t="s">
        <v>3386</v>
      </c>
      <c r="D1910" s="259" t="s">
        <v>3309</v>
      </c>
      <c r="E1910" s="236">
        <v>44904.000173611108</v>
      </c>
      <c r="F1910" s="4">
        <v>2.1874999999999998E-3</v>
      </c>
      <c r="G1910" s="28"/>
      <c r="J1910" t="s">
        <v>1878</v>
      </c>
    </row>
    <row r="1911" spans="1:10" hidden="1" outlineLevel="1">
      <c r="A1911" s="28"/>
      <c r="B1911" s="1">
        <v>51</v>
      </c>
      <c r="C1911" s="5" t="s">
        <v>3308</v>
      </c>
      <c r="D1911" s="2">
        <v>210</v>
      </c>
      <c r="E1911" s="236">
        <v>44904.083333333336</v>
      </c>
      <c r="F1911" s="4">
        <v>7.2627314814814811E-2</v>
      </c>
      <c r="G1911" s="28"/>
      <c r="J1911" t="s">
        <v>1878</v>
      </c>
    </row>
    <row r="1912" spans="1:10" hidden="1" outlineLevel="1">
      <c r="A1912" s="28"/>
      <c r="B1912" s="1">
        <v>52</v>
      </c>
      <c r="C1912" s="5" t="s">
        <v>3314</v>
      </c>
      <c r="D1912" s="259" t="s">
        <v>3143</v>
      </c>
      <c r="E1912" s="236">
        <v>44905</v>
      </c>
      <c r="F1912" s="4">
        <v>2.5578703703703705E-3</v>
      </c>
      <c r="G1912" s="28"/>
      <c r="J1912" t="s">
        <v>1878</v>
      </c>
    </row>
    <row r="1913" spans="1:10" hidden="1" outlineLevel="1">
      <c r="A1913" s="28"/>
      <c r="B1913" s="1">
        <v>53</v>
      </c>
      <c r="C1913" s="5" t="s">
        <v>3319</v>
      </c>
      <c r="D1913" s="259" t="s">
        <v>3144</v>
      </c>
      <c r="E1913" s="236">
        <v>44906</v>
      </c>
      <c r="F1913" s="4">
        <v>2.2685185185185182E-3</v>
      </c>
      <c r="G1913" s="28"/>
      <c r="J1913" t="s">
        <v>1878</v>
      </c>
    </row>
    <row r="1914" spans="1:10" hidden="1" outlineLevel="1">
      <c r="A1914" s="28"/>
      <c r="B1914" s="1">
        <v>54</v>
      </c>
      <c r="C1914" s="5" t="s">
        <v>3331</v>
      </c>
      <c r="D1914" s="259" t="s">
        <v>3145</v>
      </c>
      <c r="E1914" s="236">
        <v>44907</v>
      </c>
      <c r="F1914" s="4">
        <v>2.627314814814815E-3</v>
      </c>
      <c r="G1914" s="28"/>
      <c r="J1914" t="s">
        <v>1878</v>
      </c>
    </row>
    <row r="1915" spans="1:10" hidden="1" outlineLevel="1">
      <c r="A1915" s="28"/>
      <c r="B1915" s="1">
        <v>55</v>
      </c>
      <c r="C1915" s="5" t="s">
        <v>3332</v>
      </c>
      <c r="D1915" s="259" t="s">
        <v>3146</v>
      </c>
      <c r="E1915" s="236">
        <v>44908</v>
      </c>
      <c r="F1915" s="4">
        <v>2.0949074074074073E-3</v>
      </c>
      <c r="G1915" s="28"/>
      <c r="J1915" t="s">
        <v>1878</v>
      </c>
    </row>
    <row r="1916" spans="1:10" hidden="1" outlineLevel="1">
      <c r="A1916" s="28"/>
      <c r="B1916" s="1">
        <v>56</v>
      </c>
      <c r="C1916" s="5" t="s">
        <v>3333</v>
      </c>
      <c r="D1916" s="259" t="s">
        <v>3147</v>
      </c>
      <c r="E1916" s="236">
        <v>44909</v>
      </c>
      <c r="F1916" s="4">
        <v>1.423611111111111E-3</v>
      </c>
      <c r="G1916" s="28"/>
      <c r="J1916" t="s">
        <v>1878</v>
      </c>
    </row>
    <row r="1917" spans="1:10" hidden="1" outlineLevel="1">
      <c r="A1917" s="28"/>
      <c r="B1917" s="1">
        <v>57</v>
      </c>
      <c r="C1917" s="5" t="s">
        <v>3372</v>
      </c>
      <c r="D1917" s="259" t="s">
        <v>3148</v>
      </c>
      <c r="E1917" s="236">
        <v>44910</v>
      </c>
      <c r="F1917" s="4">
        <v>1.5046296296296294E-3</v>
      </c>
      <c r="G1917" s="28"/>
      <c r="J1917" t="s">
        <v>1878</v>
      </c>
    </row>
    <row r="1918" spans="1:10" hidden="1" outlineLevel="1">
      <c r="A1918" s="28"/>
      <c r="B1918" s="1">
        <v>58</v>
      </c>
      <c r="C1918" s="5" t="s">
        <v>3385</v>
      </c>
      <c r="D1918" s="259" t="s">
        <v>3149</v>
      </c>
      <c r="E1918" s="236">
        <v>44911</v>
      </c>
      <c r="F1918" s="4">
        <v>1.8171296296296297E-3</v>
      </c>
      <c r="G1918" s="28"/>
      <c r="J1918" t="s">
        <v>1878</v>
      </c>
    </row>
    <row r="1919" spans="1:10" hidden="1" outlineLevel="1">
      <c r="A1919" s="28"/>
      <c r="B1919" s="1">
        <v>59</v>
      </c>
      <c r="C1919" s="5" t="s">
        <v>3380</v>
      </c>
      <c r="D1919" s="259" t="s">
        <v>3150</v>
      </c>
      <c r="E1919" s="236">
        <v>44912</v>
      </c>
      <c r="F1919" s="4">
        <v>1.736111111111111E-3</v>
      </c>
      <c r="G1919" s="28"/>
      <c r="J1919" t="s">
        <v>1878</v>
      </c>
    </row>
    <row r="1920" spans="1:10" hidden="1" outlineLevel="1">
      <c r="A1920" s="28"/>
      <c r="B1920" s="1">
        <v>60</v>
      </c>
      <c r="C1920" s="5" t="s">
        <v>3384</v>
      </c>
      <c r="D1920" s="259" t="s">
        <v>3151</v>
      </c>
      <c r="E1920" s="236">
        <v>44913</v>
      </c>
      <c r="F1920" s="4">
        <v>2.1990740740740742E-3</v>
      </c>
      <c r="G1920" s="28"/>
      <c r="J1920" t="s">
        <v>1878</v>
      </c>
    </row>
    <row r="1921" spans="1:10" hidden="1" outlineLevel="1">
      <c r="A1921" s="28"/>
      <c r="B1921" s="1">
        <v>61</v>
      </c>
      <c r="C1921" s="5" t="s">
        <v>3383</v>
      </c>
      <c r="D1921" s="259" t="s">
        <v>3152</v>
      </c>
      <c r="E1921" s="236">
        <v>44914</v>
      </c>
      <c r="F1921" s="4">
        <v>1.7939814814814815E-3</v>
      </c>
      <c r="G1921" s="28"/>
      <c r="J1921" t="s">
        <v>1878</v>
      </c>
    </row>
    <row r="1922" spans="1:10" hidden="1" outlineLevel="1">
      <c r="A1922" s="28"/>
      <c r="B1922" s="1">
        <v>62</v>
      </c>
      <c r="C1922" s="5" t="s">
        <v>3396</v>
      </c>
      <c r="D1922" s="259" t="s">
        <v>3153</v>
      </c>
      <c r="E1922" s="236">
        <v>44915</v>
      </c>
      <c r="F1922" s="4">
        <v>1.6782407407407406E-3</v>
      </c>
      <c r="G1922" s="28"/>
      <c r="J1922" t="s">
        <v>1878</v>
      </c>
    </row>
    <row r="1923" spans="1:10" hidden="1" outlineLevel="1">
      <c r="A1923" s="28"/>
      <c r="B1923" s="1">
        <v>63</v>
      </c>
      <c r="C1923" s="5" t="s">
        <v>3400</v>
      </c>
      <c r="D1923" s="259" t="s">
        <v>3154</v>
      </c>
      <c r="E1923" s="236">
        <v>44916</v>
      </c>
      <c r="F1923" s="4">
        <v>2.1412037037037038E-3</v>
      </c>
      <c r="G1923" s="28"/>
      <c r="J1923" t="s">
        <v>1878</v>
      </c>
    </row>
    <row r="1924" spans="1:10" hidden="1" outlineLevel="1">
      <c r="A1924" s="28"/>
      <c r="B1924" s="1">
        <v>64</v>
      </c>
      <c r="C1924" s="5" t="s">
        <v>3404</v>
      </c>
      <c r="D1924" s="259" t="s">
        <v>3155</v>
      </c>
      <c r="E1924" s="236">
        <v>44917</v>
      </c>
      <c r="F1924" s="4">
        <v>3.1944444444444442E-3</v>
      </c>
      <c r="G1924" s="28"/>
      <c r="J1924" t="s">
        <v>1878</v>
      </c>
    </row>
    <row r="1925" spans="1:10" hidden="1" outlineLevel="1">
      <c r="A1925" s="28"/>
      <c r="B1925" s="1">
        <v>65</v>
      </c>
      <c r="C1925" s="5" t="s">
        <v>3405</v>
      </c>
      <c r="D1925" s="259" t="s">
        <v>3156</v>
      </c>
      <c r="E1925" s="236">
        <v>44918</v>
      </c>
      <c r="F1925" s="4">
        <v>2.2453703703703702E-3</v>
      </c>
      <c r="G1925" s="28"/>
      <c r="J1925" t="s">
        <v>1878</v>
      </c>
    </row>
    <row r="1926" spans="1:10" hidden="1" outlineLevel="1">
      <c r="A1926" s="28"/>
      <c r="B1926" s="1">
        <v>66</v>
      </c>
      <c r="C1926" s="5" t="s">
        <v>3407</v>
      </c>
      <c r="D1926" s="6" t="s">
        <v>3134</v>
      </c>
      <c r="E1926" s="236">
        <v>44918</v>
      </c>
      <c r="F1926" s="4">
        <v>0.12052083333333334</v>
      </c>
      <c r="G1926" s="28"/>
      <c r="J1926" t="s">
        <v>1878</v>
      </c>
    </row>
    <row r="1927" spans="1:10" hidden="1" outlineLevel="1">
      <c r="A1927" s="28"/>
      <c r="B1927" s="1">
        <v>67</v>
      </c>
      <c r="C1927" s="5" t="s">
        <v>3406</v>
      </c>
      <c r="D1927" s="259" t="s">
        <v>3157</v>
      </c>
      <c r="E1927" s="236">
        <v>44919</v>
      </c>
      <c r="F1927" s="4">
        <v>4.409722222222222E-3</v>
      </c>
      <c r="G1927" s="28"/>
      <c r="J1927" t="s">
        <v>1878</v>
      </c>
    </row>
    <row r="1928" spans="1:10" hidden="1" outlineLevel="1">
      <c r="A1928" s="28"/>
      <c r="B1928" s="1">
        <v>68</v>
      </c>
      <c r="C1928" s="5" t="s">
        <v>3446</v>
      </c>
      <c r="D1928" s="2">
        <v>0</v>
      </c>
      <c r="E1928" s="236">
        <v>44926.000081018516</v>
      </c>
      <c r="F1928" s="4">
        <v>5.8217592592592592E-3</v>
      </c>
      <c r="G1928" s="28"/>
      <c r="J1928" t="s">
        <v>1878</v>
      </c>
    </row>
    <row r="1929" spans="1:10" hidden="1" outlineLevel="1">
      <c r="A1929" s="28"/>
      <c r="B1929" s="1">
        <v>69</v>
      </c>
      <c r="C1929" s="5" t="s">
        <v>3690</v>
      </c>
      <c r="D1929" s="2">
        <v>100</v>
      </c>
      <c r="E1929" s="237">
        <v>44932</v>
      </c>
      <c r="F1929" s="63">
        <v>0.1285300925925926</v>
      </c>
      <c r="G1929" s="28"/>
      <c r="J1929" t="s">
        <v>1878</v>
      </c>
    </row>
    <row r="1930" spans="1:10" hidden="1" outlineLevel="1">
      <c r="A1930" s="28"/>
      <c r="B1930" s="1">
        <v>70</v>
      </c>
      <c r="C1930" s="5" t="s">
        <v>3691</v>
      </c>
      <c r="D1930" s="2">
        <v>100</v>
      </c>
      <c r="E1930" s="237">
        <v>44939</v>
      </c>
      <c r="F1930" s="63">
        <v>6.2245370370370368E-2</v>
      </c>
      <c r="G1930" s="28"/>
      <c r="J1930" t="s">
        <v>1878</v>
      </c>
    </row>
    <row r="1931" spans="1:10" hidden="1" outlineLevel="1">
      <c r="A1931" s="28"/>
      <c r="B1931" s="1">
        <v>71</v>
      </c>
      <c r="C1931" s="5" t="s">
        <v>3692</v>
      </c>
      <c r="D1931" s="2">
        <v>100</v>
      </c>
      <c r="E1931" s="237">
        <v>44946</v>
      </c>
      <c r="F1931" s="63">
        <v>7.7824074074074087E-2</v>
      </c>
      <c r="G1931" s="28"/>
      <c r="J1931" t="s">
        <v>1878</v>
      </c>
    </row>
    <row r="1932" spans="1:10" hidden="1" outlineLevel="1">
      <c r="A1932" s="28"/>
      <c r="B1932" s="1">
        <v>72</v>
      </c>
      <c r="C1932" s="5" t="s">
        <v>3689</v>
      </c>
      <c r="D1932" s="2">
        <v>0</v>
      </c>
      <c r="E1932" s="237">
        <v>44960</v>
      </c>
      <c r="F1932" s="63">
        <v>9.4120370370370368E-2</v>
      </c>
      <c r="G1932" s="28"/>
      <c r="J1932" t="s">
        <v>1878</v>
      </c>
    </row>
    <row r="1933" spans="1:10" hidden="1" outlineLevel="1">
      <c r="A1933" s="28"/>
      <c r="B1933" s="1">
        <v>73</v>
      </c>
      <c r="C1933" s="5" t="s">
        <v>3687</v>
      </c>
      <c r="D1933" s="2">
        <v>201</v>
      </c>
      <c r="E1933" s="237">
        <v>44974</v>
      </c>
      <c r="F1933" s="63">
        <v>7.4305555555555555E-2</v>
      </c>
      <c r="G1933" s="28"/>
      <c r="J1933" t="s">
        <v>1878</v>
      </c>
    </row>
    <row r="1934" spans="1:10" hidden="1" outlineLevel="1">
      <c r="A1934" s="28"/>
      <c r="B1934" s="1">
        <v>74</v>
      </c>
      <c r="C1934" s="5" t="s">
        <v>3686</v>
      </c>
      <c r="D1934" s="2">
        <v>0</v>
      </c>
      <c r="E1934" s="561">
        <v>44976</v>
      </c>
      <c r="F1934" s="562">
        <v>1.8402777777777777E-3</v>
      </c>
      <c r="G1934" s="28"/>
      <c r="J1934" t="s">
        <v>1878</v>
      </c>
    </row>
    <row r="1935" spans="1:10" hidden="1" outlineLevel="1">
      <c r="A1935" s="28"/>
      <c r="B1935" s="1">
        <v>75</v>
      </c>
      <c r="C1935" s="5" t="s">
        <v>3685</v>
      </c>
      <c r="D1935" s="6" t="s">
        <v>20</v>
      </c>
      <c r="E1935" s="236">
        <v>44988</v>
      </c>
      <c r="F1935" s="4">
        <v>0.16214120370370369</v>
      </c>
      <c r="G1935" s="28"/>
      <c r="J1935" t="s">
        <v>1878</v>
      </c>
    </row>
    <row r="1936" spans="1:10" hidden="1" outlineLevel="1">
      <c r="A1936" s="28"/>
      <c r="B1936" s="1">
        <v>76</v>
      </c>
      <c r="C1936" s="5" t="s">
        <v>3688</v>
      </c>
      <c r="D1936" s="2">
        <v>0</v>
      </c>
      <c r="E1936" s="236">
        <v>44995</v>
      </c>
      <c r="F1936" s="4">
        <v>6.8715277777777778E-2</v>
      </c>
      <c r="G1936" s="28"/>
      <c r="J1936" t="s">
        <v>1878</v>
      </c>
    </row>
    <row r="1937" spans="1:10" hidden="1" outlineLevel="1">
      <c r="A1937" s="28"/>
      <c r="B1937" s="1">
        <v>77</v>
      </c>
      <c r="C1937" s="5" t="s">
        <v>3684</v>
      </c>
      <c r="D1937" s="2">
        <v>130</v>
      </c>
      <c r="E1937" s="236">
        <v>45002</v>
      </c>
      <c r="F1937" s="4">
        <v>0.10008101851851851</v>
      </c>
      <c r="G1937" s="28"/>
      <c r="J1937" t="s">
        <v>1878</v>
      </c>
    </row>
    <row r="1938" spans="1:10" hidden="1" outlineLevel="1">
      <c r="A1938" s="28"/>
      <c r="B1938" s="1">
        <v>78</v>
      </c>
      <c r="C1938" s="5" t="s">
        <v>3693</v>
      </c>
      <c r="D1938" s="2">
        <v>56</v>
      </c>
      <c r="E1938" s="236">
        <v>45016</v>
      </c>
      <c r="F1938" s="4">
        <v>0.12472222222222222</v>
      </c>
      <c r="G1938" s="28"/>
      <c r="J1938" t="s">
        <v>1878</v>
      </c>
    </row>
    <row r="1939" spans="1:10" hidden="1" outlineLevel="1">
      <c r="A1939" s="28"/>
      <c r="B1939" s="1">
        <v>79</v>
      </c>
      <c r="C1939" s="5" t="s">
        <v>3873</v>
      </c>
      <c r="D1939" s="2">
        <v>216</v>
      </c>
      <c r="E1939" s="236">
        <v>45030</v>
      </c>
      <c r="F1939" s="4">
        <v>7.1342592592592582E-2</v>
      </c>
      <c r="G1939" s="28"/>
      <c r="J1939" t="s">
        <v>1878</v>
      </c>
    </row>
    <row r="1940" spans="1:10" hidden="1" outlineLevel="1">
      <c r="A1940" s="28"/>
      <c r="B1940" s="1">
        <v>80</v>
      </c>
      <c r="C1940" s="5" t="s">
        <v>3895</v>
      </c>
      <c r="D1940" s="2">
        <v>83</v>
      </c>
      <c r="E1940" s="237">
        <v>45044</v>
      </c>
      <c r="F1940" s="63">
        <v>0.1221875</v>
      </c>
      <c r="G1940" s="28"/>
      <c r="J1940" t="s">
        <v>1878</v>
      </c>
    </row>
    <row r="1941" spans="1:10" hidden="1" outlineLevel="1">
      <c r="A1941" s="28"/>
      <c r="B1941" s="1">
        <v>81</v>
      </c>
      <c r="C1941" s="5" t="s">
        <v>3896</v>
      </c>
      <c r="D1941" s="2">
        <v>159</v>
      </c>
      <c r="E1941" s="236">
        <v>45058</v>
      </c>
      <c r="F1941" s="4">
        <v>9.0000000000000011E-2</v>
      </c>
      <c r="G1941" s="28"/>
      <c r="J1941" t="s">
        <v>1878</v>
      </c>
    </row>
    <row r="1942" spans="1:10" hidden="1" outlineLevel="1">
      <c r="A1942" s="28"/>
      <c r="B1942" s="1">
        <v>82</v>
      </c>
      <c r="C1942" s="5" t="s">
        <v>3919</v>
      </c>
      <c r="D1942" s="2">
        <v>0</v>
      </c>
      <c r="E1942" s="236">
        <v>45072</v>
      </c>
      <c r="F1942" s="4">
        <v>6.8194444444444446E-2</v>
      </c>
      <c r="G1942" s="28"/>
      <c r="J1942" t="s">
        <v>1878</v>
      </c>
    </row>
    <row r="1943" spans="1:10" hidden="1" outlineLevel="1">
      <c r="A1943" s="28"/>
      <c r="B1943" s="1">
        <v>83</v>
      </c>
      <c r="C1943" s="5" t="s">
        <v>3897</v>
      </c>
      <c r="D1943" s="2">
        <v>50</v>
      </c>
      <c r="E1943" s="236">
        <v>45086</v>
      </c>
      <c r="F1943" s="4">
        <v>0.17319444444444443</v>
      </c>
      <c r="G1943" s="28"/>
      <c r="J1943" t="s">
        <v>1878</v>
      </c>
    </row>
    <row r="1944" spans="1:10" hidden="1" outlineLevel="1">
      <c r="A1944" s="28"/>
      <c r="B1944" s="1">
        <v>84</v>
      </c>
      <c r="C1944" s="5" t="s">
        <v>3923</v>
      </c>
      <c r="D1944" s="2">
        <v>0</v>
      </c>
      <c r="E1944" s="237">
        <v>45088</v>
      </c>
      <c r="F1944" s="63">
        <v>8.5995370370370357E-3</v>
      </c>
      <c r="G1944" s="28"/>
      <c r="J1944" t="s">
        <v>1878</v>
      </c>
    </row>
    <row r="1945" spans="1:10" hidden="1" outlineLevel="1">
      <c r="A1945" s="28"/>
      <c r="B1945" s="1">
        <v>85</v>
      </c>
      <c r="C1945" s="5" t="s">
        <v>3918</v>
      </c>
      <c r="D1945" s="6" t="s">
        <v>374</v>
      </c>
      <c r="E1945" s="236">
        <v>45102</v>
      </c>
      <c r="F1945" s="4">
        <v>0.20435185185185187</v>
      </c>
      <c r="G1945" s="28"/>
      <c r="J1945" t="s">
        <v>1878</v>
      </c>
    </row>
    <row r="1946" spans="1:10" hidden="1" outlineLevel="1">
      <c r="A1946" s="28"/>
      <c r="B1946" s="1">
        <v>86</v>
      </c>
      <c r="C1946" s="5" t="s">
        <v>4086</v>
      </c>
      <c r="D1946" s="2">
        <v>61</v>
      </c>
      <c r="E1946" s="236">
        <v>45184</v>
      </c>
      <c r="F1946" s="4">
        <v>0.11958333333333333</v>
      </c>
      <c r="G1946" s="28"/>
      <c r="J1946" t="s">
        <v>1878</v>
      </c>
    </row>
    <row r="1947" spans="1:10" hidden="1" outlineLevel="1">
      <c r="A1947" s="28"/>
      <c r="B1947" s="1">
        <v>87</v>
      </c>
      <c r="C1947" s="5" t="s">
        <v>4087</v>
      </c>
      <c r="D1947" s="2">
        <v>82</v>
      </c>
      <c r="E1947" s="236">
        <v>45198</v>
      </c>
      <c r="F1947" s="4">
        <v>0.10748842592592593</v>
      </c>
      <c r="G1947" s="28"/>
      <c r="J1947" t="s">
        <v>1878</v>
      </c>
    </row>
    <row r="1948" spans="1:10" hidden="1" outlineLevel="1">
      <c r="A1948" s="28"/>
      <c r="B1948" s="1">
        <v>88</v>
      </c>
      <c r="C1948" s="5" t="s">
        <v>4088</v>
      </c>
      <c r="D1948" s="6" t="s">
        <v>16</v>
      </c>
      <c r="E1948" s="236">
        <v>45212</v>
      </c>
      <c r="F1948" s="4">
        <v>8.458333333333333E-2</v>
      </c>
      <c r="G1948" s="28"/>
      <c r="J1948" t="s">
        <v>1878</v>
      </c>
    </row>
    <row r="1949" spans="1:10" hidden="1" outlineLevel="1">
      <c r="A1949" s="28"/>
      <c r="B1949" s="1">
        <v>89</v>
      </c>
      <c r="C1949" s="5" t="s">
        <v>4163</v>
      </c>
      <c r="D1949" s="2">
        <v>18</v>
      </c>
      <c r="E1949" s="236">
        <v>45226</v>
      </c>
      <c r="F1949" s="4">
        <v>9.1747685185185182E-2</v>
      </c>
      <c r="G1949" s="28"/>
      <c r="J1949" t="s">
        <v>1878</v>
      </c>
    </row>
    <row r="1950" spans="1:10" hidden="1" outlineLevel="1">
      <c r="A1950" s="28"/>
      <c r="B1950" s="1">
        <v>90</v>
      </c>
      <c r="C1950" s="5" t="s">
        <v>4160</v>
      </c>
      <c r="D1950" s="2">
        <v>124</v>
      </c>
      <c r="E1950" s="236">
        <v>45240</v>
      </c>
      <c r="F1950" s="4">
        <v>0.15462962962962964</v>
      </c>
      <c r="G1950" s="28"/>
      <c r="J1950" t="s">
        <v>1878</v>
      </c>
    </row>
    <row r="1951" spans="1:10" hidden="1" outlineLevel="1">
      <c r="A1951" s="28"/>
      <c r="B1951" s="1">
        <v>91</v>
      </c>
      <c r="C1951" s="5" t="s">
        <v>4245</v>
      </c>
      <c r="D1951" s="2">
        <v>101</v>
      </c>
      <c r="E1951" s="236">
        <v>45254</v>
      </c>
      <c r="F1951" s="4">
        <v>8.8125000000000009E-2</v>
      </c>
      <c r="G1951" s="28"/>
      <c r="J1951" t="s">
        <v>1878</v>
      </c>
    </row>
    <row r="1952" spans="1:10" hidden="1" outlineLevel="1">
      <c r="A1952" s="28"/>
      <c r="B1952" s="1">
        <v>92</v>
      </c>
      <c r="C1952" s="5" t="s">
        <v>4236</v>
      </c>
      <c r="D1952" s="259" t="s">
        <v>4212</v>
      </c>
      <c r="E1952" s="561">
        <v>45261</v>
      </c>
      <c r="F1952" s="562">
        <v>7.013888888888889E-3</v>
      </c>
      <c r="G1952" s="28"/>
      <c r="J1952" t="s">
        <v>1878</v>
      </c>
    </row>
    <row r="1953" spans="1:10" hidden="1" outlineLevel="1">
      <c r="A1953" s="28"/>
      <c r="B1953" s="1">
        <v>93</v>
      </c>
      <c r="C1953" s="5" t="s">
        <v>4237</v>
      </c>
      <c r="D1953" s="259" t="s">
        <v>4228</v>
      </c>
      <c r="E1953" s="561">
        <v>45262</v>
      </c>
      <c r="F1953" s="562">
        <v>1.9675925925925928E-3</v>
      </c>
      <c r="G1953" s="28"/>
      <c r="J1953" t="s">
        <v>1878</v>
      </c>
    </row>
    <row r="1954" spans="1:10" hidden="1" outlineLevel="1">
      <c r="A1954" s="28"/>
      <c r="B1954" s="1">
        <v>94</v>
      </c>
      <c r="C1954" s="5" t="s">
        <v>4238</v>
      </c>
      <c r="D1954" s="259" t="s">
        <v>4229</v>
      </c>
      <c r="E1954" s="561">
        <v>45263</v>
      </c>
      <c r="F1954" s="562">
        <v>1.3888888888888889E-3</v>
      </c>
      <c r="G1954" s="28"/>
      <c r="J1954" t="s">
        <v>1878</v>
      </c>
    </row>
    <row r="1955" spans="1:10" hidden="1" outlineLevel="1">
      <c r="A1955" s="28"/>
      <c r="B1955" s="1">
        <v>95</v>
      </c>
      <c r="C1955" s="5" t="s">
        <v>4239</v>
      </c>
      <c r="D1955" s="259" t="s">
        <v>4230</v>
      </c>
      <c r="E1955" s="561">
        <v>45264</v>
      </c>
      <c r="F1955" s="562">
        <v>6.2500000000000001E-4</v>
      </c>
      <c r="G1955" s="28"/>
      <c r="J1955" t="s">
        <v>1878</v>
      </c>
    </row>
    <row r="1956" spans="1:10" hidden="1" outlineLevel="1">
      <c r="A1956" s="28"/>
      <c r="B1956" s="1">
        <v>96</v>
      </c>
      <c r="C1956" s="5" t="s">
        <v>4240</v>
      </c>
      <c r="D1956" s="259" t="s">
        <v>4231</v>
      </c>
      <c r="E1956" s="561">
        <v>45265</v>
      </c>
      <c r="F1956" s="562">
        <v>9.1435185185185185E-4</v>
      </c>
      <c r="G1956" s="28"/>
      <c r="J1956" t="s">
        <v>1878</v>
      </c>
    </row>
    <row r="1957" spans="1:10" hidden="1" outlineLevel="1">
      <c r="A1957" s="28"/>
      <c r="B1957" s="1">
        <v>97</v>
      </c>
      <c r="C1957" s="5" t="s">
        <v>4241</v>
      </c>
      <c r="D1957" s="259" t="s">
        <v>4232</v>
      </c>
      <c r="E1957" s="561">
        <v>45266</v>
      </c>
      <c r="F1957" s="562">
        <v>9.1435185185185185E-4</v>
      </c>
      <c r="G1957" s="28"/>
      <c r="J1957" t="s">
        <v>1878</v>
      </c>
    </row>
    <row r="1958" spans="1:10" hidden="1" outlineLevel="1">
      <c r="A1958" s="28"/>
      <c r="B1958" s="1">
        <v>98</v>
      </c>
      <c r="C1958" s="5" t="s">
        <v>4242</v>
      </c>
      <c r="D1958" s="259" t="s">
        <v>4233</v>
      </c>
      <c r="E1958" s="561">
        <v>45267</v>
      </c>
      <c r="F1958" s="562">
        <v>1.6550925925925926E-3</v>
      </c>
      <c r="G1958" s="28"/>
      <c r="J1958" t="s">
        <v>1878</v>
      </c>
    </row>
    <row r="1959" spans="1:10" hidden="1" outlineLevel="1">
      <c r="A1959" s="28"/>
      <c r="B1959" s="1">
        <v>99</v>
      </c>
      <c r="C1959" s="5" t="s">
        <v>4243</v>
      </c>
      <c r="D1959" s="259" t="s">
        <v>4234</v>
      </c>
      <c r="E1959" s="561">
        <v>45268</v>
      </c>
      <c r="F1959" s="562">
        <v>1.4930555555555556E-3</v>
      </c>
      <c r="G1959" s="28"/>
      <c r="J1959" t="s">
        <v>1878</v>
      </c>
    </row>
    <row r="1960" spans="1:10" hidden="1" outlineLevel="1">
      <c r="A1960" s="28"/>
      <c r="B1960" s="1">
        <v>100</v>
      </c>
      <c r="C1960" s="5" t="s">
        <v>4161</v>
      </c>
      <c r="D1960" s="2">
        <v>122</v>
      </c>
      <c r="E1960" s="236">
        <v>45268</v>
      </c>
      <c r="F1960" s="4">
        <v>9.481481481481481E-2</v>
      </c>
      <c r="G1960" s="28"/>
      <c r="J1960" t="s">
        <v>1878</v>
      </c>
    </row>
    <row r="1961" spans="1:10" hidden="1" outlineLevel="1">
      <c r="A1961" s="28"/>
      <c r="B1961" s="1">
        <v>101</v>
      </c>
      <c r="C1961" s="5" t="s">
        <v>4244</v>
      </c>
      <c r="D1961" s="259" t="s">
        <v>4235</v>
      </c>
      <c r="E1961" s="561">
        <v>45269</v>
      </c>
      <c r="F1961" s="562">
        <v>1.5509259259259261E-3</v>
      </c>
      <c r="G1961" s="28"/>
      <c r="J1961" t="s">
        <v>1878</v>
      </c>
    </row>
    <row r="1962" spans="1:10" hidden="1" outlineLevel="1">
      <c r="A1962" s="28"/>
      <c r="B1962" s="1">
        <v>102</v>
      </c>
      <c r="C1962" s="5" t="s">
        <v>4250</v>
      </c>
      <c r="D1962" s="259" t="s">
        <v>4213</v>
      </c>
      <c r="E1962" s="236">
        <v>45270</v>
      </c>
      <c r="F1962" s="4">
        <v>4.8611111111111104E-4</v>
      </c>
      <c r="G1962" s="28"/>
      <c r="J1962" t="s">
        <v>1878</v>
      </c>
    </row>
    <row r="1963" spans="1:10" hidden="1" outlineLevel="1">
      <c r="A1963" s="28"/>
      <c r="B1963" s="1">
        <v>103</v>
      </c>
      <c r="C1963" s="5" t="s">
        <v>4299</v>
      </c>
      <c r="D1963" s="259" t="s">
        <v>4214</v>
      </c>
      <c r="E1963" s="236">
        <v>45271</v>
      </c>
      <c r="F1963" s="4">
        <v>1.3773148148148147E-3</v>
      </c>
      <c r="G1963" s="28"/>
      <c r="J1963" t="s">
        <v>1878</v>
      </c>
    </row>
    <row r="1964" spans="1:10" hidden="1" outlineLevel="1">
      <c r="A1964" s="28"/>
      <c r="B1964" s="1">
        <v>104</v>
      </c>
      <c r="C1964" s="5" t="s">
        <v>4306</v>
      </c>
      <c r="D1964" s="259" t="s">
        <v>4215</v>
      </c>
      <c r="E1964" s="236">
        <v>45272</v>
      </c>
      <c r="F1964" s="4">
        <v>1.1111111111111111E-3</v>
      </c>
      <c r="G1964" s="28"/>
      <c r="J1964" t="s">
        <v>1878</v>
      </c>
    </row>
    <row r="1965" spans="1:10" hidden="1" outlineLevel="1">
      <c r="A1965" s="28"/>
      <c r="B1965" s="1">
        <v>105</v>
      </c>
      <c r="C1965" s="5" t="s">
        <v>4316</v>
      </c>
      <c r="D1965" s="259" t="s">
        <v>4216</v>
      </c>
      <c r="E1965" s="236">
        <v>45273</v>
      </c>
      <c r="F1965" s="4">
        <v>6.3657407407407402E-4</v>
      </c>
      <c r="G1965" s="28"/>
      <c r="J1965" t="s">
        <v>1878</v>
      </c>
    </row>
    <row r="1966" spans="1:10" hidden="1" outlineLevel="1">
      <c r="A1966" s="28"/>
      <c r="B1966" s="1">
        <v>106</v>
      </c>
      <c r="C1966" s="5" t="s">
        <v>4321</v>
      </c>
      <c r="D1966" s="259" t="s">
        <v>4217</v>
      </c>
      <c r="E1966" s="236">
        <v>45274</v>
      </c>
      <c r="F1966" s="4">
        <v>1.2384259259259258E-3</v>
      </c>
      <c r="G1966" s="28"/>
      <c r="J1966" t="s">
        <v>1878</v>
      </c>
    </row>
    <row r="1967" spans="1:10" hidden="1" outlineLevel="1">
      <c r="A1967" s="28"/>
      <c r="B1967" s="1">
        <v>107</v>
      </c>
      <c r="C1967" s="5" t="s">
        <v>4329</v>
      </c>
      <c r="D1967" s="259" t="s">
        <v>4218</v>
      </c>
      <c r="E1967" s="236">
        <v>45275</v>
      </c>
      <c r="F1967" s="4">
        <v>1.2731481481481483E-3</v>
      </c>
      <c r="G1967" s="28"/>
      <c r="J1967" t="s">
        <v>1878</v>
      </c>
    </row>
    <row r="1968" spans="1:10" hidden="1" outlineLevel="1">
      <c r="A1968" s="28"/>
      <c r="B1968" s="1">
        <v>108</v>
      </c>
      <c r="C1968" s="5" t="s">
        <v>4332</v>
      </c>
      <c r="D1968" s="259" t="s">
        <v>4219</v>
      </c>
      <c r="E1968" s="236">
        <v>45276</v>
      </c>
      <c r="F1968" s="4">
        <v>1.2384259259259258E-3</v>
      </c>
      <c r="G1968" s="28"/>
      <c r="J1968" t="s">
        <v>1878</v>
      </c>
    </row>
    <row r="1969" spans="1:10" hidden="1" outlineLevel="1">
      <c r="A1969" s="28"/>
      <c r="B1969" s="1">
        <v>109</v>
      </c>
      <c r="C1969" s="5" t="s">
        <v>4345</v>
      </c>
      <c r="D1969" s="259" t="s">
        <v>4220</v>
      </c>
      <c r="E1969" s="236">
        <v>45277</v>
      </c>
      <c r="F1969" s="4">
        <v>6.9444444444444447E-4</v>
      </c>
      <c r="G1969" s="28"/>
      <c r="J1969" t="s">
        <v>1878</v>
      </c>
    </row>
    <row r="1970" spans="1:10" hidden="1" outlineLevel="1">
      <c r="A1970" s="28"/>
      <c r="B1970" s="1">
        <v>110</v>
      </c>
      <c r="C1970" s="5" t="s">
        <v>4347</v>
      </c>
      <c r="D1970" s="259" t="s">
        <v>4221</v>
      </c>
      <c r="E1970" s="236">
        <v>45278</v>
      </c>
      <c r="F1970" s="4">
        <v>8.3333333333333339E-4</v>
      </c>
      <c r="G1970" s="28"/>
      <c r="J1970" t="s">
        <v>1878</v>
      </c>
    </row>
    <row r="1971" spans="1:10" hidden="1" outlineLevel="1">
      <c r="A1971" s="28"/>
      <c r="B1971" s="1">
        <v>111</v>
      </c>
      <c r="C1971" s="5" t="s">
        <v>4350</v>
      </c>
      <c r="D1971" s="259" t="s">
        <v>4222</v>
      </c>
      <c r="E1971" s="236">
        <v>45279</v>
      </c>
      <c r="F1971" s="4">
        <v>1.1921296296296296E-3</v>
      </c>
      <c r="G1971" s="28"/>
      <c r="J1971" t="s">
        <v>1878</v>
      </c>
    </row>
    <row r="1972" spans="1:10" hidden="1" outlineLevel="1">
      <c r="A1972" s="28"/>
      <c r="B1972" s="1">
        <v>112</v>
      </c>
      <c r="C1972" s="5" t="s">
        <v>4362</v>
      </c>
      <c r="D1972" s="259" t="s">
        <v>4223</v>
      </c>
      <c r="E1972" s="236">
        <v>45280</v>
      </c>
      <c r="F1972" s="4">
        <v>1.2731481481481483E-3</v>
      </c>
      <c r="G1972" s="28"/>
      <c r="J1972" t="s">
        <v>1878</v>
      </c>
    </row>
    <row r="1973" spans="1:10" hidden="1" outlineLevel="1">
      <c r="A1973" s="28"/>
      <c r="B1973" s="1">
        <v>113</v>
      </c>
      <c r="C1973" s="5" t="s">
        <v>4363</v>
      </c>
      <c r="D1973" s="259" t="s">
        <v>4224</v>
      </c>
      <c r="E1973" s="236">
        <v>45281</v>
      </c>
      <c r="F1973" s="4">
        <v>1.6782407407407406E-3</v>
      </c>
      <c r="G1973" s="28"/>
      <c r="J1973" t="s">
        <v>1878</v>
      </c>
    </row>
    <row r="1974" spans="1:10" hidden="1" outlineLevel="1">
      <c r="A1974" s="28"/>
      <c r="B1974" s="1">
        <v>114</v>
      </c>
      <c r="C1974" s="5" t="s">
        <v>4367</v>
      </c>
      <c r="D1974" s="259" t="s">
        <v>4225</v>
      </c>
      <c r="E1974" s="236">
        <v>45282</v>
      </c>
      <c r="F1974" s="4">
        <v>1.8402777777777777E-3</v>
      </c>
      <c r="G1974" s="28"/>
      <c r="J1974" t="s">
        <v>1878</v>
      </c>
    </row>
    <row r="1975" spans="1:10" hidden="1" outlineLevel="1">
      <c r="A1975" s="28"/>
      <c r="B1975" s="1">
        <v>115</v>
      </c>
      <c r="C1975" s="5" t="s">
        <v>4246</v>
      </c>
      <c r="D1975" s="6" t="s">
        <v>4204</v>
      </c>
      <c r="E1975" s="236">
        <v>45282</v>
      </c>
      <c r="F1975" s="4">
        <v>0.11752314814814814</v>
      </c>
      <c r="G1975" s="28"/>
      <c r="J1975" t="s">
        <v>1878</v>
      </c>
    </row>
    <row r="1976" spans="1:10" hidden="1" outlineLevel="1">
      <c r="A1976" s="28"/>
      <c r="B1976" s="1">
        <v>116</v>
      </c>
      <c r="C1976" s="5" t="s">
        <v>4370</v>
      </c>
      <c r="D1976" s="259" t="s">
        <v>4226</v>
      </c>
      <c r="E1976" s="236">
        <v>45283</v>
      </c>
      <c r="F1976" s="4">
        <v>1.3888888888888889E-3</v>
      </c>
      <c r="G1976" s="28"/>
      <c r="J1976" t="s">
        <v>1878</v>
      </c>
    </row>
    <row r="1977" spans="1:10" hidden="1" outlineLevel="1">
      <c r="A1977" s="28"/>
      <c r="B1977" s="1">
        <v>117</v>
      </c>
      <c r="C1977" s="5" t="s">
        <v>4377</v>
      </c>
      <c r="D1977" s="259" t="s">
        <v>4227</v>
      </c>
      <c r="E1977" s="236">
        <v>45284</v>
      </c>
      <c r="F1977" s="4">
        <v>1.8750000000000001E-3</v>
      </c>
      <c r="G1977" s="28"/>
      <c r="J1977" t="s">
        <v>1878</v>
      </c>
    </row>
    <row r="1978" spans="1:10" hidden="1" outlineLevel="1">
      <c r="A1978" s="28"/>
      <c r="B1978" s="1">
        <v>118</v>
      </c>
      <c r="C1978" s="5" t="s">
        <v>4381</v>
      </c>
      <c r="D1978" s="6">
        <v>0</v>
      </c>
      <c r="E1978" s="561">
        <v>45291</v>
      </c>
      <c r="F1978" s="562">
        <v>1.0324074074074074E-2</v>
      </c>
      <c r="G1978" s="28"/>
      <c r="J1978" t="s">
        <v>1878</v>
      </c>
    </row>
    <row r="1979" spans="1:10" hidden="1" outlineLevel="1">
      <c r="A1979" s="28"/>
      <c r="B1979" s="1">
        <v>119</v>
      </c>
      <c r="C1979" s="5" t="s">
        <v>4382</v>
      </c>
      <c r="D1979" s="6">
        <v>0</v>
      </c>
      <c r="E1979" s="236">
        <v>45317</v>
      </c>
      <c r="F1979" s="4">
        <v>5.2534722222222219E-2</v>
      </c>
      <c r="G1979" s="28"/>
      <c r="J1979" t="s">
        <v>1878</v>
      </c>
    </row>
    <row r="1980" spans="1:10" hidden="1" outlineLevel="1">
      <c r="A1980" s="28"/>
      <c r="B1980" s="1">
        <v>120</v>
      </c>
      <c r="C1980" s="5" t="s">
        <v>4383</v>
      </c>
      <c r="D1980" s="6">
        <v>0</v>
      </c>
      <c r="E1980" s="236">
        <v>45324</v>
      </c>
      <c r="F1980" s="4">
        <v>2.9340277777777781E-2</v>
      </c>
      <c r="G1980" s="28"/>
      <c r="J1980" t="s">
        <v>1878</v>
      </c>
    </row>
    <row r="1981" spans="1:10" hidden="1" outlineLevel="1">
      <c r="A1981" s="28"/>
      <c r="B1981" s="1">
        <v>121</v>
      </c>
      <c r="C1981" s="5" t="s">
        <v>4247</v>
      </c>
      <c r="D1981" s="6">
        <v>77</v>
      </c>
      <c r="E1981" s="236">
        <v>45331</v>
      </c>
      <c r="F1981" s="4">
        <v>6.8101851851851858E-2</v>
      </c>
      <c r="G1981" s="28"/>
      <c r="J1981" t="s">
        <v>1878</v>
      </c>
    </row>
    <row r="1982" spans="1:10" hidden="1" outlineLevel="1">
      <c r="A1982" s="28"/>
      <c r="B1982" s="1">
        <v>122</v>
      </c>
      <c r="C1982" s="5" t="s">
        <v>4248</v>
      </c>
      <c r="D1982" s="6">
        <v>161</v>
      </c>
      <c r="E1982" s="236">
        <v>45345</v>
      </c>
      <c r="F1982" s="4">
        <v>0.13598379629629628</v>
      </c>
      <c r="G1982" s="28"/>
      <c r="J1982" t="s">
        <v>1878</v>
      </c>
    </row>
    <row r="1983" spans="1:10" hidden="1" outlineLevel="1">
      <c r="A1983" s="28"/>
      <c r="B1983" s="1">
        <v>123</v>
      </c>
      <c r="C1983" s="5" t="s">
        <v>4400</v>
      </c>
      <c r="D1983" s="6">
        <v>109</v>
      </c>
      <c r="E1983" s="236">
        <v>45359</v>
      </c>
      <c r="F1983" s="4">
        <v>9.1157407407407409E-2</v>
      </c>
      <c r="G1983" s="28"/>
      <c r="J1983" t="s">
        <v>1878</v>
      </c>
    </row>
    <row r="1984" spans="1:10" hidden="1" outlineLevel="1">
      <c r="A1984" s="28"/>
      <c r="B1984" s="1">
        <v>124</v>
      </c>
      <c r="C1984" s="5" t="s">
        <v>4453</v>
      </c>
      <c r="D1984" s="6">
        <v>0</v>
      </c>
      <c r="E1984" s="236">
        <v>45373</v>
      </c>
      <c r="F1984" s="4">
        <v>0.13480324074074074</v>
      </c>
      <c r="G1984" s="28"/>
      <c r="J1984" t="s">
        <v>1878</v>
      </c>
    </row>
    <row r="1985" spans="1:10" hidden="1" outlineLevel="1">
      <c r="A1985" s="28"/>
      <c r="B1985" s="1">
        <v>125</v>
      </c>
      <c r="C1985" s="5" t="s">
        <v>4454</v>
      </c>
      <c r="D1985" s="6">
        <v>126</v>
      </c>
      <c r="E1985" s="236">
        <v>45387</v>
      </c>
      <c r="F1985" s="4">
        <v>0.11252314814814815</v>
      </c>
      <c r="G1985" s="28"/>
      <c r="J1985" t="s">
        <v>1878</v>
      </c>
    </row>
    <row r="1986" spans="1:10" hidden="1" outlineLevel="1">
      <c r="A1986" s="28"/>
      <c r="B1986" s="1">
        <v>126</v>
      </c>
      <c r="C1986" s="5" t="s">
        <v>4490</v>
      </c>
      <c r="D1986" s="6">
        <v>0</v>
      </c>
      <c r="E1986" s="561">
        <v>45393</v>
      </c>
      <c r="F1986" s="562">
        <v>4.2812500000000003E-2</v>
      </c>
      <c r="G1986" s="28"/>
      <c r="J1986" t="s">
        <v>1878</v>
      </c>
    </row>
    <row r="1987" spans="1:10" hidden="1" outlineLevel="1">
      <c r="A1987" s="28"/>
      <c r="B1987" s="1">
        <v>127</v>
      </c>
      <c r="C1987" s="5" t="s">
        <v>4249</v>
      </c>
      <c r="D1987" s="6" t="s">
        <v>18</v>
      </c>
      <c r="E1987" s="236">
        <v>45401</v>
      </c>
      <c r="F1987" s="4">
        <v>9.2719907407407404E-2</v>
      </c>
      <c r="G1987" s="28"/>
      <c r="J1987" t="s">
        <v>1878</v>
      </c>
    </row>
    <row r="1988" spans="1:10" hidden="1" outlineLevel="1">
      <c r="A1988" s="28"/>
      <c r="B1988" s="76">
        <v>128</v>
      </c>
      <c r="C1988" s="77" t="s">
        <v>4401</v>
      </c>
      <c r="D1988" s="246">
        <v>183</v>
      </c>
      <c r="E1988" s="261">
        <v>45415</v>
      </c>
      <c r="F1988" s="80">
        <v>0</v>
      </c>
      <c r="G1988" s="28"/>
      <c r="J1988" t="s">
        <v>1878</v>
      </c>
    </row>
    <row r="1989" spans="1:10" hidden="1" outlineLevel="1">
      <c r="A1989" s="28"/>
      <c r="B1989" s="76">
        <v>129</v>
      </c>
      <c r="C1989" s="77" t="s">
        <v>4403</v>
      </c>
      <c r="D1989" s="246">
        <v>177</v>
      </c>
      <c r="E1989" s="261">
        <v>45429</v>
      </c>
      <c r="F1989" s="80">
        <v>0</v>
      </c>
      <c r="G1989" s="28"/>
      <c r="J1989" t="s">
        <v>1878</v>
      </c>
    </row>
    <row r="1990" spans="1:10" hidden="1" outlineLevel="1">
      <c r="A1990" s="28"/>
      <c r="B1990" s="76">
        <v>130</v>
      </c>
      <c r="C1990" s="77" t="s">
        <v>4402</v>
      </c>
      <c r="D1990" s="246">
        <v>21</v>
      </c>
      <c r="E1990" s="261">
        <v>45443</v>
      </c>
      <c r="F1990" s="80">
        <v>0</v>
      </c>
      <c r="G1990" s="28"/>
      <c r="J1990" t="s">
        <v>1878</v>
      </c>
    </row>
    <row r="1991" spans="1:10" hidden="1" outlineLevel="1">
      <c r="A1991" s="28"/>
      <c r="B1991" s="76">
        <v>131</v>
      </c>
      <c r="C1991" s="77" t="s">
        <v>4455</v>
      </c>
      <c r="D1991" s="246">
        <v>69</v>
      </c>
      <c r="E1991" s="261">
        <v>45457</v>
      </c>
      <c r="F1991" s="80">
        <v>0</v>
      </c>
      <c r="G1991" s="28"/>
      <c r="J1991" t="s">
        <v>1878</v>
      </c>
    </row>
    <row r="1992" spans="1:10" hidden="1" outlineLevel="1">
      <c r="A1992" s="28"/>
      <c r="B1992" s="76">
        <v>132</v>
      </c>
      <c r="C1992" s="77" t="s">
        <v>4478</v>
      </c>
      <c r="D1992" s="246">
        <v>181</v>
      </c>
      <c r="E1992" s="261">
        <v>45471</v>
      </c>
      <c r="F1992" s="80">
        <v>0</v>
      </c>
      <c r="G1992" s="28"/>
      <c r="J1992" t="s">
        <v>1878</v>
      </c>
    </row>
    <row r="1993" spans="1:10" hidden="1" outlineLevel="1">
      <c r="A1993" s="28"/>
      <c r="B1993" s="76">
        <v>133</v>
      </c>
      <c r="C1993" s="77" t="s">
        <v>4483</v>
      </c>
      <c r="D1993" s="246" t="s">
        <v>19</v>
      </c>
      <c r="E1993" s="261">
        <v>45485</v>
      </c>
      <c r="F1993" s="80">
        <v>0</v>
      </c>
      <c r="G1993" s="28"/>
      <c r="J1993" t="s">
        <v>1878</v>
      </c>
    </row>
    <row r="1994" spans="1:10" hidden="1" outlineLevel="1">
      <c r="A1994" s="28"/>
      <c r="B1994" s="76">
        <v>134</v>
      </c>
      <c r="C1994" s="77" t="s">
        <v>4482</v>
      </c>
      <c r="D1994" s="246" t="s">
        <v>15</v>
      </c>
      <c r="E1994" s="261">
        <v>45499</v>
      </c>
      <c r="F1994" s="84">
        <v>0</v>
      </c>
      <c r="G1994" s="28"/>
      <c r="J1994" t="s">
        <v>1878</v>
      </c>
    </row>
    <row r="1995" spans="1:10">
      <c r="A1995" s="28"/>
      <c r="B1995" s="40"/>
      <c r="C1995" s="40"/>
      <c r="D1995" s="35"/>
      <c r="E1995" s="50"/>
      <c r="F1995" s="51"/>
      <c r="G1995" s="28"/>
    </row>
    <row r="1996" spans="1:10">
      <c r="A1996" s="28"/>
      <c r="B1996" s="28"/>
      <c r="C1996" s="28"/>
      <c r="D1996" s="29"/>
      <c r="E1996" s="52"/>
      <c r="F1996" s="53"/>
      <c r="G1996" s="28"/>
    </row>
    <row r="1997" spans="1:10">
      <c r="A1997" s="28"/>
      <c r="B1997" s="641" t="s">
        <v>4021</v>
      </c>
      <c r="C1997" s="34" t="s">
        <v>4020</v>
      </c>
      <c r="D1997" s="40"/>
      <c r="E1997" s="36"/>
      <c r="F1997" s="37"/>
      <c r="G1997" s="28"/>
    </row>
    <row r="1998" spans="1:10" collapsed="1">
      <c r="A1998" s="28"/>
      <c r="B1998" s="38"/>
      <c r="C1998" s="230" t="s">
        <v>3980</v>
      </c>
      <c r="D1998" s="28"/>
      <c r="E1998" s="30"/>
      <c r="F1998" s="640"/>
      <c r="G1998" s="28"/>
    </row>
    <row r="1999" spans="1:10" hidden="1" outlineLevel="1">
      <c r="A1999" s="28"/>
      <c r="B1999" s="23" t="s">
        <v>5</v>
      </c>
      <c r="C1999" s="24" t="s">
        <v>6</v>
      </c>
      <c r="D1999" s="25" t="s">
        <v>4</v>
      </c>
      <c r="E1999" s="138" t="s">
        <v>8</v>
      </c>
      <c r="F1999" s="26" t="s">
        <v>7</v>
      </c>
      <c r="G1999" s="28"/>
    </row>
    <row r="2000" spans="1:10" hidden="1" outlineLevel="1">
      <c r="A2000" s="28"/>
      <c r="B2000" s="1">
        <v>1</v>
      </c>
      <c r="C2000" s="5" t="s">
        <v>3982</v>
      </c>
      <c r="D2000" s="2">
        <v>0</v>
      </c>
      <c r="E2000" s="236">
        <v>44816</v>
      </c>
      <c r="F2000" s="4">
        <v>4.7453703703703704E-4</v>
      </c>
      <c r="G2000" s="28"/>
      <c r="J2000" t="s">
        <v>3981</v>
      </c>
    </row>
    <row r="2001" spans="1:10" hidden="1" outlineLevel="1">
      <c r="A2001" s="28"/>
      <c r="B2001" s="1">
        <v>2</v>
      </c>
      <c r="C2001" s="5" t="s">
        <v>3984</v>
      </c>
      <c r="D2001" s="2">
        <v>1</v>
      </c>
      <c r="E2001" s="236">
        <v>44819</v>
      </c>
      <c r="F2001" s="4">
        <v>4.2083333333333334E-2</v>
      </c>
      <c r="G2001" s="28"/>
      <c r="J2001" t="s">
        <v>3981</v>
      </c>
    </row>
    <row r="2002" spans="1:10" hidden="1" outlineLevel="1">
      <c r="A2002" s="28"/>
      <c r="B2002" s="1">
        <v>3</v>
      </c>
      <c r="C2002" s="5" t="s">
        <v>3985</v>
      </c>
      <c r="D2002" s="2">
        <v>2</v>
      </c>
      <c r="E2002" s="236">
        <v>44826</v>
      </c>
      <c r="F2002" s="4">
        <v>4.0451388888888891E-2</v>
      </c>
      <c r="G2002" s="28"/>
      <c r="J2002" t="s">
        <v>3981</v>
      </c>
    </row>
    <row r="2003" spans="1:10" hidden="1" outlineLevel="1">
      <c r="A2003" s="28"/>
      <c r="B2003" s="1">
        <v>4</v>
      </c>
      <c r="C2003" s="5" t="s">
        <v>3986</v>
      </c>
      <c r="D2003" s="2">
        <v>3</v>
      </c>
      <c r="E2003" s="236">
        <v>44833</v>
      </c>
      <c r="F2003" s="4">
        <v>4.1597222222222223E-2</v>
      </c>
      <c r="G2003" s="28"/>
      <c r="J2003" t="s">
        <v>3981</v>
      </c>
    </row>
    <row r="2004" spans="1:10" hidden="1" outlineLevel="1">
      <c r="A2004" s="28"/>
      <c r="B2004" s="1">
        <v>5</v>
      </c>
      <c r="C2004" s="5" t="s">
        <v>3987</v>
      </c>
      <c r="D2004" s="2">
        <v>0</v>
      </c>
      <c r="E2004" s="236">
        <v>44838</v>
      </c>
      <c r="F2004" s="4">
        <v>4.8136574074074075E-2</v>
      </c>
      <c r="G2004" s="28"/>
      <c r="J2004" t="s">
        <v>3981</v>
      </c>
    </row>
    <row r="2005" spans="1:10" hidden="1" outlineLevel="1">
      <c r="A2005" s="28"/>
      <c r="B2005" s="1">
        <v>6</v>
      </c>
      <c r="C2005" s="5" t="s">
        <v>3988</v>
      </c>
      <c r="D2005" s="2">
        <v>4</v>
      </c>
      <c r="E2005" s="236">
        <v>44840</v>
      </c>
      <c r="F2005" s="4">
        <v>3.5069444444444445E-2</v>
      </c>
      <c r="G2005" s="28"/>
      <c r="J2005" t="s">
        <v>3981</v>
      </c>
    </row>
    <row r="2006" spans="1:10" hidden="1" outlineLevel="1">
      <c r="A2006" s="28"/>
      <c r="B2006" s="1">
        <v>7</v>
      </c>
      <c r="C2006" s="5" t="s">
        <v>3989</v>
      </c>
      <c r="D2006" s="2">
        <v>5</v>
      </c>
      <c r="E2006" s="236">
        <v>44847</v>
      </c>
      <c r="F2006" s="4">
        <v>3.982638888888889E-2</v>
      </c>
      <c r="G2006" s="28"/>
      <c r="J2006" t="s">
        <v>3981</v>
      </c>
    </row>
    <row r="2007" spans="1:10" hidden="1" outlineLevel="1">
      <c r="A2007" s="28"/>
      <c r="B2007" s="1">
        <v>8</v>
      </c>
      <c r="C2007" s="5" t="s">
        <v>3983</v>
      </c>
      <c r="D2007" s="2">
        <v>0</v>
      </c>
      <c r="E2007" s="236">
        <v>44851</v>
      </c>
      <c r="F2007" s="4">
        <v>7.0601851851851847E-4</v>
      </c>
      <c r="G2007" s="28"/>
      <c r="J2007" t="s">
        <v>3981</v>
      </c>
    </row>
    <row r="2008" spans="1:10" hidden="1" outlineLevel="1">
      <c r="A2008" s="28"/>
      <c r="B2008" s="1">
        <v>9</v>
      </c>
      <c r="C2008" s="5" t="s">
        <v>3990</v>
      </c>
      <c r="D2008" s="2">
        <v>6</v>
      </c>
      <c r="E2008" s="236">
        <v>44854</v>
      </c>
      <c r="F2008" s="4">
        <v>3.2384259259259258E-2</v>
      </c>
      <c r="G2008" s="28"/>
      <c r="J2008" t="s">
        <v>3981</v>
      </c>
    </row>
    <row r="2009" spans="1:10" hidden="1" outlineLevel="1">
      <c r="A2009" s="28"/>
      <c r="B2009" s="1">
        <v>10</v>
      </c>
      <c r="C2009" s="5" t="s">
        <v>3991</v>
      </c>
      <c r="D2009" s="2">
        <v>7</v>
      </c>
      <c r="E2009" s="236">
        <v>44861</v>
      </c>
      <c r="F2009" s="4">
        <v>3.3657407407407407E-2</v>
      </c>
      <c r="G2009" s="28"/>
      <c r="J2009" t="s">
        <v>3981</v>
      </c>
    </row>
    <row r="2010" spans="1:10" hidden="1" outlineLevel="1">
      <c r="A2010" s="28"/>
      <c r="B2010" s="1">
        <v>11</v>
      </c>
      <c r="C2010" s="5" t="s">
        <v>3992</v>
      </c>
      <c r="D2010" s="2">
        <v>8</v>
      </c>
      <c r="E2010" s="236">
        <v>44868</v>
      </c>
      <c r="F2010" s="4">
        <v>4.6238425925925926E-2</v>
      </c>
      <c r="G2010" s="28"/>
      <c r="J2010" t="s">
        <v>3981</v>
      </c>
    </row>
    <row r="2011" spans="1:10" hidden="1" outlineLevel="1">
      <c r="A2011" s="28"/>
      <c r="B2011" s="1">
        <v>12</v>
      </c>
      <c r="C2011" s="5" t="s">
        <v>3993</v>
      </c>
      <c r="D2011" s="2">
        <v>9</v>
      </c>
      <c r="E2011" s="236">
        <v>44875</v>
      </c>
      <c r="F2011" s="4">
        <v>4.6030092592592588E-2</v>
      </c>
      <c r="G2011" s="28"/>
      <c r="J2011" t="s">
        <v>3981</v>
      </c>
    </row>
    <row r="2012" spans="1:10" hidden="1" outlineLevel="1">
      <c r="A2012" s="28"/>
      <c r="B2012" s="1">
        <v>13</v>
      </c>
      <c r="C2012" s="5" t="s">
        <v>3994</v>
      </c>
      <c r="D2012" s="2">
        <v>10</v>
      </c>
      <c r="E2012" s="236">
        <v>44882</v>
      </c>
      <c r="F2012" s="4">
        <v>4.6307870370370374E-2</v>
      </c>
      <c r="G2012" s="28"/>
      <c r="J2012" t="s">
        <v>3981</v>
      </c>
    </row>
    <row r="2013" spans="1:10" hidden="1" outlineLevel="1">
      <c r="A2013" s="28"/>
      <c r="B2013" s="1">
        <v>14</v>
      </c>
      <c r="C2013" s="5" t="s">
        <v>3995</v>
      </c>
      <c r="D2013" s="2">
        <v>11</v>
      </c>
      <c r="E2013" s="236">
        <v>44889</v>
      </c>
      <c r="F2013" s="4">
        <v>4.5497685185185183E-2</v>
      </c>
      <c r="G2013" s="28"/>
      <c r="J2013" t="s">
        <v>3981</v>
      </c>
    </row>
    <row r="2014" spans="1:10" hidden="1" outlineLevel="1">
      <c r="A2014" s="28"/>
      <c r="B2014" s="1">
        <v>15</v>
      </c>
      <c r="C2014" s="5" t="s">
        <v>3996</v>
      </c>
      <c r="D2014" s="2">
        <v>12</v>
      </c>
      <c r="E2014" s="236">
        <v>44896</v>
      </c>
      <c r="F2014" s="4">
        <v>4.8182870370370369E-2</v>
      </c>
      <c r="G2014" s="28"/>
      <c r="J2014" t="s">
        <v>3981</v>
      </c>
    </row>
    <row r="2015" spans="1:10" hidden="1" outlineLevel="1">
      <c r="A2015" s="28"/>
      <c r="B2015" s="1">
        <v>16</v>
      </c>
      <c r="C2015" s="5" t="s">
        <v>3997</v>
      </c>
      <c r="D2015" s="2">
        <v>13</v>
      </c>
      <c r="E2015" s="442">
        <v>44910</v>
      </c>
      <c r="F2015" s="4">
        <v>4.3541666666666666E-2</v>
      </c>
      <c r="G2015" s="28"/>
      <c r="J2015" t="s">
        <v>3981</v>
      </c>
    </row>
    <row r="2016" spans="1:10" hidden="1" outlineLevel="1">
      <c r="A2016" s="28"/>
      <c r="B2016" s="1">
        <v>17</v>
      </c>
      <c r="C2016" s="5" t="s">
        <v>3998</v>
      </c>
      <c r="D2016" s="2">
        <v>14</v>
      </c>
      <c r="E2016" s="236">
        <v>44945</v>
      </c>
      <c r="F2016" s="4">
        <v>3.5671296296296298E-2</v>
      </c>
      <c r="G2016" s="28"/>
      <c r="J2016" t="s">
        <v>3981</v>
      </c>
    </row>
    <row r="2017" spans="1:10" hidden="1" outlineLevel="1">
      <c r="A2017" s="28"/>
      <c r="B2017" s="1">
        <v>18</v>
      </c>
      <c r="C2017" s="5" t="s">
        <v>3999</v>
      </c>
      <c r="D2017" s="2">
        <v>15</v>
      </c>
      <c r="E2017" s="236">
        <v>44952</v>
      </c>
      <c r="F2017" s="4">
        <v>4.0231481481481479E-2</v>
      </c>
      <c r="G2017" s="28"/>
      <c r="J2017" t="s">
        <v>3981</v>
      </c>
    </row>
    <row r="2018" spans="1:10" hidden="1" outlineLevel="1">
      <c r="A2018" s="28"/>
      <c r="B2018" s="1">
        <v>19</v>
      </c>
      <c r="C2018" s="5" t="s">
        <v>4000</v>
      </c>
      <c r="D2018" s="2">
        <v>16</v>
      </c>
      <c r="E2018" s="236">
        <v>44959</v>
      </c>
      <c r="F2018" s="4">
        <v>3.3379629629629634E-2</v>
      </c>
      <c r="G2018" s="28"/>
      <c r="J2018" t="s">
        <v>3981</v>
      </c>
    </row>
    <row r="2019" spans="1:10" hidden="1" outlineLevel="1">
      <c r="A2019" s="28"/>
      <c r="B2019" s="1">
        <v>20</v>
      </c>
      <c r="C2019" s="5" t="s">
        <v>4001</v>
      </c>
      <c r="D2019" s="2">
        <v>17</v>
      </c>
      <c r="E2019" s="236">
        <v>44966</v>
      </c>
      <c r="F2019" s="4">
        <v>4.8784722222222222E-2</v>
      </c>
      <c r="G2019" s="28"/>
      <c r="J2019" t="s">
        <v>3981</v>
      </c>
    </row>
    <row r="2020" spans="1:10" hidden="1" outlineLevel="1">
      <c r="A2020" s="28"/>
      <c r="B2020" s="1">
        <v>21</v>
      </c>
      <c r="C2020" s="5" t="s">
        <v>4002</v>
      </c>
      <c r="D2020" s="2">
        <v>18</v>
      </c>
      <c r="E2020" s="236">
        <v>44973</v>
      </c>
      <c r="F2020" s="4">
        <v>4.0775462962962965E-2</v>
      </c>
      <c r="G2020" s="28"/>
      <c r="J2020" t="s">
        <v>3981</v>
      </c>
    </row>
    <row r="2021" spans="1:10" hidden="1" outlineLevel="1">
      <c r="A2021" s="28"/>
      <c r="B2021" s="1">
        <v>22</v>
      </c>
      <c r="C2021" s="5" t="s">
        <v>4003</v>
      </c>
      <c r="D2021" s="2">
        <v>19</v>
      </c>
      <c r="E2021" s="236">
        <v>44987</v>
      </c>
      <c r="F2021" s="4">
        <v>3.394675925925926E-2</v>
      </c>
      <c r="G2021" s="28"/>
      <c r="J2021" t="s">
        <v>3981</v>
      </c>
    </row>
    <row r="2022" spans="1:10" hidden="1" outlineLevel="1">
      <c r="A2022" s="28"/>
      <c r="B2022" s="1">
        <v>23</v>
      </c>
      <c r="C2022" s="5" t="s">
        <v>4004</v>
      </c>
      <c r="D2022" s="2">
        <v>20</v>
      </c>
      <c r="E2022" s="236">
        <v>44994</v>
      </c>
      <c r="F2022" s="4">
        <v>4.7719907407407412E-2</v>
      </c>
      <c r="G2022" s="28"/>
      <c r="J2022" t="s">
        <v>3981</v>
      </c>
    </row>
    <row r="2023" spans="1:10" hidden="1" outlineLevel="1">
      <c r="A2023" s="28"/>
      <c r="B2023" s="1">
        <v>24</v>
      </c>
      <c r="C2023" s="5" t="s">
        <v>4005</v>
      </c>
      <c r="D2023" s="2">
        <v>21</v>
      </c>
      <c r="E2023" s="236">
        <v>45001</v>
      </c>
      <c r="F2023" s="4">
        <v>4.1469907407407407E-2</v>
      </c>
      <c r="G2023" s="28"/>
      <c r="J2023" t="s">
        <v>3981</v>
      </c>
    </row>
    <row r="2024" spans="1:10" hidden="1" outlineLevel="1">
      <c r="A2024" s="28"/>
      <c r="B2024" s="1">
        <v>25</v>
      </c>
      <c r="C2024" s="5" t="s">
        <v>4006</v>
      </c>
      <c r="D2024" s="2">
        <v>22</v>
      </c>
      <c r="E2024" s="236">
        <v>45008</v>
      </c>
      <c r="F2024" s="4">
        <v>4.5138888888888888E-2</v>
      </c>
      <c r="G2024" s="28"/>
      <c r="J2024" t="s">
        <v>3981</v>
      </c>
    </row>
    <row r="2025" spans="1:10" hidden="1" outlineLevel="1">
      <c r="A2025" s="28"/>
      <c r="B2025" s="1">
        <v>26</v>
      </c>
      <c r="C2025" s="5" t="s">
        <v>4007</v>
      </c>
      <c r="D2025" s="2">
        <v>23</v>
      </c>
      <c r="E2025" s="236">
        <v>45015</v>
      </c>
      <c r="F2025" s="4">
        <v>3.9467592592592596E-2</v>
      </c>
      <c r="G2025" s="28"/>
      <c r="J2025" t="s">
        <v>3981</v>
      </c>
    </row>
    <row r="2026" spans="1:10" hidden="1" outlineLevel="1">
      <c r="A2026" s="28"/>
      <c r="B2026" s="1">
        <v>27</v>
      </c>
      <c r="C2026" s="5" t="s">
        <v>4008</v>
      </c>
      <c r="D2026" s="2">
        <v>24</v>
      </c>
      <c r="E2026" s="236">
        <v>45022</v>
      </c>
      <c r="F2026" s="4">
        <v>3.681712962962963E-2</v>
      </c>
      <c r="G2026" s="28"/>
      <c r="J2026" t="s">
        <v>3981</v>
      </c>
    </row>
    <row r="2027" spans="1:10" hidden="1" outlineLevel="1">
      <c r="A2027" s="28"/>
      <c r="B2027" s="1">
        <v>28</v>
      </c>
      <c r="C2027" s="5" t="s">
        <v>4009</v>
      </c>
      <c r="D2027" s="2">
        <v>25</v>
      </c>
      <c r="E2027" s="236">
        <v>45029</v>
      </c>
      <c r="F2027" s="4">
        <v>3.107638888888889E-2</v>
      </c>
      <c r="G2027" s="28"/>
      <c r="J2027" t="s">
        <v>3981</v>
      </c>
    </row>
    <row r="2028" spans="1:10" hidden="1" outlineLevel="1">
      <c r="A2028" s="28"/>
      <c r="B2028" s="1">
        <v>29</v>
      </c>
      <c r="C2028" s="5" t="s">
        <v>4010</v>
      </c>
      <c r="D2028" s="2">
        <v>26</v>
      </c>
      <c r="E2028" s="236">
        <v>45036</v>
      </c>
      <c r="F2028" s="4">
        <v>3.3865740740740738E-2</v>
      </c>
      <c r="G2028" s="28"/>
      <c r="J2028" t="s">
        <v>3981</v>
      </c>
    </row>
    <row r="2029" spans="1:10" hidden="1" outlineLevel="1">
      <c r="A2029" s="28"/>
      <c r="B2029" s="1">
        <v>30</v>
      </c>
      <c r="C2029" s="5" t="s">
        <v>4011</v>
      </c>
      <c r="D2029" s="2">
        <v>27</v>
      </c>
      <c r="E2029" s="236">
        <v>45043</v>
      </c>
      <c r="F2029" s="4">
        <v>3.1608796296296295E-2</v>
      </c>
      <c r="G2029" s="28"/>
      <c r="J2029" t="s">
        <v>3981</v>
      </c>
    </row>
    <row r="2030" spans="1:10" hidden="1" outlineLevel="1">
      <c r="A2030" s="28"/>
      <c r="B2030" s="1">
        <v>31</v>
      </c>
      <c r="C2030" s="5" t="s">
        <v>4012</v>
      </c>
      <c r="D2030" s="2">
        <v>28</v>
      </c>
      <c r="E2030" s="236">
        <v>45050</v>
      </c>
      <c r="F2030" s="4">
        <v>3.412037037037037E-2</v>
      </c>
      <c r="G2030" s="28"/>
      <c r="J2030" t="s">
        <v>3981</v>
      </c>
    </row>
    <row r="2031" spans="1:10" hidden="1" outlineLevel="1">
      <c r="A2031" s="28"/>
      <c r="B2031" s="1">
        <v>32</v>
      </c>
      <c r="C2031" s="5" t="s">
        <v>4013</v>
      </c>
      <c r="D2031" s="2">
        <v>30</v>
      </c>
      <c r="E2031" s="236">
        <v>45071</v>
      </c>
      <c r="F2031" s="4">
        <v>3.6516203703703703E-2</v>
      </c>
      <c r="G2031" s="28"/>
      <c r="J2031" t="s">
        <v>3981</v>
      </c>
    </row>
    <row r="2032" spans="1:10" hidden="1" outlineLevel="1">
      <c r="A2032" s="28"/>
      <c r="B2032" s="1">
        <v>33</v>
      </c>
      <c r="C2032" s="5" t="s">
        <v>4014</v>
      </c>
      <c r="D2032" s="2">
        <v>31</v>
      </c>
      <c r="E2032" s="236">
        <v>45085</v>
      </c>
      <c r="F2032" s="4">
        <v>4.4861111111111109E-2</v>
      </c>
      <c r="G2032" s="28"/>
      <c r="J2032" t="s">
        <v>3981</v>
      </c>
    </row>
    <row r="2033" spans="1:10" hidden="1" outlineLevel="1">
      <c r="A2033" s="28"/>
      <c r="B2033" s="1">
        <v>34</v>
      </c>
      <c r="C2033" s="5" t="s">
        <v>4015</v>
      </c>
      <c r="D2033" s="2">
        <v>32</v>
      </c>
      <c r="E2033" s="236">
        <v>45092</v>
      </c>
      <c r="F2033" s="4">
        <v>3.037037037037037E-2</v>
      </c>
      <c r="G2033" s="28"/>
      <c r="J2033" t="s">
        <v>3981</v>
      </c>
    </row>
    <row r="2034" spans="1:10" hidden="1" outlineLevel="1">
      <c r="A2034" s="28"/>
      <c r="B2034" s="1">
        <v>35</v>
      </c>
      <c r="C2034" s="5" t="s">
        <v>4016</v>
      </c>
      <c r="D2034" s="2">
        <v>33</v>
      </c>
      <c r="E2034" s="236">
        <v>45099</v>
      </c>
      <c r="F2034" s="4">
        <v>2.9594907407407407E-2</v>
      </c>
      <c r="G2034" s="28"/>
      <c r="J2034" t="s">
        <v>3981</v>
      </c>
    </row>
    <row r="2035" spans="1:10" hidden="1" outlineLevel="1">
      <c r="A2035" s="28"/>
      <c r="B2035" s="1">
        <v>36</v>
      </c>
      <c r="C2035" s="5" t="s">
        <v>4017</v>
      </c>
      <c r="D2035" s="2">
        <v>34</v>
      </c>
      <c r="E2035" s="236">
        <v>45106</v>
      </c>
      <c r="F2035" s="4">
        <v>3.2685185185185185E-2</v>
      </c>
      <c r="G2035" s="28"/>
      <c r="J2035" t="s">
        <v>3981</v>
      </c>
    </row>
    <row r="2036" spans="1:10" hidden="1" outlineLevel="1">
      <c r="A2036" s="28"/>
      <c r="B2036" s="1">
        <v>37</v>
      </c>
      <c r="C2036" s="5" t="s">
        <v>4038</v>
      </c>
      <c r="D2036" s="2">
        <v>35</v>
      </c>
      <c r="E2036" s="236">
        <v>45120</v>
      </c>
      <c r="F2036" s="4">
        <v>4.0590277777777781E-2</v>
      </c>
      <c r="G2036" s="28"/>
      <c r="J2036" t="s">
        <v>3981</v>
      </c>
    </row>
    <row r="2037" spans="1:10" hidden="1" outlineLevel="1">
      <c r="A2037" s="28"/>
      <c r="B2037" s="1">
        <v>38</v>
      </c>
      <c r="C2037" s="5" t="s">
        <v>4039</v>
      </c>
      <c r="D2037" s="2">
        <v>36</v>
      </c>
      <c r="E2037" s="237">
        <v>45127</v>
      </c>
      <c r="F2037" s="63">
        <v>3.2800925925925928E-2</v>
      </c>
      <c r="G2037" s="28"/>
      <c r="J2037" t="s">
        <v>3981</v>
      </c>
    </row>
    <row r="2038" spans="1:10" hidden="1" outlineLevel="1">
      <c r="A2038" s="28"/>
      <c r="B2038" s="1">
        <v>39</v>
      </c>
      <c r="C2038" s="5" t="s">
        <v>4047</v>
      </c>
      <c r="D2038" s="2">
        <v>37</v>
      </c>
      <c r="E2038" s="236">
        <v>45141</v>
      </c>
      <c r="F2038" s="4">
        <v>2.90162037037037E-2</v>
      </c>
      <c r="G2038" s="28"/>
      <c r="J2038" t="s">
        <v>3981</v>
      </c>
    </row>
    <row r="2039" spans="1:10" hidden="1" outlineLevel="1">
      <c r="A2039" s="28"/>
      <c r="B2039" s="1">
        <v>40</v>
      </c>
      <c r="C2039" s="5" t="s">
        <v>4054</v>
      </c>
      <c r="D2039" s="2">
        <v>38</v>
      </c>
      <c r="E2039" s="236">
        <v>45148</v>
      </c>
      <c r="F2039" s="4">
        <v>3.9560185185185184E-2</v>
      </c>
      <c r="G2039" s="28"/>
      <c r="J2039" t="s">
        <v>3981</v>
      </c>
    </row>
    <row r="2040" spans="1:10" hidden="1" outlineLevel="1">
      <c r="A2040" s="28"/>
      <c r="B2040" s="1">
        <v>41</v>
      </c>
      <c r="C2040" s="5" t="s">
        <v>4059</v>
      </c>
      <c r="D2040" s="2">
        <v>39</v>
      </c>
      <c r="E2040" s="236">
        <v>45155</v>
      </c>
      <c r="F2040" s="4">
        <v>2.8761574074074075E-2</v>
      </c>
      <c r="G2040" s="28"/>
      <c r="J2040" t="s">
        <v>3981</v>
      </c>
    </row>
    <row r="2041" spans="1:10" hidden="1" outlineLevel="1">
      <c r="A2041" s="28"/>
      <c r="B2041" s="1">
        <v>42</v>
      </c>
      <c r="C2041" s="5" t="s">
        <v>4062</v>
      </c>
      <c r="D2041" s="2">
        <v>40</v>
      </c>
      <c r="E2041" s="236">
        <v>45162</v>
      </c>
      <c r="F2041" s="4">
        <v>2.6979166666666669E-2</v>
      </c>
      <c r="G2041" s="28"/>
      <c r="J2041" t="s">
        <v>3981</v>
      </c>
    </row>
    <row r="2042" spans="1:10" hidden="1" outlineLevel="1">
      <c r="A2042" s="28"/>
      <c r="B2042" s="1">
        <v>43</v>
      </c>
      <c r="C2042" s="5" t="s">
        <v>4129</v>
      </c>
      <c r="D2042" s="2">
        <v>41</v>
      </c>
      <c r="E2042" s="236">
        <v>45176</v>
      </c>
      <c r="F2042" s="4">
        <v>4.0092592592592589E-2</v>
      </c>
      <c r="G2042" s="28"/>
      <c r="J2042" t="s">
        <v>3981</v>
      </c>
    </row>
    <row r="2043" spans="1:10" hidden="1" outlineLevel="1">
      <c r="A2043" s="28"/>
      <c r="B2043" s="1">
        <v>44</v>
      </c>
      <c r="C2043" s="5" t="s">
        <v>4130</v>
      </c>
      <c r="D2043" s="2">
        <v>42</v>
      </c>
      <c r="E2043" s="236">
        <v>45183</v>
      </c>
      <c r="F2043" s="4">
        <v>4.280092592592593E-2</v>
      </c>
      <c r="G2043" s="28"/>
      <c r="J2043" t="s">
        <v>3981</v>
      </c>
    </row>
    <row r="2044" spans="1:10" hidden="1" outlineLevel="1">
      <c r="A2044" s="28"/>
      <c r="B2044" s="1">
        <v>45</v>
      </c>
      <c r="C2044" s="5" t="s">
        <v>4131</v>
      </c>
      <c r="D2044" s="2">
        <v>43</v>
      </c>
      <c r="E2044" s="561">
        <v>45190</v>
      </c>
      <c r="F2044" s="562">
        <v>4.8692129629629627E-2</v>
      </c>
      <c r="G2044" s="28"/>
      <c r="J2044" t="s">
        <v>3981</v>
      </c>
    </row>
    <row r="2045" spans="1:10" hidden="1" outlineLevel="1">
      <c r="A2045" s="28"/>
      <c r="B2045" s="1">
        <v>46</v>
      </c>
      <c r="C2045" s="5" t="s">
        <v>4132</v>
      </c>
      <c r="D2045" s="2">
        <v>44</v>
      </c>
      <c r="E2045" s="561">
        <v>45197</v>
      </c>
      <c r="F2045" s="562">
        <v>3.740740740740741E-2</v>
      </c>
      <c r="G2045" s="28"/>
      <c r="J2045" t="s">
        <v>3981</v>
      </c>
    </row>
    <row r="2046" spans="1:10" hidden="1" outlineLevel="1">
      <c r="A2046" s="28"/>
      <c r="B2046" s="1">
        <v>47</v>
      </c>
      <c r="C2046" s="5" t="s">
        <v>4133</v>
      </c>
      <c r="D2046" s="2">
        <v>45</v>
      </c>
      <c r="E2046" s="561">
        <v>45204</v>
      </c>
      <c r="F2046" s="562">
        <v>4.3194444444444445E-2</v>
      </c>
      <c r="G2046" s="28"/>
      <c r="J2046" t="s">
        <v>3981</v>
      </c>
    </row>
    <row r="2047" spans="1:10" hidden="1" outlineLevel="1">
      <c r="A2047" s="28"/>
      <c r="B2047" s="1">
        <v>48</v>
      </c>
      <c r="C2047" s="5" t="s">
        <v>4134</v>
      </c>
      <c r="D2047" s="2">
        <v>46</v>
      </c>
      <c r="E2047" s="561">
        <v>45211</v>
      </c>
      <c r="F2047" s="562">
        <v>4.3611111111111107E-2</v>
      </c>
      <c r="G2047" s="28"/>
      <c r="J2047" t="s">
        <v>3981</v>
      </c>
    </row>
    <row r="2048" spans="1:10" hidden="1" outlineLevel="1">
      <c r="A2048" s="28"/>
      <c r="B2048" s="1">
        <v>49</v>
      </c>
      <c r="C2048" s="5" t="s">
        <v>4162</v>
      </c>
      <c r="D2048" s="2">
        <v>47</v>
      </c>
      <c r="E2048" s="237">
        <v>45225</v>
      </c>
      <c r="F2048" s="63">
        <v>4.8483796296296296E-2</v>
      </c>
      <c r="G2048" s="28"/>
      <c r="J2048" t="s">
        <v>3981</v>
      </c>
    </row>
    <row r="2049" spans="1:10" hidden="1" outlineLevel="1">
      <c r="A2049" s="28"/>
      <c r="B2049" s="1">
        <v>50</v>
      </c>
      <c r="C2049" s="5" t="s">
        <v>4169</v>
      </c>
      <c r="D2049" s="2">
        <v>48</v>
      </c>
      <c r="E2049" s="237">
        <v>45232</v>
      </c>
      <c r="F2049" s="63">
        <v>2.8229166666666666E-2</v>
      </c>
      <c r="G2049" s="28"/>
      <c r="J2049" t="s">
        <v>3981</v>
      </c>
    </row>
    <row r="2050" spans="1:10" hidden="1" outlineLevel="1">
      <c r="A2050" s="28"/>
      <c r="B2050" s="1">
        <v>51</v>
      </c>
      <c r="C2050" s="5" t="s">
        <v>4298</v>
      </c>
      <c r="D2050" s="2">
        <v>49</v>
      </c>
      <c r="E2050" s="237">
        <v>45246</v>
      </c>
      <c r="F2050" s="63">
        <v>4.1956018518518517E-2</v>
      </c>
      <c r="G2050" s="28"/>
      <c r="J2050" t="s">
        <v>3981</v>
      </c>
    </row>
    <row r="2051" spans="1:10" hidden="1" outlineLevel="1">
      <c r="A2051" s="28"/>
      <c r="B2051" s="1">
        <v>52</v>
      </c>
      <c r="C2051" s="5" t="s">
        <v>4404</v>
      </c>
      <c r="D2051" s="2">
        <v>50</v>
      </c>
      <c r="E2051" s="237">
        <v>45309</v>
      </c>
      <c r="F2051" s="63">
        <v>3.8275462962962963E-2</v>
      </c>
      <c r="G2051" s="28"/>
      <c r="J2051" t="s">
        <v>3981</v>
      </c>
    </row>
    <row r="2052" spans="1:10" hidden="1" outlineLevel="1">
      <c r="A2052" s="28"/>
      <c r="B2052" s="1">
        <v>53</v>
      </c>
      <c r="C2052" s="5" t="s">
        <v>4405</v>
      </c>
      <c r="D2052" s="2">
        <v>51</v>
      </c>
      <c r="E2052" s="237">
        <v>45316</v>
      </c>
      <c r="F2052" s="63">
        <v>3.2129629629629626E-2</v>
      </c>
      <c r="G2052" s="28"/>
      <c r="J2052" t="s">
        <v>3981</v>
      </c>
    </row>
    <row r="2053" spans="1:10" hidden="1" outlineLevel="1">
      <c r="A2053" s="28"/>
      <c r="B2053" s="1">
        <v>54</v>
      </c>
      <c r="C2053" s="5" t="s">
        <v>4406</v>
      </c>
      <c r="D2053" s="2">
        <v>52</v>
      </c>
      <c r="E2053" s="237">
        <v>45323</v>
      </c>
      <c r="F2053" s="63">
        <v>4.3252314814814813E-2</v>
      </c>
      <c r="G2053" s="28"/>
      <c r="J2053" t="s">
        <v>3981</v>
      </c>
    </row>
    <row r="2054" spans="1:10" hidden="1" outlineLevel="1">
      <c r="A2054" s="28"/>
      <c r="B2054" s="1">
        <v>55</v>
      </c>
      <c r="C2054" s="5" t="s">
        <v>4407</v>
      </c>
      <c r="D2054" s="2">
        <v>53</v>
      </c>
      <c r="E2054" s="237">
        <v>45330</v>
      </c>
      <c r="F2054" s="63">
        <v>4.1238425925925921E-2</v>
      </c>
      <c r="G2054" s="28"/>
      <c r="J2054" t="s">
        <v>3981</v>
      </c>
    </row>
    <row r="2055" spans="1:10" hidden="1" outlineLevel="1">
      <c r="A2055" s="28"/>
      <c r="B2055" s="1">
        <v>56</v>
      </c>
      <c r="C2055" s="5" t="s">
        <v>4449</v>
      </c>
      <c r="D2055" s="2">
        <v>54</v>
      </c>
      <c r="E2055" s="236">
        <v>45358</v>
      </c>
      <c r="F2055" s="4">
        <v>3.7523148148148146E-2</v>
      </c>
      <c r="G2055" s="28"/>
      <c r="J2055" t="s">
        <v>3981</v>
      </c>
    </row>
    <row r="2056" spans="1:10" hidden="1" outlineLevel="1">
      <c r="A2056" s="28"/>
      <c r="B2056" s="1">
        <v>57</v>
      </c>
      <c r="C2056" s="5" t="s">
        <v>4450</v>
      </c>
      <c r="D2056" s="2">
        <v>55</v>
      </c>
      <c r="E2056" s="237">
        <v>45365</v>
      </c>
      <c r="F2056" s="63">
        <v>4.3599537037037034E-2</v>
      </c>
      <c r="G2056" s="28"/>
      <c r="J2056" t="s">
        <v>3981</v>
      </c>
    </row>
    <row r="2057" spans="1:10" hidden="1" outlineLevel="1">
      <c r="A2057" s="28"/>
      <c r="B2057" s="1">
        <v>58</v>
      </c>
      <c r="C2057" s="5" t="s">
        <v>4451</v>
      </c>
      <c r="D2057" s="2">
        <v>56</v>
      </c>
      <c r="E2057" s="237">
        <v>45400</v>
      </c>
      <c r="F2057" s="694">
        <v>3.5532407407407408E-2</v>
      </c>
      <c r="G2057" s="28"/>
      <c r="J2057" t="s">
        <v>3981</v>
      </c>
    </row>
    <row r="2058" spans="1:10">
      <c r="A2058" s="28"/>
      <c r="B2058" s="40"/>
      <c r="C2058" s="40"/>
      <c r="D2058" s="35"/>
      <c r="E2058" s="50"/>
      <c r="F2058" s="51"/>
      <c r="G2058" s="28"/>
    </row>
    <row r="2059" spans="1:10">
      <c r="A2059" s="28"/>
      <c r="B2059" s="28"/>
      <c r="C2059" s="28"/>
      <c r="D2059" s="29"/>
      <c r="E2059" s="52"/>
      <c r="F2059" s="53"/>
      <c r="G2059" s="28"/>
    </row>
    <row r="2060" spans="1:10">
      <c r="A2060" s="28"/>
      <c r="B2060" s="33"/>
      <c r="C2060" s="34" t="s">
        <v>3885</v>
      </c>
      <c r="D2060" s="40"/>
      <c r="E2060" s="36"/>
      <c r="F2060" s="37"/>
      <c r="G2060" s="28"/>
    </row>
    <row r="2061" spans="1:10" collapsed="1">
      <c r="A2061" s="28"/>
      <c r="B2061" s="38"/>
      <c r="C2061" s="230" t="s">
        <v>4027</v>
      </c>
      <c r="D2061" s="28"/>
      <c r="E2061" s="30"/>
      <c r="F2061" s="640"/>
      <c r="G2061" s="28"/>
    </row>
    <row r="2062" spans="1:10" hidden="1" outlineLevel="1">
      <c r="A2062" s="28"/>
      <c r="B2062" s="23" t="s">
        <v>5</v>
      </c>
      <c r="C2062" s="24" t="s">
        <v>6</v>
      </c>
      <c r="D2062" s="25" t="s">
        <v>4</v>
      </c>
      <c r="E2062" s="138" t="s">
        <v>8</v>
      </c>
      <c r="F2062" s="26" t="s">
        <v>7</v>
      </c>
      <c r="G2062" s="28"/>
    </row>
    <row r="2063" spans="1:10" hidden="1" outlineLevel="1">
      <c r="A2063" s="28"/>
      <c r="B2063" s="5">
        <v>1</v>
      </c>
      <c r="C2063" s="5" t="s">
        <v>3880</v>
      </c>
      <c r="D2063" s="2">
        <v>87</v>
      </c>
      <c r="E2063" s="636">
        <v>44843</v>
      </c>
      <c r="F2063" s="188">
        <v>4.0509259259259259E-2</v>
      </c>
      <c r="G2063" s="28"/>
      <c r="J2063" t="s">
        <v>3887</v>
      </c>
    </row>
    <row r="2064" spans="1:10" hidden="1" outlineLevel="1">
      <c r="A2064" s="28"/>
      <c r="B2064" s="5">
        <v>2</v>
      </c>
      <c r="C2064" s="5" t="s">
        <v>3881</v>
      </c>
      <c r="D2064" s="2">
        <v>90</v>
      </c>
      <c r="E2064" s="637">
        <v>44871</v>
      </c>
      <c r="F2064" s="555">
        <v>4.3437499999999997E-2</v>
      </c>
      <c r="G2064" s="28"/>
      <c r="J2064" t="s">
        <v>3887</v>
      </c>
    </row>
    <row r="2065" spans="1:10" hidden="1" outlineLevel="1">
      <c r="A2065" s="28"/>
      <c r="B2065" s="5">
        <v>3</v>
      </c>
      <c r="C2065" s="5" t="s">
        <v>3882</v>
      </c>
      <c r="D2065" s="2">
        <v>77</v>
      </c>
      <c r="E2065" s="637">
        <v>44941</v>
      </c>
      <c r="F2065" s="555">
        <v>4.65625E-2</v>
      </c>
      <c r="G2065" s="28"/>
      <c r="J2065" t="s">
        <v>3887</v>
      </c>
    </row>
    <row r="2066" spans="1:10" hidden="1" outlineLevel="1">
      <c r="A2066" s="28"/>
      <c r="B2066" s="5">
        <v>4</v>
      </c>
      <c r="C2066" s="5" t="s">
        <v>3883</v>
      </c>
      <c r="D2066" s="2">
        <v>98</v>
      </c>
      <c r="E2066" s="637">
        <v>44963</v>
      </c>
      <c r="F2066" s="555">
        <v>3.560185185185185E-2</v>
      </c>
      <c r="G2066" s="28"/>
      <c r="J2066" t="s">
        <v>3887</v>
      </c>
    </row>
    <row r="2067" spans="1:10" hidden="1" outlineLevel="1">
      <c r="A2067" s="28"/>
      <c r="B2067" s="5">
        <v>5</v>
      </c>
      <c r="C2067" s="5" t="s">
        <v>3884</v>
      </c>
      <c r="D2067" s="2">
        <v>86</v>
      </c>
      <c r="E2067" s="637">
        <v>44990</v>
      </c>
      <c r="F2067" s="555">
        <v>4.0289351851851847E-2</v>
      </c>
      <c r="G2067" s="28"/>
      <c r="J2067" t="s">
        <v>3887</v>
      </c>
    </row>
    <row r="2068" spans="1:10" hidden="1" outlineLevel="1">
      <c r="A2068" s="28"/>
      <c r="B2068" s="5">
        <v>6</v>
      </c>
      <c r="C2068" s="5" t="s">
        <v>3879</v>
      </c>
      <c r="D2068" s="2">
        <v>120</v>
      </c>
      <c r="E2068" s="636">
        <v>45027</v>
      </c>
      <c r="F2068" s="188">
        <v>4.2638888888888893E-2</v>
      </c>
      <c r="G2068" s="28"/>
      <c r="J2068" t="s">
        <v>3887</v>
      </c>
    </row>
    <row r="2069" spans="1:10" hidden="1" outlineLevel="1">
      <c r="A2069" s="28"/>
      <c r="B2069" s="5">
        <v>7</v>
      </c>
      <c r="C2069" s="5" t="s">
        <v>3893</v>
      </c>
      <c r="D2069" s="2">
        <v>220</v>
      </c>
      <c r="E2069" s="636">
        <v>45381</v>
      </c>
      <c r="F2069" s="188">
        <v>3.6828703703703704E-2</v>
      </c>
      <c r="G2069" s="28"/>
      <c r="J2069" t="s">
        <v>3887</v>
      </c>
    </row>
    <row r="2070" spans="1:10" hidden="1" outlineLevel="1">
      <c r="A2070" s="28"/>
      <c r="B2070" s="5">
        <v>8</v>
      </c>
      <c r="C2070" s="5" t="s">
        <v>4447</v>
      </c>
      <c r="D2070" s="2">
        <v>154</v>
      </c>
      <c r="E2070" s="637">
        <v>45381</v>
      </c>
      <c r="F2070" s="555">
        <v>4.9988425925925929E-2</v>
      </c>
      <c r="G2070" s="28"/>
      <c r="J2070" t="s">
        <v>3887</v>
      </c>
    </row>
    <row r="2071" spans="1:10" hidden="1" outlineLevel="1">
      <c r="A2071" s="28"/>
      <c r="B2071" s="77">
        <v>9</v>
      </c>
      <c r="C2071" s="77" t="s">
        <v>4448</v>
      </c>
      <c r="D2071" s="78">
        <v>105</v>
      </c>
      <c r="E2071" s="638">
        <v>45442</v>
      </c>
      <c r="F2071" s="529">
        <v>0</v>
      </c>
      <c r="G2071" s="28"/>
      <c r="J2071" t="s">
        <v>3887</v>
      </c>
    </row>
    <row r="2072" spans="1:10">
      <c r="A2072" s="28"/>
      <c r="B2072" s="40"/>
      <c r="C2072" s="40"/>
      <c r="D2072" s="35"/>
      <c r="E2072" s="50"/>
      <c r="F2072" s="51"/>
      <c r="G2072" s="28"/>
    </row>
    <row r="2073" spans="1:10">
      <c r="A2073" s="28"/>
      <c r="B2073" s="28"/>
      <c r="C2073" s="28"/>
      <c r="D2073" s="29"/>
      <c r="E2073" s="52"/>
      <c r="F2073" s="53"/>
      <c r="G2073" s="28"/>
    </row>
    <row r="2074" spans="1:10">
      <c r="A2074" s="28"/>
      <c r="B2074" s="33"/>
      <c r="C2074" s="34" t="s">
        <v>3727</v>
      </c>
      <c r="D2074" s="40"/>
      <c r="E2074" s="36"/>
      <c r="F2074" s="37"/>
      <c r="G2074" s="28"/>
    </row>
    <row r="2075" spans="1:10" collapsed="1">
      <c r="A2075" s="28"/>
      <c r="B2075" s="38"/>
      <c r="C2075" s="230" t="s">
        <v>3632</v>
      </c>
      <c r="D2075" s="28"/>
      <c r="E2075" s="30"/>
      <c r="F2075" s="39"/>
      <c r="G2075" s="28"/>
    </row>
    <row r="2076" spans="1:10" hidden="1" outlineLevel="1">
      <c r="A2076" s="28"/>
      <c r="B2076" s="23" t="s">
        <v>5</v>
      </c>
      <c r="C2076" s="24" t="s">
        <v>6</v>
      </c>
      <c r="D2076" s="25" t="s">
        <v>4</v>
      </c>
      <c r="E2076" s="138" t="s">
        <v>8</v>
      </c>
      <c r="F2076" s="26" t="s">
        <v>7</v>
      </c>
      <c r="G2076" s="28"/>
    </row>
    <row r="2077" spans="1:10" hidden="1" outlineLevel="1">
      <c r="A2077" s="28"/>
      <c r="B2077" s="5">
        <v>1</v>
      </c>
      <c r="C2077" s="5" t="s">
        <v>3633</v>
      </c>
      <c r="D2077" s="2">
        <v>0</v>
      </c>
      <c r="E2077" s="236">
        <v>44918.330590277779</v>
      </c>
      <c r="F2077" s="188">
        <v>2.7777777777777776E-2</v>
      </c>
      <c r="G2077" s="28"/>
      <c r="J2077" t="s">
        <v>3694</v>
      </c>
    </row>
    <row r="2078" spans="1:10" hidden="1" outlineLevel="1">
      <c r="A2078" s="28"/>
      <c r="B2078" s="5">
        <v>2</v>
      </c>
      <c r="C2078" s="5" t="s">
        <v>4192</v>
      </c>
      <c r="D2078" s="2">
        <v>0</v>
      </c>
      <c r="E2078" s="235">
        <v>44933.417314814818</v>
      </c>
      <c r="F2078" s="555">
        <v>0.10219907407407408</v>
      </c>
      <c r="G2078" s="28"/>
      <c r="J2078" t="s">
        <v>3694</v>
      </c>
    </row>
    <row r="2079" spans="1:10" hidden="1" outlineLevel="1">
      <c r="A2079" s="28"/>
      <c r="B2079" s="5">
        <v>3</v>
      </c>
      <c r="C2079" s="5" t="s">
        <v>4193</v>
      </c>
      <c r="D2079" s="2">
        <v>14</v>
      </c>
      <c r="E2079" s="235">
        <v>44961.375451388885</v>
      </c>
      <c r="F2079" s="555">
        <v>6.4629629629629634E-2</v>
      </c>
      <c r="G2079" s="28"/>
      <c r="J2079" t="s">
        <v>3694</v>
      </c>
    </row>
    <row r="2080" spans="1:10" hidden="1" outlineLevel="1">
      <c r="A2080" s="28"/>
      <c r="B2080" s="5">
        <v>4</v>
      </c>
      <c r="C2080" s="5" t="s">
        <v>4194</v>
      </c>
      <c r="D2080" s="2">
        <v>26</v>
      </c>
      <c r="E2080" s="235">
        <v>44989.375162037039</v>
      </c>
      <c r="F2080" s="555">
        <v>7.6469907407407403E-2</v>
      </c>
      <c r="G2080" s="28"/>
      <c r="J2080" t="s">
        <v>3694</v>
      </c>
    </row>
    <row r="2081" spans="1:10" hidden="1" outlineLevel="1">
      <c r="A2081" s="28"/>
      <c r="B2081" s="5">
        <v>5</v>
      </c>
      <c r="C2081" s="5" t="s">
        <v>4195</v>
      </c>
      <c r="D2081" s="2">
        <v>51</v>
      </c>
      <c r="E2081" s="236">
        <v>45017.354675925926</v>
      </c>
      <c r="F2081" s="188">
        <v>6.6423611111111114E-2</v>
      </c>
      <c r="G2081" s="28"/>
      <c r="J2081" t="s">
        <v>3694</v>
      </c>
    </row>
    <row r="2082" spans="1:10" hidden="1" outlineLevel="1">
      <c r="A2082" s="28"/>
      <c r="B2082" s="5">
        <v>6</v>
      </c>
      <c r="C2082" s="5" t="s">
        <v>4196</v>
      </c>
      <c r="D2082" s="2">
        <v>20</v>
      </c>
      <c r="E2082" s="235">
        <v>45052</v>
      </c>
      <c r="F2082" s="555">
        <v>9.116898148148149E-2</v>
      </c>
      <c r="G2082" s="28"/>
      <c r="J2082" t="s">
        <v>3694</v>
      </c>
    </row>
    <row r="2083" spans="1:10" hidden="1" outlineLevel="1">
      <c r="A2083" s="28"/>
      <c r="B2083" s="5">
        <v>7</v>
      </c>
      <c r="C2083" s="5" t="s">
        <v>4197</v>
      </c>
      <c r="D2083" s="2">
        <v>40</v>
      </c>
      <c r="E2083" s="235">
        <v>45080</v>
      </c>
      <c r="F2083" s="555">
        <v>9.3518518518518515E-2</v>
      </c>
      <c r="G2083" s="28"/>
      <c r="J2083" t="s">
        <v>3694</v>
      </c>
    </row>
    <row r="2084" spans="1:10" hidden="1" outlineLevel="1">
      <c r="A2084" s="28"/>
      <c r="B2084" s="5">
        <v>8</v>
      </c>
      <c r="C2084" s="5" t="s">
        <v>3968</v>
      </c>
      <c r="D2084" s="2">
        <v>0</v>
      </c>
      <c r="E2084" s="235">
        <v>45108</v>
      </c>
      <c r="F2084" s="555">
        <v>2.431712962962963E-2</v>
      </c>
      <c r="G2084" s="28"/>
      <c r="J2084" t="s">
        <v>3694</v>
      </c>
    </row>
    <row r="2085" spans="1:10" hidden="1" outlineLevel="1">
      <c r="A2085" s="28"/>
      <c r="B2085" s="5">
        <v>9</v>
      </c>
      <c r="C2085" s="5" t="s">
        <v>4198</v>
      </c>
      <c r="D2085" s="2">
        <v>4</v>
      </c>
      <c r="E2085" s="236">
        <v>45143</v>
      </c>
      <c r="F2085" s="188">
        <v>9.1817129629629624E-2</v>
      </c>
      <c r="G2085" s="28"/>
      <c r="J2085" t="s">
        <v>3694</v>
      </c>
    </row>
    <row r="2086" spans="1:10" hidden="1" outlineLevel="1">
      <c r="A2086" s="28"/>
      <c r="B2086" s="5">
        <v>10</v>
      </c>
      <c r="C2086" s="5" t="s">
        <v>4199</v>
      </c>
      <c r="D2086" s="2">
        <v>6</v>
      </c>
      <c r="E2086" s="236">
        <v>45171</v>
      </c>
      <c r="F2086" s="188">
        <v>7.6354166666666667E-2</v>
      </c>
      <c r="G2086" s="28"/>
      <c r="J2086" t="s">
        <v>3694</v>
      </c>
    </row>
    <row r="2087" spans="1:10" hidden="1" outlineLevel="1">
      <c r="A2087" s="28"/>
      <c r="B2087" s="5">
        <v>11</v>
      </c>
      <c r="C2087" s="5" t="s">
        <v>4200</v>
      </c>
      <c r="D2087" s="2">
        <v>86</v>
      </c>
      <c r="E2087" s="236">
        <v>45206</v>
      </c>
      <c r="F2087" s="188">
        <v>6.8402777777777771E-2</v>
      </c>
      <c r="G2087" s="28"/>
      <c r="J2087" t="s">
        <v>3694</v>
      </c>
    </row>
    <row r="2088" spans="1:10" hidden="1" outlineLevel="1">
      <c r="A2088" s="28"/>
      <c r="B2088" s="5">
        <v>12</v>
      </c>
      <c r="C2088" s="5" t="s">
        <v>4201</v>
      </c>
      <c r="D2088" s="2">
        <v>45</v>
      </c>
      <c r="E2088" s="236">
        <v>45234</v>
      </c>
      <c r="F2088" s="188">
        <v>9.0115740740740746E-2</v>
      </c>
      <c r="G2088" s="28"/>
      <c r="J2088" t="s">
        <v>3694</v>
      </c>
    </row>
    <row r="2089" spans="1:10" hidden="1" outlineLevel="1">
      <c r="A2089" s="28"/>
      <c r="B2089" s="5">
        <v>13</v>
      </c>
      <c r="C2089" s="5" t="s">
        <v>4191</v>
      </c>
      <c r="D2089" s="6" t="s">
        <v>110</v>
      </c>
      <c r="E2089" s="236">
        <v>45266</v>
      </c>
      <c r="F2089" s="188">
        <v>3.5543981481481475E-2</v>
      </c>
      <c r="G2089" s="28"/>
      <c r="J2089" t="s">
        <v>3694</v>
      </c>
    </row>
    <row r="2090" spans="1:10" hidden="1" outlineLevel="1">
      <c r="A2090" s="28"/>
      <c r="B2090" s="5">
        <v>14</v>
      </c>
      <c r="C2090" s="5" t="s">
        <v>4422</v>
      </c>
      <c r="D2090" s="2">
        <v>33</v>
      </c>
      <c r="E2090" s="236">
        <v>45353</v>
      </c>
      <c r="F2090" s="188">
        <v>7.289351851851851E-2</v>
      </c>
      <c r="G2090" s="28"/>
      <c r="J2090" t="s">
        <v>3694</v>
      </c>
    </row>
    <row r="2091" spans="1:10" hidden="1" outlineLevel="1">
      <c r="A2091" s="28"/>
      <c r="B2091" s="5">
        <v>15</v>
      </c>
      <c r="C2091" s="5" t="s">
        <v>4445</v>
      </c>
      <c r="D2091" s="2">
        <v>18</v>
      </c>
      <c r="E2091" s="236">
        <v>45388</v>
      </c>
      <c r="F2091" s="188">
        <v>7.8194444444444441E-2</v>
      </c>
      <c r="G2091" s="28"/>
      <c r="J2091" t="s">
        <v>3694</v>
      </c>
    </row>
    <row r="2092" spans="1:10" hidden="1" outlineLevel="1">
      <c r="A2092" s="28"/>
      <c r="B2092" s="77">
        <v>16</v>
      </c>
      <c r="C2092" s="77" t="s">
        <v>4481</v>
      </c>
      <c r="D2092" s="246">
        <v>0</v>
      </c>
      <c r="E2092" s="261">
        <v>45416</v>
      </c>
      <c r="F2092" s="529">
        <v>0</v>
      </c>
      <c r="G2092" s="28"/>
      <c r="J2092" t="s">
        <v>3694</v>
      </c>
    </row>
    <row r="2093" spans="1:10">
      <c r="A2093" s="28"/>
      <c r="B2093" s="40"/>
      <c r="C2093" s="40"/>
      <c r="D2093" s="35"/>
      <c r="E2093" s="50"/>
      <c r="F2093" s="51"/>
      <c r="G2093" s="28"/>
    </row>
    <row r="2094" spans="1:10">
      <c r="A2094" s="28"/>
      <c r="B2094" s="28"/>
      <c r="C2094" s="28"/>
      <c r="D2094" s="29"/>
      <c r="E2094" s="52"/>
      <c r="F2094" s="53"/>
      <c r="G2094" s="28"/>
    </row>
    <row r="2095" spans="1:10">
      <c r="A2095" s="28"/>
      <c r="B2095" s="33"/>
      <c r="C2095" s="34" t="s">
        <v>3635</v>
      </c>
      <c r="D2095" s="40"/>
      <c r="E2095" s="36"/>
      <c r="F2095" s="37"/>
      <c r="G2095" s="28"/>
    </row>
    <row r="2096" spans="1:10" collapsed="1">
      <c r="A2096" s="28"/>
      <c r="B2096" s="38"/>
      <c r="C2096" s="230" t="s">
        <v>3634</v>
      </c>
      <c r="D2096" s="28"/>
      <c r="E2096" s="30"/>
      <c r="F2096" s="39"/>
      <c r="G2096" s="28"/>
    </row>
    <row r="2097" spans="1:10" hidden="1" outlineLevel="1">
      <c r="A2097" s="28"/>
      <c r="B2097" s="23" t="s">
        <v>5</v>
      </c>
      <c r="C2097" s="24" t="s">
        <v>6</v>
      </c>
      <c r="D2097" s="25" t="s">
        <v>4</v>
      </c>
      <c r="E2097" s="138" t="s">
        <v>8</v>
      </c>
      <c r="F2097" s="26" t="s">
        <v>7</v>
      </c>
      <c r="G2097" s="28"/>
    </row>
    <row r="2098" spans="1:10" hidden="1" outlineLevel="1">
      <c r="A2098" s="28"/>
      <c r="B2098" s="5">
        <v>1</v>
      </c>
      <c r="C2098" s="5" t="s">
        <v>3803</v>
      </c>
      <c r="D2098" s="2">
        <v>0</v>
      </c>
      <c r="E2098" s="236">
        <v>44918.84820601852</v>
      </c>
      <c r="F2098" s="188">
        <v>1.6805555555555556E-2</v>
      </c>
      <c r="G2098" s="28"/>
      <c r="J2098" t="s">
        <v>3695</v>
      </c>
    </row>
    <row r="2099" spans="1:10" hidden="1" outlineLevel="1">
      <c r="A2099" s="28"/>
      <c r="B2099" s="5">
        <v>2</v>
      </c>
      <c r="C2099" s="5" t="s">
        <v>3802</v>
      </c>
      <c r="D2099" s="2">
        <v>11</v>
      </c>
      <c r="E2099" s="235">
        <v>44927.333333333336</v>
      </c>
      <c r="F2099" s="555">
        <v>0.12918981481481481</v>
      </c>
      <c r="G2099" s="28"/>
      <c r="J2099" t="s">
        <v>3695</v>
      </c>
    </row>
    <row r="2100" spans="1:10" hidden="1" outlineLevel="1">
      <c r="A2100" s="28"/>
      <c r="B2100" s="5">
        <v>3</v>
      </c>
      <c r="C2100" s="5" t="s">
        <v>3801</v>
      </c>
      <c r="D2100" s="2">
        <v>141</v>
      </c>
      <c r="E2100" s="235">
        <v>44958.333333333336</v>
      </c>
      <c r="F2100" s="555">
        <v>0.11313657407407407</v>
      </c>
      <c r="G2100" s="28"/>
      <c r="J2100" t="s">
        <v>3695</v>
      </c>
    </row>
    <row r="2101" spans="1:10" hidden="1" outlineLevel="1">
      <c r="A2101" s="28"/>
      <c r="B2101" s="5">
        <v>4</v>
      </c>
      <c r="C2101" s="5" t="s">
        <v>3800</v>
      </c>
      <c r="D2101" s="2">
        <v>127</v>
      </c>
      <c r="E2101" s="235">
        <v>44986.333333333336</v>
      </c>
      <c r="F2101" s="188">
        <v>0.12762731481481482</v>
      </c>
      <c r="G2101" s="28"/>
      <c r="J2101" t="s">
        <v>3695</v>
      </c>
    </row>
    <row r="2102" spans="1:10" hidden="1" outlineLevel="1">
      <c r="A2102" s="28"/>
      <c r="B2102" s="5">
        <v>5</v>
      </c>
      <c r="C2102" s="5" t="s">
        <v>3804</v>
      </c>
      <c r="D2102" s="2">
        <v>180</v>
      </c>
      <c r="E2102" s="236">
        <v>45017.333333333336</v>
      </c>
      <c r="F2102" s="188">
        <v>8.7638888888888891E-2</v>
      </c>
      <c r="G2102" s="28"/>
      <c r="J2102" t="s">
        <v>3695</v>
      </c>
    </row>
    <row r="2103" spans="1:10" hidden="1" outlineLevel="1">
      <c r="A2103" s="28"/>
      <c r="B2103" s="5">
        <v>6</v>
      </c>
      <c r="C2103" s="5" t="s">
        <v>3922</v>
      </c>
      <c r="D2103" s="2">
        <v>167</v>
      </c>
      <c r="E2103" s="236">
        <v>45047</v>
      </c>
      <c r="F2103" s="188">
        <v>0.11280092592592593</v>
      </c>
      <c r="G2103" s="28"/>
      <c r="J2103" t="s">
        <v>3695</v>
      </c>
    </row>
    <row r="2104" spans="1:10" hidden="1" outlineLevel="1">
      <c r="A2104" s="28"/>
      <c r="B2104" s="5">
        <v>7</v>
      </c>
      <c r="C2104" s="5" t="s">
        <v>3967</v>
      </c>
      <c r="D2104" s="2">
        <v>131</v>
      </c>
      <c r="E2104" s="235">
        <v>45078</v>
      </c>
      <c r="F2104" s="188">
        <v>0.11936342592592593</v>
      </c>
      <c r="G2104" s="28"/>
      <c r="J2104" t="s">
        <v>3695</v>
      </c>
    </row>
    <row r="2105" spans="1:10" hidden="1" outlineLevel="1">
      <c r="A2105" s="28"/>
      <c r="B2105" s="5">
        <v>8</v>
      </c>
      <c r="C2105" s="5" t="s">
        <v>3966</v>
      </c>
      <c r="D2105" s="2">
        <v>111</v>
      </c>
      <c r="E2105" s="235">
        <v>45108</v>
      </c>
      <c r="F2105" s="555">
        <v>0.18004629629629629</v>
      </c>
      <c r="G2105" s="28"/>
      <c r="J2105" t="s">
        <v>3695</v>
      </c>
    </row>
    <row r="2106" spans="1:10" hidden="1" outlineLevel="1">
      <c r="A2106" s="28"/>
      <c r="B2106" s="5">
        <v>9</v>
      </c>
      <c r="C2106" s="5" t="s">
        <v>4042</v>
      </c>
      <c r="D2106" s="2">
        <v>146</v>
      </c>
      <c r="E2106" s="236">
        <v>45139</v>
      </c>
      <c r="F2106" s="188">
        <v>0.11743055555555555</v>
      </c>
      <c r="G2106" s="28"/>
      <c r="J2106" t="s">
        <v>3695</v>
      </c>
    </row>
    <row r="2107" spans="1:10" hidden="1" outlineLevel="1">
      <c r="A2107" s="28"/>
      <c r="B2107" s="5">
        <v>10</v>
      </c>
      <c r="C2107" s="5" t="s">
        <v>4127</v>
      </c>
      <c r="D2107" s="2">
        <v>92</v>
      </c>
      <c r="E2107" s="236">
        <v>45170</v>
      </c>
      <c r="F2107" s="188">
        <v>0.10194444444444445</v>
      </c>
      <c r="G2107" s="28"/>
      <c r="J2107" t="s">
        <v>3695</v>
      </c>
    </row>
    <row r="2108" spans="1:10" hidden="1" outlineLevel="1">
      <c r="A2108" s="28"/>
      <c r="B2108" s="5">
        <v>11</v>
      </c>
      <c r="C2108" s="5" t="s">
        <v>4128</v>
      </c>
      <c r="D2108" s="2">
        <v>47</v>
      </c>
      <c r="E2108" s="235">
        <v>45200</v>
      </c>
      <c r="F2108" s="555">
        <v>0.13644675925925925</v>
      </c>
      <c r="G2108" s="28"/>
      <c r="J2108" t="s">
        <v>3695</v>
      </c>
    </row>
    <row r="2109" spans="1:10" hidden="1" outlineLevel="1">
      <c r="A2109" s="28"/>
      <c r="B2109" s="5">
        <v>12</v>
      </c>
      <c r="C2109" s="5" t="s">
        <v>4170</v>
      </c>
      <c r="D2109" s="2">
        <v>88</v>
      </c>
      <c r="E2109" s="236">
        <v>45231</v>
      </c>
      <c r="F2109" s="188">
        <v>0.11564814814814815</v>
      </c>
      <c r="G2109" s="28"/>
      <c r="J2109" t="s">
        <v>3695</v>
      </c>
    </row>
    <row r="2110" spans="1:10" hidden="1" outlineLevel="1">
      <c r="A2110" s="28"/>
      <c r="B2110" s="5">
        <v>13</v>
      </c>
      <c r="C2110" s="5" t="s">
        <v>4190</v>
      </c>
      <c r="D2110" s="2">
        <v>10</v>
      </c>
      <c r="E2110" s="236">
        <v>45261</v>
      </c>
      <c r="F2110" s="188">
        <v>0.15356481481481482</v>
      </c>
      <c r="G2110" s="28"/>
      <c r="J2110" t="s">
        <v>3695</v>
      </c>
    </row>
    <row r="2111" spans="1:10" hidden="1" outlineLevel="1">
      <c r="A2111" s="28"/>
      <c r="B2111" s="5">
        <v>14</v>
      </c>
      <c r="C2111" s="5" t="s">
        <v>4408</v>
      </c>
      <c r="D2111" s="2">
        <v>119</v>
      </c>
      <c r="E2111" s="236">
        <v>45292</v>
      </c>
      <c r="F2111" s="188">
        <v>0.12072916666666667</v>
      </c>
      <c r="G2111" s="28"/>
      <c r="J2111" t="s">
        <v>3695</v>
      </c>
    </row>
    <row r="2112" spans="1:10" hidden="1" outlineLevel="1">
      <c r="A2112" s="28"/>
      <c r="B2112" s="5">
        <v>15</v>
      </c>
      <c r="C2112" s="5" t="s">
        <v>4409</v>
      </c>
      <c r="D2112" s="2">
        <v>67</v>
      </c>
      <c r="E2112" s="236">
        <v>45323</v>
      </c>
      <c r="F2112" s="188">
        <v>0.13226851851851854</v>
      </c>
      <c r="G2112" s="28"/>
      <c r="J2112" t="s">
        <v>3695</v>
      </c>
    </row>
    <row r="2113" spans="1:10" hidden="1" outlineLevel="1">
      <c r="A2113" s="28"/>
      <c r="B2113" s="5">
        <v>16</v>
      </c>
      <c r="C2113" s="5" t="s">
        <v>4415</v>
      </c>
      <c r="D2113" s="2">
        <v>97</v>
      </c>
      <c r="E2113" s="236">
        <v>45352</v>
      </c>
      <c r="F2113" s="188">
        <v>0.12422453703703702</v>
      </c>
      <c r="G2113" s="28"/>
      <c r="J2113" t="s">
        <v>3695</v>
      </c>
    </row>
    <row r="2114" spans="1:10" hidden="1" outlineLevel="1">
      <c r="A2114" s="28"/>
      <c r="B2114" s="5">
        <v>17</v>
      </c>
      <c r="C2114" s="5" t="s">
        <v>4446</v>
      </c>
      <c r="D2114" s="2">
        <v>225</v>
      </c>
      <c r="E2114" s="236">
        <v>45383</v>
      </c>
      <c r="F2114" s="188">
        <v>0.15474537037037037</v>
      </c>
      <c r="G2114" s="28"/>
      <c r="J2114" t="s">
        <v>3695</v>
      </c>
    </row>
    <row r="2115" spans="1:10">
      <c r="A2115" s="28"/>
      <c r="B2115" s="40"/>
      <c r="C2115" s="40"/>
      <c r="D2115" s="35"/>
      <c r="E2115" s="50"/>
      <c r="F2115" s="51"/>
      <c r="G2115" s="28"/>
    </row>
    <row r="2116" spans="1:10">
      <c r="A2116" s="28"/>
      <c r="B2116" s="28"/>
      <c r="C2116" s="28"/>
      <c r="D2116" s="29"/>
      <c r="E2116" s="52"/>
      <c r="F2116" s="53"/>
      <c r="G2116" s="28"/>
    </row>
    <row r="2117" spans="1:10">
      <c r="A2117" s="28"/>
      <c r="B2117" s="33"/>
      <c r="C2117" s="40" t="s">
        <v>4465</v>
      </c>
      <c r="D2117" s="40"/>
      <c r="E2117" s="36"/>
      <c r="F2117" s="37"/>
      <c r="G2117" s="28"/>
    </row>
    <row r="2118" spans="1:10" collapsed="1">
      <c r="A2118" s="28"/>
      <c r="B2118" s="38"/>
      <c r="C2118" s="229" t="s">
        <v>4423</v>
      </c>
      <c r="D2118" s="635" t="s">
        <v>4424</v>
      </c>
      <c r="E2118" s="30"/>
      <c r="F2118" s="39"/>
      <c r="G2118" s="28"/>
    </row>
    <row r="2119" spans="1:10" hidden="1" outlineLevel="1">
      <c r="A2119" s="28"/>
      <c r="B2119" s="23" t="s">
        <v>5</v>
      </c>
      <c r="C2119" s="24" t="s">
        <v>6</v>
      </c>
      <c r="D2119" s="25" t="s">
        <v>4</v>
      </c>
      <c r="E2119" s="138" t="s">
        <v>8</v>
      </c>
      <c r="F2119" s="26" t="s">
        <v>7</v>
      </c>
      <c r="G2119" s="28"/>
    </row>
    <row r="2120" spans="1:10" hidden="1" outlineLevel="1">
      <c r="A2120" s="28"/>
      <c r="B2120" s="1">
        <v>1</v>
      </c>
      <c r="C2120" s="5" t="s">
        <v>4418</v>
      </c>
      <c r="D2120" s="2">
        <v>0</v>
      </c>
      <c r="E2120" s="3">
        <v>45130</v>
      </c>
      <c r="F2120" s="4">
        <v>4.7002314814814816E-2</v>
      </c>
      <c r="G2120" s="28"/>
      <c r="J2120" t="s">
        <v>4416</v>
      </c>
    </row>
    <row r="2121" spans="1:10" hidden="1" outlineLevel="1">
      <c r="A2121" s="28"/>
      <c r="B2121" s="1">
        <v>2</v>
      </c>
      <c r="C2121" s="5" t="s">
        <v>4417</v>
      </c>
      <c r="D2121" s="2">
        <v>11</v>
      </c>
      <c r="E2121" s="3">
        <v>45152</v>
      </c>
      <c r="F2121" s="4">
        <v>0.13188657407407409</v>
      </c>
      <c r="G2121" s="28"/>
      <c r="J2121" t="s">
        <v>4416</v>
      </c>
    </row>
    <row r="2122" spans="1:10" hidden="1" outlineLevel="1">
      <c r="A2122" s="28"/>
      <c r="B2122" s="1">
        <v>3</v>
      </c>
      <c r="C2122" s="5" t="s">
        <v>4419</v>
      </c>
      <c r="D2122" s="2">
        <v>3</v>
      </c>
      <c r="E2122" s="3">
        <v>45288</v>
      </c>
      <c r="F2122" s="4">
        <v>8.4594907407407396E-2</v>
      </c>
      <c r="G2122" s="28"/>
      <c r="J2122" t="s">
        <v>4416</v>
      </c>
    </row>
    <row r="2123" spans="1:10" hidden="1" outlineLevel="1">
      <c r="A2123" s="28"/>
      <c r="B2123" s="1">
        <v>4</v>
      </c>
      <c r="C2123" s="5" t="s">
        <v>4420</v>
      </c>
      <c r="D2123" s="2">
        <v>0</v>
      </c>
      <c r="E2123" s="3">
        <v>45291</v>
      </c>
      <c r="F2123" s="4">
        <v>1.3356481481481483E-2</v>
      </c>
      <c r="G2123" s="28"/>
      <c r="J2123" t="s">
        <v>4416</v>
      </c>
    </row>
    <row r="2124" spans="1:10" hidden="1" outlineLevel="1">
      <c r="A2124" s="28"/>
      <c r="B2124" s="1">
        <v>5</v>
      </c>
      <c r="C2124" s="5" t="s">
        <v>4421</v>
      </c>
      <c r="D2124" s="2">
        <v>215</v>
      </c>
      <c r="E2124" s="3">
        <v>45351</v>
      </c>
      <c r="F2124" s="4">
        <v>6.3599537037037038E-2</v>
      </c>
      <c r="G2124" s="28"/>
      <c r="J2124" t="s">
        <v>4416</v>
      </c>
    </row>
    <row r="2125" spans="1:10">
      <c r="A2125" s="28"/>
      <c r="B2125" s="40"/>
      <c r="C2125" s="40"/>
      <c r="D2125" s="35"/>
      <c r="E2125" s="50"/>
      <c r="F2125" s="51"/>
      <c r="G2125" s="28"/>
    </row>
    <row r="2126" spans="1:10">
      <c r="A2126" s="28"/>
      <c r="B2126" s="28"/>
      <c r="C2126" s="28"/>
      <c r="D2126" s="29"/>
      <c r="E2126" s="409" t="s">
        <v>2731</v>
      </c>
      <c r="F2126" s="424">
        <f>SUM(Synopsis!E35)</f>
        <v>80.68906250000002</v>
      </c>
      <c r="G2126" s="28"/>
    </row>
    <row r="2127" spans="1:10">
      <c r="A2127" s="28"/>
      <c r="B2127" s="28"/>
      <c r="C2127" s="28"/>
      <c r="D2127" s="29"/>
      <c r="E2127" s="409"/>
      <c r="F2127" s="410"/>
      <c r="G2127" s="28"/>
    </row>
    <row r="2128" spans="1:10">
      <c r="A2128" s="28"/>
      <c r="B2128" s="28"/>
      <c r="C2128" s="28"/>
      <c r="D2128" s="29"/>
      <c r="E2128" s="52"/>
      <c r="F2128" s="53"/>
      <c r="G2128" s="28"/>
    </row>
    <row r="2129" spans="1:10" collapsed="1">
      <c r="A2129" s="28"/>
      <c r="B2129" s="755" t="s">
        <v>1336</v>
      </c>
      <c r="C2129" s="756"/>
      <c r="D2129" s="756"/>
      <c r="E2129" s="756"/>
      <c r="F2129" s="757"/>
      <c r="G2129" s="28"/>
    </row>
    <row r="2130" spans="1:10" ht="14.5" hidden="1" customHeight="1" outlineLevel="1">
      <c r="A2130" s="28"/>
      <c r="B2130" s="285"/>
      <c r="C2130" s="28"/>
      <c r="D2130" s="29"/>
      <c r="E2130" s="52"/>
      <c r="F2130" s="53"/>
      <c r="G2130" s="28"/>
    </row>
    <row r="2131" spans="1:10" ht="14.5" hidden="1" customHeight="1" outlineLevel="1">
      <c r="A2131" s="28"/>
      <c r="B2131" s="243"/>
      <c r="C2131" t="s">
        <v>1592</v>
      </c>
      <c r="D2131" s="55"/>
      <c r="E2131" s="56"/>
      <c r="F2131" s="57"/>
      <c r="G2131" s="28"/>
    </row>
    <row r="2132" spans="1:10" ht="14.5" hidden="1" customHeight="1" outlineLevel="1">
      <c r="A2132" s="28"/>
      <c r="B2132" s="243"/>
      <c r="C2132" s="211" t="s">
        <v>1593</v>
      </c>
      <c r="D2132" s="55"/>
      <c r="E2132" s="56"/>
      <c r="F2132" s="57"/>
      <c r="G2132" s="28"/>
      <c r="H2132" s="268" t="s">
        <v>2171</v>
      </c>
    </row>
    <row r="2133" spans="1:10" ht="14.5" hidden="1" customHeight="1" outlineLevel="1">
      <c r="A2133" s="28"/>
      <c r="B2133" s="243">
        <v>1</v>
      </c>
      <c r="C2133" t="s">
        <v>1594</v>
      </c>
      <c r="D2133" s="55">
        <v>0</v>
      </c>
      <c r="E2133" s="56">
        <v>38756</v>
      </c>
      <c r="F2133" s="212">
        <v>2.4305555555555556E-3</v>
      </c>
      <c r="G2133" s="28"/>
      <c r="H2133" s="293" t="s">
        <v>2170</v>
      </c>
      <c r="J2133" t="s">
        <v>2792</v>
      </c>
    </row>
    <row r="2134" spans="1:10" ht="14.5" hidden="1" customHeight="1" outlineLevel="1">
      <c r="A2134" s="28"/>
      <c r="B2134" s="243">
        <v>2</v>
      </c>
      <c r="C2134" t="s">
        <v>1595</v>
      </c>
      <c r="D2134" s="55">
        <v>0</v>
      </c>
      <c r="E2134" s="56">
        <v>38769</v>
      </c>
      <c r="F2134" s="212">
        <v>4.7453703703703703E-3</v>
      </c>
      <c r="G2134" s="28"/>
      <c r="H2134" s="293" t="s">
        <v>2170</v>
      </c>
      <c r="J2134" t="s">
        <v>2792</v>
      </c>
    </row>
    <row r="2135" spans="1:10" ht="14.5" hidden="1" customHeight="1" outlineLevel="1">
      <c r="A2135" s="28"/>
      <c r="B2135" s="243">
        <v>3</v>
      </c>
      <c r="C2135" t="s">
        <v>2172</v>
      </c>
      <c r="D2135" s="55">
        <v>0</v>
      </c>
      <c r="E2135" s="56">
        <v>38994</v>
      </c>
      <c r="F2135" s="57">
        <v>0</v>
      </c>
      <c r="G2135" s="28"/>
      <c r="J2135" t="s">
        <v>2792</v>
      </c>
    </row>
    <row r="2136" spans="1:10" ht="14.5" hidden="1" customHeight="1" outlineLevel="1">
      <c r="A2136" s="28"/>
      <c r="B2136" s="243"/>
      <c r="D2136" s="55"/>
      <c r="E2136" s="56"/>
      <c r="F2136" s="57"/>
      <c r="G2136" s="28"/>
    </row>
    <row r="2137" spans="1:10" ht="14.5" hidden="1" customHeight="1" outlineLevel="1">
      <c r="A2137" s="28"/>
      <c r="B2137" s="243"/>
      <c r="C2137" t="s">
        <v>2758</v>
      </c>
      <c r="D2137" s="55"/>
      <c r="E2137" s="56"/>
      <c r="F2137" s="57"/>
      <c r="G2137" s="28"/>
    </row>
    <row r="2138" spans="1:10" ht="14.5" hidden="1" customHeight="1" outlineLevel="1">
      <c r="A2138" s="28"/>
      <c r="B2138" s="243"/>
      <c r="C2138" s="211" t="s">
        <v>2757</v>
      </c>
      <c r="D2138" s="55"/>
      <c r="E2138" s="56"/>
      <c r="F2138" s="57"/>
      <c r="G2138" s="28"/>
    </row>
    <row r="2139" spans="1:10" ht="14.5" hidden="1" customHeight="1" outlineLevel="1">
      <c r="A2139" s="28"/>
      <c r="B2139" s="243">
        <v>4</v>
      </c>
      <c r="C2139" s="413" t="s">
        <v>2756</v>
      </c>
      <c r="D2139" s="55">
        <v>0</v>
      </c>
      <c r="E2139" s="56">
        <v>39021</v>
      </c>
      <c r="F2139" s="57">
        <v>1.7615740740740741E-2</v>
      </c>
      <c r="G2139" s="28"/>
      <c r="H2139" s="268" t="s">
        <v>2759</v>
      </c>
      <c r="J2139" t="s">
        <v>2793</v>
      </c>
    </row>
    <row r="2140" spans="1:10" ht="14.5" hidden="1" customHeight="1" outlineLevel="1">
      <c r="A2140" s="28"/>
      <c r="B2140" s="243"/>
      <c r="D2140" s="55"/>
      <c r="E2140" s="56"/>
      <c r="F2140" s="57"/>
      <c r="G2140" s="28"/>
    </row>
    <row r="2141" spans="1:10" ht="14.5" hidden="1" customHeight="1" outlineLevel="1">
      <c r="A2141" s="28"/>
      <c r="B2141" s="243"/>
      <c r="C2141" t="s">
        <v>2840</v>
      </c>
      <c r="D2141" s="55"/>
      <c r="E2141" s="56"/>
      <c r="F2141" s="57"/>
      <c r="G2141" s="28"/>
    </row>
    <row r="2142" spans="1:10" ht="14.5" hidden="1" customHeight="1" outlineLevel="1">
      <c r="A2142" s="28"/>
      <c r="B2142" s="243"/>
      <c r="C2142" s="211" t="s">
        <v>1918</v>
      </c>
      <c r="D2142" s="55"/>
      <c r="E2142" s="56"/>
      <c r="F2142" s="57"/>
      <c r="G2142" s="28"/>
      <c r="H2142" s="268" t="s">
        <v>2848</v>
      </c>
    </row>
    <row r="2143" spans="1:10" ht="14.5" hidden="1" customHeight="1" outlineLevel="1">
      <c r="A2143" s="28"/>
      <c r="B2143" s="243">
        <v>5</v>
      </c>
      <c r="C2143" s="412" t="s">
        <v>1590</v>
      </c>
      <c r="D2143" s="55">
        <v>0</v>
      </c>
      <c r="E2143" s="56">
        <v>39048</v>
      </c>
      <c r="F2143" s="212">
        <v>2.2615740740740742E-2</v>
      </c>
      <c r="G2143" s="28"/>
      <c r="J2143" t="s">
        <v>2794</v>
      </c>
    </row>
    <row r="2144" spans="1:10" ht="14.5" hidden="1" customHeight="1" outlineLevel="1">
      <c r="A2144" s="28"/>
      <c r="B2144" s="243">
        <v>6</v>
      </c>
      <c r="C2144" s="412" t="s">
        <v>1591</v>
      </c>
      <c r="D2144" s="55">
        <v>0</v>
      </c>
      <c r="E2144" s="56">
        <v>39100</v>
      </c>
      <c r="F2144" s="212">
        <v>1.9444444444444445E-2</v>
      </c>
      <c r="G2144" s="28"/>
      <c r="J2144" t="s">
        <v>2794</v>
      </c>
    </row>
    <row r="2145" spans="1:10" ht="14.5" hidden="1" customHeight="1" outlineLevel="1">
      <c r="A2145" s="28"/>
      <c r="B2145" s="243">
        <v>7</v>
      </c>
      <c r="C2145" s="412" t="s">
        <v>1589</v>
      </c>
      <c r="D2145" s="55">
        <v>0</v>
      </c>
      <c r="E2145" s="56">
        <v>39369</v>
      </c>
      <c r="F2145" s="212">
        <v>3.9907407407407412E-2</v>
      </c>
      <c r="G2145" s="28"/>
      <c r="J2145" t="s">
        <v>2794</v>
      </c>
    </row>
    <row r="2146" spans="1:10" ht="14.5" hidden="1" customHeight="1" outlineLevel="1">
      <c r="A2146" s="28"/>
      <c r="B2146" s="243"/>
      <c r="D2146" s="55"/>
      <c r="E2146" s="56"/>
      <c r="F2146" s="57"/>
      <c r="G2146" s="28"/>
    </row>
    <row r="2147" spans="1:10" ht="14.5" hidden="1" customHeight="1" outlineLevel="1">
      <c r="A2147" s="28"/>
      <c r="B2147" s="243"/>
      <c r="C2147" t="s">
        <v>2841</v>
      </c>
      <c r="D2147" s="55"/>
      <c r="E2147" s="56"/>
      <c r="F2147" s="57"/>
      <c r="G2147" s="28"/>
    </row>
    <row r="2148" spans="1:10" ht="14.5" hidden="1" customHeight="1" outlineLevel="1">
      <c r="A2148" s="28"/>
      <c r="B2148" s="243"/>
      <c r="C2148" s="211" t="s">
        <v>2837</v>
      </c>
      <c r="D2148" s="55"/>
      <c r="E2148" s="56"/>
      <c r="F2148" s="57"/>
      <c r="G2148" s="28"/>
    </row>
    <row r="2149" spans="1:10" ht="14.5" hidden="1" customHeight="1" outlineLevel="1">
      <c r="A2149" s="28"/>
      <c r="B2149" s="243">
        <v>8</v>
      </c>
      <c r="C2149" s="413" t="s">
        <v>2844</v>
      </c>
      <c r="D2149" s="55">
        <v>0</v>
      </c>
      <c r="E2149" s="56">
        <v>39397</v>
      </c>
      <c r="F2149" s="57">
        <v>1.0219907407407408E-2</v>
      </c>
      <c r="G2149" s="28"/>
      <c r="J2149" t="s">
        <v>2843</v>
      </c>
    </row>
    <row r="2150" spans="1:10" ht="14.5" hidden="1" customHeight="1" outlineLevel="1">
      <c r="A2150" s="28"/>
      <c r="B2150" s="243">
        <v>9</v>
      </c>
      <c r="C2150" s="413" t="s">
        <v>2838</v>
      </c>
      <c r="D2150" s="55">
        <v>0</v>
      </c>
      <c r="E2150" s="56">
        <v>39467</v>
      </c>
      <c r="F2150" s="57">
        <v>3.2037037037037037E-2</v>
      </c>
      <c r="G2150" s="28"/>
      <c r="J2150" t="s">
        <v>2843</v>
      </c>
    </row>
    <row r="2151" spans="1:10" ht="14.5" hidden="1" customHeight="1" outlineLevel="1">
      <c r="A2151" s="28"/>
      <c r="B2151" s="243">
        <v>10</v>
      </c>
      <c r="C2151" s="413" t="s">
        <v>2839</v>
      </c>
      <c r="D2151" s="55">
        <v>0</v>
      </c>
      <c r="E2151" s="56">
        <v>39502</v>
      </c>
      <c r="F2151" s="57">
        <v>3.3090277777777781E-2</v>
      </c>
      <c r="G2151" s="28"/>
      <c r="J2151" t="s">
        <v>2843</v>
      </c>
    </row>
    <row r="2152" spans="1:10" ht="14.5" hidden="1" customHeight="1" outlineLevel="1">
      <c r="A2152" s="28"/>
      <c r="B2152" s="243">
        <v>11</v>
      </c>
      <c r="C2152" s="413" t="s">
        <v>2842</v>
      </c>
      <c r="D2152" s="55">
        <v>0</v>
      </c>
      <c r="E2152" s="56">
        <v>39558</v>
      </c>
      <c r="F2152" s="57">
        <v>3.7743055555555557E-2</v>
      </c>
      <c r="G2152" s="28"/>
      <c r="J2152" t="s">
        <v>2843</v>
      </c>
    </row>
    <row r="2153" spans="1:10" ht="14.5" hidden="1" customHeight="1" outlineLevel="1">
      <c r="A2153" s="28"/>
      <c r="B2153" s="243"/>
      <c r="C2153" s="413"/>
      <c r="D2153" s="55"/>
      <c r="E2153" s="56"/>
      <c r="F2153" s="57"/>
      <c r="G2153" s="28"/>
    </row>
    <row r="2154" spans="1:10" ht="14.5" hidden="1" customHeight="1" outlineLevel="1">
      <c r="A2154" s="28"/>
      <c r="B2154" s="243"/>
      <c r="C2154" s="443" t="s">
        <v>2845</v>
      </c>
      <c r="D2154" s="55"/>
      <c r="E2154" s="59"/>
      <c r="F2154" s="60"/>
      <c r="G2154" s="28"/>
    </row>
    <row r="2155" spans="1:10" ht="14.5" hidden="1" customHeight="1" outlineLevel="1">
      <c r="A2155" s="28"/>
      <c r="B2155" s="243"/>
      <c r="C2155" s="58" t="s">
        <v>2849</v>
      </c>
      <c r="D2155" s="55"/>
      <c r="E2155" s="59"/>
      <c r="F2155" s="60"/>
      <c r="G2155" s="28"/>
    </row>
    <row r="2156" spans="1:10" ht="14.5" hidden="1" customHeight="1" outlineLevel="1">
      <c r="A2156" s="28"/>
      <c r="B2156" s="243">
        <v>12</v>
      </c>
      <c r="C2156" s="192" t="s">
        <v>2847</v>
      </c>
      <c r="D2156" s="55">
        <v>0</v>
      </c>
      <c r="E2156" s="59">
        <v>40098</v>
      </c>
      <c r="F2156" s="60">
        <v>2.7430555555555559E-3</v>
      </c>
      <c r="G2156" s="28"/>
      <c r="J2156" t="s">
        <v>2846</v>
      </c>
    </row>
    <row r="2157" spans="1:10" ht="14.5" hidden="1" customHeight="1" outlineLevel="1">
      <c r="A2157" s="28"/>
      <c r="B2157" s="243"/>
      <c r="C2157" s="413"/>
      <c r="D2157" s="55"/>
      <c r="E2157" s="56"/>
      <c r="F2157" s="57"/>
      <c r="G2157" s="28"/>
    </row>
    <row r="2158" spans="1:10" ht="14.5" hidden="1" customHeight="1" outlineLevel="1">
      <c r="A2158" s="28"/>
      <c r="B2158" s="243"/>
      <c r="C2158" t="s">
        <v>2777</v>
      </c>
      <c r="D2158" s="55"/>
      <c r="E2158" s="56"/>
      <c r="F2158" s="57"/>
      <c r="G2158" s="28"/>
    </row>
    <row r="2159" spans="1:10" ht="14.5" hidden="1" customHeight="1" outlineLevel="1">
      <c r="A2159" s="28"/>
      <c r="B2159" s="243"/>
      <c r="C2159" s="211" t="s">
        <v>2775</v>
      </c>
      <c r="D2159" s="55"/>
      <c r="E2159" s="56"/>
      <c r="F2159" s="57"/>
      <c r="G2159" s="28"/>
    </row>
    <row r="2160" spans="1:10" ht="14.5" hidden="1" customHeight="1" outlineLevel="1">
      <c r="A2160" s="28"/>
      <c r="B2160" s="243">
        <v>13</v>
      </c>
      <c r="C2160" s="413" t="s">
        <v>2776</v>
      </c>
      <c r="D2160" s="55">
        <v>0</v>
      </c>
      <c r="E2160" s="56">
        <v>40491</v>
      </c>
      <c r="F2160" s="57">
        <v>3.4953703703703705E-3</v>
      </c>
      <c r="G2160" s="28"/>
      <c r="J2160" t="s">
        <v>2795</v>
      </c>
    </row>
    <row r="2161" spans="1:10" ht="14.5" hidden="1" customHeight="1" outlineLevel="1">
      <c r="A2161" s="28"/>
      <c r="B2161" s="243">
        <v>14</v>
      </c>
      <c r="C2161" s="413" t="s">
        <v>2778</v>
      </c>
      <c r="D2161" s="55">
        <v>0</v>
      </c>
      <c r="E2161" s="56">
        <v>43660</v>
      </c>
      <c r="F2161" s="57">
        <v>1.5370370370370369E-2</v>
      </c>
      <c r="G2161" s="28"/>
      <c r="J2161" t="s">
        <v>2795</v>
      </c>
    </row>
    <row r="2162" spans="1:10" ht="14.5" hidden="1" customHeight="1" outlineLevel="1">
      <c r="A2162" s="28"/>
      <c r="B2162" s="243"/>
      <c r="D2162" s="55"/>
      <c r="E2162" s="56"/>
      <c r="F2162" s="57"/>
      <c r="G2162" s="28"/>
    </row>
    <row r="2163" spans="1:10" ht="14.5" hidden="1" customHeight="1" outlineLevel="1">
      <c r="A2163" s="28"/>
      <c r="B2163" s="243"/>
      <c r="C2163" t="s">
        <v>1736</v>
      </c>
      <c r="D2163" s="55"/>
      <c r="E2163" s="56"/>
      <c r="F2163" s="57"/>
      <c r="G2163" s="28"/>
    </row>
    <row r="2164" spans="1:10" ht="14.5" hidden="1" customHeight="1" outlineLevel="1">
      <c r="A2164" s="28"/>
      <c r="B2164" s="243"/>
      <c r="C2164" s="244" t="s">
        <v>1735</v>
      </c>
      <c r="D2164" s="55"/>
      <c r="E2164" s="56"/>
      <c r="F2164" s="57"/>
      <c r="G2164" s="28"/>
    </row>
    <row r="2165" spans="1:10" ht="14.5" hidden="1" customHeight="1" outlineLevel="1">
      <c r="A2165" s="28"/>
      <c r="B2165" s="243">
        <v>15</v>
      </c>
      <c r="C2165" s="413" t="s">
        <v>1734</v>
      </c>
      <c r="D2165" s="55">
        <v>0</v>
      </c>
      <c r="E2165" s="56">
        <v>41021</v>
      </c>
      <c r="F2165" s="57">
        <v>9.5312500000000008E-2</v>
      </c>
      <c r="G2165" s="28"/>
      <c r="J2165" t="s">
        <v>2796</v>
      </c>
    </row>
    <row r="2166" spans="1:10" ht="14.5" hidden="1" customHeight="1" outlineLevel="1">
      <c r="A2166" s="28"/>
      <c r="B2166" s="243"/>
      <c r="D2166" s="55"/>
      <c r="E2166" s="56"/>
      <c r="F2166" s="57"/>
      <c r="G2166" s="28"/>
    </row>
    <row r="2167" spans="1:10" ht="14.5" hidden="1" customHeight="1" outlineLevel="1">
      <c r="A2167" s="28"/>
      <c r="B2167" s="243"/>
      <c r="C2167" t="s">
        <v>1325</v>
      </c>
      <c r="D2167" s="55"/>
      <c r="E2167" s="59"/>
      <c r="F2167" s="59"/>
      <c r="G2167" s="28"/>
    </row>
    <row r="2168" spans="1:10" ht="14.5" hidden="1" customHeight="1" outlineLevel="1">
      <c r="A2168" s="28"/>
      <c r="B2168" s="243"/>
      <c r="C2168" s="58" t="s">
        <v>1322</v>
      </c>
      <c r="D2168" s="55"/>
      <c r="E2168" s="59"/>
      <c r="F2168" s="59"/>
      <c r="G2168" s="28"/>
    </row>
    <row r="2169" spans="1:10" ht="14.5" hidden="1" customHeight="1" outlineLevel="1">
      <c r="A2169" s="28"/>
      <c r="B2169" s="243">
        <v>16</v>
      </c>
      <c r="C2169" s="192" t="s">
        <v>1324</v>
      </c>
      <c r="D2169" s="55">
        <v>0</v>
      </c>
      <c r="E2169" s="59">
        <v>41371</v>
      </c>
      <c r="F2169" s="60">
        <v>8.369212962962963E-2</v>
      </c>
      <c r="G2169" s="28"/>
      <c r="J2169" t="s">
        <v>2797</v>
      </c>
    </row>
    <row r="2170" spans="1:10" ht="14.5" hidden="1" customHeight="1" outlineLevel="1">
      <c r="A2170" s="28"/>
      <c r="B2170" s="243">
        <v>17</v>
      </c>
      <c r="C2170" s="192" t="s">
        <v>1323</v>
      </c>
      <c r="D2170" s="55">
        <v>0</v>
      </c>
      <c r="E2170" s="59">
        <v>44124</v>
      </c>
      <c r="F2170" s="60">
        <v>7.7638888888888882E-2</v>
      </c>
      <c r="G2170" s="28"/>
      <c r="J2170" t="s">
        <v>2797</v>
      </c>
    </row>
    <row r="2171" spans="1:10" ht="14.5" hidden="1" customHeight="1" outlineLevel="1">
      <c r="A2171" s="28"/>
      <c r="B2171" s="243"/>
      <c r="D2171" s="55"/>
      <c r="E2171" s="56"/>
      <c r="F2171" s="57"/>
      <c r="G2171" s="28"/>
    </row>
    <row r="2172" spans="1:10" ht="14.5" hidden="1" customHeight="1" outlineLevel="1">
      <c r="A2172" s="28"/>
      <c r="B2172" s="243"/>
      <c r="C2172" s="66" t="s">
        <v>491</v>
      </c>
      <c r="D2172" s="55"/>
      <c r="E2172" s="56"/>
      <c r="F2172" s="57"/>
      <c r="G2172" s="28"/>
    </row>
    <row r="2173" spans="1:10" ht="14.5" hidden="1" customHeight="1" outlineLevel="1">
      <c r="A2173" s="28"/>
      <c r="B2173" s="243"/>
      <c r="C2173" s="58" t="s">
        <v>388</v>
      </c>
      <c r="D2173" s="55"/>
      <c r="E2173" s="59"/>
      <c r="F2173" s="60"/>
      <c r="G2173" s="28"/>
    </row>
    <row r="2174" spans="1:10" ht="14.5" hidden="1" customHeight="1" outlineLevel="1">
      <c r="A2174" s="28"/>
      <c r="B2174" s="243">
        <v>18</v>
      </c>
      <c r="C2174" s="192" t="s">
        <v>387</v>
      </c>
      <c r="D2174" s="55">
        <v>0</v>
      </c>
      <c r="E2174" s="59">
        <v>42424</v>
      </c>
      <c r="F2174" s="60">
        <v>0.12987268518518519</v>
      </c>
      <c r="G2174" s="28"/>
      <c r="J2174" t="s">
        <v>2798</v>
      </c>
    </row>
    <row r="2175" spans="1:10" ht="14.5" hidden="1" customHeight="1" outlineLevel="1">
      <c r="A2175" s="28"/>
      <c r="B2175" s="243"/>
      <c r="D2175" s="55"/>
      <c r="E2175" s="59"/>
      <c r="F2175" s="60"/>
      <c r="G2175" s="28"/>
    </row>
    <row r="2176" spans="1:10" ht="14.5" hidden="1" customHeight="1" outlineLevel="1">
      <c r="A2176" s="28"/>
      <c r="B2176" s="243"/>
      <c r="C2176" t="s">
        <v>1263</v>
      </c>
      <c r="D2176" s="55"/>
      <c r="E2176" s="59"/>
      <c r="F2176" s="60"/>
      <c r="G2176" s="28"/>
    </row>
    <row r="2177" spans="1:10" ht="14.5" hidden="1" customHeight="1" outlineLevel="1">
      <c r="A2177" s="28"/>
      <c r="B2177" s="243"/>
      <c r="C2177" s="58" t="s">
        <v>1262</v>
      </c>
      <c r="D2177" s="55"/>
      <c r="E2177" s="59"/>
      <c r="F2177" s="60"/>
      <c r="G2177" s="28"/>
    </row>
    <row r="2178" spans="1:10" ht="14.5" hidden="1" customHeight="1" outlineLevel="1">
      <c r="A2178" s="28"/>
      <c r="B2178" s="243">
        <v>19</v>
      </c>
      <c r="C2178" s="192" t="s">
        <v>1261</v>
      </c>
      <c r="D2178" s="55">
        <v>0</v>
      </c>
      <c r="E2178" s="59">
        <v>42728</v>
      </c>
      <c r="F2178" s="60">
        <v>3.8483796296296294E-2</v>
      </c>
      <c r="G2178" s="28"/>
      <c r="J2178" t="s">
        <v>2799</v>
      </c>
    </row>
    <row r="2179" spans="1:10" ht="14.5" hidden="1" customHeight="1" outlineLevel="1">
      <c r="A2179" s="28"/>
      <c r="B2179" s="243">
        <v>20</v>
      </c>
      <c r="C2179" s="192" t="s">
        <v>1305</v>
      </c>
      <c r="D2179" s="55">
        <v>0</v>
      </c>
      <c r="E2179" s="59">
        <v>42763</v>
      </c>
      <c r="F2179" s="60">
        <v>1.037037037037037E-2</v>
      </c>
      <c r="G2179" s="28"/>
      <c r="J2179" t="s">
        <v>2799</v>
      </c>
    </row>
    <row r="2180" spans="1:10" ht="14.5" hidden="1" customHeight="1" outlineLevel="1">
      <c r="A2180" s="28"/>
      <c r="B2180" s="243"/>
      <c r="D2180" s="55"/>
      <c r="E2180" s="59"/>
      <c r="F2180" s="60"/>
      <c r="G2180" s="28"/>
    </row>
    <row r="2181" spans="1:10" ht="14.5" hidden="1" customHeight="1" outlineLevel="1">
      <c r="A2181" s="28"/>
      <c r="B2181" s="243"/>
      <c r="C2181" s="54" t="s">
        <v>492</v>
      </c>
      <c r="D2181" s="55"/>
      <c r="E2181" s="59"/>
      <c r="F2181" s="60"/>
      <c r="G2181" s="28"/>
    </row>
    <row r="2182" spans="1:10" ht="14.5" hidden="1" customHeight="1" outlineLevel="1">
      <c r="A2182" s="28"/>
      <c r="B2182" s="243"/>
      <c r="C2182" s="411" t="s">
        <v>389</v>
      </c>
      <c r="D2182" s="55"/>
      <c r="E2182" s="59"/>
      <c r="F2182" s="60"/>
      <c r="G2182" s="28"/>
    </row>
    <row r="2183" spans="1:10" ht="14.5" hidden="1" customHeight="1" outlineLevel="1">
      <c r="A2183" s="28"/>
      <c r="B2183" s="243">
        <v>21</v>
      </c>
      <c r="C2183" s="192" t="s">
        <v>490</v>
      </c>
      <c r="D2183" s="55">
        <v>0</v>
      </c>
      <c r="E2183" s="59">
        <v>42870</v>
      </c>
      <c r="F2183" s="60">
        <v>5.6562499999999995E-2</v>
      </c>
      <c r="G2183" s="28"/>
      <c r="J2183" t="s">
        <v>2800</v>
      </c>
    </row>
    <row r="2184" spans="1:10" ht="14.5" hidden="1" customHeight="1" outlineLevel="1">
      <c r="A2184" s="28"/>
      <c r="B2184" s="243"/>
      <c r="C2184" s="89"/>
      <c r="D2184" s="55"/>
      <c r="E2184" s="59"/>
      <c r="F2184" s="60"/>
      <c r="G2184" s="28"/>
    </row>
    <row r="2185" spans="1:10" ht="14.5" hidden="1" customHeight="1" outlineLevel="1">
      <c r="A2185" s="28"/>
      <c r="B2185" s="243"/>
      <c r="C2185" s="54" t="s">
        <v>493</v>
      </c>
      <c r="D2185" s="55"/>
      <c r="E2185" s="59"/>
      <c r="F2185" s="60"/>
      <c r="G2185" s="28"/>
    </row>
    <row r="2186" spans="1:10" ht="14.5" hidden="1" customHeight="1" outlineLevel="1">
      <c r="A2186" s="28"/>
      <c r="B2186" s="243"/>
      <c r="C2186" s="411" t="s">
        <v>390</v>
      </c>
      <c r="D2186" s="55"/>
      <c r="E2186" s="59"/>
      <c r="F2186" s="60"/>
      <c r="G2186" s="28"/>
    </row>
    <row r="2187" spans="1:10" ht="14.5" hidden="1" customHeight="1" outlineLevel="1">
      <c r="A2187" s="28"/>
      <c r="B2187" s="243">
        <v>22</v>
      </c>
      <c r="C2187" s="192" t="s">
        <v>508</v>
      </c>
      <c r="D2187" s="55">
        <v>191</v>
      </c>
      <c r="E2187" s="59">
        <v>43163</v>
      </c>
      <c r="F2187" s="60">
        <v>7.4421296296296293E-3</v>
      </c>
      <c r="G2187" s="28"/>
      <c r="J2187" t="s">
        <v>1230</v>
      </c>
    </row>
    <row r="2188" spans="1:10" ht="14.5" hidden="1" customHeight="1" outlineLevel="1">
      <c r="A2188" s="28"/>
      <c r="B2188" s="243">
        <v>23</v>
      </c>
      <c r="C2188" s="192" t="s">
        <v>386</v>
      </c>
      <c r="D2188" s="55">
        <v>192</v>
      </c>
      <c r="E2188" s="59">
        <v>43190</v>
      </c>
      <c r="F2188" s="60">
        <v>8.8773148148148153E-3</v>
      </c>
      <c r="G2188" s="28"/>
      <c r="J2188" t="s">
        <v>1230</v>
      </c>
    </row>
    <row r="2189" spans="1:10" ht="14.5" hidden="1" customHeight="1" outlineLevel="1">
      <c r="A2189" s="28"/>
      <c r="B2189" s="243"/>
      <c r="C2189" s="61"/>
      <c r="D2189" s="55"/>
      <c r="E2189" s="59"/>
      <c r="F2189" s="60"/>
      <c r="G2189" s="28"/>
    </row>
    <row r="2190" spans="1:10" ht="14.5" hidden="1" customHeight="1" outlineLevel="1">
      <c r="A2190" s="28"/>
      <c r="B2190" s="243"/>
      <c r="C2190" s="89" t="s">
        <v>2022</v>
      </c>
      <c r="D2190" s="55"/>
      <c r="E2190" s="59"/>
      <c r="F2190" s="60"/>
      <c r="G2190" s="28"/>
    </row>
    <row r="2191" spans="1:10" hidden="1" outlineLevel="1">
      <c r="A2191" s="28"/>
      <c r="B2191" s="243"/>
      <c r="C2191" s="58" t="s">
        <v>2021</v>
      </c>
      <c r="D2191" s="55"/>
      <c r="E2191" s="59"/>
      <c r="F2191" s="60"/>
      <c r="G2191" s="28"/>
    </row>
    <row r="2192" spans="1:10" hidden="1" outlineLevel="1">
      <c r="A2192" s="28"/>
      <c r="B2192" s="243">
        <v>24</v>
      </c>
      <c r="C2192" s="192" t="s">
        <v>2020</v>
      </c>
      <c r="D2192" s="55">
        <v>0</v>
      </c>
      <c r="E2192" s="59">
        <v>43190</v>
      </c>
      <c r="F2192" s="60">
        <v>1.7696759259259259E-2</v>
      </c>
      <c r="G2192" s="28"/>
      <c r="J2192" t="s">
        <v>2801</v>
      </c>
    </row>
    <row r="2193" spans="1:10" hidden="1" outlineLevel="1">
      <c r="A2193" s="28"/>
      <c r="B2193" s="243"/>
      <c r="C2193" s="192"/>
      <c r="D2193" s="55"/>
      <c r="E2193" s="59"/>
      <c r="F2193" s="60"/>
      <c r="G2193" s="28"/>
    </row>
    <row r="2194" spans="1:10" hidden="1" outlineLevel="1">
      <c r="A2194" s="28"/>
      <c r="B2194" s="243"/>
      <c r="C2194" s="443" t="s">
        <v>2829</v>
      </c>
      <c r="D2194" s="55"/>
      <c r="E2194" s="59"/>
      <c r="F2194" s="60"/>
      <c r="G2194" s="28"/>
    </row>
    <row r="2195" spans="1:10" hidden="1" outlineLevel="1">
      <c r="A2195" s="28"/>
      <c r="B2195" s="243"/>
      <c r="C2195" s="58" t="s">
        <v>2830</v>
      </c>
      <c r="D2195" s="55"/>
      <c r="E2195" s="59"/>
      <c r="F2195" s="60"/>
      <c r="G2195" s="28"/>
    </row>
    <row r="2196" spans="1:10" hidden="1" outlineLevel="1">
      <c r="A2196" s="28"/>
      <c r="B2196" s="243">
        <v>25</v>
      </c>
      <c r="C2196" s="192" t="s">
        <v>2828</v>
      </c>
      <c r="D2196" s="55">
        <v>0</v>
      </c>
      <c r="E2196" s="59">
        <v>43385</v>
      </c>
      <c r="F2196" s="60">
        <v>2.8472222222222219E-3</v>
      </c>
      <c r="G2196" s="28"/>
      <c r="J2196" t="s">
        <v>2831</v>
      </c>
    </row>
    <row r="2197" spans="1:10" hidden="1" outlineLevel="1">
      <c r="A2197" s="28"/>
      <c r="B2197" s="243">
        <v>26</v>
      </c>
      <c r="C2197" s="192" t="s">
        <v>2828</v>
      </c>
      <c r="D2197" s="55">
        <v>0</v>
      </c>
      <c r="E2197" s="59">
        <v>44116</v>
      </c>
      <c r="F2197" s="60">
        <v>2.8009259259259259E-3</v>
      </c>
      <c r="G2197" s="28"/>
      <c r="J2197" t="s">
        <v>2831</v>
      </c>
    </row>
    <row r="2198" spans="1:10" hidden="1" outlineLevel="1">
      <c r="A2198" s="28"/>
      <c r="B2198" s="243"/>
      <c r="C2198" s="61"/>
      <c r="D2198" s="55"/>
      <c r="E2198" s="59"/>
      <c r="F2198" s="60"/>
      <c r="G2198" s="28"/>
    </row>
    <row r="2199" spans="1:10" hidden="1" outlineLevel="1">
      <c r="A2199" s="28"/>
      <c r="B2199" s="243"/>
      <c r="C2199" s="89" t="s">
        <v>884</v>
      </c>
      <c r="D2199" s="55"/>
      <c r="E2199" s="59"/>
      <c r="F2199" s="60"/>
      <c r="G2199" s="28"/>
    </row>
    <row r="2200" spans="1:10" hidden="1" outlineLevel="1">
      <c r="A2200" s="28"/>
      <c r="B2200" s="243"/>
      <c r="C2200" s="411" t="s">
        <v>631</v>
      </c>
      <c r="D2200" s="55"/>
      <c r="E2200" s="59"/>
      <c r="F2200" s="60"/>
      <c r="G2200" s="28"/>
    </row>
    <row r="2201" spans="1:10" hidden="1" outlineLevel="1">
      <c r="A2201" s="28"/>
      <c r="B2201" s="243">
        <v>27</v>
      </c>
      <c r="C2201" s="192" t="s">
        <v>630</v>
      </c>
      <c r="D2201" s="55">
        <v>0</v>
      </c>
      <c r="E2201" s="59">
        <v>43725</v>
      </c>
      <c r="F2201" s="60">
        <v>4.4224537037037041E-2</v>
      </c>
      <c r="G2201" s="28"/>
      <c r="J2201" t="s">
        <v>2802</v>
      </c>
    </row>
    <row r="2202" spans="1:10" hidden="1" outlineLevel="1">
      <c r="A2202" s="28"/>
      <c r="B2202" s="243"/>
      <c r="C2202" s="89"/>
      <c r="D2202" s="55"/>
      <c r="E2202" s="59"/>
      <c r="F2202" s="60"/>
      <c r="G2202" s="28"/>
    </row>
    <row r="2203" spans="1:10" hidden="1" outlineLevel="1">
      <c r="A2203" s="28"/>
      <c r="B2203" s="243"/>
      <c r="C2203" s="89" t="s">
        <v>1764</v>
      </c>
      <c r="D2203" s="55"/>
      <c r="E2203" s="59"/>
      <c r="F2203" s="60"/>
      <c r="G2203" s="28"/>
    </row>
    <row r="2204" spans="1:10" hidden="1" outlineLevel="1">
      <c r="A2204" s="28"/>
      <c r="B2204" s="243"/>
      <c r="C2204" s="58" t="s">
        <v>1763</v>
      </c>
      <c r="D2204" s="55"/>
      <c r="E2204" s="59"/>
      <c r="F2204" s="60"/>
      <c r="G2204" s="28"/>
    </row>
    <row r="2205" spans="1:10" hidden="1" outlineLevel="1">
      <c r="A2205" s="28"/>
      <c r="B2205" s="243">
        <v>28</v>
      </c>
      <c r="C2205" s="192" t="s">
        <v>1762</v>
      </c>
      <c r="D2205" s="55">
        <v>0</v>
      </c>
      <c r="E2205" s="59">
        <v>43884</v>
      </c>
      <c r="F2205" s="60">
        <v>8.3333333333333332E-3</v>
      </c>
      <c r="G2205" s="28"/>
      <c r="J2205" t="s">
        <v>2803</v>
      </c>
    </row>
    <row r="2206" spans="1:10" hidden="1" outlineLevel="1">
      <c r="A2206" s="28"/>
      <c r="B2206" s="243"/>
      <c r="C2206" s="89"/>
      <c r="D2206" s="55"/>
      <c r="E2206" s="59"/>
      <c r="F2206" s="60"/>
      <c r="G2206" s="28"/>
    </row>
    <row r="2207" spans="1:10" hidden="1" outlineLevel="1">
      <c r="A2207" s="28"/>
      <c r="B2207" s="243"/>
      <c r="C2207" s="89" t="s">
        <v>1730</v>
      </c>
      <c r="D2207" s="55"/>
      <c r="E2207" s="59"/>
      <c r="F2207" s="60"/>
      <c r="G2207" s="28"/>
    </row>
    <row r="2208" spans="1:10" hidden="1" outlineLevel="1">
      <c r="A2208" s="28"/>
      <c r="B2208" s="243"/>
      <c r="C2208" s="58" t="s">
        <v>1732</v>
      </c>
      <c r="D2208" s="55"/>
      <c r="E2208" s="59"/>
      <c r="F2208" s="60"/>
      <c r="G2208" s="28"/>
    </row>
    <row r="2209" spans="1:11" hidden="1" outlineLevel="1">
      <c r="A2209" s="28"/>
      <c r="B2209" s="243">
        <v>29</v>
      </c>
      <c r="C2209" s="192" t="s">
        <v>1753</v>
      </c>
      <c r="D2209" s="55">
        <v>0</v>
      </c>
      <c r="E2209" s="59">
        <v>43963</v>
      </c>
      <c r="F2209" s="60">
        <v>2.5150462962962961E-2</v>
      </c>
      <c r="G2209" s="28"/>
      <c r="J2209" t="s">
        <v>2804</v>
      </c>
    </row>
    <row r="2210" spans="1:11" hidden="1" outlineLevel="1">
      <c r="A2210" s="28"/>
      <c r="B2210" s="243">
        <v>30</v>
      </c>
      <c r="C2210" s="192" t="s">
        <v>1731</v>
      </c>
      <c r="D2210" s="55">
        <v>0</v>
      </c>
      <c r="E2210" s="59">
        <v>43977</v>
      </c>
      <c r="F2210" s="60">
        <v>2.3182870370370371E-2</v>
      </c>
      <c r="G2210" s="28"/>
      <c r="J2210" t="s">
        <v>2804</v>
      </c>
    </row>
    <row r="2211" spans="1:11" hidden="1" outlineLevel="1">
      <c r="A2211" s="28"/>
      <c r="B2211" s="243"/>
      <c r="C2211" s="89"/>
      <c r="D2211" s="55"/>
      <c r="E2211" s="59"/>
      <c r="F2211" s="60"/>
      <c r="G2211" s="28"/>
    </row>
    <row r="2212" spans="1:11" hidden="1" outlineLevel="1">
      <c r="A2212" s="28"/>
      <c r="B2212" s="243"/>
      <c r="C2212" s="89" t="s">
        <v>2011</v>
      </c>
      <c r="D2212" s="55"/>
      <c r="E2212" s="59"/>
      <c r="F2212" s="60"/>
      <c r="G2212" s="28"/>
    </row>
    <row r="2213" spans="1:11" hidden="1" outlineLevel="1">
      <c r="A2213" s="28"/>
      <c r="B2213" s="243"/>
      <c r="C2213" s="58" t="s">
        <v>2009</v>
      </c>
      <c r="D2213" s="55"/>
      <c r="E2213" s="59"/>
      <c r="F2213" s="60"/>
      <c r="G2213" s="28"/>
    </row>
    <row r="2214" spans="1:11" hidden="1" outlineLevel="1">
      <c r="A2214" s="28"/>
      <c r="B2214" s="243">
        <v>31</v>
      </c>
      <c r="C2214" s="192" t="s">
        <v>2007</v>
      </c>
      <c r="D2214" s="55">
        <v>0</v>
      </c>
      <c r="E2214" s="59">
        <v>44000</v>
      </c>
      <c r="F2214" s="60">
        <v>1.4849537037037036E-2</v>
      </c>
      <c r="G2214" s="28"/>
      <c r="J2214" t="s">
        <v>2805</v>
      </c>
    </row>
    <row r="2215" spans="1:11" hidden="1" outlineLevel="1">
      <c r="A2215" s="28"/>
      <c r="B2215" s="243">
        <v>32</v>
      </c>
      <c r="C2215" s="192" t="s">
        <v>2010</v>
      </c>
      <c r="D2215" s="55">
        <v>0</v>
      </c>
      <c r="E2215" s="59">
        <v>44026</v>
      </c>
      <c r="F2215" s="60">
        <v>1.8657407407407407E-2</v>
      </c>
      <c r="G2215" s="28"/>
      <c r="J2215" t="s">
        <v>2805</v>
      </c>
    </row>
    <row r="2216" spans="1:11" hidden="1" outlineLevel="1">
      <c r="A2216" s="28"/>
      <c r="B2216" s="243">
        <v>33</v>
      </c>
      <c r="C2216" s="192" t="s">
        <v>2008</v>
      </c>
      <c r="D2216" s="55">
        <v>0</v>
      </c>
      <c r="E2216" s="59">
        <v>44075</v>
      </c>
      <c r="F2216" s="60">
        <v>2.2615740740740742E-2</v>
      </c>
      <c r="G2216" s="28"/>
      <c r="J2216" t="s">
        <v>2805</v>
      </c>
    </row>
    <row r="2217" spans="1:11" hidden="1" outlineLevel="1">
      <c r="A2217" s="28"/>
      <c r="B2217" s="243"/>
      <c r="C2217" s="89"/>
      <c r="D2217" s="55"/>
      <c r="E2217" s="59"/>
      <c r="F2217" s="60"/>
      <c r="G2217" s="28"/>
    </row>
    <row r="2218" spans="1:11" hidden="1" outlineLevel="1">
      <c r="A2218" s="28"/>
      <c r="B2218" s="243"/>
      <c r="C2218" s="89" t="s">
        <v>1572</v>
      </c>
      <c r="D2218" s="55"/>
      <c r="E2218" s="59"/>
      <c r="F2218" s="60"/>
      <c r="G2218" s="28"/>
    </row>
    <row r="2219" spans="1:11" hidden="1" outlineLevel="1">
      <c r="A2219" s="28"/>
      <c r="B2219" s="243"/>
      <c r="C2219" s="58" t="s">
        <v>1405</v>
      </c>
      <c r="D2219" s="55"/>
      <c r="E2219" s="59"/>
      <c r="F2219" s="60"/>
      <c r="G2219" s="28"/>
    </row>
    <row r="2220" spans="1:11" hidden="1" outlineLevel="1">
      <c r="A2220" s="28"/>
      <c r="B2220" s="243">
        <v>34</v>
      </c>
      <c r="C2220" s="192" t="s">
        <v>1406</v>
      </c>
      <c r="D2220" s="55">
        <v>205</v>
      </c>
      <c r="E2220" s="59">
        <v>44001</v>
      </c>
      <c r="F2220" s="60">
        <v>2.0405092592592593E-2</v>
      </c>
      <c r="G2220" s="28"/>
      <c r="J2220" t="s">
        <v>1407</v>
      </c>
    </row>
    <row r="2221" spans="1:11" hidden="1" outlineLevel="1">
      <c r="A2221" s="28"/>
      <c r="B2221" s="243"/>
      <c r="C2221" s="89"/>
      <c r="D2221" s="55"/>
      <c r="E2221" s="59"/>
      <c r="F2221" s="60"/>
      <c r="G2221" s="28"/>
      <c r="K2221" s="265"/>
    </row>
    <row r="2222" spans="1:11" hidden="1" outlineLevel="1">
      <c r="A2222" s="28"/>
      <c r="B2222" s="243"/>
      <c r="C2222" s="89" t="s">
        <v>1602</v>
      </c>
      <c r="D2222" s="55"/>
      <c r="E2222" s="59"/>
      <c r="F2222" s="60"/>
      <c r="G2222" s="28"/>
    </row>
    <row r="2223" spans="1:11" hidden="1" outlineLevel="1">
      <c r="A2223" s="28"/>
      <c r="B2223" s="243"/>
      <c r="C2223" s="58" t="s">
        <v>1601</v>
      </c>
      <c r="D2223" s="55"/>
      <c r="E2223" s="59"/>
      <c r="F2223" s="60"/>
      <c r="G2223" s="28"/>
    </row>
    <row r="2224" spans="1:11" hidden="1" outlineLevel="1">
      <c r="A2224" s="28"/>
      <c r="B2224" s="243">
        <v>35</v>
      </c>
      <c r="C2224" s="192" t="s">
        <v>1603</v>
      </c>
      <c r="D2224" s="55">
        <v>0</v>
      </c>
      <c r="E2224" s="59">
        <v>44111</v>
      </c>
      <c r="F2224" s="60">
        <v>6.368055555555556E-2</v>
      </c>
      <c r="G2224" s="28"/>
      <c r="J2224" t="s">
        <v>2806</v>
      </c>
    </row>
    <row r="2225" spans="1:10" hidden="1" outlineLevel="1">
      <c r="A2225" s="28"/>
      <c r="B2225" s="243">
        <v>36</v>
      </c>
      <c r="C2225" s="192" t="s">
        <v>1604</v>
      </c>
      <c r="D2225" s="55">
        <v>0</v>
      </c>
      <c r="E2225" s="59">
        <v>44139</v>
      </c>
      <c r="F2225" s="60">
        <v>4.8773148148148149E-2</v>
      </c>
      <c r="G2225" s="28"/>
      <c r="J2225" t="s">
        <v>2806</v>
      </c>
    </row>
    <row r="2226" spans="1:10" hidden="1" outlineLevel="1">
      <c r="A2226" s="28"/>
      <c r="B2226" s="243">
        <v>37</v>
      </c>
      <c r="C2226" s="192" t="s">
        <v>1605</v>
      </c>
      <c r="D2226" s="55">
        <v>0</v>
      </c>
      <c r="E2226" s="59">
        <v>44244</v>
      </c>
      <c r="F2226" s="60">
        <v>5.7800925925925929E-2</v>
      </c>
      <c r="G2226" s="28"/>
      <c r="J2226" t="s">
        <v>2806</v>
      </c>
    </row>
    <row r="2227" spans="1:10" hidden="1" outlineLevel="1">
      <c r="A2227" s="28"/>
      <c r="B2227" s="243">
        <v>38</v>
      </c>
      <c r="C2227" s="192" t="s">
        <v>1796</v>
      </c>
      <c r="D2227" s="581">
        <v>0</v>
      </c>
      <c r="E2227" s="582">
        <v>44356</v>
      </c>
      <c r="F2227" s="313">
        <v>4.3657407407407402E-2</v>
      </c>
      <c r="G2227" s="28"/>
      <c r="J2227" t="s">
        <v>2806</v>
      </c>
    </row>
    <row r="2228" spans="1:10" hidden="1" outlineLevel="1">
      <c r="A2228" s="28"/>
      <c r="B2228" s="243">
        <v>39</v>
      </c>
      <c r="C2228" s="192" t="s">
        <v>1907</v>
      </c>
      <c r="D2228" s="581">
        <v>0</v>
      </c>
      <c r="E2228" s="582">
        <v>44370</v>
      </c>
      <c r="F2228" s="313">
        <v>4.927083333333334E-2</v>
      </c>
      <c r="G2228" s="28"/>
      <c r="J2228" t="s">
        <v>2806</v>
      </c>
    </row>
    <row r="2229" spans="1:10" hidden="1" outlineLevel="1">
      <c r="A2229" s="28"/>
      <c r="B2229" s="243">
        <v>40</v>
      </c>
      <c r="C2229" s="192" t="s">
        <v>3038</v>
      </c>
      <c r="D2229" s="581">
        <v>0</v>
      </c>
      <c r="E2229" s="582">
        <v>44776</v>
      </c>
      <c r="F2229" s="313">
        <v>4.6666666666666669E-2</v>
      </c>
      <c r="G2229" s="28"/>
      <c r="J2229" t="s">
        <v>2806</v>
      </c>
    </row>
    <row r="2230" spans="1:10" hidden="1" outlineLevel="1">
      <c r="A2230" s="28"/>
      <c r="B2230" s="243">
        <v>41</v>
      </c>
      <c r="C2230" s="192" t="s">
        <v>3039</v>
      </c>
      <c r="D2230" s="581">
        <v>0</v>
      </c>
      <c r="E2230" s="582">
        <v>44804</v>
      </c>
      <c r="F2230" s="313">
        <v>4.9328703703703701E-2</v>
      </c>
      <c r="G2230" s="28"/>
      <c r="J2230" t="s">
        <v>2806</v>
      </c>
    </row>
    <row r="2231" spans="1:10" hidden="1" outlineLevel="1">
      <c r="A2231" s="28"/>
      <c r="B2231" s="243">
        <v>42</v>
      </c>
      <c r="C2231" s="192" t="s">
        <v>3786</v>
      </c>
      <c r="D2231" s="581">
        <v>0</v>
      </c>
      <c r="E2231" s="582">
        <v>44846</v>
      </c>
      <c r="F2231" s="313">
        <v>5.2592592592592587E-2</v>
      </c>
      <c r="G2231" s="28"/>
      <c r="J2231" t="s">
        <v>2806</v>
      </c>
    </row>
    <row r="2232" spans="1:10" hidden="1" outlineLevel="1">
      <c r="A2232" s="28"/>
      <c r="B2232" s="243">
        <v>43</v>
      </c>
      <c r="C2232" s="192" t="s">
        <v>3787</v>
      </c>
      <c r="D2232" s="581">
        <v>0</v>
      </c>
      <c r="E2232" s="582">
        <v>44860</v>
      </c>
      <c r="F2232" s="313">
        <v>3.0949074074074077E-2</v>
      </c>
      <c r="G2232" s="28"/>
      <c r="J2232" t="s">
        <v>2806</v>
      </c>
    </row>
    <row r="2233" spans="1:10" hidden="1" outlineLevel="1">
      <c r="A2233" s="28"/>
      <c r="B2233" s="243"/>
      <c r="C2233" s="89"/>
      <c r="D2233" s="55"/>
      <c r="E2233" s="59"/>
      <c r="F2233" s="60"/>
      <c r="G2233" s="28"/>
    </row>
    <row r="2234" spans="1:10" hidden="1" outlineLevel="1">
      <c r="A2234" s="28"/>
      <c r="B2234" s="243"/>
      <c r="C2234" s="89" t="s">
        <v>1742</v>
      </c>
      <c r="D2234" s="55"/>
      <c r="E2234" s="59"/>
      <c r="F2234" s="60"/>
      <c r="G2234" s="28"/>
    </row>
    <row r="2235" spans="1:10" hidden="1" outlineLevel="1">
      <c r="A2235" s="28"/>
      <c r="B2235" s="243"/>
      <c r="C2235" s="58" t="s">
        <v>1740</v>
      </c>
      <c r="D2235" s="55"/>
      <c r="E2235" s="59"/>
      <c r="F2235" s="60"/>
      <c r="G2235" s="28"/>
    </row>
    <row r="2236" spans="1:10" hidden="1" outlineLevel="1">
      <c r="A2236" s="28"/>
      <c r="B2236" s="243">
        <v>44</v>
      </c>
      <c r="C2236" s="192" t="s">
        <v>1741</v>
      </c>
      <c r="D2236" s="55">
        <v>0</v>
      </c>
      <c r="E2236" s="59">
        <v>44125</v>
      </c>
      <c r="F2236" s="60">
        <v>4.2476851851851851E-3</v>
      </c>
      <c r="G2236" s="28"/>
      <c r="J2236" t="s">
        <v>2807</v>
      </c>
    </row>
    <row r="2237" spans="1:10" hidden="1" outlineLevel="1">
      <c r="A2237" s="28"/>
      <c r="B2237" s="243"/>
      <c r="C2237" s="89"/>
      <c r="D2237" s="55"/>
      <c r="E2237" s="59"/>
      <c r="F2237" s="60"/>
      <c r="G2237" s="28"/>
    </row>
    <row r="2238" spans="1:10" hidden="1" outlineLevel="1">
      <c r="A2238" s="28"/>
      <c r="B2238" s="243"/>
      <c r="C2238" s="89" t="s">
        <v>1752</v>
      </c>
      <c r="D2238" s="55"/>
      <c r="E2238" s="59"/>
      <c r="F2238" s="60"/>
      <c r="G2238" s="28"/>
    </row>
    <row r="2239" spans="1:10" hidden="1" outlineLevel="1">
      <c r="A2239" s="28"/>
      <c r="B2239" s="243"/>
      <c r="C2239" s="58" t="s">
        <v>1751</v>
      </c>
      <c r="D2239" s="55"/>
      <c r="E2239" s="59"/>
      <c r="F2239" s="60"/>
      <c r="G2239" s="28"/>
    </row>
    <row r="2240" spans="1:10" hidden="1" outlineLevel="1">
      <c r="A2240" s="28"/>
      <c r="B2240" s="243">
        <v>45</v>
      </c>
      <c r="C2240" s="192" t="s">
        <v>1750</v>
      </c>
      <c r="D2240" s="55">
        <v>0</v>
      </c>
      <c r="E2240" s="59">
        <v>44164</v>
      </c>
      <c r="F2240" s="60">
        <v>3.3136574074074075E-2</v>
      </c>
      <c r="G2240" s="28"/>
      <c r="J2240" t="s">
        <v>2808</v>
      </c>
    </row>
    <row r="2241" spans="1:10" hidden="1" outlineLevel="1">
      <c r="A2241" s="28"/>
      <c r="B2241" s="243"/>
      <c r="C2241" s="89"/>
      <c r="D2241" s="55"/>
      <c r="E2241" s="59"/>
      <c r="F2241" s="60"/>
      <c r="G2241" s="28"/>
    </row>
    <row r="2242" spans="1:10" hidden="1" outlineLevel="1">
      <c r="A2242" s="28"/>
      <c r="B2242" s="243"/>
      <c r="C2242" s="89" t="s">
        <v>1573</v>
      </c>
      <c r="D2242" s="55"/>
      <c r="E2242" s="59"/>
      <c r="F2242" s="60"/>
      <c r="G2242" s="28"/>
    </row>
    <row r="2243" spans="1:10" hidden="1" outlineLevel="1">
      <c r="A2243" s="28"/>
      <c r="B2243" s="243"/>
      <c r="C2243" s="58" t="s">
        <v>1576</v>
      </c>
      <c r="D2243" s="55"/>
      <c r="E2243" s="59"/>
      <c r="F2243" s="60"/>
      <c r="G2243" s="28"/>
    </row>
    <row r="2244" spans="1:10" hidden="1" outlineLevel="1">
      <c r="A2244" s="28"/>
      <c r="B2244" s="243">
        <v>46</v>
      </c>
      <c r="C2244" s="192" t="s">
        <v>1575</v>
      </c>
      <c r="D2244" s="55">
        <v>202</v>
      </c>
      <c r="E2244" s="59">
        <v>44171</v>
      </c>
      <c r="F2244" s="60">
        <v>4.0590277777777781E-2</v>
      </c>
      <c r="G2244" s="28"/>
      <c r="J2244" t="s">
        <v>1607</v>
      </c>
    </row>
    <row r="2245" spans="1:10" hidden="1" outlineLevel="1">
      <c r="A2245" s="28"/>
      <c r="B2245" s="243">
        <v>47</v>
      </c>
      <c r="C2245" s="192" t="s">
        <v>1574</v>
      </c>
      <c r="D2245" s="191" t="s">
        <v>2616</v>
      </c>
      <c r="E2245" s="59">
        <v>44185</v>
      </c>
      <c r="F2245" s="60">
        <v>5.2546296296296292E-2</v>
      </c>
      <c r="G2245" s="28"/>
      <c r="J2245" t="s">
        <v>1607</v>
      </c>
    </row>
    <row r="2246" spans="1:10" hidden="1" outlineLevel="1">
      <c r="A2246" s="28"/>
      <c r="B2246" s="243"/>
      <c r="C2246" s="61"/>
      <c r="D2246" s="55"/>
      <c r="E2246" s="59"/>
      <c r="F2246" s="60"/>
      <c r="G2246" s="28"/>
    </row>
    <row r="2247" spans="1:10" hidden="1" outlineLevel="1">
      <c r="A2247" s="28"/>
      <c r="B2247" s="243"/>
      <c r="C2247" s="89" t="s">
        <v>2002</v>
      </c>
      <c r="D2247" s="55"/>
      <c r="E2247" s="59"/>
      <c r="F2247" s="60"/>
      <c r="G2247" s="28"/>
    </row>
    <row r="2248" spans="1:10" hidden="1" outlineLevel="1">
      <c r="A2248" s="28"/>
      <c r="B2248" s="243"/>
      <c r="C2248" s="58" t="s">
        <v>1597</v>
      </c>
      <c r="D2248" s="55"/>
      <c r="E2248" s="59"/>
      <c r="F2248" s="60"/>
      <c r="G2248" s="28"/>
    </row>
    <row r="2249" spans="1:10" hidden="1" outlineLevel="1">
      <c r="A2249" s="28"/>
      <c r="B2249" s="243">
        <v>48</v>
      </c>
      <c r="C2249" s="192" t="s">
        <v>1577</v>
      </c>
      <c r="D2249" s="55">
        <v>0</v>
      </c>
      <c r="E2249" s="59">
        <v>44248</v>
      </c>
      <c r="F2249" s="60">
        <v>9.0474537037037048E-2</v>
      </c>
      <c r="G2249" s="28"/>
      <c r="J2249" t="s">
        <v>2809</v>
      </c>
    </row>
    <row r="2250" spans="1:10" hidden="1" outlineLevel="1">
      <c r="A2250" s="28"/>
      <c r="B2250" s="243"/>
      <c r="C2250" s="61"/>
      <c r="D2250" s="55"/>
      <c r="E2250" s="59"/>
      <c r="F2250" s="60"/>
      <c r="G2250" s="28"/>
    </row>
    <row r="2251" spans="1:10" hidden="1" outlineLevel="1">
      <c r="A2251" s="28"/>
      <c r="B2251" s="243"/>
      <c r="C2251" s="89" t="s">
        <v>2742</v>
      </c>
      <c r="D2251" s="55"/>
      <c r="E2251" s="59"/>
      <c r="F2251" s="60"/>
      <c r="G2251" s="28"/>
    </row>
    <row r="2252" spans="1:10" hidden="1" outlineLevel="1">
      <c r="A2252" s="28"/>
      <c r="B2252" s="243"/>
      <c r="C2252" s="411" t="s">
        <v>1924</v>
      </c>
      <c r="D2252" s="55"/>
      <c r="E2252" s="59"/>
      <c r="F2252" s="60"/>
      <c r="G2252" s="28"/>
    </row>
    <row r="2253" spans="1:10" hidden="1" outlineLevel="1">
      <c r="A2253" s="28"/>
      <c r="B2253" s="243">
        <v>49</v>
      </c>
      <c r="C2253" s="192" t="s">
        <v>1923</v>
      </c>
      <c r="D2253" s="55">
        <v>0</v>
      </c>
      <c r="E2253" s="59">
        <v>44365</v>
      </c>
      <c r="F2253" s="60">
        <v>3.4618055555555555E-2</v>
      </c>
      <c r="G2253" s="28"/>
      <c r="J2253" t="s">
        <v>2810</v>
      </c>
    </row>
    <row r="2254" spans="1:10" hidden="1" outlineLevel="1">
      <c r="A2254" s="28"/>
      <c r="B2254" s="243"/>
      <c r="C2254" s="61"/>
      <c r="D2254" s="55"/>
      <c r="E2254" s="59"/>
      <c r="F2254" s="60"/>
      <c r="G2254" s="28"/>
    </row>
    <row r="2255" spans="1:10" hidden="1" outlineLevel="1">
      <c r="A2255" s="28"/>
      <c r="B2255" s="243"/>
      <c r="C2255" s="89" t="s">
        <v>2743</v>
      </c>
      <c r="D2255" s="55"/>
      <c r="E2255" s="59"/>
      <c r="F2255" s="60"/>
      <c r="G2255" s="28"/>
    </row>
    <row r="2256" spans="1:10" hidden="1" outlineLevel="1">
      <c r="A2256" s="28"/>
      <c r="B2256" s="243"/>
      <c r="C2256" s="411" t="s">
        <v>1925</v>
      </c>
      <c r="D2256" s="55"/>
      <c r="E2256" s="59"/>
      <c r="F2256" s="60"/>
      <c r="G2256" s="28"/>
    </row>
    <row r="2257" spans="1:10" hidden="1" outlineLevel="1">
      <c r="A2257" s="28"/>
      <c r="B2257" s="243">
        <v>50</v>
      </c>
      <c r="C2257" s="192" t="s">
        <v>1904</v>
      </c>
      <c r="D2257" s="55">
        <v>0</v>
      </c>
      <c r="E2257" s="59">
        <v>44446</v>
      </c>
      <c r="F2257" s="60">
        <v>8.5995370370370375E-2</v>
      </c>
      <c r="G2257" s="28"/>
      <c r="J2257" t="s">
        <v>2811</v>
      </c>
    </row>
    <row r="2258" spans="1:10" hidden="1" outlineLevel="1">
      <c r="A2258" s="28"/>
      <c r="B2258" s="243"/>
      <c r="C2258" s="192"/>
      <c r="D2258" s="55"/>
      <c r="E2258" s="59"/>
      <c r="F2258" s="60"/>
      <c r="G2258" s="28"/>
    </row>
    <row r="2259" spans="1:10" hidden="1" outlineLevel="1">
      <c r="A2259" s="28"/>
      <c r="B2259" s="243"/>
      <c r="C2259" s="443" t="s">
        <v>3729</v>
      </c>
      <c r="D2259" s="55"/>
      <c r="E2259" s="59"/>
      <c r="F2259" s="60"/>
      <c r="G2259" s="28"/>
    </row>
    <row r="2260" spans="1:10" hidden="1" outlineLevel="1">
      <c r="A2260" s="28"/>
      <c r="B2260" s="243"/>
      <c r="C2260" s="58" t="s">
        <v>3709</v>
      </c>
      <c r="D2260" s="55"/>
      <c r="E2260" s="575" t="s">
        <v>3712</v>
      </c>
      <c r="F2260" s="60"/>
      <c r="G2260" s="28"/>
    </row>
    <row r="2261" spans="1:10" hidden="1" outlineLevel="1">
      <c r="A2261" s="28"/>
      <c r="B2261" s="243">
        <v>51</v>
      </c>
      <c r="C2261" s="192" t="s">
        <v>3725</v>
      </c>
      <c r="D2261" s="55">
        <v>0</v>
      </c>
      <c r="E2261" s="59">
        <v>44473</v>
      </c>
      <c r="F2261" s="60">
        <v>6.2511574074074081E-2</v>
      </c>
      <c r="G2261" s="28"/>
      <c r="J2261" t="s">
        <v>3730</v>
      </c>
    </row>
    <row r="2262" spans="1:10" hidden="1" outlineLevel="1">
      <c r="A2262" s="28"/>
      <c r="B2262" s="243">
        <v>52</v>
      </c>
      <c r="C2262" s="192" t="s">
        <v>3726</v>
      </c>
      <c r="D2262" s="55">
        <v>0</v>
      </c>
      <c r="E2262" s="59">
        <v>44533</v>
      </c>
      <c r="F2262" s="60">
        <v>4.2175925925925922E-2</v>
      </c>
      <c r="G2262" s="28"/>
      <c r="J2262" t="s">
        <v>3730</v>
      </c>
    </row>
    <row r="2263" spans="1:10" hidden="1" outlineLevel="1">
      <c r="A2263" s="28"/>
      <c r="B2263" s="243">
        <v>53</v>
      </c>
      <c r="C2263" s="192" t="s">
        <v>3710</v>
      </c>
      <c r="D2263" s="55">
        <v>0</v>
      </c>
      <c r="E2263" s="59">
        <v>44793</v>
      </c>
      <c r="F2263" s="60">
        <v>5.8692129629629629E-2</v>
      </c>
      <c r="G2263" s="28"/>
      <c r="J2263" t="s">
        <v>3730</v>
      </c>
    </row>
    <row r="2264" spans="1:10" hidden="1" outlineLevel="1">
      <c r="A2264" s="28"/>
      <c r="B2264" s="243">
        <v>54</v>
      </c>
      <c r="C2264" s="192" t="s">
        <v>3711</v>
      </c>
      <c r="D2264" s="55">
        <v>0</v>
      </c>
      <c r="E2264" s="59">
        <v>44810</v>
      </c>
      <c r="F2264" s="60">
        <v>5.7337962962962959E-2</v>
      </c>
      <c r="G2264" s="28"/>
      <c r="J2264" t="s">
        <v>3730</v>
      </c>
    </row>
    <row r="2265" spans="1:10" hidden="1" outlineLevel="1">
      <c r="A2265" s="28"/>
      <c r="B2265" s="243">
        <v>55</v>
      </c>
      <c r="C2265" s="192" t="s">
        <v>3713</v>
      </c>
      <c r="D2265" s="55">
        <v>0</v>
      </c>
      <c r="E2265" s="59">
        <v>44832</v>
      </c>
      <c r="F2265" s="60">
        <v>3.6331018518518519E-2</v>
      </c>
      <c r="G2265" s="28"/>
      <c r="J2265" t="s">
        <v>3730</v>
      </c>
    </row>
    <row r="2266" spans="1:10" hidden="1" outlineLevel="1">
      <c r="A2266" s="28"/>
      <c r="B2266" s="243">
        <v>56</v>
      </c>
      <c r="C2266" s="192" t="s">
        <v>3714</v>
      </c>
      <c r="D2266" s="55">
        <v>0</v>
      </c>
      <c r="E2266" s="59">
        <v>44847</v>
      </c>
      <c r="F2266" s="60">
        <v>3.2881944444444443E-2</v>
      </c>
      <c r="G2266" s="28"/>
      <c r="J2266" t="s">
        <v>3730</v>
      </c>
    </row>
    <row r="2267" spans="1:10" hidden="1" outlineLevel="1">
      <c r="A2267" s="28"/>
      <c r="B2267" s="243">
        <v>57</v>
      </c>
      <c r="C2267" s="192" t="s">
        <v>3715</v>
      </c>
      <c r="D2267" s="55">
        <v>0</v>
      </c>
      <c r="E2267" s="59">
        <v>44869</v>
      </c>
      <c r="F2267" s="60">
        <v>2.5624999999999998E-2</v>
      </c>
      <c r="G2267" s="28"/>
      <c r="J2267" t="s">
        <v>3730</v>
      </c>
    </row>
    <row r="2268" spans="1:10" hidden="1" outlineLevel="1">
      <c r="A2268" s="28"/>
      <c r="B2268" s="243">
        <v>58</v>
      </c>
      <c r="C2268" s="192" t="s">
        <v>3716</v>
      </c>
      <c r="D2268" s="55">
        <v>0</v>
      </c>
      <c r="E2268" s="59">
        <v>44878</v>
      </c>
      <c r="F2268" s="60">
        <v>3.4699074074074077E-2</v>
      </c>
      <c r="G2268" s="28"/>
      <c r="J2268" t="s">
        <v>3730</v>
      </c>
    </row>
    <row r="2269" spans="1:10" hidden="1" outlineLevel="1">
      <c r="A2269" s="28"/>
      <c r="B2269" s="243">
        <v>59</v>
      </c>
      <c r="C2269" s="192" t="s">
        <v>3717</v>
      </c>
      <c r="D2269" s="55">
        <v>0</v>
      </c>
      <c r="E2269" s="59">
        <v>44883</v>
      </c>
      <c r="F2269" s="60">
        <v>2.1435185185185186E-2</v>
      </c>
      <c r="G2269" s="28"/>
      <c r="J2269" t="s">
        <v>3730</v>
      </c>
    </row>
    <row r="2270" spans="1:10" hidden="1" outlineLevel="1">
      <c r="A2270" s="28"/>
      <c r="B2270" s="243">
        <v>60</v>
      </c>
      <c r="C2270" s="192" t="s">
        <v>3719</v>
      </c>
      <c r="D2270" s="55">
        <v>0</v>
      </c>
      <c r="E2270" s="59">
        <v>44896</v>
      </c>
      <c r="F2270" s="60">
        <v>6.3090277777777773E-2</v>
      </c>
      <c r="G2270" s="28"/>
      <c r="J2270" t="s">
        <v>3730</v>
      </c>
    </row>
    <row r="2271" spans="1:10" hidden="1" outlineLevel="1">
      <c r="A2271" s="28"/>
      <c r="B2271" s="243">
        <v>61</v>
      </c>
      <c r="C2271" s="192" t="s">
        <v>3718</v>
      </c>
      <c r="D2271" s="55">
        <v>0</v>
      </c>
      <c r="E2271" s="59">
        <v>44903</v>
      </c>
      <c r="F2271" s="60">
        <v>4.9699074074074069E-2</v>
      </c>
      <c r="G2271" s="28"/>
      <c r="J2271" t="s">
        <v>3730</v>
      </c>
    </row>
    <row r="2272" spans="1:10" hidden="1" outlineLevel="1">
      <c r="A2272" s="28"/>
      <c r="B2272" s="243">
        <v>62</v>
      </c>
      <c r="C2272" s="192" t="s">
        <v>3720</v>
      </c>
      <c r="D2272" s="55">
        <v>0</v>
      </c>
      <c r="E2272" s="59">
        <v>44910</v>
      </c>
      <c r="F2272" s="60">
        <v>8.9166666666666672E-2</v>
      </c>
      <c r="G2272" s="28"/>
      <c r="J2272" t="s">
        <v>3730</v>
      </c>
    </row>
    <row r="2273" spans="1:10" hidden="1" outlineLevel="1">
      <c r="A2273" s="28"/>
      <c r="B2273" s="243">
        <v>63</v>
      </c>
      <c r="C2273" s="192" t="s">
        <v>3721</v>
      </c>
      <c r="D2273" s="55">
        <v>0</v>
      </c>
      <c r="E2273" s="59">
        <v>44919</v>
      </c>
      <c r="F2273" s="60">
        <v>2.8587962962962964E-2</v>
      </c>
      <c r="G2273" s="28"/>
      <c r="J2273" t="s">
        <v>3730</v>
      </c>
    </row>
    <row r="2274" spans="1:10" hidden="1" outlineLevel="1">
      <c r="A2274" s="28"/>
      <c r="B2274" s="243">
        <v>64</v>
      </c>
      <c r="C2274" s="192" t="s">
        <v>3722</v>
      </c>
      <c r="D2274" s="55">
        <v>0</v>
      </c>
      <c r="E2274" s="59">
        <v>44938</v>
      </c>
      <c r="F2274" s="60">
        <v>3.27662037037037E-2</v>
      </c>
      <c r="G2274" s="28"/>
      <c r="J2274" t="s">
        <v>3730</v>
      </c>
    </row>
    <row r="2275" spans="1:10" hidden="1" outlineLevel="1">
      <c r="A2275" s="28"/>
      <c r="B2275" s="243">
        <v>65</v>
      </c>
      <c r="C2275" s="192" t="s">
        <v>3723</v>
      </c>
      <c r="D2275" s="55">
        <v>0</v>
      </c>
      <c r="E2275" s="59">
        <v>44959</v>
      </c>
      <c r="F2275" s="60">
        <v>2.1053240740740744E-2</v>
      </c>
      <c r="G2275" s="28"/>
      <c r="J2275" t="s">
        <v>3730</v>
      </c>
    </row>
    <row r="2276" spans="1:10" hidden="1" outlineLevel="1">
      <c r="A2276" s="28"/>
      <c r="B2276" s="243">
        <v>66</v>
      </c>
      <c r="C2276" s="192" t="s">
        <v>3863</v>
      </c>
      <c r="D2276" s="55">
        <v>0</v>
      </c>
      <c r="E2276" s="59">
        <v>44994</v>
      </c>
      <c r="F2276" s="60">
        <v>2.8020833333333332E-2</v>
      </c>
      <c r="G2276" s="28"/>
      <c r="J2276" t="s">
        <v>3730</v>
      </c>
    </row>
    <row r="2277" spans="1:10" hidden="1" outlineLevel="1">
      <c r="A2277" s="28"/>
      <c r="B2277" s="243">
        <v>67</v>
      </c>
      <c r="C2277" s="192" t="s">
        <v>3724</v>
      </c>
      <c r="D2277" s="55">
        <v>0</v>
      </c>
      <c r="E2277" s="59">
        <v>45008</v>
      </c>
      <c r="F2277" s="60">
        <v>7.9421296296296295E-2</v>
      </c>
      <c r="G2277" s="28"/>
      <c r="J2277" t="s">
        <v>3730</v>
      </c>
    </row>
    <row r="2278" spans="1:10" hidden="1" outlineLevel="1">
      <c r="A2278" s="28"/>
      <c r="B2278" s="243">
        <v>68</v>
      </c>
      <c r="C2278" s="192" t="s">
        <v>3797</v>
      </c>
      <c r="D2278" s="55">
        <v>0</v>
      </c>
      <c r="E2278" s="59">
        <v>45016</v>
      </c>
      <c r="F2278" s="60">
        <v>6.2488425925925926E-2</v>
      </c>
      <c r="G2278" s="28"/>
      <c r="J2278" t="s">
        <v>3730</v>
      </c>
    </row>
    <row r="2279" spans="1:10" hidden="1" outlineLevel="1">
      <c r="A2279" s="28"/>
      <c r="B2279" s="243">
        <v>69</v>
      </c>
      <c r="C2279" s="192" t="s">
        <v>3862</v>
      </c>
      <c r="D2279" s="55">
        <v>0</v>
      </c>
      <c r="E2279" s="59">
        <v>45023</v>
      </c>
      <c r="F2279" s="60">
        <v>5.4016203703703712E-2</v>
      </c>
      <c r="G2279" s="28"/>
      <c r="J2279" t="s">
        <v>3730</v>
      </c>
    </row>
    <row r="2280" spans="1:10" hidden="1" outlineLevel="1">
      <c r="A2280" s="28"/>
      <c r="B2280" s="243">
        <v>70</v>
      </c>
      <c r="C2280" s="192" t="s">
        <v>3973</v>
      </c>
      <c r="D2280" s="55">
        <v>0</v>
      </c>
      <c r="E2280" s="59">
        <v>45050</v>
      </c>
      <c r="F2280" s="60">
        <v>2.3240740740740742E-2</v>
      </c>
      <c r="G2280" s="28"/>
      <c r="J2280" t="s">
        <v>3730</v>
      </c>
    </row>
    <row r="2281" spans="1:10" hidden="1" outlineLevel="1">
      <c r="A2281" s="28"/>
      <c r="B2281" s="243">
        <v>71</v>
      </c>
      <c r="C2281" s="61" t="s">
        <v>4060</v>
      </c>
      <c r="D2281" s="55">
        <v>0</v>
      </c>
      <c r="E2281" s="59">
        <v>45135</v>
      </c>
      <c r="F2281" s="60">
        <v>2.3298611111111107E-2</v>
      </c>
      <c r="G2281" s="28"/>
      <c r="J2281" t="s">
        <v>3730</v>
      </c>
    </row>
    <row r="2282" spans="1:10" hidden="1" outlineLevel="1">
      <c r="A2282" s="28"/>
      <c r="B2282" s="243">
        <v>72</v>
      </c>
      <c r="C2282" s="89" t="s">
        <v>4337</v>
      </c>
      <c r="D2282" s="55">
        <v>0</v>
      </c>
      <c r="E2282" s="59">
        <v>45205</v>
      </c>
      <c r="F2282" s="60">
        <v>3.6273148148148145E-2</v>
      </c>
      <c r="G2282" s="28"/>
      <c r="J2282" t="s">
        <v>3730</v>
      </c>
    </row>
    <row r="2283" spans="1:10" hidden="1" outlineLevel="1">
      <c r="A2283" s="28"/>
      <c r="B2283" s="243">
        <v>73</v>
      </c>
      <c r="C2283" s="89" t="s">
        <v>4338</v>
      </c>
      <c r="D2283" s="55">
        <v>0</v>
      </c>
      <c r="E2283" s="59">
        <v>45219</v>
      </c>
      <c r="F2283" s="60">
        <v>1.8356481481481481E-2</v>
      </c>
      <c r="G2283" s="28"/>
      <c r="J2283" t="s">
        <v>3730</v>
      </c>
    </row>
    <row r="2284" spans="1:10" hidden="1" outlineLevel="1">
      <c r="A2284" s="28"/>
      <c r="B2284" s="243">
        <v>74</v>
      </c>
      <c r="C2284" s="89" t="s">
        <v>4339</v>
      </c>
      <c r="D2284" s="55">
        <v>0</v>
      </c>
      <c r="E2284" s="59">
        <v>45226</v>
      </c>
      <c r="F2284" s="60">
        <v>1.3113425925925926E-2</v>
      </c>
      <c r="G2284" s="28"/>
      <c r="J2284" t="s">
        <v>3730</v>
      </c>
    </row>
    <row r="2285" spans="1:10" hidden="1" outlineLevel="1">
      <c r="A2285" s="28"/>
      <c r="B2285" s="243">
        <v>75</v>
      </c>
      <c r="C2285" s="89" t="s">
        <v>4340</v>
      </c>
      <c r="D2285" s="55">
        <v>0</v>
      </c>
      <c r="E2285" s="59">
        <v>45233</v>
      </c>
      <c r="F2285" s="60">
        <v>9.1666666666666667E-3</v>
      </c>
      <c r="G2285" s="28"/>
      <c r="J2285" t="s">
        <v>3730</v>
      </c>
    </row>
    <row r="2286" spans="1:10" hidden="1" outlineLevel="1">
      <c r="A2286" s="28"/>
      <c r="B2286" s="243">
        <v>76</v>
      </c>
      <c r="C2286" s="89" t="s">
        <v>4341</v>
      </c>
      <c r="D2286" s="55">
        <v>0</v>
      </c>
      <c r="E2286" s="59">
        <v>45240</v>
      </c>
      <c r="F2286" s="60">
        <v>1.6597222222222222E-2</v>
      </c>
      <c r="G2286" s="28"/>
      <c r="J2286" t="s">
        <v>3730</v>
      </c>
    </row>
    <row r="2287" spans="1:10" hidden="1" outlineLevel="1">
      <c r="A2287" s="28"/>
      <c r="B2287" s="243">
        <v>77</v>
      </c>
      <c r="C2287" s="89" t="s">
        <v>4342</v>
      </c>
      <c r="D2287" s="55">
        <v>0</v>
      </c>
      <c r="E2287" s="59">
        <v>45254</v>
      </c>
      <c r="F2287" s="60">
        <v>1.3402777777777777E-2</v>
      </c>
      <c r="G2287" s="28"/>
      <c r="J2287" t="s">
        <v>3730</v>
      </c>
    </row>
    <row r="2288" spans="1:10" hidden="1" outlineLevel="1">
      <c r="A2288" s="28"/>
      <c r="B2288" s="243">
        <v>78</v>
      </c>
      <c r="C2288" s="89" t="s">
        <v>4343</v>
      </c>
      <c r="D2288" s="55">
        <v>0</v>
      </c>
      <c r="E2288" s="59">
        <v>45268</v>
      </c>
      <c r="F2288" s="60">
        <v>5.603009259259259E-2</v>
      </c>
      <c r="G2288" s="28"/>
      <c r="J2288" t="s">
        <v>3730</v>
      </c>
    </row>
    <row r="2289" spans="1:10" hidden="1" outlineLevel="1">
      <c r="A2289" s="28"/>
      <c r="B2289" s="243">
        <v>79</v>
      </c>
      <c r="C2289" s="89" t="s">
        <v>4344</v>
      </c>
      <c r="D2289" s="55">
        <v>0</v>
      </c>
      <c r="E2289" s="59">
        <v>45275</v>
      </c>
      <c r="F2289" s="60">
        <v>2.1319444444444443E-2</v>
      </c>
      <c r="G2289" s="28"/>
      <c r="J2289" t="s">
        <v>3730</v>
      </c>
    </row>
    <row r="2290" spans="1:10" hidden="1" outlineLevel="1">
      <c r="A2290" s="28"/>
      <c r="B2290" s="243"/>
      <c r="C2290" s="192"/>
      <c r="D2290" s="55"/>
      <c r="E2290" s="59"/>
      <c r="F2290" s="60"/>
      <c r="G2290" s="28"/>
    </row>
    <row r="2291" spans="1:10" ht="27" hidden="1" outlineLevel="1">
      <c r="A2291" s="28"/>
      <c r="B2291" s="243"/>
      <c r="C2291" s="634" t="s">
        <v>3864</v>
      </c>
      <c r="D2291" s="55"/>
      <c r="E2291" s="59"/>
      <c r="F2291" s="60"/>
      <c r="G2291" s="28"/>
    </row>
    <row r="2292" spans="1:10" hidden="1" outlineLevel="1">
      <c r="A2292" s="28"/>
      <c r="B2292" s="243"/>
      <c r="C2292" s="58" t="s">
        <v>2783</v>
      </c>
      <c r="D2292" s="55"/>
      <c r="E2292" s="59"/>
      <c r="F2292" s="60"/>
      <c r="G2292" s="28"/>
    </row>
    <row r="2293" spans="1:10" hidden="1" outlineLevel="1">
      <c r="A2293" s="28"/>
      <c r="B2293" s="243">
        <v>80</v>
      </c>
      <c r="C2293" s="192" t="s">
        <v>2443</v>
      </c>
      <c r="D2293" s="191" t="s">
        <v>2449</v>
      </c>
      <c r="E2293" s="59">
        <v>44513</v>
      </c>
      <c r="F2293" s="60">
        <v>9.9421296296296299E-2</v>
      </c>
      <c r="G2293" s="28"/>
      <c r="J2293" t="s">
        <v>2812</v>
      </c>
    </row>
    <row r="2294" spans="1:10" hidden="1" outlineLevel="1">
      <c r="A2294" s="28"/>
      <c r="B2294" s="243"/>
      <c r="C2294" s="61"/>
      <c r="D2294" s="55"/>
      <c r="E2294" s="59"/>
      <c r="F2294" s="60"/>
      <c r="G2294" s="28"/>
    </row>
    <row r="2295" spans="1:10" hidden="1" outlineLevel="1">
      <c r="A2295" s="28"/>
      <c r="B2295" s="243"/>
      <c r="C2295" s="89" t="s">
        <v>2739</v>
      </c>
      <c r="D2295" s="55"/>
      <c r="E2295" s="59"/>
      <c r="F2295" s="60"/>
      <c r="G2295" s="28"/>
    </row>
    <row r="2296" spans="1:10" hidden="1" outlineLevel="1">
      <c r="A2296" s="28"/>
      <c r="B2296" s="243"/>
      <c r="C2296" s="58" t="s">
        <v>2736</v>
      </c>
      <c r="D2296" s="55"/>
      <c r="E2296" s="59"/>
      <c r="F2296" s="60"/>
      <c r="G2296" s="28"/>
    </row>
    <row r="2297" spans="1:10" hidden="1" outlineLevel="1">
      <c r="A2297" s="28"/>
      <c r="B2297" s="243">
        <v>81</v>
      </c>
      <c r="C2297" s="192" t="s">
        <v>2737</v>
      </c>
      <c r="D2297" s="55">
        <v>0</v>
      </c>
      <c r="E2297" s="59">
        <v>44531</v>
      </c>
      <c r="F2297" s="60">
        <v>3.2534722222222222E-2</v>
      </c>
      <c r="G2297" s="28"/>
      <c r="J2297" t="s">
        <v>2813</v>
      </c>
    </row>
    <row r="2298" spans="1:10" hidden="1" outlineLevel="1">
      <c r="A2298" s="28"/>
      <c r="B2298" s="243">
        <v>82</v>
      </c>
      <c r="C2298" s="192" t="s">
        <v>2738</v>
      </c>
      <c r="D2298" s="55">
        <v>0</v>
      </c>
      <c r="E2298" s="59">
        <v>44556</v>
      </c>
      <c r="F2298" s="60">
        <v>3.0601851851851852E-2</v>
      </c>
      <c r="G2298" s="28"/>
      <c r="J2298" t="s">
        <v>2813</v>
      </c>
    </row>
    <row r="2299" spans="1:10" hidden="1" outlineLevel="1">
      <c r="A2299" s="28"/>
      <c r="B2299" s="243"/>
      <c r="C2299" s="61"/>
      <c r="D2299" s="55"/>
      <c r="E2299" s="59"/>
      <c r="F2299" s="60"/>
      <c r="G2299" s="28"/>
    </row>
    <row r="2300" spans="1:10" hidden="1" outlineLevel="1">
      <c r="A2300" s="28"/>
      <c r="B2300" s="243"/>
      <c r="C2300" s="89" t="s">
        <v>2741</v>
      </c>
      <c r="D2300" s="55"/>
      <c r="E2300" s="59"/>
      <c r="F2300" s="60"/>
      <c r="G2300" s="28"/>
    </row>
    <row r="2301" spans="1:10" hidden="1" outlineLevel="1">
      <c r="A2301" s="28"/>
      <c r="B2301" s="243"/>
      <c r="C2301" s="411" t="s">
        <v>2697</v>
      </c>
      <c r="D2301" s="55"/>
      <c r="E2301" s="59"/>
      <c r="F2301" s="60"/>
      <c r="G2301" s="28"/>
    </row>
    <row r="2302" spans="1:10" hidden="1" outlineLevel="1">
      <c r="A2302" s="28"/>
      <c r="B2302" s="243">
        <v>83</v>
      </c>
      <c r="C2302" s="192" t="s">
        <v>2696</v>
      </c>
      <c r="D2302" s="55">
        <v>0</v>
      </c>
      <c r="E2302" s="59">
        <v>44552</v>
      </c>
      <c r="F2302" s="60">
        <v>3.9548611111111111E-2</v>
      </c>
      <c r="G2302" s="28"/>
      <c r="J2302" t="s">
        <v>2814</v>
      </c>
    </row>
    <row r="2303" spans="1:10" hidden="1" outlineLevel="1">
      <c r="A2303" s="28"/>
      <c r="B2303" s="243">
        <v>84</v>
      </c>
      <c r="C2303" s="192" t="s">
        <v>2695</v>
      </c>
      <c r="D2303" s="55">
        <v>0</v>
      </c>
      <c r="E2303" s="59">
        <v>44571</v>
      </c>
      <c r="F2303" s="60">
        <v>4.189814814814815E-2</v>
      </c>
      <c r="G2303" s="28"/>
      <c r="J2303" t="s">
        <v>2814</v>
      </c>
    </row>
    <row r="2304" spans="1:10" hidden="1" outlineLevel="1">
      <c r="A2304" s="28"/>
      <c r="B2304" s="243">
        <v>85</v>
      </c>
      <c r="C2304" s="192" t="s">
        <v>2694</v>
      </c>
      <c r="D2304" s="55">
        <v>0</v>
      </c>
      <c r="E2304" s="59">
        <v>44591</v>
      </c>
      <c r="F2304" s="60">
        <v>2.9178240740740741E-2</v>
      </c>
      <c r="G2304" s="28"/>
      <c r="J2304" t="s">
        <v>2814</v>
      </c>
    </row>
    <row r="2305" spans="1:10" hidden="1" outlineLevel="1">
      <c r="A2305" s="28"/>
      <c r="B2305" s="243">
        <v>86</v>
      </c>
      <c r="C2305" s="192" t="s">
        <v>2862</v>
      </c>
      <c r="D2305" s="55">
        <v>0</v>
      </c>
      <c r="E2305" s="59">
        <v>44632</v>
      </c>
      <c r="F2305" s="60">
        <v>7.0162037037037037E-2</v>
      </c>
      <c r="G2305" s="28"/>
      <c r="J2305" t="s">
        <v>2814</v>
      </c>
    </row>
    <row r="2306" spans="1:10" hidden="1" outlineLevel="1">
      <c r="A2306" s="28"/>
      <c r="B2306" s="243">
        <v>87</v>
      </c>
      <c r="C2306" s="192" t="s">
        <v>2879</v>
      </c>
      <c r="D2306" s="55">
        <v>0</v>
      </c>
      <c r="E2306" s="59">
        <v>44652.689317129632</v>
      </c>
      <c r="F2306" s="60">
        <v>5.4560185185185184E-2</v>
      </c>
      <c r="G2306" s="28"/>
      <c r="J2306" t="s">
        <v>2814</v>
      </c>
    </row>
    <row r="2307" spans="1:10" hidden="1" outlineLevel="1">
      <c r="A2307" s="28"/>
      <c r="B2307" s="243">
        <v>88</v>
      </c>
      <c r="C2307" s="61" t="s">
        <v>2945</v>
      </c>
      <c r="D2307" s="55">
        <v>0</v>
      </c>
      <c r="E2307" s="59">
        <v>44700</v>
      </c>
      <c r="F2307" s="60">
        <v>4.5254629629629624E-2</v>
      </c>
      <c r="G2307" s="28"/>
      <c r="J2307" t="s">
        <v>2814</v>
      </c>
    </row>
    <row r="2308" spans="1:10" hidden="1" outlineLevel="1">
      <c r="A2308" s="28"/>
      <c r="B2308" s="243">
        <v>89</v>
      </c>
      <c r="C2308" s="61" t="s">
        <v>3046</v>
      </c>
      <c r="D2308" s="55">
        <v>0</v>
      </c>
      <c r="E2308" s="59">
        <v>44732</v>
      </c>
      <c r="F2308" s="60">
        <v>4.3981481481481484E-3</v>
      </c>
      <c r="G2308" s="28"/>
      <c r="J2308" t="s">
        <v>2814</v>
      </c>
    </row>
    <row r="2309" spans="1:10" hidden="1" outlineLevel="1">
      <c r="A2309" s="28"/>
      <c r="B2309" s="243">
        <v>90</v>
      </c>
      <c r="C2309" s="61" t="s">
        <v>3045</v>
      </c>
      <c r="D2309" s="55">
        <v>0</v>
      </c>
      <c r="E2309" s="59">
        <v>44766</v>
      </c>
      <c r="F2309" s="60">
        <v>6.4363425925925921E-2</v>
      </c>
      <c r="G2309" s="28"/>
      <c r="J2309" t="s">
        <v>2814</v>
      </c>
    </row>
    <row r="2310" spans="1:10" hidden="1" outlineLevel="1">
      <c r="A2310" s="28"/>
      <c r="B2310" s="243">
        <v>91</v>
      </c>
      <c r="C2310" s="61" t="s">
        <v>3091</v>
      </c>
      <c r="D2310" s="55">
        <v>0</v>
      </c>
      <c r="E2310" s="59">
        <v>44849</v>
      </c>
      <c r="F2310" s="60">
        <v>1.8240740740740741E-2</v>
      </c>
      <c r="G2310" s="28"/>
      <c r="J2310" t="s">
        <v>2814</v>
      </c>
    </row>
    <row r="2311" spans="1:10" hidden="1" outlineLevel="1">
      <c r="A2311" s="28"/>
      <c r="B2311" s="243"/>
      <c r="C2311" s="61"/>
      <c r="D2311" s="55"/>
      <c r="E2311" s="59"/>
      <c r="F2311" s="60"/>
      <c r="G2311" s="28"/>
    </row>
    <row r="2312" spans="1:10" hidden="1" outlineLevel="1">
      <c r="A2312" s="28"/>
      <c r="B2312" s="243"/>
      <c r="C2312" s="54" t="s">
        <v>2740</v>
      </c>
      <c r="D2312" s="55"/>
      <c r="E2312" s="59"/>
      <c r="F2312" s="60"/>
      <c r="G2312" s="28"/>
    </row>
    <row r="2313" spans="1:10" hidden="1" outlineLevel="1">
      <c r="A2313" s="28"/>
      <c r="B2313" s="243"/>
      <c r="C2313" s="411" t="s">
        <v>2668</v>
      </c>
      <c r="D2313" s="55"/>
      <c r="E2313" s="59"/>
      <c r="F2313" s="60"/>
      <c r="G2313" s="28"/>
      <c r="H2313" s="268" t="s">
        <v>2896</v>
      </c>
    </row>
    <row r="2314" spans="1:10" hidden="1" outlineLevel="1">
      <c r="A2314" s="28"/>
      <c r="B2314" s="243">
        <v>92</v>
      </c>
      <c r="C2314" s="192" t="s">
        <v>2667</v>
      </c>
      <c r="D2314" s="55">
        <v>0</v>
      </c>
      <c r="E2314" s="59">
        <v>44596</v>
      </c>
      <c r="F2314" s="60">
        <v>8.6944444444444449E-2</v>
      </c>
      <c r="G2314" s="28"/>
      <c r="J2314" t="s">
        <v>2815</v>
      </c>
    </row>
    <row r="2315" spans="1:10" hidden="1" outlineLevel="1">
      <c r="A2315" s="28"/>
      <c r="B2315" s="243">
        <v>93</v>
      </c>
      <c r="C2315" s="192" t="s">
        <v>2863</v>
      </c>
      <c r="D2315" s="55">
        <v>0</v>
      </c>
      <c r="E2315" s="59">
        <v>44639.416666666664</v>
      </c>
      <c r="F2315" s="60">
        <v>8.3101851851851857E-2</v>
      </c>
      <c r="G2315" s="28"/>
      <c r="J2315" t="s">
        <v>2815</v>
      </c>
    </row>
    <row r="2316" spans="1:10" hidden="1" outlineLevel="1">
      <c r="A2316" s="28"/>
      <c r="B2316" s="243">
        <v>94</v>
      </c>
      <c r="C2316" s="192" t="s">
        <v>2895</v>
      </c>
      <c r="D2316" s="55">
        <v>0</v>
      </c>
      <c r="E2316" s="59">
        <v>44667</v>
      </c>
      <c r="F2316" s="60">
        <v>0.10489583333333334</v>
      </c>
      <c r="G2316" s="28"/>
      <c r="J2316" t="s">
        <v>2815</v>
      </c>
    </row>
    <row r="2317" spans="1:10" hidden="1" outlineLevel="1">
      <c r="A2317" s="28"/>
      <c r="B2317" s="243">
        <v>95</v>
      </c>
      <c r="C2317" s="61" t="s">
        <v>2946</v>
      </c>
      <c r="D2317" s="55">
        <v>0</v>
      </c>
      <c r="E2317" s="59">
        <v>44695</v>
      </c>
      <c r="F2317" s="60">
        <v>9.4375000000000001E-2</v>
      </c>
      <c r="G2317" s="28"/>
      <c r="J2317" t="s">
        <v>2815</v>
      </c>
    </row>
    <row r="2318" spans="1:10" hidden="1" outlineLevel="1">
      <c r="A2318" s="28"/>
      <c r="B2318" s="243">
        <v>96</v>
      </c>
      <c r="C2318" s="61" t="s">
        <v>2966</v>
      </c>
      <c r="D2318" s="55">
        <v>0</v>
      </c>
      <c r="E2318" s="59">
        <v>44723</v>
      </c>
      <c r="F2318" s="60">
        <v>0.10504629629629629</v>
      </c>
      <c r="G2318" s="28"/>
      <c r="J2318" t="s">
        <v>2815</v>
      </c>
    </row>
    <row r="2319" spans="1:10" hidden="1" outlineLevel="1">
      <c r="A2319" s="28"/>
      <c r="B2319" s="243">
        <v>97</v>
      </c>
      <c r="C2319" s="61" t="s">
        <v>3042</v>
      </c>
      <c r="D2319" s="55">
        <v>0</v>
      </c>
      <c r="E2319" s="59">
        <v>44751</v>
      </c>
      <c r="F2319" s="60">
        <v>8.8206018518518517E-2</v>
      </c>
      <c r="G2319" s="28"/>
      <c r="J2319" t="s">
        <v>2815</v>
      </c>
    </row>
    <row r="2320" spans="1:10" hidden="1" outlineLevel="1">
      <c r="A2320" s="28"/>
      <c r="B2320" s="243">
        <v>98</v>
      </c>
      <c r="C2320" s="61" t="s">
        <v>3043</v>
      </c>
      <c r="D2320" s="55">
        <v>0</v>
      </c>
      <c r="E2320" s="59">
        <v>44779</v>
      </c>
      <c r="F2320" s="60">
        <v>9.1307870370370373E-2</v>
      </c>
      <c r="G2320" s="28"/>
      <c r="J2320" t="s">
        <v>2815</v>
      </c>
    </row>
    <row r="2321" spans="1:10" hidden="1" outlineLevel="1">
      <c r="A2321" s="28"/>
      <c r="B2321" s="243">
        <v>99</v>
      </c>
      <c r="C2321" s="61" t="s">
        <v>3044</v>
      </c>
      <c r="D2321" s="55">
        <v>0</v>
      </c>
      <c r="E2321" s="59">
        <v>44807</v>
      </c>
      <c r="F2321" s="60">
        <v>7.8530092592592596E-2</v>
      </c>
      <c r="G2321" s="28"/>
      <c r="J2321" t="s">
        <v>2815</v>
      </c>
    </row>
    <row r="2322" spans="1:10" hidden="1" outlineLevel="1">
      <c r="A2322" s="28"/>
      <c r="B2322" s="243">
        <v>100</v>
      </c>
      <c r="C2322" s="61" t="s">
        <v>3068</v>
      </c>
      <c r="D2322" s="55">
        <v>0</v>
      </c>
      <c r="E2322" s="59">
        <v>44835</v>
      </c>
      <c r="F2322" s="60">
        <v>6.2094907407407411E-2</v>
      </c>
      <c r="G2322" s="28"/>
      <c r="J2322" t="s">
        <v>2815</v>
      </c>
    </row>
    <row r="2323" spans="1:10" hidden="1" outlineLevel="1">
      <c r="A2323" s="28"/>
      <c r="B2323" s="243">
        <v>101</v>
      </c>
      <c r="C2323" s="61" t="s">
        <v>3388</v>
      </c>
      <c r="D2323" s="55">
        <v>0</v>
      </c>
      <c r="E2323" s="59">
        <v>44912</v>
      </c>
      <c r="F2323" s="60">
        <v>8.9606481481481481E-2</v>
      </c>
      <c r="G2323" s="28"/>
      <c r="J2323" t="s">
        <v>2815</v>
      </c>
    </row>
    <row r="2324" spans="1:10" hidden="1" outlineLevel="1">
      <c r="A2324" s="28"/>
      <c r="B2324" s="243">
        <v>102</v>
      </c>
      <c r="C2324" s="61" t="s">
        <v>3781</v>
      </c>
      <c r="D2324" s="579">
        <v>0</v>
      </c>
      <c r="E2324" s="580">
        <v>44947</v>
      </c>
      <c r="F2324" s="60">
        <v>8.7465277777777781E-2</v>
      </c>
      <c r="G2324" s="28"/>
      <c r="J2324" t="s">
        <v>2815</v>
      </c>
    </row>
    <row r="2325" spans="1:10" hidden="1" outlineLevel="1">
      <c r="A2325" s="28"/>
      <c r="B2325" s="243">
        <v>103</v>
      </c>
      <c r="C2325" s="61" t="s">
        <v>3782</v>
      </c>
      <c r="D2325" s="579">
        <v>0</v>
      </c>
      <c r="E2325" s="580">
        <v>44975</v>
      </c>
      <c r="F2325" s="60">
        <v>8.8692129629629635E-2</v>
      </c>
      <c r="G2325" s="28"/>
      <c r="J2325" t="s">
        <v>2815</v>
      </c>
    </row>
    <row r="2326" spans="1:10" hidden="1" outlineLevel="1">
      <c r="A2326" s="28"/>
      <c r="B2326" s="243">
        <v>104</v>
      </c>
      <c r="C2326" s="61" t="s">
        <v>4334</v>
      </c>
      <c r="D2326" s="579">
        <v>0</v>
      </c>
      <c r="E2326" s="580">
        <v>45185</v>
      </c>
      <c r="F2326" s="60">
        <v>4.8738425925925921E-2</v>
      </c>
      <c r="G2326" s="28"/>
      <c r="J2326" t="s">
        <v>2815</v>
      </c>
    </row>
    <row r="2327" spans="1:10" hidden="1" outlineLevel="1">
      <c r="A2327" s="28"/>
      <c r="B2327" s="243">
        <v>105</v>
      </c>
      <c r="C2327" s="61" t="s">
        <v>4335</v>
      </c>
      <c r="D2327" s="579">
        <v>0</v>
      </c>
      <c r="E2327" s="580">
        <v>45220</v>
      </c>
      <c r="F2327" s="60">
        <v>0.10863425925925925</v>
      </c>
      <c r="G2327" s="28"/>
      <c r="J2327" t="s">
        <v>2815</v>
      </c>
    </row>
    <row r="2328" spans="1:10" hidden="1" outlineLevel="1">
      <c r="A2328" s="28"/>
      <c r="B2328" s="243">
        <v>106</v>
      </c>
      <c r="C2328" s="61" t="s">
        <v>4336</v>
      </c>
      <c r="D2328" s="579">
        <v>0</v>
      </c>
      <c r="E2328" s="580">
        <v>45262</v>
      </c>
      <c r="F2328" s="60">
        <v>8.1215277777777775E-2</v>
      </c>
      <c r="G2328" s="28"/>
      <c r="J2328" t="s">
        <v>2815</v>
      </c>
    </row>
    <row r="2329" spans="1:10" hidden="1" outlineLevel="1">
      <c r="A2329" s="28"/>
      <c r="B2329" s="243"/>
      <c r="C2329" s="61"/>
      <c r="D2329" s="55"/>
      <c r="E2329" s="59"/>
      <c r="F2329" s="60"/>
      <c r="G2329" s="28"/>
    </row>
    <row r="2330" spans="1:10" hidden="1" outlineLevel="1">
      <c r="A2330" s="28"/>
      <c r="B2330" s="243"/>
      <c r="C2330" s="89" t="s">
        <v>2919</v>
      </c>
      <c r="D2330" s="55"/>
      <c r="E2330" s="59"/>
      <c r="F2330" s="60"/>
      <c r="G2330" s="28"/>
    </row>
    <row r="2331" spans="1:10" hidden="1" outlineLevel="1">
      <c r="A2331" s="28"/>
      <c r="B2331" s="243"/>
      <c r="C2331" s="58" t="s">
        <v>2920</v>
      </c>
      <c r="D2331" s="55"/>
      <c r="E2331" s="59"/>
      <c r="F2331" s="60"/>
      <c r="G2331" s="28"/>
    </row>
    <row r="2332" spans="1:10" hidden="1" outlineLevel="1">
      <c r="A2332" s="28"/>
      <c r="B2332" s="243">
        <v>107</v>
      </c>
      <c r="C2332" s="192" t="s">
        <v>2917</v>
      </c>
      <c r="D2332" s="55">
        <v>0</v>
      </c>
      <c r="E2332" s="59">
        <v>44598</v>
      </c>
      <c r="F2332" s="60">
        <v>3.2245370370370369E-2</v>
      </c>
      <c r="G2332" s="28"/>
      <c r="J2332" t="s">
        <v>2921</v>
      </c>
    </row>
    <row r="2333" spans="1:10" hidden="1" outlineLevel="1">
      <c r="A2333" s="28"/>
      <c r="B2333" s="243">
        <v>108</v>
      </c>
      <c r="C2333" s="192" t="s">
        <v>2918</v>
      </c>
      <c r="D2333" s="55">
        <v>0</v>
      </c>
      <c r="E2333" s="59">
        <v>44612</v>
      </c>
      <c r="F2333" s="60">
        <v>2.3240740740740742E-2</v>
      </c>
      <c r="G2333" s="28"/>
      <c r="J2333" t="s">
        <v>2921</v>
      </c>
    </row>
    <row r="2334" spans="1:10" hidden="1" outlineLevel="1">
      <c r="A2334" s="28"/>
      <c r="B2334" s="243"/>
      <c r="C2334" s="192"/>
      <c r="D2334" s="55"/>
      <c r="E2334" s="59"/>
      <c r="F2334" s="60"/>
      <c r="G2334" s="28"/>
    </row>
    <row r="2335" spans="1:10" hidden="1" outlineLevel="1">
      <c r="A2335" s="28"/>
      <c r="B2335" s="243"/>
      <c r="C2335" s="89" t="s">
        <v>3033</v>
      </c>
      <c r="D2335" s="55"/>
      <c r="E2335" s="59"/>
      <c r="F2335" s="60"/>
      <c r="G2335" s="28"/>
    </row>
    <row r="2336" spans="1:10" hidden="1" outlineLevel="1">
      <c r="A2336" s="28"/>
      <c r="B2336" s="243"/>
      <c r="C2336" s="58" t="s">
        <v>3032</v>
      </c>
      <c r="D2336" s="55"/>
      <c r="E2336" s="59"/>
      <c r="F2336" s="60"/>
      <c r="G2336" s="28"/>
    </row>
    <row r="2337" spans="1:10" hidden="1" outlineLevel="1">
      <c r="A2337" s="28"/>
      <c r="B2337" s="243">
        <v>109</v>
      </c>
      <c r="C2337" s="61" t="s">
        <v>3031</v>
      </c>
      <c r="D2337" s="55">
        <v>0</v>
      </c>
      <c r="E2337" s="59">
        <v>44693</v>
      </c>
      <c r="F2337" s="60">
        <v>3.3125000000000002E-2</v>
      </c>
      <c r="G2337" s="28"/>
      <c r="J2337" t="s">
        <v>3036</v>
      </c>
    </row>
    <row r="2338" spans="1:10" hidden="1" outlineLevel="1">
      <c r="A2338" s="28"/>
      <c r="B2338" s="243">
        <v>110</v>
      </c>
      <c r="C2338" s="61" t="s">
        <v>3034</v>
      </c>
      <c r="D2338" s="55">
        <v>0</v>
      </c>
      <c r="E2338" s="59">
        <v>44770</v>
      </c>
      <c r="F2338" s="60">
        <v>3.6770833333333336E-2</v>
      </c>
      <c r="G2338" s="28"/>
      <c r="J2338" t="s">
        <v>3036</v>
      </c>
    </row>
    <row r="2339" spans="1:10" hidden="1" outlineLevel="1">
      <c r="A2339" s="28"/>
      <c r="B2339" s="243">
        <v>111</v>
      </c>
      <c r="C2339" s="61" t="s">
        <v>3035</v>
      </c>
      <c r="D2339" s="55">
        <v>0</v>
      </c>
      <c r="E2339" s="59">
        <v>44819</v>
      </c>
      <c r="F2339" s="60">
        <v>5.1736111111111115E-2</v>
      </c>
      <c r="G2339" s="28"/>
      <c r="J2339" t="s">
        <v>3036</v>
      </c>
    </row>
    <row r="2340" spans="1:10" hidden="1" outlineLevel="1">
      <c r="A2340" s="28"/>
      <c r="B2340" s="243">
        <v>112</v>
      </c>
      <c r="C2340" s="61" t="s">
        <v>3788</v>
      </c>
      <c r="D2340" s="55">
        <v>0</v>
      </c>
      <c r="E2340" s="59">
        <v>44937</v>
      </c>
      <c r="F2340" s="60">
        <v>3.8645833333333331E-2</v>
      </c>
      <c r="G2340" s="28"/>
      <c r="J2340" t="s">
        <v>3036</v>
      </c>
    </row>
    <row r="2341" spans="1:10" hidden="1" outlineLevel="1">
      <c r="A2341" s="28"/>
      <c r="B2341" s="243"/>
      <c r="C2341" s="192"/>
      <c r="D2341" s="55"/>
      <c r="E2341" s="59"/>
      <c r="F2341" s="60"/>
      <c r="G2341" s="28"/>
    </row>
    <row r="2342" spans="1:10" hidden="1" outlineLevel="1">
      <c r="A2342" s="28"/>
      <c r="B2342" s="243"/>
      <c r="C2342" s="443" t="s">
        <v>2968</v>
      </c>
      <c r="D2342" s="55"/>
      <c r="E2342" s="59"/>
      <c r="F2342" s="60"/>
      <c r="G2342" s="28"/>
    </row>
    <row r="2343" spans="1:10" hidden="1" outlineLevel="1">
      <c r="A2343" s="28"/>
      <c r="B2343" s="243"/>
      <c r="C2343" s="58" t="s">
        <v>2967</v>
      </c>
      <c r="D2343" s="55"/>
      <c r="E2343" s="59"/>
      <c r="F2343" s="60"/>
      <c r="G2343" s="28"/>
    </row>
    <row r="2344" spans="1:10" hidden="1" outlineLevel="1">
      <c r="A2344" s="28"/>
      <c r="B2344" s="243">
        <v>113</v>
      </c>
      <c r="C2344" s="61" t="s">
        <v>2969</v>
      </c>
      <c r="D2344" s="55">
        <v>0</v>
      </c>
      <c r="E2344" s="59">
        <v>44718</v>
      </c>
      <c r="F2344" s="60">
        <v>2.0335648148148148E-2</v>
      </c>
      <c r="G2344" s="28"/>
      <c r="J2344" t="s">
        <v>2970</v>
      </c>
    </row>
    <row r="2345" spans="1:10" hidden="1" outlineLevel="1">
      <c r="A2345" s="28"/>
      <c r="B2345" s="243"/>
      <c r="C2345" s="61"/>
      <c r="D2345" s="55"/>
      <c r="E2345" s="59"/>
      <c r="F2345" s="60"/>
      <c r="G2345" s="28"/>
    </row>
    <row r="2346" spans="1:10" hidden="1" outlineLevel="1">
      <c r="A2346" s="28"/>
      <c r="B2346" s="243"/>
      <c r="C2346" s="89" t="s">
        <v>3843</v>
      </c>
      <c r="D2346" s="55"/>
      <c r="E2346" s="59"/>
      <c r="F2346" s="60"/>
      <c r="G2346" s="28"/>
    </row>
    <row r="2347" spans="1:10" hidden="1" outlineLevel="1">
      <c r="A2347" s="28"/>
      <c r="B2347" s="243"/>
      <c r="C2347" s="58" t="s">
        <v>3842</v>
      </c>
      <c r="D2347" s="55"/>
      <c r="E2347" s="59"/>
      <c r="F2347" s="60"/>
      <c r="G2347" s="28"/>
    </row>
    <row r="2348" spans="1:10" hidden="1" outlineLevel="1">
      <c r="A2348" s="28"/>
      <c r="B2348" s="243">
        <v>114</v>
      </c>
      <c r="C2348" s="61" t="s">
        <v>3844</v>
      </c>
      <c r="D2348" s="55">
        <v>0</v>
      </c>
      <c r="E2348" s="59">
        <v>44756</v>
      </c>
      <c r="F2348" s="60">
        <v>3.5960648148148151E-2</v>
      </c>
      <c r="G2348" s="28"/>
      <c r="J2348" t="s">
        <v>3858</v>
      </c>
    </row>
    <row r="2349" spans="1:10" hidden="1" outlineLevel="1">
      <c r="A2349" s="28"/>
      <c r="B2349" s="243">
        <v>115</v>
      </c>
      <c r="C2349" s="61" t="s">
        <v>3845</v>
      </c>
      <c r="D2349" s="55">
        <v>216</v>
      </c>
      <c r="E2349" s="59">
        <v>44758</v>
      </c>
      <c r="F2349" s="60">
        <v>2.7106481481481481E-2</v>
      </c>
      <c r="G2349" s="28"/>
      <c r="J2349" t="s">
        <v>3858</v>
      </c>
    </row>
    <row r="2350" spans="1:10" hidden="1" outlineLevel="1">
      <c r="A2350" s="28"/>
      <c r="B2350" s="243">
        <v>116</v>
      </c>
      <c r="C2350" s="61" t="s">
        <v>3846</v>
      </c>
      <c r="D2350" s="55">
        <v>0</v>
      </c>
      <c r="E2350" s="59">
        <v>44764</v>
      </c>
      <c r="F2350" s="60">
        <v>2.9583333333333336E-2</v>
      </c>
      <c r="G2350" s="28"/>
      <c r="J2350" t="s">
        <v>3858</v>
      </c>
    </row>
    <row r="2351" spans="1:10" hidden="1" outlineLevel="1">
      <c r="A2351" s="28"/>
      <c r="B2351" s="243">
        <v>117</v>
      </c>
      <c r="C2351" s="61" t="s">
        <v>3847</v>
      </c>
      <c r="D2351" s="55">
        <v>217</v>
      </c>
      <c r="E2351" s="59">
        <v>44771</v>
      </c>
      <c r="F2351" s="60">
        <v>4.6840277777777779E-2</v>
      </c>
      <c r="G2351" s="28"/>
      <c r="J2351" t="s">
        <v>3858</v>
      </c>
    </row>
    <row r="2352" spans="1:10" hidden="1" outlineLevel="1">
      <c r="A2352" s="28"/>
      <c r="B2352" s="243">
        <v>118</v>
      </c>
      <c r="C2352" s="61" t="s">
        <v>3848</v>
      </c>
      <c r="D2352" s="55">
        <v>0</v>
      </c>
      <c r="E2352" s="59">
        <v>44778</v>
      </c>
      <c r="F2352" s="60">
        <v>4.2222222222222223E-2</v>
      </c>
      <c r="G2352" s="28"/>
      <c r="J2352" t="s">
        <v>3858</v>
      </c>
    </row>
    <row r="2353" spans="1:10" hidden="1" outlineLevel="1">
      <c r="A2353" s="28"/>
      <c r="B2353" s="243">
        <v>119</v>
      </c>
      <c r="C2353" s="61" t="s">
        <v>3849</v>
      </c>
      <c r="D2353" s="55">
        <v>0</v>
      </c>
      <c r="E2353" s="59">
        <v>44785</v>
      </c>
      <c r="F2353" s="60">
        <v>4.7002314814814816E-2</v>
      </c>
      <c r="G2353" s="28"/>
      <c r="J2353" t="s">
        <v>3858</v>
      </c>
    </row>
    <row r="2354" spans="1:10" hidden="1" outlineLevel="1">
      <c r="A2354" s="28"/>
      <c r="B2354" s="243">
        <v>120</v>
      </c>
      <c r="C2354" s="61" t="s">
        <v>3850</v>
      </c>
      <c r="D2354" s="55">
        <v>0</v>
      </c>
      <c r="E2354" s="59">
        <v>44794</v>
      </c>
      <c r="F2354" s="60">
        <v>4.1666666666666666E-3</v>
      </c>
      <c r="G2354" s="28"/>
      <c r="J2354" t="s">
        <v>3858</v>
      </c>
    </row>
    <row r="2355" spans="1:10" hidden="1" outlineLevel="1">
      <c r="A2355" s="28"/>
      <c r="B2355" s="243">
        <v>121</v>
      </c>
      <c r="C2355" s="61" t="s">
        <v>3851</v>
      </c>
      <c r="D2355" s="55">
        <v>0</v>
      </c>
      <c r="E2355" s="59">
        <v>44799</v>
      </c>
      <c r="F2355" s="60">
        <v>4.7673611111111104E-2</v>
      </c>
      <c r="G2355" s="28"/>
      <c r="J2355" t="s">
        <v>3858</v>
      </c>
    </row>
    <row r="2356" spans="1:10" hidden="1" outlineLevel="1">
      <c r="A2356" s="28"/>
      <c r="B2356" s="243">
        <v>122</v>
      </c>
      <c r="C2356" s="61" t="s">
        <v>3852</v>
      </c>
      <c r="D2356" s="55">
        <v>0</v>
      </c>
      <c r="E2356" s="59">
        <v>44806</v>
      </c>
      <c r="F2356" s="60">
        <v>6.3136574074074081E-2</v>
      </c>
      <c r="G2356" s="28"/>
      <c r="J2356" t="s">
        <v>3858</v>
      </c>
    </row>
    <row r="2357" spans="1:10" hidden="1" outlineLevel="1">
      <c r="A2357" s="28"/>
      <c r="B2357" s="243">
        <v>123</v>
      </c>
      <c r="C2357" s="61" t="s">
        <v>3853</v>
      </c>
      <c r="D2357" s="55">
        <v>0</v>
      </c>
      <c r="E2357" s="59">
        <v>44813</v>
      </c>
      <c r="F2357" s="60">
        <v>5.0439814814814819E-2</v>
      </c>
      <c r="G2357" s="28"/>
      <c r="J2357" t="s">
        <v>3858</v>
      </c>
    </row>
    <row r="2358" spans="1:10" hidden="1" outlineLevel="1">
      <c r="A2358" s="28"/>
      <c r="B2358" s="243">
        <v>124</v>
      </c>
      <c r="C2358" s="61" t="s">
        <v>3854</v>
      </c>
      <c r="D2358" s="55">
        <v>0</v>
      </c>
      <c r="E2358" s="59">
        <v>44827</v>
      </c>
      <c r="F2358" s="60">
        <v>5.5289351851851853E-2</v>
      </c>
      <c r="G2358" s="28"/>
      <c r="J2358" t="s">
        <v>3858</v>
      </c>
    </row>
    <row r="2359" spans="1:10" hidden="1" outlineLevel="1">
      <c r="A2359" s="28"/>
      <c r="B2359" s="243">
        <v>125</v>
      </c>
      <c r="C2359" s="61" t="s">
        <v>3855</v>
      </c>
      <c r="D2359" s="55">
        <v>0</v>
      </c>
      <c r="E2359" s="59">
        <v>44834</v>
      </c>
      <c r="F2359" s="60">
        <v>2.5208333333333333E-2</v>
      </c>
      <c r="G2359" s="28"/>
      <c r="J2359" t="s">
        <v>3858</v>
      </c>
    </row>
    <row r="2360" spans="1:10" hidden="1" outlineLevel="1">
      <c r="A2360" s="28"/>
      <c r="B2360" s="243">
        <v>126</v>
      </c>
      <c r="C2360" s="61" t="s">
        <v>3856</v>
      </c>
      <c r="D2360" s="55">
        <v>0</v>
      </c>
      <c r="E2360" s="59">
        <v>44841</v>
      </c>
      <c r="F2360" s="60">
        <v>1.2847222222222223E-3</v>
      </c>
      <c r="G2360" s="28"/>
      <c r="J2360" t="s">
        <v>3858</v>
      </c>
    </row>
    <row r="2361" spans="1:10" hidden="1" outlineLevel="1">
      <c r="A2361" s="28"/>
      <c r="B2361" s="243">
        <v>127</v>
      </c>
      <c r="C2361" s="61" t="s">
        <v>3857</v>
      </c>
      <c r="D2361" s="55">
        <v>0</v>
      </c>
      <c r="E2361" s="59">
        <v>44848</v>
      </c>
      <c r="F2361" s="60">
        <v>3.515046296296296E-2</v>
      </c>
      <c r="G2361" s="28"/>
      <c r="J2361" t="s">
        <v>3858</v>
      </c>
    </row>
    <row r="2362" spans="1:10" hidden="1" outlineLevel="1">
      <c r="A2362" s="28"/>
      <c r="B2362" s="243"/>
      <c r="C2362" s="61"/>
      <c r="D2362" s="55"/>
      <c r="E2362" s="59"/>
      <c r="F2362" s="60"/>
      <c r="G2362" s="28"/>
    </row>
    <row r="2363" spans="1:10" hidden="1" outlineLevel="1">
      <c r="A2363" s="28"/>
      <c r="B2363" s="243"/>
      <c r="C2363" s="89" t="s">
        <v>3912</v>
      </c>
      <c r="D2363" s="55"/>
      <c r="E2363" s="59"/>
      <c r="F2363" s="60"/>
      <c r="G2363" s="28"/>
    </row>
    <row r="2364" spans="1:10" hidden="1" outlineLevel="1">
      <c r="A2364" s="28"/>
      <c r="B2364" s="243"/>
      <c r="C2364" s="58" t="s">
        <v>3913</v>
      </c>
      <c r="D2364" s="55"/>
      <c r="E2364" s="59"/>
      <c r="F2364" s="60"/>
      <c r="G2364" s="28"/>
    </row>
    <row r="2365" spans="1:10" hidden="1" outlineLevel="1">
      <c r="A2365" s="28"/>
      <c r="B2365" s="243">
        <v>128</v>
      </c>
      <c r="C2365" s="61" t="s">
        <v>3914</v>
      </c>
      <c r="D2365" s="55">
        <v>0</v>
      </c>
      <c r="E2365" s="59">
        <v>45024</v>
      </c>
      <c r="F2365" s="60">
        <v>9.2534722222222213E-2</v>
      </c>
      <c r="G2365" s="28"/>
    </row>
    <row r="2366" spans="1:10" hidden="1" outlineLevel="1">
      <c r="A2366" s="28"/>
      <c r="B2366" s="243"/>
      <c r="C2366" s="61"/>
      <c r="D2366" s="55"/>
      <c r="E2366" s="59"/>
      <c r="F2366" s="60"/>
      <c r="G2366" s="28"/>
    </row>
    <row r="2367" spans="1:10" hidden="1" outlineLevel="1">
      <c r="A2367" s="28"/>
      <c r="D2367" s="55"/>
      <c r="F2367" s="245">
        <f>SUM(F2133:F2365)</f>
        <v>5.5143171296296289</v>
      </c>
      <c r="G2367" s="28"/>
    </row>
    <row r="2368" spans="1:10">
      <c r="A2368" s="28"/>
      <c r="B2368" s="28"/>
      <c r="C2368" s="28"/>
      <c r="D2368" s="28"/>
      <c r="E2368" s="28"/>
      <c r="F2368" s="28"/>
      <c r="G2368" s="28"/>
    </row>
    <row r="2369" spans="1:10">
      <c r="A2369" s="28"/>
      <c r="B2369" s="28"/>
      <c r="C2369" s="28"/>
      <c r="D2369" s="28"/>
      <c r="E2369" s="409" t="s">
        <v>2732</v>
      </c>
      <c r="F2369" s="245">
        <f>SUM(F2133:F2365)</f>
        <v>5.5143171296296289</v>
      </c>
      <c r="G2369" s="28"/>
    </row>
    <row r="2370" spans="1:10">
      <c r="A2370" s="28"/>
      <c r="B2370" s="28"/>
      <c r="C2370" s="28"/>
      <c r="D2370" s="28"/>
      <c r="E2370" s="28"/>
      <c r="F2370" s="28"/>
      <c r="G2370" s="28"/>
    </row>
    <row r="2371" spans="1:10">
      <c r="A2371" s="28"/>
      <c r="B2371" s="28"/>
      <c r="C2371" s="28"/>
      <c r="D2371" s="28"/>
      <c r="E2371" s="28"/>
      <c r="F2371" s="28"/>
      <c r="G2371" s="28"/>
    </row>
    <row r="2372" spans="1:10" collapsed="1">
      <c r="A2372" s="28"/>
      <c r="B2372" s="761" t="s">
        <v>2357</v>
      </c>
      <c r="C2372" s="762"/>
      <c r="D2372" s="762"/>
      <c r="E2372" s="762"/>
      <c r="F2372" s="763"/>
      <c r="G2372" s="28"/>
    </row>
    <row r="2373" spans="1:10" hidden="1" outlineLevel="1">
      <c r="A2373" s="28"/>
      <c r="B2373" s="28"/>
      <c r="C2373" s="28"/>
      <c r="D2373" s="28"/>
      <c r="E2373" s="28"/>
      <c r="F2373" s="28"/>
      <c r="G2373" s="28"/>
    </row>
    <row r="2374" spans="1:10" hidden="1" outlineLevel="1">
      <c r="A2374" s="28"/>
      <c r="G2374" s="28"/>
    </row>
    <row r="2375" spans="1:10" hidden="1" outlineLevel="1">
      <c r="A2375" s="28"/>
      <c r="G2375" s="28"/>
    </row>
    <row r="2376" spans="1:10" hidden="1" outlineLevel="1">
      <c r="A2376" s="28"/>
      <c r="C2376" s="105" t="s">
        <v>1383</v>
      </c>
      <c r="G2376" s="28"/>
    </row>
    <row r="2377" spans="1:10" hidden="1" outlineLevel="1">
      <c r="A2377" s="28"/>
      <c r="C2377" s="192" t="s">
        <v>1371</v>
      </c>
      <c r="D2377" s="191" t="s">
        <v>1373</v>
      </c>
      <c r="E2377" s="190">
        <v>43712</v>
      </c>
      <c r="F2377" s="60">
        <v>8.8310185185185176E-3</v>
      </c>
      <c r="G2377" s="28"/>
      <c r="J2377" t="s">
        <v>1385</v>
      </c>
    </row>
    <row r="2378" spans="1:10" hidden="1" outlineLevel="1">
      <c r="A2378" s="28"/>
      <c r="C2378" s="192" t="s">
        <v>1370</v>
      </c>
      <c r="D2378" s="191" t="s">
        <v>1374</v>
      </c>
      <c r="E2378" s="190">
        <v>43754</v>
      </c>
      <c r="F2378" s="60">
        <v>8.5300925925925926E-3</v>
      </c>
      <c r="G2378" s="28"/>
      <c r="J2378" t="s">
        <v>1385</v>
      </c>
    </row>
    <row r="2379" spans="1:10" hidden="1" outlineLevel="1">
      <c r="A2379" s="28"/>
      <c r="C2379" s="192" t="s">
        <v>1369</v>
      </c>
      <c r="D2379" s="191" t="s">
        <v>1375</v>
      </c>
      <c r="E2379" s="190">
        <v>43775</v>
      </c>
      <c r="F2379" s="60">
        <v>5.138888888888889E-3</v>
      </c>
      <c r="G2379" s="28"/>
      <c r="J2379" t="s">
        <v>1385</v>
      </c>
    </row>
    <row r="2380" spans="1:10" hidden="1" outlineLevel="1">
      <c r="A2380" s="28"/>
      <c r="C2380" s="192" t="s">
        <v>1368</v>
      </c>
      <c r="D2380" s="191" t="s">
        <v>1376</v>
      </c>
      <c r="E2380" s="190">
        <v>43787</v>
      </c>
      <c r="F2380" s="60">
        <v>1.2152777777777778E-2</v>
      </c>
      <c r="G2380" s="28"/>
      <c r="J2380" t="s">
        <v>1385</v>
      </c>
    </row>
    <row r="2381" spans="1:10" hidden="1" outlineLevel="1">
      <c r="A2381" s="28"/>
      <c r="C2381" s="192" t="s">
        <v>1367</v>
      </c>
      <c r="D2381" s="191" t="s">
        <v>1360</v>
      </c>
      <c r="E2381" s="190">
        <v>43788</v>
      </c>
      <c r="F2381" s="60">
        <v>1.0775462962962964E-2</v>
      </c>
      <c r="G2381" s="28"/>
      <c r="J2381" t="s">
        <v>1385</v>
      </c>
    </row>
    <row r="2382" spans="1:10" hidden="1" outlineLevel="1">
      <c r="A2382" s="28"/>
      <c r="C2382" s="192" t="s">
        <v>1365</v>
      </c>
      <c r="D2382" s="191" t="s">
        <v>1377</v>
      </c>
      <c r="E2382" s="190">
        <v>43789</v>
      </c>
      <c r="F2382" s="60">
        <v>9.1435185185185178E-3</v>
      </c>
      <c r="G2382" s="28"/>
      <c r="J2382" t="s">
        <v>1385</v>
      </c>
    </row>
    <row r="2383" spans="1:10" hidden="1" outlineLevel="1">
      <c r="A2383" s="28"/>
      <c r="C2383" s="192" t="s">
        <v>1366</v>
      </c>
      <c r="D2383" s="191" t="s">
        <v>1378</v>
      </c>
      <c r="E2383" s="190">
        <v>43810</v>
      </c>
      <c r="F2383" s="60">
        <v>1.5520833333333333E-2</v>
      </c>
      <c r="G2383" s="28"/>
      <c r="J2383" t="s">
        <v>1385</v>
      </c>
    </row>
    <row r="2384" spans="1:10" hidden="1" outlineLevel="1">
      <c r="A2384" s="28"/>
      <c r="C2384" s="192" t="s">
        <v>1364</v>
      </c>
      <c r="D2384" s="191" t="s">
        <v>1379</v>
      </c>
      <c r="E2384" s="190">
        <v>43844</v>
      </c>
      <c r="F2384" s="60">
        <v>1.0416666666666666E-2</v>
      </c>
      <c r="G2384" s="28"/>
      <c r="J2384" t="s">
        <v>1385</v>
      </c>
    </row>
    <row r="2385" spans="1:10" hidden="1" outlineLevel="1">
      <c r="A2385" s="28"/>
      <c r="C2385" s="192" t="s">
        <v>1362</v>
      </c>
      <c r="D2385" s="191" t="s">
        <v>1380</v>
      </c>
      <c r="E2385" s="190">
        <v>43915</v>
      </c>
      <c r="F2385" s="60">
        <v>1.7025462962962961E-2</v>
      </c>
      <c r="G2385" s="28"/>
      <c r="J2385" t="s">
        <v>1385</v>
      </c>
    </row>
    <row r="2386" spans="1:10" hidden="1" outlineLevel="1">
      <c r="A2386" s="28"/>
      <c r="C2386" s="192" t="s">
        <v>1359</v>
      </c>
      <c r="D2386" s="191">
        <v>205</v>
      </c>
      <c r="E2386" s="190">
        <v>43959</v>
      </c>
      <c r="F2386" s="60">
        <v>3.0150462962962962E-2</v>
      </c>
      <c r="G2386" s="28"/>
      <c r="J2386" t="s">
        <v>1385</v>
      </c>
    </row>
    <row r="2387" spans="1:10" hidden="1" outlineLevel="1">
      <c r="A2387" s="28"/>
      <c r="C2387" s="192" t="s">
        <v>1361</v>
      </c>
      <c r="D2387" s="191" t="s">
        <v>1381</v>
      </c>
      <c r="E2387" s="190">
        <v>43978</v>
      </c>
      <c r="F2387" s="60">
        <v>2.1458333333333333E-2</v>
      </c>
      <c r="G2387" s="28"/>
      <c r="J2387" t="s">
        <v>1385</v>
      </c>
    </row>
    <row r="2388" spans="1:10" hidden="1" outlineLevel="1">
      <c r="A2388" s="28"/>
      <c r="C2388" s="192" t="s">
        <v>1358</v>
      </c>
      <c r="D2388" s="191">
        <v>206</v>
      </c>
      <c r="E2388" s="190">
        <v>44022</v>
      </c>
      <c r="F2388" s="60">
        <v>3.1631944444444442E-2</v>
      </c>
      <c r="G2388" s="28"/>
      <c r="J2388" t="s">
        <v>1385</v>
      </c>
    </row>
    <row r="2389" spans="1:10" hidden="1" outlineLevel="1">
      <c r="A2389" s="28"/>
      <c r="C2389" s="192" t="s">
        <v>1363</v>
      </c>
      <c r="D2389" s="191" t="s">
        <v>1382</v>
      </c>
      <c r="E2389" s="190">
        <v>44062</v>
      </c>
      <c r="F2389" s="60">
        <v>1.3379629629629628E-2</v>
      </c>
      <c r="G2389" s="28"/>
      <c r="J2389" t="s">
        <v>1385</v>
      </c>
    </row>
    <row r="2390" spans="1:10" hidden="1" outlineLevel="1">
      <c r="A2390" s="28"/>
      <c r="C2390" s="192" t="s">
        <v>1357</v>
      </c>
      <c r="D2390" s="191" t="s">
        <v>1372</v>
      </c>
      <c r="E2390" s="190">
        <v>44078</v>
      </c>
      <c r="F2390" s="60">
        <v>1.0625000000000001E-2</v>
      </c>
      <c r="G2390" s="28"/>
      <c r="J2390" t="s">
        <v>1385</v>
      </c>
    </row>
    <row r="2391" spans="1:10" hidden="1" outlineLevel="1">
      <c r="A2391" s="28"/>
      <c r="C2391" s="192" t="s">
        <v>1356</v>
      </c>
      <c r="D2391" s="191">
        <v>207</v>
      </c>
      <c r="E2391" s="190">
        <v>44092</v>
      </c>
      <c r="F2391" s="60">
        <v>3.5347222222222217E-2</v>
      </c>
      <c r="G2391" s="28"/>
      <c r="J2391" t="s">
        <v>1385</v>
      </c>
    </row>
    <row r="2392" spans="1:10" hidden="1" outlineLevel="1">
      <c r="A2392" s="28"/>
      <c r="C2392" s="192" t="s">
        <v>1387</v>
      </c>
      <c r="D2392" s="191" t="s">
        <v>1372</v>
      </c>
      <c r="E2392" s="190">
        <v>44148</v>
      </c>
      <c r="F2392" s="60">
        <v>1.3981481481481482E-2</v>
      </c>
      <c r="G2392" s="28"/>
      <c r="J2392" t="s">
        <v>1385</v>
      </c>
    </row>
    <row r="2393" spans="1:10" hidden="1" outlineLevel="1">
      <c r="A2393" s="28"/>
      <c r="C2393" s="61" t="s">
        <v>1767</v>
      </c>
      <c r="D2393" s="191" t="s">
        <v>1391</v>
      </c>
      <c r="E2393" s="190">
        <v>44165</v>
      </c>
      <c r="F2393" s="60">
        <v>2.960648148148148E-2</v>
      </c>
      <c r="G2393" s="28"/>
      <c r="J2393" t="s">
        <v>1385</v>
      </c>
    </row>
    <row r="2394" spans="1:10" hidden="1" outlineLevel="1">
      <c r="A2394" s="28"/>
      <c r="C2394" s="61" t="s">
        <v>1768</v>
      </c>
      <c r="D2394" s="191">
        <v>208</v>
      </c>
      <c r="E2394" s="190">
        <v>44197</v>
      </c>
      <c r="F2394" s="60">
        <v>3.1307870370370368E-2</v>
      </c>
      <c r="G2394" s="28"/>
      <c r="J2394" t="s">
        <v>1385</v>
      </c>
    </row>
    <row r="2395" spans="1:10" hidden="1" outlineLevel="1">
      <c r="A2395" s="28"/>
      <c r="C2395" s="61" t="s">
        <v>1769</v>
      </c>
      <c r="D2395" s="191">
        <v>209</v>
      </c>
      <c r="E2395" s="190">
        <v>44260</v>
      </c>
      <c r="F2395" s="60">
        <v>3.7638888888888895E-2</v>
      </c>
      <c r="G2395" s="28"/>
      <c r="J2395" t="s">
        <v>1385</v>
      </c>
    </row>
    <row r="2396" spans="1:10" hidden="1" outlineLevel="1">
      <c r="A2396" s="28"/>
      <c r="C2396" s="61" t="s">
        <v>1639</v>
      </c>
      <c r="D2396" s="191" t="s">
        <v>1638</v>
      </c>
      <c r="E2396" s="190">
        <v>44307</v>
      </c>
      <c r="F2396" s="60">
        <v>7.083333333333333E-3</v>
      </c>
      <c r="G2396" s="28"/>
      <c r="J2396" t="s">
        <v>1385</v>
      </c>
    </row>
    <row r="2397" spans="1:10" hidden="1" outlineLevel="1">
      <c r="A2397" s="28"/>
      <c r="C2397" s="61" t="s">
        <v>1807</v>
      </c>
      <c r="D2397" s="191" t="s">
        <v>1806</v>
      </c>
      <c r="E2397" s="190">
        <v>44363</v>
      </c>
      <c r="F2397" s="60">
        <v>7.9629629629629634E-3</v>
      </c>
      <c r="G2397" s="28"/>
      <c r="J2397" t="s">
        <v>1385</v>
      </c>
    </row>
    <row r="2398" spans="1:10" hidden="1" outlineLevel="1">
      <c r="A2398" s="28"/>
      <c r="C2398" s="61" t="s">
        <v>1852</v>
      </c>
      <c r="D2398" s="191">
        <v>210</v>
      </c>
      <c r="E2398" s="190">
        <v>44365</v>
      </c>
      <c r="F2398" s="60">
        <v>3.318287037037037E-2</v>
      </c>
      <c r="G2398" s="28"/>
      <c r="J2398" t="s">
        <v>1385</v>
      </c>
    </row>
    <row r="2399" spans="1:10" hidden="1" outlineLevel="1">
      <c r="A2399" s="28"/>
      <c r="C2399" s="61" t="s">
        <v>1851</v>
      </c>
      <c r="D2399" s="191">
        <v>211</v>
      </c>
      <c r="E2399" s="190">
        <v>44386</v>
      </c>
      <c r="F2399" s="60">
        <v>4.0752314814814811E-2</v>
      </c>
      <c r="G2399" s="28"/>
      <c r="J2399" t="s">
        <v>1385</v>
      </c>
    </row>
    <row r="2400" spans="1:10" hidden="1" outlineLevel="1">
      <c r="A2400" s="28"/>
      <c r="C2400" s="61" t="s">
        <v>1910</v>
      </c>
      <c r="D2400" s="191" t="s">
        <v>1903</v>
      </c>
      <c r="E2400" s="190">
        <v>44433</v>
      </c>
      <c r="F2400" s="60">
        <v>1.0405092592592593E-2</v>
      </c>
      <c r="G2400" s="28"/>
      <c r="J2400" t="s">
        <v>1385</v>
      </c>
    </row>
    <row r="2401" spans="1:10" hidden="1" outlineLevel="1">
      <c r="A2401" s="28"/>
      <c r="C2401" s="61" t="s">
        <v>1902</v>
      </c>
      <c r="D2401" s="191">
        <v>212</v>
      </c>
      <c r="E2401" s="190">
        <v>44449</v>
      </c>
      <c r="F2401" s="60">
        <v>3.0844907407407404E-2</v>
      </c>
      <c r="G2401" s="28"/>
      <c r="J2401" t="s">
        <v>1385</v>
      </c>
    </row>
    <row r="2402" spans="1:10" hidden="1" outlineLevel="1">
      <c r="A2402" s="28"/>
      <c r="C2402" s="61" t="s">
        <v>2374</v>
      </c>
      <c r="D2402" s="191" t="s">
        <v>2373</v>
      </c>
      <c r="E2402" s="190">
        <v>44496</v>
      </c>
      <c r="F2402" s="60">
        <v>1.3020833333333334E-2</v>
      </c>
      <c r="G2402" s="28"/>
      <c r="J2402" t="s">
        <v>1385</v>
      </c>
    </row>
    <row r="2403" spans="1:10" hidden="1" outlineLevel="1">
      <c r="A2403" s="28"/>
      <c r="C2403" s="61" t="s">
        <v>2439</v>
      </c>
      <c r="D2403" s="191" t="s">
        <v>2440</v>
      </c>
      <c r="E2403" s="190">
        <v>44512</v>
      </c>
      <c r="F2403" s="60">
        <v>1.1574074074074075E-2</v>
      </c>
      <c r="G2403" s="28"/>
      <c r="J2403" t="s">
        <v>1385</v>
      </c>
    </row>
    <row r="2404" spans="1:10" hidden="1" outlineLevel="1">
      <c r="A2404" s="28"/>
      <c r="C2404" s="192" t="s">
        <v>2375</v>
      </c>
      <c r="D2404" s="191">
        <v>213</v>
      </c>
      <c r="E2404" s="190">
        <v>44519</v>
      </c>
      <c r="F2404" s="60">
        <v>3.5312500000000004E-2</v>
      </c>
      <c r="G2404" s="28"/>
      <c r="J2404" t="s">
        <v>1385</v>
      </c>
    </row>
    <row r="2405" spans="1:10" hidden="1" outlineLevel="1">
      <c r="A2405" s="28"/>
      <c r="C2405" s="192" t="s">
        <v>2411</v>
      </c>
      <c r="D2405" s="311" t="s">
        <v>2410</v>
      </c>
      <c r="E2405" s="312">
        <v>44545</v>
      </c>
      <c r="F2405" s="313">
        <v>1.298611111111111E-2</v>
      </c>
      <c r="G2405" s="28"/>
      <c r="J2405" t="s">
        <v>1385</v>
      </c>
    </row>
    <row r="2406" spans="1:10" hidden="1" outlineLevel="1">
      <c r="A2406" s="28"/>
      <c r="C2406" s="192" t="s">
        <v>2754</v>
      </c>
      <c r="D2406" s="311">
        <v>214</v>
      </c>
      <c r="E2406" s="312">
        <v>44589</v>
      </c>
      <c r="F2406" s="313">
        <v>2.630787037037037E-2</v>
      </c>
      <c r="G2406" s="28"/>
      <c r="J2406" t="s">
        <v>1385</v>
      </c>
    </row>
    <row r="2407" spans="1:10" hidden="1" outlineLevel="1">
      <c r="A2407" s="28"/>
      <c r="C2407" s="192" t="s">
        <v>2853</v>
      </c>
      <c r="D2407" s="311">
        <v>215</v>
      </c>
      <c r="E2407" s="312">
        <v>44638</v>
      </c>
      <c r="F2407" s="313">
        <v>1.5787037037037037E-2</v>
      </c>
      <c r="G2407" s="28"/>
      <c r="J2407" t="s">
        <v>1385</v>
      </c>
    </row>
    <row r="2408" spans="1:10" hidden="1" outlineLevel="1">
      <c r="A2408" s="28"/>
      <c r="C2408" s="527" t="s">
        <v>2870</v>
      </c>
      <c r="D2408" s="311">
        <v>216</v>
      </c>
      <c r="E2408" s="312">
        <v>44701</v>
      </c>
      <c r="F2408" s="313">
        <v>1.8298611111111113E-2</v>
      </c>
      <c r="G2408" s="28"/>
      <c r="J2408" t="s">
        <v>1385</v>
      </c>
    </row>
    <row r="2409" spans="1:10" hidden="1" outlineLevel="1">
      <c r="A2409" s="28"/>
      <c r="C2409" s="527" t="s">
        <v>2975</v>
      </c>
      <c r="D2409" s="311">
        <v>217</v>
      </c>
      <c r="E2409" s="312">
        <v>44750</v>
      </c>
      <c r="F2409" s="313">
        <v>1.695601851851852E-2</v>
      </c>
      <c r="G2409" s="28"/>
      <c r="J2409" t="s">
        <v>1385</v>
      </c>
    </row>
    <row r="2410" spans="1:10" hidden="1" outlineLevel="1">
      <c r="A2410" s="28"/>
      <c r="C2410" s="531" t="s">
        <v>3027</v>
      </c>
      <c r="D2410" s="311">
        <v>218</v>
      </c>
      <c r="E2410" s="312">
        <v>44813</v>
      </c>
      <c r="F2410" s="313">
        <v>2.1921296296296296E-2</v>
      </c>
      <c r="G2410" s="28"/>
      <c r="J2410" t="s">
        <v>1385</v>
      </c>
    </row>
    <row r="2411" spans="1:10" hidden="1" outlineLevel="1">
      <c r="A2411" s="28"/>
      <c r="C2411" s="531" t="s">
        <v>3097</v>
      </c>
      <c r="D2411" s="311" t="s">
        <v>3096</v>
      </c>
      <c r="E2411" s="312">
        <v>44867</v>
      </c>
      <c r="F2411" s="313">
        <v>1.238425925925926E-2</v>
      </c>
      <c r="G2411" s="28"/>
      <c r="J2411" t="s">
        <v>1385</v>
      </c>
    </row>
    <row r="2412" spans="1:10" hidden="1" outlineLevel="1">
      <c r="A2412" s="28"/>
      <c r="C2412" s="531" t="s">
        <v>3028</v>
      </c>
      <c r="D2412" s="311">
        <v>219</v>
      </c>
      <c r="E2412" s="312">
        <v>44876</v>
      </c>
      <c r="F2412" s="313">
        <v>1.7916666666666668E-2</v>
      </c>
      <c r="G2412" s="28"/>
      <c r="J2412" t="s">
        <v>1385</v>
      </c>
    </row>
    <row r="2413" spans="1:10" hidden="1" outlineLevel="1">
      <c r="A2413" s="28"/>
      <c r="C2413" s="531" t="s">
        <v>3776</v>
      </c>
      <c r="D2413" s="311" t="s">
        <v>3134</v>
      </c>
      <c r="E2413" s="312">
        <v>44896</v>
      </c>
      <c r="F2413" s="313">
        <v>1.8981481481481481E-2</v>
      </c>
      <c r="G2413" s="28"/>
      <c r="J2413" t="s">
        <v>1385</v>
      </c>
    </row>
    <row r="2414" spans="1:10" hidden="1" outlineLevel="1">
      <c r="A2414" s="28"/>
      <c r="C2414" s="531" t="s">
        <v>3029</v>
      </c>
      <c r="D2414" s="578">
        <v>220</v>
      </c>
      <c r="E2414" s="312">
        <v>44944</v>
      </c>
      <c r="F2414" s="313">
        <v>2.2418981481481481E-2</v>
      </c>
      <c r="G2414" s="28"/>
      <c r="J2414" t="s">
        <v>1385</v>
      </c>
    </row>
    <row r="2415" spans="1:10" hidden="1" outlineLevel="1">
      <c r="A2415" s="28"/>
      <c r="C2415" s="531" t="s">
        <v>3778</v>
      </c>
      <c r="D2415" s="311" t="s">
        <v>3777</v>
      </c>
      <c r="E2415" s="312">
        <v>44958</v>
      </c>
      <c r="F2415" s="313">
        <v>1.6655092592592593E-2</v>
      </c>
      <c r="G2415" s="28"/>
      <c r="J2415" t="s">
        <v>1385</v>
      </c>
    </row>
    <row r="2416" spans="1:10" hidden="1" outlineLevel="1">
      <c r="A2416" s="28"/>
      <c r="C2416" s="531" t="s">
        <v>3779</v>
      </c>
      <c r="D2416" s="311">
        <v>221</v>
      </c>
      <c r="E2416" s="312">
        <v>44981</v>
      </c>
      <c r="F2416" s="313">
        <v>1.9675925925925927E-2</v>
      </c>
      <c r="G2416" s="28"/>
      <c r="J2416" t="s">
        <v>1385</v>
      </c>
    </row>
    <row r="2417" spans="1:10" hidden="1" outlineLevel="1">
      <c r="A2417" s="28"/>
      <c r="C2417" s="531" t="s">
        <v>3890</v>
      </c>
      <c r="D2417" s="311" t="s">
        <v>3889</v>
      </c>
      <c r="E2417" s="312">
        <v>45035</v>
      </c>
      <c r="F2417" s="60">
        <v>7.2569444444444443E-3</v>
      </c>
      <c r="G2417" s="28"/>
      <c r="J2417" t="s">
        <v>1385</v>
      </c>
    </row>
    <row r="2418" spans="1:10" hidden="1" outlineLevel="1">
      <c r="A2418" s="28"/>
      <c r="C2418" s="531" t="s">
        <v>3894</v>
      </c>
      <c r="D2418" s="191">
        <v>222</v>
      </c>
      <c r="E2418" s="190">
        <v>45051</v>
      </c>
      <c r="F2418" s="60">
        <v>2.1574074074074075E-2</v>
      </c>
      <c r="G2418" s="28"/>
      <c r="J2418" t="s">
        <v>1385</v>
      </c>
    </row>
    <row r="2419" spans="1:10" hidden="1" outlineLevel="1">
      <c r="A2419" s="28"/>
      <c r="C2419" s="531" t="s">
        <v>3974</v>
      </c>
      <c r="D2419" s="311" t="s">
        <v>3975</v>
      </c>
      <c r="E2419" s="190">
        <v>45091</v>
      </c>
      <c r="F2419" s="60">
        <v>4.5254629629629629E-3</v>
      </c>
      <c r="G2419" s="28"/>
      <c r="J2419" t="s">
        <v>1385</v>
      </c>
    </row>
    <row r="2420" spans="1:10" hidden="1" outlineLevel="1">
      <c r="A2420" s="28"/>
      <c r="C2420" s="647" t="s">
        <v>4055</v>
      </c>
      <c r="D2420" s="311">
        <v>223</v>
      </c>
      <c r="E2420" s="190">
        <v>45128</v>
      </c>
      <c r="F2420" s="60">
        <v>2.4456018518518519E-2</v>
      </c>
      <c r="G2420" s="28"/>
      <c r="J2420" t="s">
        <v>1385</v>
      </c>
    </row>
    <row r="2421" spans="1:10" hidden="1" outlineLevel="1">
      <c r="A2421" s="28"/>
      <c r="C2421" s="647" t="s">
        <v>4057</v>
      </c>
      <c r="D2421" s="311" t="s">
        <v>4058</v>
      </c>
      <c r="E2421" s="190">
        <v>45154</v>
      </c>
      <c r="F2421" s="60">
        <v>1.2939814814814814E-2</v>
      </c>
      <c r="G2421" s="28"/>
      <c r="J2421" t="s">
        <v>1385</v>
      </c>
    </row>
    <row r="2422" spans="1:10" hidden="1" outlineLevel="1">
      <c r="A2422" s="28"/>
      <c r="C2422" s="647" t="s">
        <v>4311</v>
      </c>
      <c r="D2422" s="311">
        <v>224</v>
      </c>
      <c r="E2422" s="190">
        <v>45247</v>
      </c>
      <c r="F2422" s="60">
        <v>2.5914351851851855E-2</v>
      </c>
      <c r="G2422" s="28"/>
      <c r="J2422" t="s">
        <v>1385</v>
      </c>
    </row>
    <row r="2423" spans="1:10" hidden="1" outlineLevel="1">
      <c r="A2423" s="28"/>
      <c r="C2423" s="647" t="s">
        <v>4310</v>
      </c>
      <c r="D2423" s="311" t="s">
        <v>4204</v>
      </c>
      <c r="E2423" s="190">
        <v>45627</v>
      </c>
      <c r="F2423" s="60">
        <v>3.3750000000000002E-2</v>
      </c>
      <c r="G2423" s="28"/>
      <c r="J2423" t="s">
        <v>1385</v>
      </c>
    </row>
    <row r="2424" spans="1:10" hidden="1" outlineLevel="1">
      <c r="A2424" s="28"/>
      <c r="C2424" s="647" t="s">
        <v>4414</v>
      </c>
      <c r="D2424" s="721">
        <v>225</v>
      </c>
      <c r="E2424" s="722">
        <v>45310</v>
      </c>
      <c r="F2424" s="723">
        <v>2.255787037037037E-2</v>
      </c>
      <c r="G2424" s="28"/>
      <c r="J2424" t="s">
        <v>1385</v>
      </c>
    </row>
    <row r="2425" spans="1:10" hidden="1" outlineLevel="1">
      <c r="A2425" s="28"/>
      <c r="C2425" s="531" t="s">
        <v>4358</v>
      </c>
      <c r="D2425" s="311">
        <v>226</v>
      </c>
      <c r="E2425" s="312">
        <v>45366</v>
      </c>
      <c r="F2425" s="313">
        <v>3.3738425925925929E-2</v>
      </c>
      <c r="G2425" s="28"/>
      <c r="J2425" t="s">
        <v>1385</v>
      </c>
    </row>
    <row r="2426" spans="1:10" hidden="1" outlineLevel="1">
      <c r="A2426" s="28"/>
      <c r="C2426" s="720" t="s">
        <v>4359</v>
      </c>
      <c r="D2426" s="717">
        <v>227</v>
      </c>
      <c r="E2426" s="718">
        <v>45415</v>
      </c>
      <c r="F2426" s="719">
        <v>0</v>
      </c>
      <c r="G2426" s="28"/>
      <c r="J2426" t="s">
        <v>1385</v>
      </c>
    </row>
    <row r="2427" spans="1:10" hidden="1" outlineLevel="1">
      <c r="A2427" s="28"/>
      <c r="F2427" s="245">
        <f>SUM(F2377:F2426)</f>
        <v>0.94980324074074063</v>
      </c>
      <c r="G2427" s="28"/>
    </row>
    <row r="2428" spans="1:10" hidden="1" outlineLevel="1">
      <c r="A2428" s="28"/>
      <c r="F2428" s="245"/>
      <c r="G2428" s="28"/>
    </row>
    <row r="2429" spans="1:10" hidden="1" outlineLevel="1">
      <c r="A2429" s="28"/>
      <c r="G2429" s="28"/>
    </row>
    <row r="2430" spans="1:10" hidden="1" outlineLevel="1">
      <c r="A2430" s="28"/>
      <c r="G2430" s="28"/>
    </row>
    <row r="2431" spans="1:10" hidden="1" outlineLevel="1">
      <c r="A2431" s="28"/>
      <c r="C2431" s="105" t="s">
        <v>1384</v>
      </c>
      <c r="G2431" s="28"/>
    </row>
    <row r="2432" spans="1:10" hidden="1" outlineLevel="1">
      <c r="A2432" s="28"/>
      <c r="C2432" s="61" t="s">
        <v>1778</v>
      </c>
      <c r="D2432" s="55">
        <v>0</v>
      </c>
      <c r="E2432" s="190">
        <v>43033</v>
      </c>
      <c r="F2432" s="60">
        <v>8.0092592592592594E-3</v>
      </c>
      <c r="G2432" s="28"/>
      <c r="J2432" t="s">
        <v>1355</v>
      </c>
    </row>
    <row r="2433" spans="1:10" hidden="1" outlineLevel="1">
      <c r="A2433" s="28"/>
      <c r="C2433" s="61" t="s">
        <v>1779</v>
      </c>
      <c r="D2433" s="55">
        <v>0</v>
      </c>
      <c r="E2433" s="190">
        <v>43088</v>
      </c>
      <c r="F2433" s="60">
        <v>9.3287037037037036E-3</v>
      </c>
      <c r="G2433" s="28"/>
      <c r="J2433" t="s">
        <v>1355</v>
      </c>
    </row>
    <row r="2434" spans="1:10" hidden="1" outlineLevel="1">
      <c r="A2434" s="28"/>
      <c r="C2434" s="192" t="s">
        <v>1348</v>
      </c>
      <c r="D2434" s="55">
        <v>0</v>
      </c>
      <c r="E2434" s="190">
        <v>43978</v>
      </c>
      <c r="F2434" s="60">
        <v>1.6122685185185184E-2</v>
      </c>
      <c r="G2434" s="28"/>
      <c r="J2434" t="s">
        <v>1355</v>
      </c>
    </row>
    <row r="2435" spans="1:10" hidden="1" outlineLevel="1">
      <c r="A2435" s="28"/>
      <c r="C2435" s="192" t="s">
        <v>1349</v>
      </c>
      <c r="D2435" s="55">
        <v>80</v>
      </c>
      <c r="E2435" s="190">
        <v>43979</v>
      </c>
      <c r="F2435" s="60">
        <v>1.8657407407407407E-2</v>
      </c>
      <c r="G2435" s="28"/>
      <c r="J2435" t="s">
        <v>1355</v>
      </c>
    </row>
    <row r="2436" spans="1:10" hidden="1" outlineLevel="1">
      <c r="A2436" s="28"/>
      <c r="C2436" s="193" t="s">
        <v>1777</v>
      </c>
      <c r="D2436" s="55">
        <v>0</v>
      </c>
      <c r="E2436" s="190">
        <v>43980</v>
      </c>
      <c r="F2436" s="60">
        <v>1.8750000000000001E-3</v>
      </c>
      <c r="G2436" s="28"/>
      <c r="J2436" t="s">
        <v>1355</v>
      </c>
    </row>
    <row r="2437" spans="1:10" hidden="1" outlineLevel="1">
      <c r="A2437" s="28"/>
      <c r="C2437" s="192" t="s">
        <v>1350</v>
      </c>
      <c r="D2437" s="55">
        <v>84</v>
      </c>
      <c r="E2437" s="190">
        <v>43995</v>
      </c>
      <c r="F2437" s="60">
        <v>2.0729166666666667E-2</v>
      </c>
      <c r="G2437" s="28"/>
      <c r="J2437" t="s">
        <v>1355</v>
      </c>
    </row>
    <row r="2438" spans="1:10" hidden="1" outlineLevel="1">
      <c r="A2438" s="28"/>
      <c r="C2438" s="192" t="s">
        <v>1351</v>
      </c>
      <c r="D2438" s="55">
        <v>0</v>
      </c>
      <c r="E2438" s="190">
        <v>44016</v>
      </c>
      <c r="F2438" s="60">
        <v>1.324074074074074E-2</v>
      </c>
      <c r="G2438" s="28"/>
      <c r="J2438" t="s">
        <v>1355</v>
      </c>
    </row>
    <row r="2439" spans="1:10" hidden="1" outlineLevel="1">
      <c r="A2439" s="28"/>
      <c r="C2439" s="192" t="s">
        <v>1352</v>
      </c>
      <c r="D2439" s="55">
        <v>10</v>
      </c>
      <c r="E2439" s="190">
        <v>44022</v>
      </c>
      <c r="F2439" s="60">
        <v>1.9305555555555555E-2</v>
      </c>
      <c r="G2439" s="28"/>
      <c r="J2439" t="s">
        <v>1355</v>
      </c>
    </row>
    <row r="2440" spans="1:10" hidden="1" outlineLevel="1">
      <c r="A2440" s="28"/>
      <c r="C2440" s="192" t="s">
        <v>1775</v>
      </c>
      <c r="D2440" s="55">
        <v>0</v>
      </c>
      <c r="E2440" s="190">
        <v>44027</v>
      </c>
      <c r="F2440" s="60">
        <v>9.0509259259259258E-3</v>
      </c>
      <c r="G2440" s="28"/>
      <c r="J2440" t="s">
        <v>1355</v>
      </c>
    </row>
    <row r="2441" spans="1:10" hidden="1" outlineLevel="1">
      <c r="A2441" s="28"/>
      <c r="C2441" s="192" t="s">
        <v>1354</v>
      </c>
      <c r="D2441" s="55">
        <v>0</v>
      </c>
      <c r="E2441" s="190">
        <v>44028</v>
      </c>
      <c r="F2441" s="60">
        <v>1.2812499999999999E-2</v>
      </c>
      <c r="G2441" s="28"/>
      <c r="J2441" t="s">
        <v>1355</v>
      </c>
    </row>
    <row r="2442" spans="1:10" hidden="1" outlineLevel="1">
      <c r="A2442" s="28"/>
      <c r="C2442" s="192" t="s">
        <v>1560</v>
      </c>
      <c r="D2442" s="55">
        <v>0</v>
      </c>
      <c r="E2442" s="190">
        <v>44154</v>
      </c>
      <c r="F2442" s="60">
        <v>2.1689814814814815E-2</v>
      </c>
      <c r="G2442" s="28"/>
      <c r="J2442" t="s">
        <v>1355</v>
      </c>
    </row>
    <row r="2443" spans="1:10" hidden="1" outlineLevel="1">
      <c r="A2443" s="28"/>
      <c r="C2443" s="192" t="s">
        <v>1353</v>
      </c>
      <c r="D2443" s="55">
        <v>18</v>
      </c>
      <c r="E2443" s="190">
        <v>44172</v>
      </c>
      <c r="F2443" s="60">
        <v>2.0925925925925928E-2</v>
      </c>
      <c r="G2443" s="28"/>
      <c r="J2443" t="s">
        <v>1355</v>
      </c>
    </row>
    <row r="2444" spans="1:10" hidden="1" outlineLevel="1">
      <c r="A2444" s="28"/>
      <c r="C2444" s="192" t="s">
        <v>1559</v>
      </c>
      <c r="D2444" s="55">
        <v>101</v>
      </c>
      <c r="E2444" s="190">
        <v>44183</v>
      </c>
      <c r="F2444" s="60">
        <v>2.4074074074074071E-2</v>
      </c>
      <c r="G2444" s="28"/>
      <c r="J2444" t="s">
        <v>1355</v>
      </c>
    </row>
    <row r="2445" spans="1:10" hidden="1" outlineLevel="1">
      <c r="A2445" s="28"/>
      <c r="C2445" s="61" t="s">
        <v>1776</v>
      </c>
      <c r="D2445" s="55">
        <v>0</v>
      </c>
      <c r="E2445" s="190">
        <v>44213</v>
      </c>
      <c r="F2445" s="60">
        <v>1.4780092592592595E-2</v>
      </c>
      <c r="G2445" s="28"/>
      <c r="J2445" t="s">
        <v>1355</v>
      </c>
    </row>
    <row r="2446" spans="1:10" hidden="1" outlineLevel="1">
      <c r="A2446" s="28"/>
      <c r="C2446" s="61" t="s">
        <v>1774</v>
      </c>
      <c r="D2446" s="55">
        <v>0</v>
      </c>
      <c r="E2446" s="190">
        <v>44246</v>
      </c>
      <c r="F2446" s="60">
        <v>9.4444444444444445E-3</v>
      </c>
      <c r="G2446" s="28"/>
      <c r="J2446" t="s">
        <v>1355</v>
      </c>
    </row>
    <row r="2447" spans="1:10" hidden="1" outlineLevel="1">
      <c r="A2447" s="28"/>
      <c r="C2447" s="61" t="s">
        <v>1773</v>
      </c>
      <c r="D2447" s="55">
        <v>0</v>
      </c>
      <c r="E2447" s="190">
        <v>44253</v>
      </c>
      <c r="F2447" s="60">
        <v>1.4467592592592593E-2</v>
      </c>
      <c r="G2447" s="28"/>
      <c r="J2447" t="s">
        <v>1355</v>
      </c>
    </row>
    <row r="2448" spans="1:10" hidden="1" outlineLevel="1">
      <c r="A2448" s="28"/>
      <c r="C2448" s="61" t="s">
        <v>1772</v>
      </c>
      <c r="D2448" s="55">
        <v>0</v>
      </c>
      <c r="E2448" s="190">
        <v>44261</v>
      </c>
      <c r="F2448" s="60">
        <v>1.8449074074074073E-2</v>
      </c>
      <c r="G2448" s="28"/>
      <c r="J2448" t="s">
        <v>1355</v>
      </c>
    </row>
    <row r="2449" spans="1:10" hidden="1" outlineLevel="1">
      <c r="A2449" s="28"/>
      <c r="C2449" s="61" t="s">
        <v>1771</v>
      </c>
      <c r="D2449" s="55">
        <v>0</v>
      </c>
      <c r="E2449" s="190">
        <v>44276</v>
      </c>
      <c r="F2449" s="60">
        <v>1.579861111111111E-2</v>
      </c>
      <c r="G2449" s="28"/>
      <c r="J2449" t="s">
        <v>1355</v>
      </c>
    </row>
    <row r="2450" spans="1:10" hidden="1" outlineLevel="1">
      <c r="A2450" s="28"/>
      <c r="C2450" s="61" t="s">
        <v>1770</v>
      </c>
      <c r="D2450" s="55">
        <v>0</v>
      </c>
      <c r="E2450" s="190">
        <v>44317</v>
      </c>
      <c r="F2450" s="60">
        <v>2.4756944444444443E-2</v>
      </c>
      <c r="G2450" s="28"/>
      <c r="J2450" t="s">
        <v>1355</v>
      </c>
    </row>
    <row r="2451" spans="1:10" hidden="1" outlineLevel="1">
      <c r="A2451" s="28"/>
      <c r="C2451" s="192" t="s">
        <v>1917</v>
      </c>
      <c r="D2451" s="55">
        <v>0</v>
      </c>
      <c r="E2451" s="190">
        <v>44392</v>
      </c>
      <c r="F2451" s="60">
        <v>7.9861111111111122E-3</v>
      </c>
      <c r="G2451" s="28"/>
      <c r="J2451" t="s">
        <v>1355</v>
      </c>
    </row>
    <row r="2452" spans="1:10" hidden="1" outlineLevel="1">
      <c r="A2452" s="28"/>
      <c r="C2452" s="192" t="s">
        <v>3840</v>
      </c>
      <c r="D2452" s="55">
        <v>106</v>
      </c>
      <c r="E2452" s="190">
        <v>44604</v>
      </c>
      <c r="F2452" s="60">
        <v>2.3750000000000004E-2</v>
      </c>
      <c r="G2452" s="28"/>
      <c r="J2452" t="s">
        <v>1355</v>
      </c>
    </row>
    <row r="2453" spans="1:10" hidden="1" outlineLevel="1">
      <c r="A2453" s="28"/>
      <c r="C2453" s="192" t="s">
        <v>3835</v>
      </c>
      <c r="D2453" s="55">
        <v>0</v>
      </c>
      <c r="E2453" s="190">
        <v>44669</v>
      </c>
      <c r="F2453" s="60">
        <v>2.1261574074074075E-2</v>
      </c>
      <c r="G2453" s="28"/>
      <c r="J2453" t="s">
        <v>1355</v>
      </c>
    </row>
    <row r="2454" spans="1:10" hidden="1" outlineLevel="1">
      <c r="A2454" s="28"/>
      <c r="C2454" s="192" t="s">
        <v>3836</v>
      </c>
      <c r="D2454" s="55">
        <v>0</v>
      </c>
      <c r="E2454" s="190">
        <v>44689</v>
      </c>
      <c r="F2454" s="60">
        <v>1.0590277777777777E-2</v>
      </c>
      <c r="G2454" s="28"/>
      <c r="J2454" t="s">
        <v>1355</v>
      </c>
    </row>
    <row r="2455" spans="1:10" hidden="1" outlineLevel="1">
      <c r="A2455" s="28"/>
      <c r="C2455" s="192" t="s">
        <v>3837</v>
      </c>
      <c r="D2455" s="55">
        <v>0</v>
      </c>
      <c r="E2455" s="190">
        <v>44736</v>
      </c>
      <c r="F2455" s="60">
        <v>4.5370370370370365E-3</v>
      </c>
      <c r="G2455" s="28"/>
      <c r="J2455" t="s">
        <v>1355</v>
      </c>
    </row>
    <row r="2456" spans="1:10" hidden="1" outlineLevel="1">
      <c r="A2456" s="28"/>
      <c r="C2456" s="192" t="s">
        <v>3838</v>
      </c>
      <c r="D2456" s="55">
        <v>0</v>
      </c>
      <c r="E2456" s="190">
        <v>44822</v>
      </c>
      <c r="F2456" s="60">
        <v>1.6157407407407409E-2</v>
      </c>
      <c r="G2456" s="28"/>
      <c r="J2456" t="s">
        <v>1355</v>
      </c>
    </row>
    <row r="2457" spans="1:10" hidden="1" outlineLevel="1">
      <c r="A2457" s="28"/>
      <c r="C2457" s="192" t="s">
        <v>3839</v>
      </c>
      <c r="D2457" s="55">
        <v>0</v>
      </c>
      <c r="E2457" s="190">
        <v>44865</v>
      </c>
      <c r="F2457" s="60">
        <v>2.0810185185185185E-2</v>
      </c>
      <c r="G2457" s="28"/>
      <c r="J2457" t="s">
        <v>1355</v>
      </c>
    </row>
    <row r="2458" spans="1:10" hidden="1" outlineLevel="1">
      <c r="A2458" s="28"/>
      <c r="F2458" s="245">
        <f>SUM(F2432:F2457)</f>
        <v>0.39861111111111114</v>
      </c>
      <c r="G2458" s="28"/>
    </row>
    <row r="2459" spans="1:10">
      <c r="A2459" s="28"/>
      <c r="B2459" s="28"/>
      <c r="C2459" s="28"/>
      <c r="D2459" s="28"/>
      <c r="E2459" s="28"/>
      <c r="F2459" s="28"/>
      <c r="G2459" s="28"/>
    </row>
    <row r="2460" spans="1:10">
      <c r="A2460" s="28"/>
      <c r="B2460" s="28"/>
      <c r="C2460" s="28"/>
      <c r="D2460" s="28"/>
      <c r="E2460" s="409" t="s">
        <v>2734</v>
      </c>
      <c r="F2460" s="410">
        <f>SUM(F2427,F2458)</f>
        <v>1.3484143518518517</v>
      </c>
      <c r="G2460" s="28"/>
    </row>
    <row r="2461" spans="1:10">
      <c r="A2461" s="28"/>
      <c r="B2461" s="28"/>
      <c r="C2461" s="28"/>
      <c r="D2461" s="28"/>
      <c r="E2461" s="28"/>
      <c r="F2461" s="28"/>
      <c r="G2461" s="28"/>
    </row>
    <row r="2462" spans="1:10">
      <c r="A2462" s="28"/>
      <c r="B2462" s="28"/>
      <c r="C2462" s="28"/>
      <c r="D2462" s="28"/>
      <c r="E2462" s="28"/>
      <c r="F2462" s="28"/>
      <c r="G2462" s="28"/>
    </row>
    <row r="2463" spans="1:10">
      <c r="A2463" s="28"/>
      <c r="B2463" s="755" t="s">
        <v>2733</v>
      </c>
      <c r="C2463" s="756"/>
      <c r="D2463" s="756"/>
      <c r="E2463" s="756"/>
      <c r="F2463" s="757"/>
      <c r="G2463" s="28"/>
    </row>
    <row r="2464" spans="1:10">
      <c r="A2464" s="28"/>
      <c r="B2464" s="97"/>
      <c r="C2464" s="97"/>
      <c r="D2464" s="97"/>
      <c r="E2464" s="97"/>
      <c r="F2464" s="97"/>
      <c r="G2464" s="28"/>
    </row>
    <row r="2465" spans="1:10">
      <c r="A2465" s="28"/>
      <c r="B2465" s="33"/>
      <c r="C2465" s="40" t="s">
        <v>2728</v>
      </c>
      <c r="D2465" s="40"/>
      <c r="E2465" s="36"/>
      <c r="F2465" s="37"/>
      <c r="G2465" s="28"/>
    </row>
    <row r="2466" spans="1:10" collapsed="1">
      <c r="A2466" s="28"/>
      <c r="B2466" s="38"/>
      <c r="C2466" s="230" t="s">
        <v>2787</v>
      </c>
      <c r="D2466" s="28"/>
      <c r="E2466" s="30"/>
      <c r="F2466" s="39"/>
      <c r="G2466" s="692" t="s">
        <v>4155</v>
      </c>
    </row>
    <row r="2467" spans="1:10" hidden="1" outlineLevel="1">
      <c r="A2467" s="28"/>
      <c r="B2467" s="23" t="s">
        <v>5</v>
      </c>
      <c r="C2467" s="24" t="s">
        <v>6</v>
      </c>
      <c r="D2467" s="25" t="s">
        <v>4</v>
      </c>
      <c r="E2467" s="138" t="s">
        <v>8</v>
      </c>
      <c r="F2467" s="26" t="s">
        <v>7</v>
      </c>
      <c r="G2467" s="28"/>
    </row>
    <row r="2468" spans="1:10" hidden="1" outlineLevel="1">
      <c r="A2468" s="28"/>
      <c r="B2468" s="1">
        <v>1</v>
      </c>
      <c r="C2468" s="5" t="s">
        <v>2788</v>
      </c>
      <c r="D2468" s="2">
        <v>0</v>
      </c>
      <c r="E2468" s="236">
        <v>44610.500231481485</v>
      </c>
      <c r="F2468" s="4">
        <v>1.2384259259259258E-3</v>
      </c>
      <c r="G2468" s="28"/>
      <c r="J2468" t="s">
        <v>2753</v>
      </c>
    </row>
    <row r="2469" spans="1:10" hidden="1" outlineLevel="1">
      <c r="A2469" s="28"/>
      <c r="B2469" s="1">
        <v>2</v>
      </c>
      <c r="C2469" s="5" t="s">
        <v>2952</v>
      </c>
      <c r="D2469" s="2">
        <v>1</v>
      </c>
      <c r="E2469" s="236">
        <v>44620.000694444447</v>
      </c>
      <c r="F2469" s="4">
        <v>5.2280092592592593E-2</v>
      </c>
      <c r="G2469" s="28"/>
      <c r="J2469" t="s">
        <v>2753</v>
      </c>
    </row>
    <row r="2470" spans="1:10" hidden="1" outlineLevel="1">
      <c r="A2470" s="28"/>
      <c r="B2470" s="1">
        <v>3</v>
      </c>
      <c r="C2470" s="5" t="s">
        <v>2953</v>
      </c>
      <c r="D2470" s="6">
        <v>2</v>
      </c>
      <c r="E2470" s="236">
        <v>44620.00136574074</v>
      </c>
      <c r="F2470" s="4">
        <v>3.1793981481481479E-2</v>
      </c>
      <c r="G2470" s="28"/>
      <c r="J2470" t="s">
        <v>2753</v>
      </c>
    </row>
    <row r="2471" spans="1:10" hidden="1" outlineLevel="1">
      <c r="A2471" s="28"/>
      <c r="B2471" s="1">
        <v>4</v>
      </c>
      <c r="C2471" s="5" t="s">
        <v>2954</v>
      </c>
      <c r="D2471" s="6">
        <v>3</v>
      </c>
      <c r="E2471" s="236">
        <v>44634.001377314817</v>
      </c>
      <c r="F2471" s="4">
        <v>2.4641203703703703E-2</v>
      </c>
      <c r="G2471" s="28"/>
      <c r="J2471" t="s">
        <v>2753</v>
      </c>
    </row>
    <row r="2472" spans="1:10" hidden="1" outlineLevel="1">
      <c r="A2472" s="28"/>
      <c r="B2472" s="1">
        <v>5</v>
      </c>
      <c r="C2472" s="5" t="s">
        <v>2955</v>
      </c>
      <c r="D2472" s="2">
        <v>4</v>
      </c>
      <c r="E2472" s="236">
        <v>44648.000925925924</v>
      </c>
      <c r="F2472" s="4">
        <v>2.0879629629629626E-2</v>
      </c>
      <c r="G2472" s="28"/>
      <c r="J2472" t="s">
        <v>2753</v>
      </c>
    </row>
    <row r="2473" spans="1:10" hidden="1" outlineLevel="1">
      <c r="A2473" s="28"/>
      <c r="B2473" s="1">
        <v>6</v>
      </c>
      <c r="C2473" s="5" t="s">
        <v>2956</v>
      </c>
      <c r="D2473" s="2">
        <v>5</v>
      </c>
      <c r="E2473" s="236">
        <v>44662.000752314816</v>
      </c>
      <c r="F2473" s="4">
        <v>3.4131944444444444E-2</v>
      </c>
      <c r="G2473" s="28"/>
      <c r="J2473" t="s">
        <v>2753</v>
      </c>
    </row>
    <row r="2474" spans="1:10" hidden="1" outlineLevel="1">
      <c r="A2474" s="28"/>
      <c r="B2474" s="1">
        <v>7</v>
      </c>
      <c r="C2474" s="5" t="s">
        <v>2957</v>
      </c>
      <c r="D2474" s="2">
        <v>6</v>
      </c>
      <c r="E2474" s="236">
        <v>44676.001273148147</v>
      </c>
      <c r="F2474" s="4">
        <v>2.4525462962962968E-2</v>
      </c>
      <c r="G2474" s="28"/>
      <c r="J2474" t="s">
        <v>2753</v>
      </c>
    </row>
    <row r="2475" spans="1:10" hidden="1" outlineLevel="1">
      <c r="A2475" s="28"/>
      <c r="B2475" s="1">
        <v>8</v>
      </c>
      <c r="C2475" s="5" t="s">
        <v>2958</v>
      </c>
      <c r="D2475" s="2">
        <v>7</v>
      </c>
      <c r="E2475" s="236">
        <v>44690.001331018517</v>
      </c>
      <c r="F2475" s="4">
        <v>3.0185185185185186E-2</v>
      </c>
      <c r="G2475" s="28"/>
      <c r="J2475" t="s">
        <v>2753</v>
      </c>
    </row>
    <row r="2476" spans="1:10" hidden="1" outlineLevel="1">
      <c r="A2476" s="28"/>
      <c r="B2476" s="1">
        <v>9</v>
      </c>
      <c r="C2476" s="5" t="s">
        <v>2789</v>
      </c>
      <c r="D2476" s="6">
        <v>8</v>
      </c>
      <c r="E2476" s="236">
        <v>44704.000902777778</v>
      </c>
      <c r="F2476" s="4">
        <v>2.9594907407407407E-2</v>
      </c>
      <c r="G2476" s="28"/>
      <c r="J2476" t="s">
        <v>2753</v>
      </c>
    </row>
    <row r="2477" spans="1:10" hidden="1" outlineLevel="1">
      <c r="A2477" s="28"/>
      <c r="B2477" s="1">
        <v>10</v>
      </c>
      <c r="C2477" s="5" t="s">
        <v>2959</v>
      </c>
      <c r="D2477" s="2">
        <v>9</v>
      </c>
      <c r="E2477" s="236">
        <v>44718.000925925924</v>
      </c>
      <c r="F2477" s="4">
        <v>3.2951388888888891E-2</v>
      </c>
      <c r="G2477" s="28"/>
      <c r="J2477" t="s">
        <v>2753</v>
      </c>
    </row>
    <row r="2478" spans="1:10" hidden="1" outlineLevel="1">
      <c r="A2478" s="28"/>
      <c r="B2478" s="1">
        <v>11</v>
      </c>
      <c r="C2478" s="5" t="s">
        <v>2790</v>
      </c>
      <c r="D2478" s="6">
        <v>10</v>
      </c>
      <c r="E2478" s="236">
        <v>44732.000856481478</v>
      </c>
      <c r="F2478" s="4">
        <v>2.7800925925925923E-2</v>
      </c>
      <c r="G2478" s="28"/>
      <c r="J2478" t="s">
        <v>2753</v>
      </c>
    </row>
    <row r="2479" spans="1:10" hidden="1" outlineLevel="1">
      <c r="A2479" s="28"/>
      <c r="B2479" s="1">
        <v>12</v>
      </c>
      <c r="C2479" s="5" t="s">
        <v>3003</v>
      </c>
      <c r="D2479" s="2">
        <v>11</v>
      </c>
      <c r="E2479" s="236">
        <v>44746.000983796293</v>
      </c>
      <c r="F2479" s="4">
        <v>3.0497685185185183E-2</v>
      </c>
      <c r="G2479" s="28"/>
      <c r="J2479" t="s">
        <v>2753</v>
      </c>
    </row>
    <row r="2480" spans="1:10" hidden="1" outlineLevel="1">
      <c r="A2480" s="28"/>
      <c r="B2480" s="1">
        <v>13</v>
      </c>
      <c r="C2480" s="5" t="s">
        <v>3004</v>
      </c>
      <c r="D2480" s="2">
        <v>12</v>
      </c>
      <c r="E2480" s="236">
        <v>44760.001030092593</v>
      </c>
      <c r="F2480" s="4">
        <v>2.4872685185185189E-2</v>
      </c>
      <c r="G2480" s="28"/>
      <c r="J2480" t="s">
        <v>2753</v>
      </c>
    </row>
    <row r="2481" spans="1:10" hidden="1" outlineLevel="1">
      <c r="A2481" s="28"/>
      <c r="B2481" s="1">
        <v>14</v>
      </c>
      <c r="C2481" s="5" t="s">
        <v>3002</v>
      </c>
      <c r="D2481" s="2">
        <v>0</v>
      </c>
      <c r="E2481" s="236">
        <v>44774.366122685184</v>
      </c>
      <c r="F2481" s="4">
        <v>7.5347222222222213E-3</v>
      </c>
      <c r="G2481" s="28"/>
      <c r="J2481" t="s">
        <v>2753</v>
      </c>
    </row>
    <row r="2482" spans="1:10" hidden="1" outlineLevel="1">
      <c r="A2482" s="28"/>
      <c r="B2482" s="1">
        <v>15</v>
      </c>
      <c r="C2482" s="5" t="s">
        <v>3051</v>
      </c>
      <c r="D2482" s="2">
        <v>13</v>
      </c>
      <c r="E2482" s="236">
        <v>44830.001122685186</v>
      </c>
      <c r="F2482" s="4">
        <v>3.5925925925925924E-2</v>
      </c>
      <c r="G2482" s="28"/>
      <c r="J2482" t="s">
        <v>2753</v>
      </c>
    </row>
    <row r="2483" spans="1:10" hidden="1" outlineLevel="1">
      <c r="A2483" s="28"/>
      <c r="B2483" s="1">
        <v>16</v>
      </c>
      <c r="C2483" s="5" t="s">
        <v>3052</v>
      </c>
      <c r="D2483" s="2">
        <v>14</v>
      </c>
      <c r="E2483" s="236">
        <v>44844.000798611109</v>
      </c>
      <c r="F2483" s="4">
        <v>3.471064814814815E-2</v>
      </c>
      <c r="G2483" s="28"/>
      <c r="J2483" t="s">
        <v>2753</v>
      </c>
    </row>
    <row r="2484" spans="1:10" hidden="1" outlineLevel="1">
      <c r="A2484" s="28"/>
      <c r="B2484" s="1">
        <v>17</v>
      </c>
      <c r="C2484" s="5" t="s">
        <v>3053</v>
      </c>
      <c r="D2484" s="2">
        <v>15</v>
      </c>
      <c r="E2484" s="236">
        <v>44858.001168981478</v>
      </c>
      <c r="F2484" s="4">
        <v>3.3437500000000002E-2</v>
      </c>
      <c r="G2484" s="28"/>
      <c r="J2484" t="s">
        <v>2753</v>
      </c>
    </row>
    <row r="2485" spans="1:10" hidden="1" outlineLevel="1">
      <c r="A2485" s="28"/>
      <c r="B2485" s="1">
        <v>18</v>
      </c>
      <c r="C2485" s="5" t="s">
        <v>3105</v>
      </c>
      <c r="D2485" s="2">
        <v>16</v>
      </c>
      <c r="E2485" s="236">
        <v>44872.000763888886</v>
      </c>
      <c r="F2485" s="4">
        <v>4.2187499999999996E-2</v>
      </c>
      <c r="G2485" s="28"/>
      <c r="J2485" t="s">
        <v>2753</v>
      </c>
    </row>
    <row r="2486" spans="1:10" hidden="1" outlineLevel="1">
      <c r="A2486" s="28"/>
      <c r="B2486" s="1">
        <v>19</v>
      </c>
      <c r="C2486" s="5" t="s">
        <v>3054</v>
      </c>
      <c r="D2486" s="2">
        <v>17</v>
      </c>
      <c r="E2486" s="236">
        <v>44886.00072916667</v>
      </c>
      <c r="F2486" s="4">
        <v>2.56712962962963E-2</v>
      </c>
      <c r="G2486" s="28"/>
      <c r="J2486" t="s">
        <v>2753</v>
      </c>
    </row>
    <row r="2487" spans="1:10" hidden="1" outlineLevel="1">
      <c r="A2487" s="28"/>
      <c r="B2487" s="1">
        <v>20</v>
      </c>
      <c r="C2487" s="5" t="s">
        <v>3055</v>
      </c>
      <c r="D2487" s="2">
        <v>18</v>
      </c>
      <c r="E2487" s="236">
        <v>44900.413587962961</v>
      </c>
      <c r="F2487" s="4">
        <v>3.7314814814814815E-2</v>
      </c>
      <c r="G2487" s="28"/>
      <c r="J2487" t="s">
        <v>2753</v>
      </c>
    </row>
    <row r="2488" spans="1:10" hidden="1" outlineLevel="1">
      <c r="A2488" s="28"/>
      <c r="B2488" s="1">
        <v>21</v>
      </c>
      <c r="C2488" s="5" t="s">
        <v>3413</v>
      </c>
      <c r="D2488" s="2">
        <v>0</v>
      </c>
      <c r="E2488" s="236">
        <v>44914.042488425926</v>
      </c>
      <c r="F2488" s="504">
        <v>9.6064814814814815E-3</v>
      </c>
      <c r="G2488" s="28"/>
      <c r="J2488" t="s">
        <v>2753</v>
      </c>
    </row>
    <row r="2489" spans="1:10" hidden="1" outlineLevel="1">
      <c r="A2489" s="28"/>
      <c r="B2489" s="1">
        <v>22</v>
      </c>
      <c r="C2489" s="5" t="s">
        <v>3625</v>
      </c>
      <c r="D2489" s="2">
        <v>19</v>
      </c>
      <c r="E2489" s="236">
        <v>44956.000879629632</v>
      </c>
      <c r="F2489" s="4">
        <v>3.4270833333333334E-2</v>
      </c>
      <c r="G2489" s="28"/>
      <c r="J2489" t="s">
        <v>2753</v>
      </c>
    </row>
    <row r="2490" spans="1:10" hidden="1" outlineLevel="1">
      <c r="A2490" s="28"/>
      <c r="B2490" s="1">
        <v>23</v>
      </c>
      <c r="C2490" s="5" t="s">
        <v>3624</v>
      </c>
      <c r="D2490" s="2">
        <v>20</v>
      </c>
      <c r="E2490" s="236">
        <v>44970.001226851855</v>
      </c>
      <c r="F2490" s="4">
        <v>3.8530092592592595E-2</v>
      </c>
      <c r="G2490" s="28"/>
      <c r="J2490" t="s">
        <v>2753</v>
      </c>
    </row>
    <row r="2491" spans="1:10" hidden="1" outlineLevel="1">
      <c r="A2491" s="28"/>
      <c r="B2491" s="1">
        <v>24</v>
      </c>
      <c r="C2491" s="5" t="s">
        <v>3056</v>
      </c>
      <c r="D2491" s="2">
        <v>21</v>
      </c>
      <c r="E2491" s="236">
        <v>44984.388159722221</v>
      </c>
      <c r="F2491" s="4">
        <v>3.8067129629629631E-2</v>
      </c>
      <c r="G2491" s="28"/>
      <c r="J2491" t="s">
        <v>2753</v>
      </c>
    </row>
    <row r="2492" spans="1:10" hidden="1" outlineLevel="1">
      <c r="A2492" s="28"/>
      <c r="B2492" s="1">
        <v>25</v>
      </c>
      <c r="C2492" s="5" t="s">
        <v>3623</v>
      </c>
      <c r="D2492" s="2">
        <v>22</v>
      </c>
      <c r="E2492" s="236">
        <v>44998.00104166667</v>
      </c>
      <c r="F2492" s="4">
        <v>4.0034722222222222E-2</v>
      </c>
      <c r="G2492" s="28"/>
      <c r="J2492" t="s">
        <v>2753</v>
      </c>
    </row>
    <row r="2493" spans="1:10" hidden="1" outlineLevel="1">
      <c r="A2493" s="28"/>
      <c r="B2493" s="1">
        <v>26</v>
      </c>
      <c r="C2493" s="5" t="s">
        <v>3791</v>
      </c>
      <c r="D2493" s="2">
        <v>23</v>
      </c>
      <c r="E2493" s="236">
        <v>45012.000914351855</v>
      </c>
      <c r="F2493" s="4">
        <v>3.2233796296296295E-2</v>
      </c>
      <c r="G2493" s="28"/>
      <c r="J2493" t="s">
        <v>2753</v>
      </c>
    </row>
    <row r="2494" spans="1:10" hidden="1" outlineLevel="1">
      <c r="A2494" s="28"/>
      <c r="B2494" s="1">
        <v>27</v>
      </c>
      <c r="C2494" s="5" t="s">
        <v>3866</v>
      </c>
      <c r="D2494" s="2">
        <v>24</v>
      </c>
      <c r="E2494" s="236">
        <v>45026.001261574071</v>
      </c>
      <c r="F2494" s="4">
        <v>3.0879629629629632E-2</v>
      </c>
      <c r="G2494" s="28"/>
      <c r="J2494" t="s">
        <v>2753</v>
      </c>
    </row>
    <row r="2495" spans="1:10" hidden="1" outlineLevel="1">
      <c r="A2495" s="28"/>
      <c r="B2495" s="1">
        <v>28</v>
      </c>
      <c r="C2495" s="5" t="s">
        <v>3931</v>
      </c>
      <c r="D2495" s="2">
        <v>25</v>
      </c>
      <c r="E2495" s="237">
        <v>45040.001006944447</v>
      </c>
      <c r="F2495" s="63">
        <v>4.3287037037037041E-2</v>
      </c>
      <c r="G2495" s="28"/>
      <c r="J2495" t="s">
        <v>2753</v>
      </c>
    </row>
    <row r="2496" spans="1:10" hidden="1" outlineLevel="1">
      <c r="A2496" s="28"/>
      <c r="B2496" s="1">
        <v>29</v>
      </c>
      <c r="C2496" s="5" t="s">
        <v>3932</v>
      </c>
      <c r="D2496" s="2">
        <v>26</v>
      </c>
      <c r="E2496" s="236">
        <v>45054.380995370368</v>
      </c>
      <c r="F2496" s="4">
        <v>3.5636574074074077E-2</v>
      </c>
      <c r="G2496" s="28"/>
      <c r="J2496" t="s">
        <v>2753</v>
      </c>
    </row>
    <row r="2497" spans="1:10" hidden="1" outlineLevel="1">
      <c r="A2497" s="28"/>
      <c r="B2497" s="1">
        <v>30</v>
      </c>
      <c r="C2497" s="5" t="s">
        <v>3892</v>
      </c>
      <c r="D2497" s="2">
        <v>27</v>
      </c>
      <c r="E2497" s="236">
        <v>45068.001168981478</v>
      </c>
      <c r="F2497" s="4">
        <v>4.1817129629629628E-2</v>
      </c>
      <c r="G2497" s="28"/>
      <c r="J2497" t="s">
        <v>2753</v>
      </c>
    </row>
    <row r="2498" spans="1:10" hidden="1" outlineLevel="1">
      <c r="A2498" s="28"/>
      <c r="B2498" s="1">
        <v>31</v>
      </c>
      <c r="C2498" s="5" t="s">
        <v>3933</v>
      </c>
      <c r="D2498" s="2">
        <v>28</v>
      </c>
      <c r="E2498" s="236">
        <v>45082.000937500001</v>
      </c>
      <c r="F2498" s="4">
        <v>4.4548611111111108E-2</v>
      </c>
      <c r="G2498" s="28"/>
      <c r="J2498" t="s">
        <v>2753</v>
      </c>
    </row>
    <row r="2499" spans="1:10" hidden="1" outlineLevel="1">
      <c r="A2499" s="28"/>
      <c r="B2499" s="1">
        <v>32</v>
      </c>
      <c r="C2499" s="5" t="s">
        <v>3928</v>
      </c>
      <c r="D2499" s="6" t="s">
        <v>3947</v>
      </c>
      <c r="E2499" s="236">
        <v>45084.833333333336</v>
      </c>
      <c r="F2499" s="748">
        <v>8.3333333333333329E-2</v>
      </c>
      <c r="G2499" s="28"/>
      <c r="J2499" t="s">
        <v>2753</v>
      </c>
    </row>
    <row r="2500" spans="1:10" hidden="1" outlineLevel="1">
      <c r="A2500" s="28"/>
      <c r="B2500" s="1">
        <v>33</v>
      </c>
      <c r="C2500" s="5" t="s">
        <v>3929</v>
      </c>
      <c r="D2500" s="6" t="s">
        <v>3947</v>
      </c>
      <c r="E2500" s="236">
        <v>45085.791666666664</v>
      </c>
      <c r="F2500" s="748">
        <v>8.3333333333333329E-2</v>
      </c>
      <c r="G2500" s="28"/>
      <c r="J2500" t="s">
        <v>2753</v>
      </c>
    </row>
    <row r="2501" spans="1:10" hidden="1" outlineLevel="1">
      <c r="A2501" s="28"/>
      <c r="B2501" s="1">
        <v>34</v>
      </c>
      <c r="C2501" s="5" t="s">
        <v>3930</v>
      </c>
      <c r="D2501" s="6" t="s">
        <v>3947</v>
      </c>
      <c r="E2501" s="236">
        <v>45086.833333333336</v>
      </c>
      <c r="F2501" s="748">
        <v>8.3333333333333329E-2</v>
      </c>
      <c r="G2501" s="28"/>
      <c r="J2501" t="s">
        <v>2753</v>
      </c>
    </row>
    <row r="2502" spans="1:10" hidden="1" outlineLevel="1">
      <c r="A2502" s="28"/>
      <c r="B2502" s="1">
        <v>35</v>
      </c>
      <c r="C2502" s="5" t="s">
        <v>3956</v>
      </c>
      <c r="D2502" s="2">
        <v>30</v>
      </c>
      <c r="E2502" s="237">
        <v>45096.001006944447</v>
      </c>
      <c r="F2502" s="63">
        <v>3.1180555555555555E-2</v>
      </c>
      <c r="G2502" s="28"/>
      <c r="J2502" t="s">
        <v>2753</v>
      </c>
    </row>
    <row r="2503" spans="1:10" hidden="1" outlineLevel="1">
      <c r="A2503" s="28"/>
      <c r="B2503" s="1">
        <v>36</v>
      </c>
      <c r="C2503" s="5" t="s">
        <v>3977</v>
      </c>
      <c r="D2503" s="2">
        <v>31</v>
      </c>
      <c r="E2503" s="236">
        <v>45110.000925925924</v>
      </c>
      <c r="F2503" s="4">
        <v>4.0740740740740737E-2</v>
      </c>
      <c r="G2503" s="28"/>
      <c r="J2503" t="s">
        <v>2753</v>
      </c>
    </row>
    <row r="2504" spans="1:10" hidden="1" outlineLevel="1">
      <c r="A2504" s="28"/>
      <c r="B2504" s="1">
        <v>37</v>
      </c>
      <c r="C2504" s="5" t="s">
        <v>4037</v>
      </c>
      <c r="D2504" s="2">
        <v>0</v>
      </c>
      <c r="E2504" s="237">
        <v>45124.000821759262</v>
      </c>
      <c r="F2504" s="63">
        <v>1.3935185185185184E-2</v>
      </c>
      <c r="G2504" s="28"/>
      <c r="J2504" t="s">
        <v>2753</v>
      </c>
    </row>
    <row r="2505" spans="1:10" hidden="1" outlineLevel="1">
      <c r="A2505" s="28"/>
      <c r="B2505" s="1">
        <v>38</v>
      </c>
      <c r="C2505" s="5" t="s">
        <v>4036</v>
      </c>
      <c r="D2505" s="2">
        <v>32</v>
      </c>
      <c r="E2505" s="236">
        <v>45187</v>
      </c>
      <c r="F2505" s="4">
        <v>2.478009259259259E-2</v>
      </c>
      <c r="G2505" s="28"/>
      <c r="J2505" t="s">
        <v>2753</v>
      </c>
    </row>
    <row r="2506" spans="1:10" hidden="1" outlineLevel="1">
      <c r="A2506" s="28"/>
      <c r="B2506" s="1">
        <v>39</v>
      </c>
      <c r="C2506" s="5" t="s">
        <v>4150</v>
      </c>
      <c r="D2506" s="2">
        <v>33</v>
      </c>
      <c r="E2506" s="236">
        <v>45201</v>
      </c>
      <c r="F2506" s="4">
        <v>3.0810185185185187E-2</v>
      </c>
      <c r="G2506" s="28"/>
      <c r="J2506" t="s">
        <v>2753</v>
      </c>
    </row>
    <row r="2507" spans="1:10" hidden="1" outlineLevel="1">
      <c r="A2507" s="28"/>
      <c r="B2507" s="1">
        <v>40</v>
      </c>
      <c r="C2507" s="5" t="s">
        <v>4151</v>
      </c>
      <c r="D2507" s="2">
        <v>34</v>
      </c>
      <c r="E2507" s="236">
        <v>45215</v>
      </c>
      <c r="F2507" s="4">
        <v>3.4583333333333334E-2</v>
      </c>
      <c r="G2507" s="28"/>
      <c r="J2507" t="s">
        <v>2753</v>
      </c>
    </row>
    <row r="2508" spans="1:10" hidden="1" outlineLevel="1">
      <c r="A2508" s="28"/>
      <c r="B2508" s="1">
        <v>41</v>
      </c>
      <c r="C2508" s="5" t="s">
        <v>4152</v>
      </c>
      <c r="D2508" s="2">
        <v>35</v>
      </c>
      <c r="E2508" s="236">
        <v>45229</v>
      </c>
      <c r="F2508" s="4">
        <v>4.3287037037037041E-2</v>
      </c>
      <c r="G2508" s="28"/>
      <c r="J2508" t="s">
        <v>2753</v>
      </c>
    </row>
    <row r="2509" spans="1:10" hidden="1" outlineLevel="1">
      <c r="A2509" s="28"/>
      <c r="B2509" s="1">
        <v>42</v>
      </c>
      <c r="C2509" s="5" t="s">
        <v>4153</v>
      </c>
      <c r="D2509" s="2">
        <v>36</v>
      </c>
      <c r="E2509" s="236">
        <v>45243</v>
      </c>
      <c r="F2509" s="4">
        <v>3.4618055555555555E-2</v>
      </c>
      <c r="G2509" s="28"/>
      <c r="J2509" t="s">
        <v>2753</v>
      </c>
    </row>
    <row r="2510" spans="1:10" hidden="1" outlineLevel="1">
      <c r="A2510" s="28"/>
      <c r="B2510" s="1">
        <v>43</v>
      </c>
      <c r="C2510" s="5" t="s">
        <v>4378</v>
      </c>
      <c r="D2510" s="2">
        <v>37</v>
      </c>
      <c r="E2510" s="236">
        <v>45257</v>
      </c>
      <c r="F2510" s="4">
        <v>4.1261574074074069E-2</v>
      </c>
      <c r="G2510" s="28"/>
      <c r="J2510" t="s">
        <v>2753</v>
      </c>
    </row>
    <row r="2511" spans="1:10" hidden="1" outlineLevel="1">
      <c r="A2511" s="28"/>
      <c r="B2511" s="1">
        <v>44</v>
      </c>
      <c r="C2511" s="5" t="s">
        <v>4154</v>
      </c>
      <c r="D2511" s="2">
        <v>38</v>
      </c>
      <c r="E2511" s="236">
        <v>45271</v>
      </c>
      <c r="F2511" s="4">
        <v>3.4733796296296297E-2</v>
      </c>
      <c r="G2511" s="28"/>
      <c r="J2511" t="s">
        <v>2753</v>
      </c>
    </row>
    <row r="2512" spans="1:10" hidden="1" outlineLevel="1">
      <c r="A2512" s="28"/>
      <c r="B2512" s="1">
        <v>45</v>
      </c>
      <c r="C2512" s="5" t="s">
        <v>4379</v>
      </c>
      <c r="D2512" s="2">
        <v>0</v>
      </c>
      <c r="E2512" s="236">
        <v>45285</v>
      </c>
      <c r="F2512" s="4">
        <v>1.6898148148148148E-2</v>
      </c>
      <c r="G2512" s="28"/>
      <c r="J2512" t="s">
        <v>2753</v>
      </c>
    </row>
    <row r="2513" spans="1:10" hidden="1" outlineLevel="1">
      <c r="A2513" s="28"/>
      <c r="B2513" s="1">
        <v>46</v>
      </c>
      <c r="C2513" s="5" t="s">
        <v>4179</v>
      </c>
      <c r="D2513" s="2">
        <v>39</v>
      </c>
      <c r="E2513" s="236">
        <v>45320</v>
      </c>
      <c r="F2513" s="4">
        <v>3.8275462962962963E-2</v>
      </c>
      <c r="G2513" s="28"/>
      <c r="J2513" t="s">
        <v>2753</v>
      </c>
    </row>
    <row r="2514" spans="1:10" hidden="1" outlineLevel="1">
      <c r="A2514" s="28"/>
      <c r="B2514" s="1">
        <v>47</v>
      </c>
      <c r="C2514" s="5" t="s">
        <v>4180</v>
      </c>
      <c r="D2514" s="2">
        <v>40</v>
      </c>
      <c r="E2514" s="236">
        <v>45334</v>
      </c>
      <c r="F2514" s="4">
        <v>3.0659722222222224E-2</v>
      </c>
      <c r="G2514" s="28"/>
      <c r="J2514" t="s">
        <v>2753</v>
      </c>
    </row>
    <row r="2515" spans="1:10" hidden="1" outlineLevel="1">
      <c r="A2515" s="28"/>
      <c r="B2515" s="1">
        <v>48</v>
      </c>
      <c r="C2515" s="5" t="s">
        <v>4181</v>
      </c>
      <c r="D2515" s="2">
        <v>41</v>
      </c>
      <c r="E2515" s="236">
        <v>45348</v>
      </c>
      <c r="F2515" s="4">
        <v>3.1932870370370368E-2</v>
      </c>
      <c r="G2515" s="28"/>
      <c r="J2515" t="s">
        <v>2753</v>
      </c>
    </row>
    <row r="2516" spans="1:10" hidden="1" outlineLevel="1">
      <c r="A2516" s="28"/>
      <c r="B2516" s="1">
        <v>49</v>
      </c>
      <c r="C2516" s="5" t="s">
        <v>4439</v>
      </c>
      <c r="D2516" s="2">
        <v>42</v>
      </c>
      <c r="E2516" s="236">
        <v>45362</v>
      </c>
      <c r="F2516" s="4">
        <v>3.9606481481481479E-2</v>
      </c>
      <c r="G2516" s="28"/>
      <c r="J2516" t="s">
        <v>2753</v>
      </c>
    </row>
    <row r="2517" spans="1:10" hidden="1" outlineLevel="1">
      <c r="A2517" s="28"/>
      <c r="B2517" s="1">
        <v>50</v>
      </c>
      <c r="C2517" s="5" t="s">
        <v>4440</v>
      </c>
      <c r="D2517" s="2">
        <v>43</v>
      </c>
      <c r="E2517" s="236">
        <v>45376</v>
      </c>
      <c r="F2517" s="4">
        <v>3.9953703703703707E-2</v>
      </c>
      <c r="G2517" s="28"/>
      <c r="J2517" t="s">
        <v>2753</v>
      </c>
    </row>
    <row r="2518" spans="1:10" hidden="1" outlineLevel="1">
      <c r="A2518" s="28"/>
      <c r="B2518" s="1">
        <v>51</v>
      </c>
      <c r="C2518" s="5" t="s">
        <v>4353</v>
      </c>
      <c r="D2518" s="2">
        <v>44</v>
      </c>
      <c r="E2518" s="236">
        <v>45390</v>
      </c>
      <c r="F2518" s="4">
        <v>3.2754629629629627E-2</v>
      </c>
      <c r="G2518" s="28"/>
      <c r="J2518" t="s">
        <v>2753</v>
      </c>
    </row>
    <row r="2519" spans="1:10" hidden="1" outlineLevel="1">
      <c r="A2519" s="28"/>
      <c r="B2519" s="1">
        <v>52</v>
      </c>
      <c r="C2519" s="5" t="s">
        <v>4429</v>
      </c>
      <c r="D2519" s="6" t="s">
        <v>4428</v>
      </c>
      <c r="E2519" s="236">
        <v>45398</v>
      </c>
      <c r="F2519" s="748">
        <v>0.125</v>
      </c>
      <c r="G2519" s="28"/>
      <c r="J2519" t="s">
        <v>2753</v>
      </c>
    </row>
    <row r="2520" spans="1:10" hidden="1" outlineLevel="1">
      <c r="A2520" s="28"/>
      <c r="B2520" s="1">
        <v>53</v>
      </c>
      <c r="C2520" s="5" t="s">
        <v>4430</v>
      </c>
      <c r="D2520" s="6" t="s">
        <v>4428</v>
      </c>
      <c r="E2520" s="236">
        <v>45399</v>
      </c>
      <c r="F2520" s="748">
        <v>0.125</v>
      </c>
      <c r="G2520" s="28"/>
      <c r="J2520" t="s">
        <v>2753</v>
      </c>
    </row>
    <row r="2521" spans="1:10" hidden="1" outlineLevel="1">
      <c r="A2521" s="28"/>
      <c r="B2521" s="1">
        <v>54</v>
      </c>
      <c r="C2521" s="5" t="s">
        <v>4431</v>
      </c>
      <c r="D2521" s="6" t="s">
        <v>4428</v>
      </c>
      <c r="E2521" s="236">
        <v>45400</v>
      </c>
      <c r="F2521" s="748">
        <v>0.125</v>
      </c>
      <c r="G2521" s="28"/>
      <c r="J2521" t="s">
        <v>2753</v>
      </c>
    </row>
    <row r="2522" spans="1:10" hidden="1" outlineLevel="1">
      <c r="A2522" s="28"/>
      <c r="B2522" s="76">
        <v>55</v>
      </c>
      <c r="C2522" s="77" t="s">
        <v>4484</v>
      </c>
      <c r="D2522" s="246">
        <v>0</v>
      </c>
      <c r="E2522" s="261">
        <v>45404</v>
      </c>
      <c r="F2522" s="80">
        <v>1.3449074074074073E-2</v>
      </c>
      <c r="G2522" s="28"/>
      <c r="J2522" t="s">
        <v>2753</v>
      </c>
    </row>
    <row r="2523" spans="1:10" hidden="1" outlineLevel="1">
      <c r="A2523" s="28"/>
      <c r="B2523" s="76">
        <v>56</v>
      </c>
      <c r="C2523" s="77" t="s">
        <v>4432</v>
      </c>
      <c r="D2523" s="246" t="s">
        <v>4487</v>
      </c>
      <c r="E2523" s="261">
        <v>45406</v>
      </c>
      <c r="F2523" s="80">
        <v>0</v>
      </c>
      <c r="G2523" s="28"/>
      <c r="J2523" t="s">
        <v>2753</v>
      </c>
    </row>
    <row r="2524" spans="1:10" hidden="1" outlineLevel="1">
      <c r="A2524" s="28"/>
      <c r="B2524" s="76">
        <v>57</v>
      </c>
      <c r="C2524" s="77" t="s">
        <v>4433</v>
      </c>
      <c r="D2524" s="246" t="s">
        <v>4487</v>
      </c>
      <c r="E2524" s="261">
        <v>45407</v>
      </c>
      <c r="F2524" s="80">
        <v>0</v>
      </c>
      <c r="G2524" s="28"/>
      <c r="J2524" t="s">
        <v>2753</v>
      </c>
    </row>
    <row r="2525" spans="1:10" hidden="1" outlineLevel="1">
      <c r="A2525" s="28"/>
      <c r="B2525" s="76">
        <v>58</v>
      </c>
      <c r="C2525" s="77" t="s">
        <v>4434</v>
      </c>
      <c r="D2525" s="246" t="s">
        <v>4487</v>
      </c>
      <c r="E2525" s="261">
        <v>45408</v>
      </c>
      <c r="F2525" s="80">
        <v>0</v>
      </c>
      <c r="G2525" s="28"/>
      <c r="J2525" t="s">
        <v>2753</v>
      </c>
    </row>
    <row r="2526" spans="1:10" hidden="1" outlineLevel="1">
      <c r="A2526" s="28"/>
      <c r="B2526" s="76">
        <v>59</v>
      </c>
      <c r="C2526" s="77" t="s">
        <v>4435</v>
      </c>
      <c r="D2526" s="246" t="s">
        <v>4487</v>
      </c>
      <c r="E2526" s="261">
        <v>45410</v>
      </c>
      <c r="F2526" s="80">
        <v>0</v>
      </c>
      <c r="G2526" s="28"/>
      <c r="J2526" t="s">
        <v>2753</v>
      </c>
    </row>
    <row r="2527" spans="1:10" hidden="1" outlineLevel="1">
      <c r="A2527" s="28"/>
      <c r="B2527" s="76">
        <v>60</v>
      </c>
      <c r="C2527" s="77" t="s">
        <v>4354</v>
      </c>
      <c r="D2527" s="246">
        <v>45</v>
      </c>
      <c r="E2527" s="261">
        <v>45418</v>
      </c>
      <c r="F2527" s="80">
        <v>0</v>
      </c>
      <c r="G2527" s="28"/>
      <c r="J2527" t="s">
        <v>2753</v>
      </c>
    </row>
    <row r="2528" spans="1:10" hidden="1" outlineLevel="1">
      <c r="A2528" s="28"/>
      <c r="B2528" s="76">
        <v>61</v>
      </c>
      <c r="C2528" s="77" t="s">
        <v>4355</v>
      </c>
      <c r="D2528" s="246">
        <v>46</v>
      </c>
      <c r="E2528" s="261">
        <v>45432</v>
      </c>
      <c r="F2528" s="80">
        <v>0</v>
      </c>
      <c r="G2528" s="28"/>
      <c r="J2528" t="s">
        <v>2753</v>
      </c>
    </row>
    <row r="2529" spans="1:10" hidden="1" outlineLevel="1">
      <c r="A2529" s="28"/>
      <c r="B2529" s="76">
        <v>62</v>
      </c>
      <c r="C2529" s="77" t="s">
        <v>4436</v>
      </c>
      <c r="D2529" s="246" t="s">
        <v>4487</v>
      </c>
      <c r="E2529" s="261">
        <v>45443</v>
      </c>
      <c r="F2529" s="80">
        <v>0</v>
      </c>
      <c r="G2529" s="28"/>
      <c r="J2529" t="s">
        <v>2753</v>
      </c>
    </row>
    <row r="2530" spans="1:10" hidden="1" outlineLevel="1">
      <c r="A2530" s="28"/>
      <c r="B2530" s="76">
        <v>63</v>
      </c>
      <c r="C2530" s="77" t="s">
        <v>4437</v>
      </c>
      <c r="D2530" s="246" t="s">
        <v>4487</v>
      </c>
      <c r="E2530" s="261">
        <v>45444</v>
      </c>
      <c r="F2530" s="80">
        <v>0</v>
      </c>
      <c r="G2530" s="28"/>
      <c r="J2530" t="s">
        <v>2753</v>
      </c>
    </row>
    <row r="2531" spans="1:10" hidden="1" outlineLevel="1">
      <c r="A2531" s="28"/>
      <c r="B2531" s="76">
        <v>64</v>
      </c>
      <c r="C2531" s="77" t="s">
        <v>4438</v>
      </c>
      <c r="D2531" s="246" t="s">
        <v>4487</v>
      </c>
      <c r="E2531" s="261">
        <v>45445</v>
      </c>
      <c r="F2531" s="80">
        <v>0</v>
      </c>
      <c r="G2531" s="28"/>
      <c r="J2531" t="s">
        <v>2753</v>
      </c>
    </row>
    <row r="2532" spans="1:10" hidden="1" outlineLevel="1">
      <c r="A2532" s="28"/>
      <c r="B2532" s="76">
        <v>65</v>
      </c>
      <c r="C2532" s="77" t="s">
        <v>4356</v>
      </c>
      <c r="D2532" s="246">
        <v>47</v>
      </c>
      <c r="E2532" s="261">
        <v>45446</v>
      </c>
      <c r="F2532" s="80">
        <v>0</v>
      </c>
      <c r="G2532" s="28"/>
      <c r="J2532" t="s">
        <v>2753</v>
      </c>
    </row>
    <row r="2533" spans="1:10" hidden="1" outlineLevel="1">
      <c r="A2533" s="28"/>
      <c r="B2533" s="76">
        <v>66</v>
      </c>
      <c r="C2533" s="77" t="s">
        <v>4357</v>
      </c>
      <c r="D2533" s="246">
        <v>48</v>
      </c>
      <c r="E2533" s="261">
        <v>45460</v>
      </c>
      <c r="F2533" s="80">
        <v>0</v>
      </c>
      <c r="G2533" s="28"/>
      <c r="J2533" t="s">
        <v>2753</v>
      </c>
    </row>
    <row r="2534" spans="1:10" hidden="1" outlineLevel="1">
      <c r="A2534" s="28"/>
      <c r="B2534" s="76">
        <v>67</v>
      </c>
      <c r="C2534" s="77" t="s">
        <v>4485</v>
      </c>
      <c r="D2534" s="246">
        <v>49</v>
      </c>
      <c r="E2534" s="261">
        <v>45474</v>
      </c>
      <c r="F2534" s="80">
        <v>0</v>
      </c>
      <c r="G2534" s="28"/>
      <c r="J2534" t="s">
        <v>2753</v>
      </c>
    </row>
    <row r="2535" spans="1:10" hidden="1" outlineLevel="1">
      <c r="A2535" s="28"/>
      <c r="B2535" s="76">
        <v>68</v>
      </c>
      <c r="C2535" s="77" t="s">
        <v>4486</v>
      </c>
      <c r="D2535" s="246">
        <v>50</v>
      </c>
      <c r="E2535" s="261">
        <v>45488</v>
      </c>
      <c r="F2535" s="84">
        <v>0</v>
      </c>
      <c r="G2535" s="28"/>
      <c r="J2535" t="s">
        <v>2753</v>
      </c>
    </row>
    <row r="2536" spans="1:10">
      <c r="A2536" s="28"/>
      <c r="B2536" s="40"/>
      <c r="C2536" s="40"/>
      <c r="D2536" s="35"/>
      <c r="E2536" s="50"/>
      <c r="F2536" s="51"/>
      <c r="G2536" s="28"/>
    </row>
    <row r="2537" spans="1:10">
      <c r="A2537" s="28"/>
      <c r="B2537" s="28"/>
      <c r="C2537" s="28"/>
      <c r="D2537" s="28"/>
      <c r="E2537" s="409" t="s">
        <v>2729</v>
      </c>
      <c r="F2537" s="410">
        <f>SUM(Tabelle_DDF_Bobcast[Dauer])</f>
        <v>2.1695486111111104</v>
      </c>
      <c r="G2537" s="28"/>
    </row>
    <row r="2538" spans="1:10">
      <c r="A2538" s="28"/>
      <c r="B2538" s="28"/>
      <c r="C2538" s="28"/>
      <c r="D2538" s="28"/>
      <c r="E2538" s="28"/>
      <c r="F2538" s="28"/>
      <c r="G2538" s="28"/>
    </row>
    <row r="2539" spans="1:10">
      <c r="A2539" s="28"/>
      <c r="B2539" s="755" t="s">
        <v>2727</v>
      </c>
      <c r="C2539" s="756"/>
      <c r="D2539" s="756"/>
      <c r="E2539" s="756"/>
      <c r="F2539" s="757"/>
      <c r="G2539" s="28"/>
    </row>
    <row r="2540" spans="1:10">
      <c r="A2540" s="28"/>
      <c r="B2540" s="28"/>
      <c r="C2540" s="28"/>
      <c r="D2540" s="28"/>
      <c r="E2540" s="28"/>
      <c r="F2540" s="28"/>
      <c r="G2540" s="28"/>
    </row>
    <row r="2541" spans="1:10">
      <c r="A2541" s="28"/>
      <c r="B2541" s="33"/>
      <c r="C2541" s="40" t="s">
        <v>3158</v>
      </c>
      <c r="D2541" s="40"/>
      <c r="E2541" s="36"/>
      <c r="F2541" s="37"/>
      <c r="G2541" s="28"/>
    </row>
    <row r="2542" spans="1:10" collapsed="1">
      <c r="A2542" s="28"/>
      <c r="B2542" s="38"/>
      <c r="C2542" s="230" t="s">
        <v>1996</v>
      </c>
      <c r="D2542" s="270" t="s">
        <v>2026</v>
      </c>
      <c r="E2542" s="303" t="s">
        <v>2372</v>
      </c>
      <c r="F2542" s="39"/>
      <c r="G2542" s="28"/>
    </row>
    <row r="2543" spans="1:10" hidden="1" outlineLevel="1">
      <c r="A2543" s="28"/>
      <c r="B2543" s="23" t="s">
        <v>5</v>
      </c>
      <c r="C2543" s="24" t="s">
        <v>6</v>
      </c>
      <c r="D2543" s="25" t="s">
        <v>4</v>
      </c>
      <c r="E2543" s="138" t="s">
        <v>8</v>
      </c>
      <c r="F2543" s="26" t="s">
        <v>7</v>
      </c>
      <c r="G2543" s="28"/>
    </row>
    <row r="2544" spans="1:10" hidden="1" outlineLevel="1">
      <c r="A2544" s="28"/>
      <c r="B2544" s="1">
        <v>1</v>
      </c>
      <c r="C2544" s="5" t="s">
        <v>2877</v>
      </c>
      <c r="D2544" s="2">
        <v>0</v>
      </c>
      <c r="E2544" s="236">
        <v>44298.468900462962</v>
      </c>
      <c r="F2544" s="4">
        <v>1.3935185185185184E-2</v>
      </c>
      <c r="G2544" s="28"/>
      <c r="J2544" t="s">
        <v>1995</v>
      </c>
    </row>
    <row r="2545" spans="1:10" hidden="1" outlineLevel="1">
      <c r="A2545" s="28"/>
      <c r="B2545" s="1">
        <v>2</v>
      </c>
      <c r="C2545" s="5" t="s">
        <v>1926</v>
      </c>
      <c r="D2545" s="6" t="s">
        <v>1939</v>
      </c>
      <c r="E2545" s="236">
        <v>44302.000011574077</v>
      </c>
      <c r="F2545" s="217">
        <v>5.9953703703703703E-2</v>
      </c>
      <c r="G2545" s="28"/>
      <c r="J2545" t="s">
        <v>1995</v>
      </c>
    </row>
    <row r="2546" spans="1:10" hidden="1" outlineLevel="1">
      <c r="A2546" s="28"/>
      <c r="B2546" s="1">
        <v>3</v>
      </c>
      <c r="C2546" s="5" t="s">
        <v>2726</v>
      </c>
      <c r="D2546" s="6">
        <v>0</v>
      </c>
      <c r="E2546" s="237">
        <v>44302.625</v>
      </c>
      <c r="F2546" s="63">
        <v>4.8611111111111104E-4</v>
      </c>
      <c r="G2546" s="28"/>
      <c r="J2546" t="s">
        <v>1995</v>
      </c>
    </row>
    <row r="2547" spans="1:10" hidden="1" outlineLevel="1">
      <c r="A2547" s="28"/>
      <c r="B2547" s="1">
        <v>4</v>
      </c>
      <c r="C2547" s="5" t="s">
        <v>2878</v>
      </c>
      <c r="D2547" s="6" t="s">
        <v>1940</v>
      </c>
      <c r="E2547" s="236">
        <v>44309.000011574077</v>
      </c>
      <c r="F2547" s="217">
        <v>5.7418981481481481E-2</v>
      </c>
      <c r="G2547" s="28"/>
      <c r="J2547" t="s">
        <v>1995</v>
      </c>
    </row>
    <row r="2548" spans="1:10" hidden="1" outlineLevel="1">
      <c r="A2548" s="28"/>
      <c r="B2548" s="1">
        <v>5</v>
      </c>
      <c r="C2548" s="5" t="s">
        <v>2482</v>
      </c>
      <c r="D2548" s="6" t="s">
        <v>1941</v>
      </c>
      <c r="E2548" s="236">
        <v>44316.000011574077</v>
      </c>
      <c r="F2548" s="217">
        <v>5.6296296296296296E-2</v>
      </c>
      <c r="G2548" s="28"/>
      <c r="J2548" t="s">
        <v>1995</v>
      </c>
    </row>
    <row r="2549" spans="1:10" hidden="1" outlineLevel="1">
      <c r="A2549" s="28"/>
      <c r="B2549" s="1">
        <v>6</v>
      </c>
      <c r="C2549" s="5" t="s">
        <v>1927</v>
      </c>
      <c r="D2549" s="6" t="s">
        <v>738</v>
      </c>
      <c r="E2549" s="236">
        <v>44323.000011574077</v>
      </c>
      <c r="F2549" s="217">
        <v>6.8993055555555557E-2</v>
      </c>
      <c r="G2549" s="28"/>
      <c r="J2549" t="s">
        <v>1995</v>
      </c>
    </row>
    <row r="2550" spans="1:10" hidden="1" outlineLevel="1">
      <c r="A2550" s="28"/>
      <c r="B2550" s="1">
        <v>7</v>
      </c>
      <c r="C2550" s="5" t="s">
        <v>1928</v>
      </c>
      <c r="D2550" s="6" t="s">
        <v>1942</v>
      </c>
      <c r="E2550" s="236">
        <v>44330.000011574077</v>
      </c>
      <c r="F2550" s="217">
        <v>5.0532407407407408E-2</v>
      </c>
      <c r="G2550" s="28"/>
      <c r="J2550" t="s">
        <v>1995</v>
      </c>
    </row>
    <row r="2551" spans="1:10" hidden="1" outlineLevel="1">
      <c r="A2551" s="28"/>
      <c r="B2551" s="1">
        <v>8</v>
      </c>
      <c r="C2551" s="5" t="s">
        <v>2481</v>
      </c>
      <c r="D2551" s="2">
        <v>0</v>
      </c>
      <c r="E2551" s="236">
        <v>44337.000011574077</v>
      </c>
      <c r="F2551" s="217">
        <v>4.2557870370370371E-2</v>
      </c>
      <c r="G2551" s="28"/>
      <c r="J2551" t="s">
        <v>1995</v>
      </c>
    </row>
    <row r="2552" spans="1:10" hidden="1" outlineLevel="1">
      <c r="A2552" s="28"/>
      <c r="B2552" s="1">
        <v>9</v>
      </c>
      <c r="C2552" s="5" t="s">
        <v>1929</v>
      </c>
      <c r="D2552" s="6" t="s">
        <v>736</v>
      </c>
      <c r="E2552" s="236">
        <v>44344.000011574077</v>
      </c>
      <c r="F2552" s="217">
        <v>5.5462962962962964E-2</v>
      </c>
      <c r="G2552" s="28"/>
      <c r="J2552" t="s">
        <v>1995</v>
      </c>
    </row>
    <row r="2553" spans="1:10" hidden="1" outlineLevel="1">
      <c r="A2553" s="28"/>
      <c r="B2553" s="1">
        <v>10</v>
      </c>
      <c r="C2553" s="5" t="s">
        <v>1930</v>
      </c>
      <c r="D2553" s="2">
        <v>0</v>
      </c>
      <c r="E2553" s="236">
        <v>44345.893229166664</v>
      </c>
      <c r="F2553" s="217">
        <v>5.3819444444444453E-3</v>
      </c>
      <c r="G2553" s="28"/>
      <c r="J2553" t="s">
        <v>1995</v>
      </c>
    </row>
    <row r="2554" spans="1:10" hidden="1" outlineLevel="1">
      <c r="A2554" s="28"/>
      <c r="B2554" s="1">
        <v>11</v>
      </c>
      <c r="C2554" s="5" t="s">
        <v>1931</v>
      </c>
      <c r="D2554" s="6" t="s">
        <v>681</v>
      </c>
      <c r="E2554" s="236">
        <v>44351.000011574077</v>
      </c>
      <c r="F2554" s="217">
        <v>5.2453703703703704E-2</v>
      </c>
      <c r="G2554" s="28"/>
      <c r="J2554" t="s">
        <v>1995</v>
      </c>
    </row>
    <row r="2555" spans="1:10" hidden="1" outlineLevel="1">
      <c r="A2555" s="28"/>
      <c r="B2555" s="1">
        <v>12</v>
      </c>
      <c r="C2555" s="5" t="s">
        <v>1932</v>
      </c>
      <c r="D2555" s="6" t="s">
        <v>732</v>
      </c>
      <c r="E2555" s="236">
        <v>44359.493715277778</v>
      </c>
      <c r="F2555" s="217">
        <v>5.6504629629629627E-2</v>
      </c>
      <c r="G2555" s="28"/>
      <c r="J2555" t="s">
        <v>1995</v>
      </c>
    </row>
    <row r="2556" spans="1:10" hidden="1" outlineLevel="1">
      <c r="A2556" s="28"/>
      <c r="B2556" s="1">
        <v>13</v>
      </c>
      <c r="C2556" s="5" t="s">
        <v>1933</v>
      </c>
      <c r="D2556" s="6" t="s">
        <v>1943</v>
      </c>
      <c r="E2556" s="236">
        <v>44365.60732638889</v>
      </c>
      <c r="F2556" s="217">
        <v>5.7256944444444437E-2</v>
      </c>
      <c r="G2556" s="28"/>
      <c r="J2556" t="s">
        <v>1995</v>
      </c>
    </row>
    <row r="2557" spans="1:10" hidden="1" outlineLevel="1">
      <c r="A2557" s="28"/>
      <c r="B2557" s="1">
        <v>14</v>
      </c>
      <c r="C2557" s="5" t="s">
        <v>2480</v>
      </c>
      <c r="D2557" s="6">
        <v>0</v>
      </c>
      <c r="E2557" s="237">
        <v>44371.75</v>
      </c>
      <c r="F2557" s="63">
        <v>8.3333333333333339E-4</v>
      </c>
      <c r="G2557" s="28"/>
      <c r="J2557" t="s">
        <v>1995</v>
      </c>
    </row>
    <row r="2558" spans="1:10" hidden="1" outlineLevel="1">
      <c r="A2558" s="28"/>
      <c r="B2558" s="1">
        <v>15</v>
      </c>
      <c r="C2558" s="5" t="s">
        <v>2479</v>
      </c>
      <c r="D2558" s="6" t="s">
        <v>156</v>
      </c>
      <c r="E2558" s="236">
        <v>44375.532638888886</v>
      </c>
      <c r="F2558" s="4">
        <v>5.0810185185185187E-2</v>
      </c>
      <c r="G2558" s="28"/>
      <c r="J2558" t="s">
        <v>1995</v>
      </c>
    </row>
    <row r="2559" spans="1:10" hidden="1" outlineLevel="1">
      <c r="A2559" s="28"/>
      <c r="B2559" s="1">
        <v>16</v>
      </c>
      <c r="C2559" s="5" t="s">
        <v>1934</v>
      </c>
      <c r="D2559" s="6" t="s">
        <v>1944</v>
      </c>
      <c r="E2559" s="236">
        <v>44379.000011574077</v>
      </c>
      <c r="F2559" s="4">
        <v>5.3969907407407404E-2</v>
      </c>
      <c r="G2559" s="28"/>
      <c r="J2559" t="s">
        <v>1995</v>
      </c>
    </row>
    <row r="2560" spans="1:10" hidden="1" outlineLevel="1">
      <c r="A2560" s="28"/>
      <c r="B2560" s="1">
        <v>17</v>
      </c>
      <c r="C2560" s="5" t="s">
        <v>2478</v>
      </c>
      <c r="D2560" s="6" t="s">
        <v>712</v>
      </c>
      <c r="E2560" s="236">
        <v>44386.000011574077</v>
      </c>
      <c r="F2560" s="4">
        <v>5.6759259259259259E-2</v>
      </c>
      <c r="G2560" s="28"/>
      <c r="J2560" t="s">
        <v>1995</v>
      </c>
    </row>
    <row r="2561" spans="1:10" hidden="1" outlineLevel="1">
      <c r="A2561" s="28"/>
      <c r="B2561" s="1">
        <v>18</v>
      </c>
      <c r="C2561" s="5" t="s">
        <v>2477</v>
      </c>
      <c r="D2561" s="6" t="s">
        <v>1945</v>
      </c>
      <c r="E2561" s="236">
        <v>44393.000011574077</v>
      </c>
      <c r="F2561" s="4">
        <v>5.4074074074074073E-2</v>
      </c>
      <c r="G2561" s="28"/>
      <c r="J2561" t="s">
        <v>1995</v>
      </c>
    </row>
    <row r="2562" spans="1:10" hidden="1" outlineLevel="1">
      <c r="A2562" s="28"/>
      <c r="B2562" s="1">
        <v>19</v>
      </c>
      <c r="C2562" s="5" t="s">
        <v>2476</v>
      </c>
      <c r="D2562" s="6" t="s">
        <v>1946</v>
      </c>
      <c r="E2562" s="236">
        <v>44400.000011574077</v>
      </c>
      <c r="F2562" s="4">
        <v>5.4166666666666669E-2</v>
      </c>
      <c r="G2562" s="28"/>
      <c r="J2562" t="s">
        <v>1995</v>
      </c>
    </row>
    <row r="2563" spans="1:10" hidden="1" outlineLevel="1">
      <c r="A2563" s="28"/>
      <c r="B2563" s="1">
        <v>20</v>
      </c>
      <c r="C2563" s="5" t="s">
        <v>2475</v>
      </c>
      <c r="D2563" s="6" t="s">
        <v>1947</v>
      </c>
      <c r="E2563" s="236">
        <v>44421.543981481482</v>
      </c>
      <c r="F2563" s="4">
        <v>5.7002314814814818E-2</v>
      </c>
      <c r="G2563" s="28"/>
      <c r="J2563" t="s">
        <v>1995</v>
      </c>
    </row>
    <row r="2564" spans="1:10" hidden="1" outlineLevel="1">
      <c r="A2564" s="28"/>
      <c r="B2564" s="1">
        <v>21</v>
      </c>
      <c r="C2564" s="5" t="s">
        <v>1935</v>
      </c>
      <c r="D2564" s="6" t="s">
        <v>1948</v>
      </c>
      <c r="E2564" s="236">
        <v>44428.000011574077</v>
      </c>
      <c r="F2564" s="4">
        <v>4.912037037037037E-2</v>
      </c>
      <c r="G2564" s="28"/>
      <c r="J2564" t="s">
        <v>1995</v>
      </c>
    </row>
    <row r="2565" spans="1:10" hidden="1" outlineLevel="1">
      <c r="A2565" s="28"/>
      <c r="B2565" s="1">
        <v>22</v>
      </c>
      <c r="C2565" s="5" t="s">
        <v>1936</v>
      </c>
      <c r="D2565" s="6" t="s">
        <v>1949</v>
      </c>
      <c r="E2565" s="236">
        <v>44435.000011574077</v>
      </c>
      <c r="F2565" s="4">
        <v>4.9178240740740738E-2</v>
      </c>
      <c r="G2565" s="28"/>
      <c r="J2565" t="s">
        <v>1995</v>
      </c>
    </row>
    <row r="2566" spans="1:10" hidden="1" outlineLevel="1">
      <c r="A2566" s="28"/>
      <c r="B2566" s="1">
        <v>23</v>
      </c>
      <c r="C2566" s="5" t="s">
        <v>2474</v>
      </c>
      <c r="D2566" s="6" t="s">
        <v>1950</v>
      </c>
      <c r="E2566" s="236">
        <v>44442.633888888886</v>
      </c>
      <c r="F2566" s="4">
        <v>4.8645833333333333E-2</v>
      </c>
      <c r="G2566" s="28"/>
      <c r="J2566" t="s">
        <v>1995</v>
      </c>
    </row>
    <row r="2567" spans="1:10" hidden="1" outlineLevel="1">
      <c r="A2567" s="28"/>
      <c r="B2567" s="1">
        <v>24</v>
      </c>
      <c r="C2567" s="5" t="s">
        <v>2473</v>
      </c>
      <c r="D2567" s="6">
        <v>0</v>
      </c>
      <c r="E2567" s="266">
        <v>44449</v>
      </c>
      <c r="F2567" s="248">
        <v>9.2592592592592585E-4</v>
      </c>
      <c r="G2567" s="28"/>
      <c r="J2567" t="s">
        <v>1995</v>
      </c>
    </row>
    <row r="2568" spans="1:10" hidden="1" outlineLevel="1">
      <c r="A2568" s="28"/>
      <c r="B2568" s="1">
        <v>25</v>
      </c>
      <c r="C2568" s="5" t="s">
        <v>1937</v>
      </c>
      <c r="D2568" s="6" t="s">
        <v>1951</v>
      </c>
      <c r="E2568" s="236">
        <v>44450.687685185185</v>
      </c>
      <c r="F2568" s="4">
        <v>5.5312499999999994E-2</v>
      </c>
      <c r="G2568" s="28"/>
      <c r="J2568" t="s">
        <v>1995</v>
      </c>
    </row>
    <row r="2569" spans="1:10" hidden="1" outlineLevel="1">
      <c r="A2569" s="28"/>
      <c r="B2569" s="1">
        <v>26</v>
      </c>
      <c r="C2569" s="5" t="s">
        <v>2472</v>
      </c>
      <c r="D2569" s="6" t="s">
        <v>1952</v>
      </c>
      <c r="E2569" s="236">
        <v>44456.813321759262</v>
      </c>
      <c r="F2569" s="4">
        <v>5.3298611111111116E-2</v>
      </c>
      <c r="G2569" s="28"/>
      <c r="J2569" t="s">
        <v>1995</v>
      </c>
    </row>
    <row r="2570" spans="1:10" hidden="1" outlineLevel="1">
      <c r="A2570" s="28"/>
      <c r="B2570" s="1">
        <v>27</v>
      </c>
      <c r="C2570" s="5" t="s">
        <v>2471</v>
      </c>
      <c r="D2570" s="6" t="s">
        <v>1992</v>
      </c>
      <c r="E2570" s="236">
        <v>44471.738391203704</v>
      </c>
      <c r="F2570" s="4">
        <v>4.1874999999999996E-2</v>
      </c>
      <c r="G2570" s="28"/>
      <c r="J2570" t="s">
        <v>1995</v>
      </c>
    </row>
    <row r="2571" spans="1:10" hidden="1" outlineLevel="1">
      <c r="A2571" s="28"/>
      <c r="B2571" s="1">
        <v>28</v>
      </c>
      <c r="C2571" s="5" t="s">
        <v>2101</v>
      </c>
      <c r="D2571" s="6">
        <v>0</v>
      </c>
      <c r="E2571" s="266">
        <v>44477</v>
      </c>
      <c r="F2571" s="248">
        <v>2.8472222222222219E-3</v>
      </c>
      <c r="G2571" s="28"/>
      <c r="J2571" t="s">
        <v>1995</v>
      </c>
    </row>
    <row r="2572" spans="1:10" hidden="1" outlineLevel="1">
      <c r="A2572" s="28"/>
      <c r="B2572" s="1">
        <v>29</v>
      </c>
      <c r="C2572" s="5" t="s">
        <v>1938</v>
      </c>
      <c r="D2572" s="6" t="s">
        <v>1953</v>
      </c>
      <c r="E2572" s="236">
        <v>44478.924305555556</v>
      </c>
      <c r="F2572" s="4">
        <v>5.424768518518519E-2</v>
      </c>
      <c r="G2572" s="28"/>
      <c r="J2572" t="s">
        <v>1995</v>
      </c>
    </row>
    <row r="2573" spans="1:10" hidden="1" outlineLevel="1">
      <c r="A2573" s="28"/>
      <c r="B2573" s="1">
        <v>30</v>
      </c>
      <c r="C2573" s="5" t="s">
        <v>2030</v>
      </c>
      <c r="D2573" s="6" t="s">
        <v>1957</v>
      </c>
      <c r="E2573" s="236">
        <v>44491</v>
      </c>
      <c r="F2573" s="4">
        <v>5.5034722222222221E-2</v>
      </c>
      <c r="G2573" s="28"/>
      <c r="J2573" t="s">
        <v>1995</v>
      </c>
    </row>
    <row r="2574" spans="1:10" hidden="1" outlineLevel="1">
      <c r="A2574" s="28"/>
      <c r="B2574" s="1">
        <v>31</v>
      </c>
      <c r="C2574" s="5" t="s">
        <v>2313</v>
      </c>
      <c r="D2574" s="6" t="s">
        <v>701</v>
      </c>
      <c r="E2574" s="236">
        <v>44498.000011574077</v>
      </c>
      <c r="F2574" s="4">
        <v>4.763888888888889E-2</v>
      </c>
      <c r="G2574" s="28"/>
      <c r="J2574" t="s">
        <v>1995</v>
      </c>
    </row>
    <row r="2575" spans="1:10" hidden="1" outlineLevel="1">
      <c r="A2575" s="28"/>
      <c r="B2575" s="1">
        <v>32</v>
      </c>
      <c r="C2575" s="5" t="s">
        <v>2470</v>
      </c>
      <c r="D2575" s="6" t="s">
        <v>1983</v>
      </c>
      <c r="E2575" s="236">
        <v>44505.000011574077</v>
      </c>
      <c r="F2575" s="4">
        <v>5.769675925925926E-2</v>
      </c>
      <c r="G2575" s="28"/>
      <c r="J2575" t="s">
        <v>1995</v>
      </c>
    </row>
    <row r="2576" spans="1:10" hidden="1" outlineLevel="1">
      <c r="A2576" s="28"/>
      <c r="B2576" s="1">
        <v>33</v>
      </c>
      <c r="C2576" s="5" t="s">
        <v>2469</v>
      </c>
      <c r="D2576" s="6" t="s">
        <v>684</v>
      </c>
      <c r="E2576" s="236">
        <v>44512.833333333336</v>
      </c>
      <c r="F2576" s="4">
        <v>5.2002314814814814E-2</v>
      </c>
      <c r="G2576" s="28"/>
      <c r="J2576" t="s">
        <v>1995</v>
      </c>
    </row>
    <row r="2577" spans="1:10" hidden="1" outlineLevel="1">
      <c r="A2577" s="28"/>
      <c r="B2577" s="1">
        <v>34</v>
      </c>
      <c r="C2577" s="5" t="s">
        <v>2483</v>
      </c>
      <c r="D2577" s="6" t="s">
        <v>1962</v>
      </c>
      <c r="E2577" s="236">
        <v>44520.625</v>
      </c>
      <c r="F2577" s="4">
        <v>5.3148148148148146E-2</v>
      </c>
      <c r="G2577" s="28"/>
      <c r="J2577" t="s">
        <v>1995</v>
      </c>
    </row>
    <row r="2578" spans="1:10" hidden="1" outlineLevel="1">
      <c r="A2578" s="28"/>
      <c r="B2578" s="1">
        <v>35</v>
      </c>
      <c r="C2578" s="5" t="s">
        <v>2488</v>
      </c>
      <c r="D2578" s="6" t="s">
        <v>1960</v>
      </c>
      <c r="E2578" s="236">
        <v>44526.716736111113</v>
      </c>
      <c r="F2578" s="4">
        <v>5.8773148148148151E-2</v>
      </c>
      <c r="G2578" s="28"/>
      <c r="J2578" t="s">
        <v>1995</v>
      </c>
    </row>
    <row r="2579" spans="1:10" hidden="1" outlineLevel="1">
      <c r="A2579" s="28"/>
      <c r="B2579" s="1">
        <v>36</v>
      </c>
      <c r="C2579" s="5" t="s">
        <v>2493</v>
      </c>
      <c r="D2579" s="6">
        <v>0</v>
      </c>
      <c r="E2579" s="309">
        <v>44528</v>
      </c>
      <c r="F2579" s="310">
        <v>8.564814814814815E-4</v>
      </c>
      <c r="G2579" s="28"/>
      <c r="J2579" t="s">
        <v>1995</v>
      </c>
    </row>
    <row r="2580" spans="1:10" hidden="1" outlineLevel="1">
      <c r="A2580" s="28"/>
      <c r="B2580" s="1">
        <v>37</v>
      </c>
      <c r="C2580" s="5" t="s">
        <v>2512</v>
      </c>
      <c r="D2580" s="6" t="s">
        <v>3228</v>
      </c>
      <c r="E2580" s="236">
        <v>44531.000011574077</v>
      </c>
      <c r="F2580" s="4">
        <v>1.7754629629629631E-2</v>
      </c>
      <c r="G2580" s="28"/>
      <c r="J2580" t="s">
        <v>1995</v>
      </c>
    </row>
    <row r="2581" spans="1:10" hidden="1" outlineLevel="1">
      <c r="A2581" s="28"/>
      <c r="B2581" s="1">
        <v>38</v>
      </c>
      <c r="C2581" s="5" t="s">
        <v>2513</v>
      </c>
      <c r="D2581" s="6" t="s">
        <v>3229</v>
      </c>
      <c r="E2581" s="236">
        <v>44532.000011574077</v>
      </c>
      <c r="F2581" s="4">
        <v>1.2060185185185186E-2</v>
      </c>
      <c r="G2581" s="28"/>
      <c r="J2581" t="s">
        <v>1995</v>
      </c>
    </row>
    <row r="2582" spans="1:10" hidden="1" outlineLevel="1">
      <c r="A2582" s="28"/>
      <c r="B2582" s="1">
        <v>39</v>
      </c>
      <c r="C2582" s="5" t="s">
        <v>2539</v>
      </c>
      <c r="D2582" s="6" t="s">
        <v>3230</v>
      </c>
      <c r="E2582" s="236">
        <v>44533.000011574077</v>
      </c>
      <c r="F2582" s="4">
        <v>1.292824074074074E-2</v>
      </c>
      <c r="G2582" s="28"/>
      <c r="J2582" t="s">
        <v>1995</v>
      </c>
    </row>
    <row r="2583" spans="1:10" hidden="1" outlineLevel="1">
      <c r="A2583" s="28"/>
      <c r="B2583" s="1">
        <v>40</v>
      </c>
      <c r="C2583" s="5" t="s">
        <v>2545</v>
      </c>
      <c r="D2583" s="6" t="s">
        <v>3231</v>
      </c>
      <c r="E2583" s="236">
        <v>44534.000011574077</v>
      </c>
      <c r="F2583" s="4">
        <v>1.0185185185185184E-2</v>
      </c>
      <c r="G2583" s="28"/>
      <c r="J2583" t="s">
        <v>1995</v>
      </c>
    </row>
    <row r="2584" spans="1:10" hidden="1" outlineLevel="1">
      <c r="A2584" s="28"/>
      <c r="B2584" s="1">
        <v>41</v>
      </c>
      <c r="C2584" s="5" t="s">
        <v>2549</v>
      </c>
      <c r="D2584" s="6" t="s">
        <v>3232</v>
      </c>
      <c r="E2584" s="236">
        <v>44535.000011574077</v>
      </c>
      <c r="F2584" s="4">
        <v>1.1932870370370371E-2</v>
      </c>
      <c r="G2584" s="28"/>
      <c r="J2584" t="s">
        <v>1995</v>
      </c>
    </row>
    <row r="2585" spans="1:10" hidden="1" outlineLevel="1">
      <c r="A2585" s="28"/>
      <c r="B2585" s="1">
        <v>42</v>
      </c>
      <c r="C2585" s="5" t="s">
        <v>2559</v>
      </c>
      <c r="D2585" s="6" t="s">
        <v>3233</v>
      </c>
      <c r="E2585" s="236">
        <v>44536.000011574077</v>
      </c>
      <c r="F2585" s="4">
        <v>1.1168981481481481E-2</v>
      </c>
      <c r="G2585" s="28"/>
      <c r="J2585" t="s">
        <v>1995</v>
      </c>
    </row>
    <row r="2586" spans="1:10" hidden="1" outlineLevel="1">
      <c r="A2586" s="28"/>
      <c r="B2586" s="1">
        <v>43</v>
      </c>
      <c r="C2586" s="5" t="s">
        <v>2562</v>
      </c>
      <c r="D2586" s="6" t="s">
        <v>3234</v>
      </c>
      <c r="E2586" s="236">
        <v>44537.000011574077</v>
      </c>
      <c r="F2586" s="4">
        <v>8.9699074074074073E-3</v>
      </c>
      <c r="G2586" s="28"/>
      <c r="J2586" t="s">
        <v>1995</v>
      </c>
    </row>
    <row r="2587" spans="1:10" hidden="1" outlineLevel="1">
      <c r="A2587" s="28"/>
      <c r="B2587" s="1">
        <v>44</v>
      </c>
      <c r="C2587" s="5" t="s">
        <v>2565</v>
      </c>
      <c r="D2587" s="6" t="s">
        <v>3235</v>
      </c>
      <c r="E2587" s="236">
        <v>44538.000011574077</v>
      </c>
      <c r="F2587" s="4">
        <v>9.1203703703703707E-3</v>
      </c>
      <c r="G2587" s="28"/>
      <c r="J2587" t="s">
        <v>1995</v>
      </c>
    </row>
    <row r="2588" spans="1:10" hidden="1" outlineLevel="1">
      <c r="A2588" s="28"/>
      <c r="B2588" s="1">
        <v>45</v>
      </c>
      <c r="C2588" s="5" t="s">
        <v>2566</v>
      </c>
      <c r="D2588" s="6" t="s">
        <v>3236</v>
      </c>
      <c r="E2588" s="236">
        <v>44539.000011574077</v>
      </c>
      <c r="F2588" s="4">
        <v>9.7569444444444448E-3</v>
      </c>
      <c r="G2588" s="28"/>
      <c r="J2588" t="s">
        <v>1995</v>
      </c>
    </row>
    <row r="2589" spans="1:10" hidden="1" outlineLevel="1">
      <c r="A2589" s="28"/>
      <c r="B2589" s="1">
        <v>46</v>
      </c>
      <c r="C2589" s="5" t="s">
        <v>2571</v>
      </c>
      <c r="D2589" s="6" t="s">
        <v>3212</v>
      </c>
      <c r="E2589" s="236">
        <v>44540.000011574077</v>
      </c>
      <c r="F2589" s="4">
        <v>9.0972222222222218E-3</v>
      </c>
      <c r="G2589" s="28"/>
      <c r="J2589" t="s">
        <v>1995</v>
      </c>
    </row>
    <row r="2590" spans="1:10" hidden="1" outlineLevel="1">
      <c r="A2590" s="28"/>
      <c r="B2590" s="1">
        <v>47</v>
      </c>
      <c r="C2590" s="5" t="s">
        <v>2575</v>
      </c>
      <c r="D2590" s="6" t="s">
        <v>3213</v>
      </c>
      <c r="E2590" s="236">
        <v>44541.000011574077</v>
      </c>
      <c r="F2590" s="4">
        <v>6.9444444444444441E-3</v>
      </c>
      <c r="G2590" s="28"/>
      <c r="J2590" t="s">
        <v>1995</v>
      </c>
    </row>
    <row r="2591" spans="1:10" hidden="1" outlineLevel="1">
      <c r="A2591" s="28"/>
      <c r="B2591" s="1">
        <v>48</v>
      </c>
      <c r="C2591" s="5" t="s">
        <v>2576</v>
      </c>
      <c r="D2591" s="6" t="s">
        <v>3214</v>
      </c>
      <c r="E2591" s="236">
        <v>44542.000011574077</v>
      </c>
      <c r="F2591" s="4">
        <v>1.1087962962962964E-2</v>
      </c>
      <c r="G2591" s="28"/>
      <c r="J2591" t="s">
        <v>1995</v>
      </c>
    </row>
    <row r="2592" spans="1:10" hidden="1" outlineLevel="1">
      <c r="A2592" s="28"/>
      <c r="B2592" s="1">
        <v>49</v>
      </c>
      <c r="C2592" s="5" t="s">
        <v>2582</v>
      </c>
      <c r="D2592" s="6" t="s">
        <v>3215</v>
      </c>
      <c r="E2592" s="236">
        <v>44543.000011574077</v>
      </c>
      <c r="F2592" s="4">
        <v>1.2638888888888889E-2</v>
      </c>
      <c r="G2592" s="28"/>
      <c r="J2592" t="s">
        <v>1995</v>
      </c>
    </row>
    <row r="2593" spans="1:10" hidden="1" outlineLevel="1">
      <c r="A2593" s="28"/>
      <c r="B2593" s="1">
        <v>50</v>
      </c>
      <c r="C2593" s="5" t="s">
        <v>2583</v>
      </c>
      <c r="D2593" s="6" t="s">
        <v>3216</v>
      </c>
      <c r="E2593" s="236">
        <v>44544.000011574077</v>
      </c>
      <c r="F2593" s="4">
        <v>1.1377314814814814E-2</v>
      </c>
      <c r="G2593" s="28"/>
      <c r="J2593" t="s">
        <v>1995</v>
      </c>
    </row>
    <row r="2594" spans="1:10" hidden="1" outlineLevel="1">
      <c r="A2594" s="28"/>
      <c r="B2594" s="1">
        <v>51</v>
      </c>
      <c r="C2594" s="5" t="s">
        <v>2589</v>
      </c>
      <c r="D2594" s="6" t="s">
        <v>3217</v>
      </c>
      <c r="E2594" s="236">
        <v>44545.000011574077</v>
      </c>
      <c r="F2594" s="4">
        <v>8.8541666666666664E-3</v>
      </c>
      <c r="G2594" s="28"/>
      <c r="J2594" t="s">
        <v>1995</v>
      </c>
    </row>
    <row r="2595" spans="1:10" hidden="1" outlineLevel="1">
      <c r="A2595" s="28"/>
      <c r="B2595" s="1">
        <v>52</v>
      </c>
      <c r="C2595" s="5" t="s">
        <v>2603</v>
      </c>
      <c r="D2595" s="6" t="s">
        <v>3218</v>
      </c>
      <c r="E2595" s="236">
        <v>44546.000011574077</v>
      </c>
      <c r="F2595" s="4">
        <v>1.105324074074074E-2</v>
      </c>
      <c r="G2595" s="28"/>
      <c r="J2595" t="s">
        <v>1995</v>
      </c>
    </row>
    <row r="2596" spans="1:10" hidden="1" outlineLevel="1">
      <c r="A2596" s="28"/>
      <c r="B2596" s="1">
        <v>53</v>
      </c>
      <c r="C2596" s="5" t="s">
        <v>2604</v>
      </c>
      <c r="D2596" s="6" t="s">
        <v>3219</v>
      </c>
      <c r="E2596" s="236">
        <v>44547.741990740738</v>
      </c>
      <c r="F2596" s="4">
        <v>1.238425925925926E-2</v>
      </c>
      <c r="G2596" s="28"/>
      <c r="J2596" t="s">
        <v>1995</v>
      </c>
    </row>
    <row r="2597" spans="1:10" hidden="1" outlineLevel="1">
      <c r="A2597" s="28"/>
      <c r="B2597" s="1">
        <v>54</v>
      </c>
      <c r="C2597" s="5" t="s">
        <v>2610</v>
      </c>
      <c r="D2597" s="6" t="s">
        <v>3220</v>
      </c>
      <c r="E2597" s="236">
        <v>44548.000011574077</v>
      </c>
      <c r="F2597" s="4">
        <v>8.9467592592592585E-3</v>
      </c>
      <c r="G2597" s="28"/>
      <c r="J2597" t="s">
        <v>1995</v>
      </c>
    </row>
    <row r="2598" spans="1:10" hidden="1" outlineLevel="1">
      <c r="A2598" s="28"/>
      <c r="B2598" s="1">
        <v>55</v>
      </c>
      <c r="C2598" s="5" t="s">
        <v>2615</v>
      </c>
      <c r="D2598" s="6" t="s">
        <v>3221</v>
      </c>
      <c r="E2598" s="236">
        <v>44549.000011574077</v>
      </c>
      <c r="F2598" s="4">
        <v>9.5138888888888894E-3</v>
      </c>
      <c r="G2598" s="28"/>
      <c r="J2598" t="s">
        <v>1995</v>
      </c>
    </row>
    <row r="2599" spans="1:10" hidden="1" outlineLevel="1">
      <c r="A2599" s="28"/>
      <c r="B2599" s="1">
        <v>56</v>
      </c>
      <c r="C2599" s="5" t="s">
        <v>2627</v>
      </c>
      <c r="D2599" s="6" t="s">
        <v>3222</v>
      </c>
      <c r="E2599" s="236">
        <v>44550.000011574077</v>
      </c>
      <c r="F2599" s="4">
        <v>7.1180555555555554E-3</v>
      </c>
      <c r="G2599" s="28"/>
      <c r="J2599" t="s">
        <v>1995</v>
      </c>
    </row>
    <row r="2600" spans="1:10" hidden="1" outlineLevel="1">
      <c r="A2600" s="28"/>
      <c r="B2600" s="1">
        <v>57</v>
      </c>
      <c r="C2600" s="5" t="s">
        <v>2630</v>
      </c>
      <c r="D2600" s="6" t="s">
        <v>3223</v>
      </c>
      <c r="E2600" s="236">
        <v>44551.73841435185</v>
      </c>
      <c r="F2600" s="4">
        <v>6.122685185185185E-3</v>
      </c>
      <c r="G2600" s="28"/>
      <c r="J2600" t="s">
        <v>1995</v>
      </c>
    </row>
    <row r="2601" spans="1:10" hidden="1" outlineLevel="1">
      <c r="A2601" s="28"/>
      <c r="B2601" s="1">
        <v>58</v>
      </c>
      <c r="C2601" s="5" t="s">
        <v>2634</v>
      </c>
      <c r="D2601" s="6" t="s">
        <v>3224</v>
      </c>
      <c r="E2601" s="236">
        <v>44552.000011574077</v>
      </c>
      <c r="F2601" s="4">
        <v>6.8865740740740736E-3</v>
      </c>
      <c r="G2601" s="28"/>
      <c r="J2601" t="s">
        <v>1995</v>
      </c>
    </row>
    <row r="2602" spans="1:10" hidden="1" outlineLevel="1">
      <c r="A2602" s="28"/>
      <c r="B2602" s="1">
        <v>59</v>
      </c>
      <c r="C2602" s="5" t="s">
        <v>2638</v>
      </c>
      <c r="D2602" s="6" t="s">
        <v>3225</v>
      </c>
      <c r="E2602" s="236">
        <v>44553.000011574077</v>
      </c>
      <c r="F2602" s="4">
        <v>5.6365740740740742E-3</v>
      </c>
      <c r="G2602" s="28"/>
      <c r="J2602" t="s">
        <v>1995</v>
      </c>
    </row>
    <row r="2603" spans="1:10" hidden="1" outlineLevel="1">
      <c r="A2603" s="28"/>
      <c r="B2603" s="1">
        <v>60</v>
      </c>
      <c r="C2603" s="5" t="s">
        <v>2645</v>
      </c>
      <c r="D2603" s="6" t="s">
        <v>3226</v>
      </c>
      <c r="E2603" s="236">
        <v>44554.000011574077</v>
      </c>
      <c r="F2603" s="4">
        <v>3.0162037037037032E-2</v>
      </c>
      <c r="G2603" s="28"/>
      <c r="J2603" t="s">
        <v>1995</v>
      </c>
    </row>
    <row r="2604" spans="1:10" hidden="1" outlineLevel="1">
      <c r="A2604" s="28"/>
      <c r="B2604" s="1">
        <v>61</v>
      </c>
      <c r="C2604" s="5" t="s">
        <v>2661</v>
      </c>
      <c r="D2604" s="6">
        <v>0</v>
      </c>
      <c r="E2604" s="237">
        <v>44561.000011574077</v>
      </c>
      <c r="F2604" s="63">
        <v>4.0393518518518516E-2</v>
      </c>
      <c r="G2604" s="28"/>
      <c r="J2604" t="s">
        <v>1995</v>
      </c>
    </row>
    <row r="2605" spans="1:10" hidden="1" outlineLevel="1">
      <c r="A2605" s="28"/>
      <c r="B2605" s="1">
        <v>62</v>
      </c>
      <c r="C2605" s="5" t="s">
        <v>2688</v>
      </c>
      <c r="D2605" s="6" t="s">
        <v>1959</v>
      </c>
      <c r="E2605" s="236">
        <v>44568.625</v>
      </c>
      <c r="F2605" s="4">
        <v>5.0856481481481482E-2</v>
      </c>
      <c r="G2605" s="28"/>
      <c r="J2605" t="s">
        <v>1995</v>
      </c>
    </row>
    <row r="2606" spans="1:10" hidden="1" outlineLevel="1">
      <c r="A2606" s="28"/>
      <c r="B2606" s="1">
        <v>63</v>
      </c>
      <c r="C2606" s="5" t="s">
        <v>2689</v>
      </c>
      <c r="D2606" s="6" t="s">
        <v>702</v>
      </c>
      <c r="E2606" s="236">
        <v>44575.756504629629</v>
      </c>
      <c r="F2606" s="4">
        <v>5.2395833333333336E-2</v>
      </c>
      <c r="G2606" s="28"/>
      <c r="J2606" t="s">
        <v>1995</v>
      </c>
    </row>
    <row r="2607" spans="1:10" hidden="1" outlineLevel="1">
      <c r="A2607" s="28"/>
      <c r="B2607" s="1">
        <v>64</v>
      </c>
      <c r="C2607" s="5" t="s">
        <v>2690</v>
      </c>
      <c r="D2607" s="6" t="s">
        <v>1955</v>
      </c>
      <c r="E2607" s="236">
        <v>44583.60087962963</v>
      </c>
      <c r="F2607" s="4">
        <v>5.3136574074074072E-2</v>
      </c>
      <c r="G2607" s="28"/>
      <c r="J2607" t="s">
        <v>1995</v>
      </c>
    </row>
    <row r="2608" spans="1:10" hidden="1" outlineLevel="1">
      <c r="A2608" s="28"/>
      <c r="B2608" s="1">
        <v>65</v>
      </c>
      <c r="C2608" s="5" t="s">
        <v>2876</v>
      </c>
      <c r="D2608" s="6" t="s">
        <v>1964</v>
      </c>
      <c r="E2608" s="236">
        <v>44589.809618055559</v>
      </c>
      <c r="F2608" s="4">
        <v>4.3287037037037041E-2</v>
      </c>
      <c r="G2608" s="28"/>
      <c r="J2608" t="s">
        <v>1995</v>
      </c>
    </row>
    <row r="2609" spans="1:10" hidden="1" outlineLevel="1">
      <c r="A2609" s="28"/>
      <c r="B2609" s="1">
        <v>66</v>
      </c>
      <c r="C2609" s="5" t="s">
        <v>2662</v>
      </c>
      <c r="D2609" s="6" t="s">
        <v>1961</v>
      </c>
      <c r="E2609" s="236">
        <v>44597.713356481479</v>
      </c>
      <c r="F2609" s="4">
        <v>4.3611111111111107E-2</v>
      </c>
      <c r="G2609" s="28"/>
      <c r="J2609" t="s">
        <v>1995</v>
      </c>
    </row>
    <row r="2610" spans="1:10" hidden="1" outlineLevel="1">
      <c r="A2610" s="28"/>
      <c r="B2610" s="1">
        <v>67</v>
      </c>
      <c r="C2610" s="5" t="s">
        <v>2699</v>
      </c>
      <c r="D2610" s="6" t="s">
        <v>1963</v>
      </c>
      <c r="E2610" s="236">
        <v>44610.000011574077</v>
      </c>
      <c r="F2610" s="4">
        <v>4.0254629629629633E-2</v>
      </c>
      <c r="G2610" s="28"/>
      <c r="J2610" t="s">
        <v>1995</v>
      </c>
    </row>
    <row r="2611" spans="1:10" hidden="1" outlineLevel="1">
      <c r="A2611" s="28"/>
      <c r="B2611" s="1">
        <v>68</v>
      </c>
      <c r="C2611" s="5" t="s">
        <v>2755</v>
      </c>
      <c r="D2611" s="6">
        <v>0</v>
      </c>
      <c r="E2611" s="309">
        <v>44614.842442129629</v>
      </c>
      <c r="F2611" s="310">
        <v>1.5393518518518519E-3</v>
      </c>
      <c r="G2611" s="28"/>
      <c r="J2611" t="s">
        <v>1995</v>
      </c>
    </row>
    <row r="2612" spans="1:10" hidden="1" outlineLevel="1">
      <c r="A2612" s="28"/>
      <c r="B2612" s="194">
        <v>69</v>
      </c>
      <c r="C2612" s="210" t="s">
        <v>2774</v>
      </c>
      <c r="D2612" s="441" t="s">
        <v>2087</v>
      </c>
      <c r="E2612" s="442">
        <v>44617.857152777775</v>
      </c>
      <c r="F2612" s="197">
        <v>4.2488425925925923E-2</v>
      </c>
      <c r="G2612" s="28"/>
      <c r="J2612" t="s">
        <v>1995</v>
      </c>
    </row>
    <row r="2613" spans="1:10" hidden="1" outlineLevel="1">
      <c r="A2613" s="28"/>
      <c r="B2613" s="1">
        <v>70</v>
      </c>
      <c r="C2613" s="5" t="s">
        <v>2826</v>
      </c>
      <c r="D2613" s="6" t="s">
        <v>1970</v>
      </c>
      <c r="E2613" s="236">
        <v>44625.847511574073</v>
      </c>
      <c r="F2613" s="4">
        <v>4.280092592592593E-2</v>
      </c>
      <c r="G2613" s="28"/>
      <c r="J2613" t="s">
        <v>1995</v>
      </c>
    </row>
    <row r="2614" spans="1:10" hidden="1" outlineLevel="1">
      <c r="A2614" s="28"/>
      <c r="B2614" s="1">
        <v>71</v>
      </c>
      <c r="C2614" s="5" t="s">
        <v>2852</v>
      </c>
      <c r="D2614" s="6" t="s">
        <v>671</v>
      </c>
      <c r="E2614" s="236">
        <v>44631.812418981484</v>
      </c>
      <c r="F2614" s="4">
        <v>4.2222222222222223E-2</v>
      </c>
      <c r="G2614" s="28"/>
      <c r="J2614" t="s">
        <v>1995</v>
      </c>
    </row>
    <row r="2615" spans="1:10" hidden="1" outlineLevel="1">
      <c r="A2615" s="28"/>
      <c r="B2615" s="1">
        <v>72</v>
      </c>
      <c r="C2615" s="5" t="s">
        <v>2875</v>
      </c>
      <c r="D2615" s="6" t="s">
        <v>1966</v>
      </c>
      <c r="E2615" s="236">
        <v>44652.929270833331</v>
      </c>
      <c r="F2615" s="4">
        <v>4.2141203703703702E-2</v>
      </c>
      <c r="G2615" s="28"/>
      <c r="J2615" t="s">
        <v>1995</v>
      </c>
    </row>
    <row r="2616" spans="1:10" hidden="1" outlineLevel="1">
      <c r="A2616" s="28"/>
      <c r="B2616" s="1">
        <v>73</v>
      </c>
      <c r="C2616" s="5" t="s">
        <v>2887</v>
      </c>
      <c r="D2616" s="6">
        <v>0</v>
      </c>
      <c r="E2616" s="236">
        <v>44666.702476851853</v>
      </c>
      <c r="F2616" s="4">
        <v>4.3402777777777783E-2</v>
      </c>
      <c r="G2616" s="28"/>
      <c r="J2616" t="s">
        <v>1995</v>
      </c>
    </row>
    <row r="2617" spans="1:10" hidden="1" outlineLevel="1">
      <c r="A2617" s="28"/>
      <c r="B2617" s="1">
        <v>74</v>
      </c>
      <c r="C2617" s="5" t="s">
        <v>2908</v>
      </c>
      <c r="D2617" s="6" t="s">
        <v>1991</v>
      </c>
      <c r="E2617" s="236">
        <v>44680.922210648147</v>
      </c>
      <c r="F2617" s="4">
        <v>4.9317129629629634E-2</v>
      </c>
      <c r="G2617" s="28"/>
      <c r="J2617" t="s">
        <v>1995</v>
      </c>
    </row>
    <row r="2618" spans="1:10" hidden="1" outlineLevel="1">
      <c r="A2618" s="28"/>
      <c r="B2618" s="1">
        <v>75</v>
      </c>
      <c r="C2618" s="5" t="s">
        <v>2916</v>
      </c>
      <c r="D2618" s="6" t="s">
        <v>675</v>
      </c>
      <c r="E2618" s="236">
        <v>44687.002418981479</v>
      </c>
      <c r="F2618" s="4">
        <v>4.4097222222222225E-2</v>
      </c>
      <c r="G2618" s="28"/>
      <c r="J2618" t="s">
        <v>1995</v>
      </c>
    </row>
    <row r="2619" spans="1:10" hidden="1" outlineLevel="1">
      <c r="A2619" s="28"/>
      <c r="B2619" s="1">
        <v>76</v>
      </c>
      <c r="C2619" s="5" t="s">
        <v>2933</v>
      </c>
      <c r="D2619" s="6" t="s">
        <v>1956</v>
      </c>
      <c r="E2619" s="236">
        <v>44694.007372685184</v>
      </c>
      <c r="F2619" s="4">
        <v>4.4374999999999998E-2</v>
      </c>
      <c r="G2619" s="28"/>
      <c r="J2619" t="s">
        <v>1995</v>
      </c>
    </row>
    <row r="2620" spans="1:10" hidden="1" outlineLevel="1">
      <c r="A2620" s="28"/>
      <c r="B2620" s="1">
        <v>77</v>
      </c>
      <c r="C2620" s="5" t="s">
        <v>2934</v>
      </c>
      <c r="D2620" s="6" t="s">
        <v>693</v>
      </c>
      <c r="E2620" s="236">
        <v>44701.007106481484</v>
      </c>
      <c r="F2620" s="4">
        <v>4.1342592592592591E-2</v>
      </c>
      <c r="G2620" s="28"/>
      <c r="J2620" t="s">
        <v>1995</v>
      </c>
    </row>
    <row r="2621" spans="1:10" hidden="1" outlineLevel="1">
      <c r="A2621" s="28"/>
      <c r="B2621" s="1">
        <v>78</v>
      </c>
      <c r="C2621" s="5" t="s">
        <v>2962</v>
      </c>
      <c r="D2621" s="6">
        <v>0</v>
      </c>
      <c r="E2621" s="237">
        <v>44717.750601851854</v>
      </c>
      <c r="F2621" s="63">
        <v>3.9398148148148147E-2</v>
      </c>
      <c r="G2621" s="28"/>
      <c r="J2621" t="s">
        <v>1995</v>
      </c>
    </row>
    <row r="2622" spans="1:10" hidden="1" outlineLevel="1">
      <c r="A2622" s="28"/>
      <c r="B2622" s="1">
        <v>79</v>
      </c>
      <c r="C2622" s="5" t="s">
        <v>2961</v>
      </c>
      <c r="D2622" s="6" t="s">
        <v>726</v>
      </c>
      <c r="E2622" s="236">
        <v>44722.702835648146</v>
      </c>
      <c r="F2622" s="4">
        <v>4.0567129629629627E-2</v>
      </c>
      <c r="G2622" s="28"/>
      <c r="J2622" t="s">
        <v>1995</v>
      </c>
    </row>
    <row r="2623" spans="1:10" hidden="1" outlineLevel="1">
      <c r="A2623" s="28"/>
      <c r="B2623" s="1">
        <v>80</v>
      </c>
      <c r="C2623" s="5" t="s">
        <v>2963</v>
      </c>
      <c r="D2623" s="6" t="s">
        <v>1968</v>
      </c>
      <c r="E2623" s="236">
        <v>44729.613564814812</v>
      </c>
      <c r="F2623" s="4">
        <v>3.8657407407407404E-2</v>
      </c>
      <c r="G2623" s="28"/>
      <c r="J2623" t="s">
        <v>1995</v>
      </c>
    </row>
    <row r="2624" spans="1:10" hidden="1" outlineLevel="1">
      <c r="A2624" s="28"/>
      <c r="B2624" s="1">
        <v>81</v>
      </c>
      <c r="C2624" s="5" t="s">
        <v>2964</v>
      </c>
      <c r="D2624" s="6" t="s">
        <v>1954</v>
      </c>
      <c r="E2624" s="236">
        <v>44736.004062499997</v>
      </c>
      <c r="F2624" s="4">
        <v>3.982638888888889E-2</v>
      </c>
      <c r="G2624" s="28"/>
      <c r="J2624" t="s">
        <v>1995</v>
      </c>
    </row>
    <row r="2625" spans="1:10" hidden="1" outlineLevel="1">
      <c r="A2625" s="28"/>
      <c r="B2625" s="1">
        <v>82</v>
      </c>
      <c r="C2625" s="5" t="s">
        <v>2982</v>
      </c>
      <c r="D2625" s="6" t="s">
        <v>722</v>
      </c>
      <c r="E2625" s="236">
        <v>44743.000486111108</v>
      </c>
      <c r="F2625" s="4">
        <v>4.311342592592593E-2</v>
      </c>
      <c r="G2625" s="28"/>
      <c r="J2625" t="s">
        <v>1995</v>
      </c>
    </row>
    <row r="2626" spans="1:10" hidden="1" outlineLevel="1">
      <c r="A2626" s="28"/>
      <c r="B2626" s="1">
        <v>83</v>
      </c>
      <c r="C2626" s="5" t="s">
        <v>2983</v>
      </c>
      <c r="D2626" s="6" t="s">
        <v>1958</v>
      </c>
      <c r="E2626" s="236">
        <v>44750.00372685185</v>
      </c>
      <c r="F2626" s="4">
        <v>4.238425925925926E-2</v>
      </c>
      <c r="G2626" s="28"/>
      <c r="J2626" t="s">
        <v>1995</v>
      </c>
    </row>
    <row r="2627" spans="1:10" hidden="1" outlineLevel="1">
      <c r="A2627" s="28"/>
      <c r="B2627" s="1">
        <v>84</v>
      </c>
      <c r="C2627" s="5" t="s">
        <v>2984</v>
      </c>
      <c r="D2627" s="6" t="s">
        <v>706</v>
      </c>
      <c r="E2627" s="236">
        <v>44757.698101851849</v>
      </c>
      <c r="F2627" s="4">
        <v>4.1215277777777774E-2</v>
      </c>
      <c r="G2627" s="28"/>
      <c r="J2627" t="s">
        <v>1995</v>
      </c>
    </row>
    <row r="2628" spans="1:10" hidden="1" outlineLevel="1">
      <c r="A2628" s="28"/>
      <c r="B2628" s="1">
        <v>85</v>
      </c>
      <c r="C2628" s="5" t="s">
        <v>2985</v>
      </c>
      <c r="D2628" s="6" t="s">
        <v>676</v>
      </c>
      <c r="E2628" s="236">
        <v>44779.752476851849</v>
      </c>
      <c r="F2628" s="4">
        <v>4.3217592592592592E-2</v>
      </c>
      <c r="G2628" s="28"/>
      <c r="J2628" t="s">
        <v>1995</v>
      </c>
    </row>
    <row r="2629" spans="1:10" hidden="1" outlineLevel="1">
      <c r="A2629" s="28"/>
      <c r="B2629" s="1">
        <v>86</v>
      </c>
      <c r="C2629" s="5" t="s">
        <v>2986</v>
      </c>
      <c r="D2629" s="6" t="s">
        <v>1974</v>
      </c>
      <c r="E2629" s="236">
        <v>44785.004004629627</v>
      </c>
      <c r="F2629" s="4">
        <v>3.8715277777777779E-2</v>
      </c>
      <c r="G2629" s="28"/>
      <c r="J2629" t="s">
        <v>1995</v>
      </c>
    </row>
    <row r="2630" spans="1:10" hidden="1" outlineLevel="1">
      <c r="A2630" s="28"/>
      <c r="B2630" s="1">
        <v>87</v>
      </c>
      <c r="C2630" s="5" t="s">
        <v>2987</v>
      </c>
      <c r="D2630" s="6" t="s">
        <v>1989</v>
      </c>
      <c r="E2630" s="236">
        <v>44799.000173611108</v>
      </c>
      <c r="F2630" s="4">
        <v>4.3750000000000004E-2</v>
      </c>
      <c r="G2630" s="28"/>
      <c r="J2630" t="s">
        <v>1995</v>
      </c>
    </row>
    <row r="2631" spans="1:10" hidden="1" outlineLevel="1">
      <c r="A2631" s="28"/>
      <c r="B2631" s="1">
        <v>88</v>
      </c>
      <c r="C2631" s="5" t="s">
        <v>2988</v>
      </c>
      <c r="D2631" s="6" t="s">
        <v>658</v>
      </c>
      <c r="E2631" s="236">
        <v>44806.391944444447</v>
      </c>
      <c r="F2631" s="4">
        <v>3.9155092592592596E-2</v>
      </c>
      <c r="G2631" s="28"/>
      <c r="J2631" t="s">
        <v>1995</v>
      </c>
    </row>
    <row r="2632" spans="1:10" hidden="1" outlineLevel="1">
      <c r="A2632" s="28"/>
      <c r="B2632" s="1">
        <v>89</v>
      </c>
      <c r="C2632" s="5" t="s">
        <v>3005</v>
      </c>
      <c r="D2632" s="6" t="s">
        <v>2084</v>
      </c>
      <c r="E2632" s="236">
        <v>44813.000543981485</v>
      </c>
      <c r="F2632" s="4">
        <v>4.476851851851852E-2</v>
      </c>
      <c r="G2632" s="28"/>
      <c r="J2632" t="s">
        <v>1995</v>
      </c>
    </row>
    <row r="2633" spans="1:10" hidden="1" outlineLevel="1">
      <c r="A2633" s="28"/>
      <c r="B2633" s="1">
        <v>90</v>
      </c>
      <c r="C2633" s="5" t="s">
        <v>3050</v>
      </c>
      <c r="D2633" s="6" t="s">
        <v>696</v>
      </c>
      <c r="E2633" s="236">
        <v>44827.926018518519</v>
      </c>
      <c r="F2633" s="4">
        <v>4.0752314814814811E-2</v>
      </c>
      <c r="G2633" s="28"/>
      <c r="J2633" t="s">
        <v>1995</v>
      </c>
    </row>
    <row r="2634" spans="1:10" hidden="1" outlineLevel="1">
      <c r="A2634" s="28"/>
      <c r="B2634" s="1">
        <v>91</v>
      </c>
      <c r="C2634" s="5" t="s">
        <v>3070</v>
      </c>
      <c r="D2634" s="6" t="s">
        <v>716</v>
      </c>
      <c r="E2634" s="236">
        <v>44841.000254629631</v>
      </c>
      <c r="F2634" s="4">
        <v>4.6203703703703698E-2</v>
      </c>
      <c r="G2634" s="28"/>
      <c r="J2634" t="s">
        <v>1995</v>
      </c>
    </row>
    <row r="2635" spans="1:10" hidden="1" outlineLevel="1">
      <c r="A2635" s="28"/>
      <c r="B2635" s="1">
        <v>92</v>
      </c>
      <c r="C2635" s="5" t="s">
        <v>3078</v>
      </c>
      <c r="D2635" s="6" t="s">
        <v>698</v>
      </c>
      <c r="E2635" s="236">
        <v>44850.888425925928</v>
      </c>
      <c r="F2635" s="4">
        <v>4.05787037037037E-2</v>
      </c>
      <c r="G2635" s="28"/>
      <c r="J2635" t="s">
        <v>1995</v>
      </c>
    </row>
    <row r="2636" spans="1:10" hidden="1" outlineLevel="1">
      <c r="A2636" s="28"/>
      <c r="B2636" s="1">
        <v>93</v>
      </c>
      <c r="C2636" s="5" t="s">
        <v>3083</v>
      </c>
      <c r="D2636" s="6" t="s">
        <v>1979</v>
      </c>
      <c r="E2636" s="236">
        <v>44857.531585648147</v>
      </c>
      <c r="F2636" s="4">
        <v>3.78587962962963E-2</v>
      </c>
      <c r="G2636" s="28"/>
      <c r="J2636" t="s">
        <v>1995</v>
      </c>
    </row>
    <row r="2637" spans="1:10" hidden="1" outlineLevel="1">
      <c r="A2637" s="28"/>
      <c r="B2637" s="1">
        <v>94</v>
      </c>
      <c r="C2637" s="5" t="s">
        <v>3084</v>
      </c>
      <c r="D2637" s="6" t="s">
        <v>1965</v>
      </c>
      <c r="E2637" s="236">
        <v>44864.91165509259</v>
      </c>
      <c r="F2637" s="4">
        <v>3.9097222222222221E-2</v>
      </c>
      <c r="G2637" s="28"/>
      <c r="J2637" t="s">
        <v>1995</v>
      </c>
    </row>
    <row r="2638" spans="1:10" hidden="1" outlineLevel="1">
      <c r="A2638" s="28"/>
      <c r="B2638" s="1">
        <v>95</v>
      </c>
      <c r="C2638" s="5" t="s">
        <v>3108</v>
      </c>
      <c r="D2638" s="6" t="s">
        <v>666</v>
      </c>
      <c r="E2638" s="236">
        <v>44871.657349537039</v>
      </c>
      <c r="F2638" s="4">
        <v>3.9050925925925926E-2</v>
      </c>
      <c r="G2638" s="28"/>
      <c r="J2638" t="s">
        <v>1995</v>
      </c>
    </row>
    <row r="2639" spans="1:10" hidden="1" outlineLevel="1">
      <c r="A2639" s="28"/>
      <c r="B2639" s="1">
        <v>96</v>
      </c>
      <c r="C2639" s="5" t="s">
        <v>3135</v>
      </c>
      <c r="D2639" s="6" t="s">
        <v>664</v>
      </c>
      <c r="E2639" s="236">
        <v>44891.865046296298</v>
      </c>
      <c r="F2639" s="4">
        <v>4.6157407407407404E-2</v>
      </c>
      <c r="G2639" s="28"/>
      <c r="J2639" t="s">
        <v>1995</v>
      </c>
    </row>
    <row r="2640" spans="1:10" hidden="1" outlineLevel="1">
      <c r="A2640" s="28"/>
      <c r="B2640" s="1">
        <v>97</v>
      </c>
      <c r="C2640" s="5" t="s">
        <v>3257</v>
      </c>
      <c r="D2640" s="6" t="s">
        <v>3227</v>
      </c>
      <c r="E2640" s="236">
        <v>44896</v>
      </c>
      <c r="F2640" s="4">
        <v>7.7083333333333335E-3</v>
      </c>
      <c r="G2640" s="28"/>
      <c r="J2640" t="s">
        <v>1995</v>
      </c>
    </row>
    <row r="2641" spans="1:10" hidden="1" outlineLevel="1">
      <c r="A2641" s="28"/>
      <c r="B2641" s="1">
        <v>98</v>
      </c>
      <c r="C2641" s="5" t="s">
        <v>3258</v>
      </c>
      <c r="D2641" s="6" t="s">
        <v>3259</v>
      </c>
      <c r="E2641" s="236">
        <v>44897</v>
      </c>
      <c r="F2641" s="4">
        <v>6.5856481481481469E-3</v>
      </c>
      <c r="G2641" s="28"/>
      <c r="J2641" t="s">
        <v>1995</v>
      </c>
    </row>
    <row r="2642" spans="1:10" hidden="1" outlineLevel="1">
      <c r="A2642" s="28"/>
      <c r="B2642" s="1">
        <v>99</v>
      </c>
      <c r="C2642" s="5" t="s">
        <v>3262</v>
      </c>
      <c r="D2642" s="6" t="s">
        <v>3263</v>
      </c>
      <c r="E2642" s="236">
        <v>44898</v>
      </c>
      <c r="F2642" s="4">
        <v>7.083333333333333E-3</v>
      </c>
      <c r="G2642" s="28"/>
      <c r="J2642" t="s">
        <v>1995</v>
      </c>
    </row>
    <row r="2643" spans="1:10" hidden="1" outlineLevel="1">
      <c r="A2643" s="28"/>
      <c r="B2643" s="1">
        <v>100</v>
      </c>
      <c r="C2643" s="5" t="s">
        <v>3268</v>
      </c>
      <c r="D2643" s="6" t="s">
        <v>3269</v>
      </c>
      <c r="E2643" s="236">
        <v>44899</v>
      </c>
      <c r="F2643" s="4">
        <v>7.3958333333333341E-3</v>
      </c>
      <c r="G2643" s="28"/>
      <c r="J2643" t="s">
        <v>1995</v>
      </c>
    </row>
    <row r="2644" spans="1:10" hidden="1" outlineLevel="1">
      <c r="A2644" s="28"/>
      <c r="B2644" s="1">
        <v>101</v>
      </c>
      <c r="C2644" s="5" t="s">
        <v>3277</v>
      </c>
      <c r="D2644" s="6" t="s">
        <v>3278</v>
      </c>
      <c r="E2644" s="236">
        <v>44900</v>
      </c>
      <c r="F2644" s="4">
        <v>8.819444444444444E-3</v>
      </c>
      <c r="G2644" s="28"/>
      <c r="J2644" t="s">
        <v>1995</v>
      </c>
    </row>
    <row r="2645" spans="1:10" hidden="1" outlineLevel="1">
      <c r="A2645" s="28"/>
      <c r="B2645" s="1">
        <v>102</v>
      </c>
      <c r="C2645" s="5" t="s">
        <v>3285</v>
      </c>
      <c r="D2645" s="6" t="s">
        <v>3286</v>
      </c>
      <c r="E2645" s="236">
        <v>44901</v>
      </c>
      <c r="F2645" s="4">
        <v>5.4745370370370373E-3</v>
      </c>
      <c r="G2645" s="28"/>
      <c r="J2645" t="s">
        <v>1995</v>
      </c>
    </row>
    <row r="2646" spans="1:10" hidden="1" outlineLevel="1">
      <c r="A2646" s="28"/>
      <c r="B2646" s="1">
        <v>103</v>
      </c>
      <c r="C2646" s="5" t="s">
        <v>3303</v>
      </c>
      <c r="D2646" s="6" t="s">
        <v>3304</v>
      </c>
      <c r="E2646" s="236">
        <v>44902</v>
      </c>
      <c r="F2646" s="4">
        <v>8.3449074074074085E-3</v>
      </c>
      <c r="G2646" s="28"/>
      <c r="J2646" t="s">
        <v>1995</v>
      </c>
    </row>
    <row r="2647" spans="1:10" hidden="1" outlineLevel="1">
      <c r="A2647" s="28"/>
      <c r="B2647" s="1">
        <v>104</v>
      </c>
      <c r="C2647" s="5" t="s">
        <v>3306</v>
      </c>
      <c r="D2647" s="6" t="s">
        <v>3307</v>
      </c>
      <c r="E2647" s="236">
        <v>44903</v>
      </c>
      <c r="F2647" s="4">
        <v>8.2638888888888883E-3</v>
      </c>
      <c r="G2647" s="28"/>
      <c r="J2647" t="s">
        <v>1995</v>
      </c>
    </row>
    <row r="2648" spans="1:10" hidden="1" outlineLevel="1">
      <c r="A2648" s="28"/>
      <c r="B2648" s="1">
        <v>105</v>
      </c>
      <c r="C2648" s="5" t="s">
        <v>3316</v>
      </c>
      <c r="D2648" s="6" t="s">
        <v>3315</v>
      </c>
      <c r="E2648" s="236">
        <v>44904</v>
      </c>
      <c r="F2648" s="4">
        <v>6.122685185185185E-3</v>
      </c>
      <c r="G2648" s="28"/>
      <c r="J2648" t="s">
        <v>1995</v>
      </c>
    </row>
    <row r="2649" spans="1:10" hidden="1" outlineLevel="1">
      <c r="A2649" s="28"/>
      <c r="B2649" s="1">
        <v>106</v>
      </c>
      <c r="C2649" s="5" t="s">
        <v>3318</v>
      </c>
      <c r="D2649" s="6" t="s">
        <v>3197</v>
      </c>
      <c r="E2649" s="236">
        <v>44905</v>
      </c>
      <c r="F2649" s="4">
        <v>7.0717592592592594E-3</v>
      </c>
      <c r="G2649" s="28"/>
      <c r="J2649" t="s">
        <v>1995</v>
      </c>
    </row>
    <row r="2650" spans="1:10" hidden="1" outlineLevel="1">
      <c r="A2650" s="28"/>
      <c r="B2650" s="1">
        <v>107</v>
      </c>
      <c r="C2650" s="5" t="s">
        <v>3324</v>
      </c>
      <c r="D2650" s="6" t="s">
        <v>3198</v>
      </c>
      <c r="E2650" s="236">
        <v>44906</v>
      </c>
      <c r="F2650" s="4">
        <v>6.4699074074074069E-3</v>
      </c>
      <c r="G2650" s="28"/>
      <c r="J2650" t="s">
        <v>1995</v>
      </c>
    </row>
    <row r="2651" spans="1:10" hidden="1" outlineLevel="1">
      <c r="A2651" s="28"/>
      <c r="B2651" s="1">
        <v>108</v>
      </c>
      <c r="C2651" s="5" t="s">
        <v>3370</v>
      </c>
      <c r="D2651" s="6" t="s">
        <v>3199</v>
      </c>
      <c r="E2651" s="236">
        <v>44907</v>
      </c>
      <c r="F2651" s="4">
        <v>6.851851851851852E-3</v>
      </c>
      <c r="G2651" s="28"/>
      <c r="J2651" t="s">
        <v>1995</v>
      </c>
    </row>
    <row r="2652" spans="1:10" hidden="1" outlineLevel="1">
      <c r="A2652" s="28"/>
      <c r="B2652" s="1">
        <v>109</v>
      </c>
      <c r="C2652" s="5" t="s">
        <v>3371</v>
      </c>
      <c r="D2652" s="6" t="s">
        <v>3200</v>
      </c>
      <c r="E2652" s="236">
        <v>44908</v>
      </c>
      <c r="F2652" s="4">
        <v>7.8819444444444432E-3</v>
      </c>
      <c r="G2652" s="28"/>
      <c r="J2652" t="s">
        <v>1995</v>
      </c>
    </row>
    <row r="2653" spans="1:10" hidden="1" outlineLevel="1">
      <c r="A2653" s="28"/>
      <c r="B2653" s="1">
        <v>110</v>
      </c>
      <c r="C2653" s="5" t="s">
        <v>3379</v>
      </c>
      <c r="D2653" s="6" t="s">
        <v>3201</v>
      </c>
      <c r="E2653" s="236">
        <v>44909</v>
      </c>
      <c r="F2653" s="4">
        <v>6.3657407407407404E-3</v>
      </c>
      <c r="G2653" s="28"/>
      <c r="J2653" t="s">
        <v>1995</v>
      </c>
    </row>
    <row r="2654" spans="1:10" hidden="1" outlineLevel="1">
      <c r="A2654" s="28"/>
      <c r="B2654" s="1">
        <v>111</v>
      </c>
      <c r="C2654" s="5" t="s">
        <v>3377</v>
      </c>
      <c r="D2654" s="6" t="s">
        <v>3202</v>
      </c>
      <c r="E2654" s="236">
        <v>44910</v>
      </c>
      <c r="F2654" s="4">
        <v>7.743055555555556E-3</v>
      </c>
      <c r="G2654" s="28"/>
      <c r="J2654" t="s">
        <v>1995</v>
      </c>
    </row>
    <row r="2655" spans="1:10" hidden="1" outlineLevel="1">
      <c r="A2655" s="28"/>
      <c r="B2655" s="1">
        <v>112</v>
      </c>
      <c r="C2655" s="5" t="s">
        <v>3378</v>
      </c>
      <c r="D2655" s="6" t="s">
        <v>3203</v>
      </c>
      <c r="E2655" s="236">
        <v>44911</v>
      </c>
      <c r="F2655" s="4">
        <v>7.3148148148148148E-3</v>
      </c>
      <c r="G2655" s="28"/>
      <c r="J2655" t="s">
        <v>1995</v>
      </c>
    </row>
    <row r="2656" spans="1:10" hidden="1" outlineLevel="1">
      <c r="A2656" s="28"/>
      <c r="B2656" s="1">
        <v>113</v>
      </c>
      <c r="C2656" s="5" t="s">
        <v>3393</v>
      </c>
      <c r="D2656" s="6" t="s">
        <v>3204</v>
      </c>
      <c r="E2656" s="236">
        <v>44912</v>
      </c>
      <c r="F2656" s="4">
        <v>7.4074074074074068E-3</v>
      </c>
      <c r="G2656" s="28"/>
      <c r="J2656" t="s">
        <v>1995</v>
      </c>
    </row>
    <row r="2657" spans="1:10" hidden="1" outlineLevel="1">
      <c r="A2657" s="28"/>
      <c r="B2657" s="1">
        <v>114</v>
      </c>
      <c r="C2657" s="5" t="s">
        <v>3394</v>
      </c>
      <c r="D2657" s="6" t="s">
        <v>3205</v>
      </c>
      <c r="E2657" s="236">
        <v>44913</v>
      </c>
      <c r="F2657" s="4">
        <v>6.5393518518518517E-3</v>
      </c>
      <c r="G2657" s="28"/>
      <c r="J2657" t="s">
        <v>1995</v>
      </c>
    </row>
    <row r="2658" spans="1:10" hidden="1" outlineLevel="1">
      <c r="A2658" s="28"/>
      <c r="B2658" s="1">
        <v>115</v>
      </c>
      <c r="C2658" s="5" t="s">
        <v>3395</v>
      </c>
      <c r="D2658" s="6" t="s">
        <v>3206</v>
      </c>
      <c r="E2658" s="236">
        <v>44914</v>
      </c>
      <c r="F2658" s="4">
        <v>6.8981481481481489E-3</v>
      </c>
      <c r="G2658" s="28"/>
      <c r="J2658" t="s">
        <v>1995</v>
      </c>
    </row>
    <row r="2659" spans="1:10" hidden="1" outlineLevel="1">
      <c r="A2659" s="28"/>
      <c r="B2659" s="1">
        <v>116</v>
      </c>
      <c r="C2659" s="5" t="s">
        <v>3408</v>
      </c>
      <c r="D2659" s="6" t="s">
        <v>3207</v>
      </c>
      <c r="E2659" s="236">
        <v>44915</v>
      </c>
      <c r="F2659" s="4">
        <v>7.4652777777777781E-3</v>
      </c>
      <c r="G2659" s="28"/>
      <c r="J2659" t="s">
        <v>1995</v>
      </c>
    </row>
    <row r="2660" spans="1:10" hidden="1" outlineLevel="1">
      <c r="A2660" s="28"/>
      <c r="B2660" s="1">
        <v>117</v>
      </c>
      <c r="C2660" s="5" t="s">
        <v>3409</v>
      </c>
      <c r="D2660" s="6" t="s">
        <v>3208</v>
      </c>
      <c r="E2660" s="236">
        <v>44916</v>
      </c>
      <c r="F2660" s="4">
        <v>6.8171296296296287E-3</v>
      </c>
      <c r="G2660" s="28"/>
      <c r="J2660" t="s">
        <v>1995</v>
      </c>
    </row>
    <row r="2661" spans="1:10" hidden="1" outlineLevel="1">
      <c r="A2661" s="28"/>
      <c r="B2661" s="1">
        <v>118</v>
      </c>
      <c r="C2661" s="5" t="s">
        <v>3410</v>
      </c>
      <c r="D2661" s="6" t="s">
        <v>3209</v>
      </c>
      <c r="E2661" s="236">
        <v>44917</v>
      </c>
      <c r="F2661" s="4">
        <v>6.8634259259259256E-3</v>
      </c>
      <c r="G2661" s="28"/>
      <c r="J2661" t="s">
        <v>1995</v>
      </c>
    </row>
    <row r="2662" spans="1:10" hidden="1" outlineLevel="1">
      <c r="A2662" s="28"/>
      <c r="B2662" s="1">
        <v>119</v>
      </c>
      <c r="C2662" s="5" t="s">
        <v>3411</v>
      </c>
      <c r="D2662" s="6" t="s">
        <v>3210</v>
      </c>
      <c r="E2662" s="236">
        <v>44918</v>
      </c>
      <c r="F2662" s="4">
        <v>6.0185185185185177E-3</v>
      </c>
      <c r="G2662" s="28"/>
      <c r="J2662" t="s">
        <v>1995</v>
      </c>
    </row>
    <row r="2663" spans="1:10" hidden="1" outlineLevel="1">
      <c r="A2663" s="28"/>
      <c r="B2663" s="1">
        <v>120</v>
      </c>
      <c r="C2663" s="5" t="s">
        <v>3412</v>
      </c>
      <c r="D2663" s="6" t="s">
        <v>3211</v>
      </c>
      <c r="E2663" s="236">
        <v>44919</v>
      </c>
      <c r="F2663" s="4">
        <v>1.1122685185185185E-2</v>
      </c>
      <c r="G2663" s="28"/>
      <c r="J2663" t="s">
        <v>1995</v>
      </c>
    </row>
    <row r="2664" spans="1:10" hidden="1" outlineLevel="1">
      <c r="A2664" s="28"/>
      <c r="B2664" s="1">
        <v>121</v>
      </c>
      <c r="C2664" s="5" t="s">
        <v>3447</v>
      </c>
      <c r="D2664" s="6">
        <v>0</v>
      </c>
      <c r="E2664" s="236">
        <v>44925.000856481478</v>
      </c>
      <c r="F2664" s="4">
        <v>3.172453703703703E-2</v>
      </c>
      <c r="G2664" s="28"/>
      <c r="J2664" t="s">
        <v>1995</v>
      </c>
    </row>
    <row r="2665" spans="1:10" hidden="1" outlineLevel="1">
      <c r="A2665" s="28"/>
      <c r="B2665" s="1">
        <v>122</v>
      </c>
      <c r="C2665" s="5" t="s">
        <v>3136</v>
      </c>
      <c r="D2665" s="6">
        <v>0</v>
      </c>
      <c r="E2665" s="236">
        <v>44926.000868055555</v>
      </c>
      <c r="F2665" s="4">
        <v>4.1944444444444444E-2</v>
      </c>
      <c r="G2665" s="28"/>
      <c r="J2665" t="s">
        <v>1995</v>
      </c>
    </row>
    <row r="2666" spans="1:10" hidden="1" outlineLevel="1">
      <c r="A2666" s="28"/>
      <c r="B2666" s="1">
        <v>123</v>
      </c>
      <c r="C2666" s="5" t="s">
        <v>3626</v>
      </c>
      <c r="D2666" s="6" t="s">
        <v>1988</v>
      </c>
      <c r="E2666" s="236">
        <v>44939.761805555558</v>
      </c>
      <c r="F2666" s="4">
        <v>3.8819444444444441E-2</v>
      </c>
      <c r="G2666" s="28"/>
      <c r="J2666" t="s">
        <v>1995</v>
      </c>
    </row>
    <row r="2667" spans="1:10" hidden="1" outlineLevel="1">
      <c r="A2667" s="28"/>
      <c r="B2667" s="1">
        <v>124</v>
      </c>
      <c r="C2667" s="5" t="s">
        <v>3627</v>
      </c>
      <c r="D2667" s="6" t="s">
        <v>1985</v>
      </c>
      <c r="E2667" s="236">
        <v>44946.737372685187</v>
      </c>
      <c r="F2667" s="4">
        <v>4.462962962962963E-2</v>
      </c>
      <c r="G2667" s="28"/>
      <c r="J2667" t="s">
        <v>1995</v>
      </c>
    </row>
    <row r="2668" spans="1:10" hidden="1" outlineLevel="1">
      <c r="A2668" s="28"/>
      <c r="B2668" s="1">
        <v>125</v>
      </c>
      <c r="C2668" s="5" t="s">
        <v>3790</v>
      </c>
      <c r="D2668" s="6" t="s">
        <v>718</v>
      </c>
      <c r="E2668" s="236">
        <v>44953.000972222224</v>
      </c>
      <c r="F2668" s="4">
        <v>4.1377314814814818E-2</v>
      </c>
      <c r="G2668" s="28"/>
      <c r="J2668" t="s">
        <v>1995</v>
      </c>
    </row>
    <row r="2669" spans="1:10" hidden="1" outlineLevel="1">
      <c r="A2669" s="28"/>
      <c r="B2669" s="1">
        <v>126</v>
      </c>
      <c r="C2669" s="5" t="s">
        <v>3789</v>
      </c>
      <c r="D2669" s="6" t="s">
        <v>661</v>
      </c>
      <c r="E2669" s="236">
        <v>44961.704305555555</v>
      </c>
      <c r="F2669" s="4">
        <v>4.1574074074074076E-2</v>
      </c>
      <c r="G2669" s="28"/>
      <c r="J2669" t="s">
        <v>1995</v>
      </c>
    </row>
    <row r="2670" spans="1:10" hidden="1" outlineLevel="1">
      <c r="A2670" s="28"/>
      <c r="B2670" s="1">
        <v>127</v>
      </c>
      <c r="C2670" s="5" t="s">
        <v>3628</v>
      </c>
      <c r="D2670" s="6" t="s">
        <v>1976</v>
      </c>
      <c r="E2670" s="236">
        <v>44967.780335648145</v>
      </c>
      <c r="F2670" s="4">
        <v>4.0532407407407406E-2</v>
      </c>
      <c r="G2670" s="28"/>
      <c r="J2670" t="s">
        <v>1995</v>
      </c>
    </row>
    <row r="2671" spans="1:10" hidden="1" outlineLevel="1">
      <c r="A2671" s="28"/>
      <c r="B2671" s="1">
        <v>128</v>
      </c>
      <c r="C2671" s="5" t="s">
        <v>3629</v>
      </c>
      <c r="D2671" s="6" t="s">
        <v>1981</v>
      </c>
      <c r="E2671" s="236">
        <v>44975.791770833333</v>
      </c>
      <c r="F2671" s="4">
        <v>4.4340277777777777E-2</v>
      </c>
      <c r="G2671" s="28"/>
      <c r="J2671" t="s">
        <v>1995</v>
      </c>
    </row>
    <row r="2672" spans="1:10" hidden="1" outlineLevel="1">
      <c r="A2672" s="28"/>
      <c r="B2672" s="1">
        <v>129</v>
      </c>
      <c r="C2672" s="5" t="s">
        <v>3630</v>
      </c>
      <c r="D2672" s="6" t="s">
        <v>1990</v>
      </c>
      <c r="E2672" s="236">
        <v>44982.777337962965</v>
      </c>
      <c r="F2672" s="4">
        <v>3.9849537037037037E-2</v>
      </c>
      <c r="G2672" s="28"/>
      <c r="J2672" t="s">
        <v>1995</v>
      </c>
    </row>
    <row r="2673" spans="1:10" hidden="1" outlineLevel="1">
      <c r="A2673" s="28"/>
      <c r="B2673" s="1">
        <v>130</v>
      </c>
      <c r="C2673" s="5" t="s">
        <v>3631</v>
      </c>
      <c r="D2673" s="6" t="s">
        <v>1971</v>
      </c>
      <c r="E2673" s="236">
        <v>44988.003935185188</v>
      </c>
      <c r="F2673" s="4">
        <v>4.7488425925925927E-2</v>
      </c>
      <c r="G2673" s="28"/>
      <c r="J2673" t="s">
        <v>1995</v>
      </c>
    </row>
    <row r="2674" spans="1:10" hidden="1" outlineLevel="1">
      <c r="A2674" s="28"/>
      <c r="B2674" s="1">
        <v>131</v>
      </c>
      <c r="C2674" s="5" t="s">
        <v>3780</v>
      </c>
      <c r="D2674" s="6" t="s">
        <v>1969</v>
      </c>
      <c r="E2674" s="236">
        <v>45010.570381944446</v>
      </c>
      <c r="F2674" s="4">
        <v>5.1701388888888887E-2</v>
      </c>
      <c r="G2674" s="28"/>
      <c r="J2674" t="s">
        <v>1995</v>
      </c>
    </row>
    <row r="2675" spans="1:10" hidden="1" outlineLevel="1">
      <c r="A2675" s="28"/>
      <c r="B2675" s="1">
        <v>132</v>
      </c>
      <c r="C2675" s="5" t="s">
        <v>3799</v>
      </c>
      <c r="D2675" s="6" t="s">
        <v>1967</v>
      </c>
      <c r="E2675" s="236">
        <v>45016.845300925925</v>
      </c>
      <c r="F2675" s="4">
        <v>4.2569444444444444E-2</v>
      </c>
      <c r="G2675" s="28"/>
      <c r="J2675" t="s">
        <v>1995</v>
      </c>
    </row>
    <row r="2676" spans="1:10" hidden="1" outlineLevel="1">
      <c r="A2676" s="28"/>
      <c r="B2676" s="1">
        <v>133</v>
      </c>
      <c r="C2676" s="5" t="s">
        <v>3841</v>
      </c>
      <c r="D2676" s="6" t="s">
        <v>1978</v>
      </c>
      <c r="E2676" s="236">
        <v>45023.001145833332</v>
      </c>
      <c r="F2676" s="4">
        <v>4.2037037037037039E-2</v>
      </c>
      <c r="G2676" s="28"/>
      <c r="J2676" t="s">
        <v>1995</v>
      </c>
    </row>
    <row r="2677" spans="1:10" hidden="1" outlineLevel="1">
      <c r="A2677" s="28"/>
      <c r="B2677" s="1">
        <v>134</v>
      </c>
      <c r="C2677" s="5" t="s">
        <v>3865</v>
      </c>
      <c r="D2677" s="6">
        <v>0</v>
      </c>
      <c r="E2677" s="236">
        <v>45028.00141203704</v>
      </c>
      <c r="F2677" s="4">
        <v>3.1203703703703702E-2</v>
      </c>
      <c r="G2677" s="28"/>
      <c r="J2677" t="s">
        <v>1995</v>
      </c>
    </row>
    <row r="2678" spans="1:10" hidden="1" outlineLevel="1">
      <c r="A2678" s="28"/>
      <c r="B2678" s="1">
        <v>135</v>
      </c>
      <c r="C2678" s="5" t="s">
        <v>3875</v>
      </c>
      <c r="D2678" s="6" t="s">
        <v>1980</v>
      </c>
      <c r="E2678" s="236">
        <v>45037.946875000001</v>
      </c>
      <c r="F2678" s="4">
        <v>4.2372685185185187E-2</v>
      </c>
      <c r="G2678" s="28"/>
      <c r="J2678" t="s">
        <v>1995</v>
      </c>
    </row>
    <row r="2679" spans="1:10" hidden="1" outlineLevel="1">
      <c r="A2679" s="28"/>
      <c r="B2679" s="1">
        <v>136</v>
      </c>
      <c r="C2679" s="5" t="s">
        <v>3888</v>
      </c>
      <c r="D2679" s="6" t="s">
        <v>1994</v>
      </c>
      <c r="E2679" s="236">
        <v>45045.675532407404</v>
      </c>
      <c r="F2679" s="4">
        <v>4.4050925925925931E-2</v>
      </c>
      <c r="G2679" s="28"/>
      <c r="J2679" t="s">
        <v>1995</v>
      </c>
    </row>
    <row r="2680" spans="1:10" hidden="1" outlineLevel="1">
      <c r="A2680" s="28"/>
      <c r="B2680" s="1">
        <v>137</v>
      </c>
      <c r="C2680" s="5" t="s">
        <v>3907</v>
      </c>
      <c r="D2680" s="6" t="s">
        <v>1993</v>
      </c>
      <c r="E2680" s="236">
        <v>45051.772962962961</v>
      </c>
      <c r="F2680" s="4">
        <v>4.4074074074074071E-2</v>
      </c>
      <c r="G2680" s="28"/>
      <c r="J2680" t="s">
        <v>1995</v>
      </c>
    </row>
    <row r="2681" spans="1:10" hidden="1" outlineLevel="1">
      <c r="A2681" s="28"/>
      <c r="B2681" s="1">
        <v>138</v>
      </c>
      <c r="C2681" s="5" t="s">
        <v>3917</v>
      </c>
      <c r="D2681" s="6" t="s">
        <v>709</v>
      </c>
      <c r="E2681" s="236">
        <v>45058.001817129632</v>
      </c>
      <c r="F2681" s="4">
        <v>4.2893518518518518E-2</v>
      </c>
      <c r="G2681" s="28"/>
      <c r="J2681" t="s">
        <v>1995</v>
      </c>
    </row>
    <row r="2682" spans="1:10" hidden="1" outlineLevel="1">
      <c r="A2682" s="28"/>
      <c r="B2682" s="1">
        <v>139</v>
      </c>
      <c r="C2682" s="5" t="s">
        <v>3916</v>
      </c>
      <c r="D2682" s="6" t="s">
        <v>2090</v>
      </c>
      <c r="E2682" s="236">
        <v>45065.0003125</v>
      </c>
      <c r="F2682" s="4">
        <v>4.7696759259259258E-2</v>
      </c>
      <c r="G2682" s="28"/>
      <c r="J2682" t="s">
        <v>1995</v>
      </c>
    </row>
    <row r="2683" spans="1:10" hidden="1" outlineLevel="1">
      <c r="A2683" s="28"/>
      <c r="B2683" s="1">
        <v>140</v>
      </c>
      <c r="C2683" s="5" t="s">
        <v>3915</v>
      </c>
      <c r="D2683" s="6" t="s">
        <v>2089</v>
      </c>
      <c r="E2683" s="236">
        <v>45072.000405092593</v>
      </c>
      <c r="F2683" s="4">
        <v>4.7164351851851853E-2</v>
      </c>
      <c r="G2683" s="28"/>
      <c r="J2683" t="s">
        <v>1995</v>
      </c>
    </row>
    <row r="2684" spans="1:10" hidden="1" outlineLevel="1">
      <c r="A2684" s="28"/>
      <c r="B2684" s="1">
        <v>141</v>
      </c>
      <c r="C2684" s="5" t="s">
        <v>3920</v>
      </c>
      <c r="D2684" s="6" t="s">
        <v>2086</v>
      </c>
      <c r="E2684" s="236">
        <v>45079.80228009259</v>
      </c>
      <c r="F2684" s="4">
        <v>4.1944444444444444E-2</v>
      </c>
      <c r="G2684" s="28"/>
      <c r="J2684" t="s">
        <v>1995</v>
      </c>
    </row>
    <row r="2685" spans="1:10" hidden="1" outlineLevel="1">
      <c r="A2685" s="28"/>
      <c r="B2685" s="1">
        <v>142</v>
      </c>
      <c r="C2685" s="5" t="s">
        <v>3921</v>
      </c>
      <c r="D2685" s="6" t="s">
        <v>2092</v>
      </c>
      <c r="E2685" s="236">
        <v>45086.000138888892</v>
      </c>
      <c r="F2685" s="4">
        <v>4.4143518518518519E-2</v>
      </c>
      <c r="G2685" s="28"/>
      <c r="J2685" t="s">
        <v>1995</v>
      </c>
    </row>
    <row r="2686" spans="1:10" hidden="1" outlineLevel="1">
      <c r="A2686" s="28"/>
      <c r="B2686" s="1">
        <v>143</v>
      </c>
      <c r="C2686" s="5" t="s">
        <v>3950</v>
      </c>
      <c r="D2686" s="6" t="s">
        <v>2091</v>
      </c>
      <c r="E2686" s="236">
        <v>45093.000127314815</v>
      </c>
      <c r="F2686" s="4">
        <v>4.4583333333333336E-2</v>
      </c>
      <c r="G2686" s="28"/>
      <c r="J2686" t="s">
        <v>1995</v>
      </c>
    </row>
    <row r="2687" spans="1:10" hidden="1" outlineLevel="1">
      <c r="A2687" s="28"/>
      <c r="B2687" s="1">
        <v>144</v>
      </c>
      <c r="C2687" s="5" t="s">
        <v>3959</v>
      </c>
      <c r="D2687" s="6" t="s">
        <v>2088</v>
      </c>
      <c r="E2687" s="236">
        <v>45100.000625000001</v>
      </c>
      <c r="F2687" s="4">
        <v>4.5243055555555557E-2</v>
      </c>
      <c r="G2687" s="28"/>
      <c r="J2687" t="s">
        <v>1995</v>
      </c>
    </row>
    <row r="2688" spans="1:10" hidden="1" outlineLevel="1">
      <c r="A2688" s="28"/>
      <c r="B2688" s="1">
        <v>145</v>
      </c>
      <c r="C2688" s="5" t="s">
        <v>3964</v>
      </c>
      <c r="D2688" s="6" t="s">
        <v>1986</v>
      </c>
      <c r="E2688" s="236">
        <v>45107.000520833331</v>
      </c>
      <c r="F2688" s="4">
        <v>4.7581018518518516E-2</v>
      </c>
      <c r="G2688" s="28"/>
      <c r="J2688" t="s">
        <v>1995</v>
      </c>
    </row>
    <row r="2689" spans="1:10" hidden="1" outlineLevel="1">
      <c r="A2689" s="28"/>
      <c r="B2689" s="1">
        <v>146</v>
      </c>
      <c r="C2689" s="5" t="s">
        <v>4040</v>
      </c>
      <c r="D2689" s="6" t="s">
        <v>1977</v>
      </c>
      <c r="E2689" s="236">
        <v>45115.978414351855</v>
      </c>
      <c r="F2689" s="4">
        <v>4.4224537037037041E-2</v>
      </c>
      <c r="G2689" s="28"/>
      <c r="J2689" t="s">
        <v>1995</v>
      </c>
    </row>
    <row r="2690" spans="1:10" hidden="1" outlineLevel="1">
      <c r="A2690" s="28"/>
      <c r="B2690" s="1">
        <v>147</v>
      </c>
      <c r="C2690" s="5" t="s">
        <v>4041</v>
      </c>
      <c r="D2690" s="6" t="s">
        <v>1984</v>
      </c>
      <c r="E2690" s="236">
        <v>45135.709178240744</v>
      </c>
      <c r="F2690" s="4">
        <v>3.9131944444444448E-2</v>
      </c>
      <c r="G2690" s="28"/>
      <c r="J2690" t="s">
        <v>1995</v>
      </c>
    </row>
    <row r="2691" spans="1:10" hidden="1" outlineLevel="1">
      <c r="A2691" s="28"/>
      <c r="B2691" s="1">
        <v>148</v>
      </c>
      <c r="C2691" s="5" t="s">
        <v>4052</v>
      </c>
      <c r="D2691" s="6" t="s">
        <v>1973</v>
      </c>
      <c r="E2691" s="236">
        <v>45149.000011574077</v>
      </c>
      <c r="F2691" s="4">
        <v>4.1076388888888891E-2</v>
      </c>
      <c r="G2691" s="28"/>
      <c r="J2691" t="s">
        <v>1995</v>
      </c>
    </row>
    <row r="2692" spans="1:10" hidden="1" outlineLevel="1">
      <c r="A2692" s="28"/>
      <c r="B2692" s="1">
        <v>149</v>
      </c>
      <c r="C2692" s="5" t="s">
        <v>4053</v>
      </c>
      <c r="D2692" s="6" t="s">
        <v>1982</v>
      </c>
      <c r="E2692" s="236">
        <v>45156.000011574077</v>
      </c>
      <c r="F2692" s="4">
        <v>4.010416666666667E-2</v>
      </c>
      <c r="G2692" s="28"/>
      <c r="J2692" t="s">
        <v>1995</v>
      </c>
    </row>
    <row r="2693" spans="1:10" hidden="1" outlineLevel="1">
      <c r="A2693" s="28"/>
      <c r="B2693" s="1">
        <v>150</v>
      </c>
      <c r="C2693" s="5" t="s">
        <v>4069</v>
      </c>
      <c r="D2693" s="6" t="s">
        <v>2085</v>
      </c>
      <c r="E2693" s="236">
        <v>45163.000011574077</v>
      </c>
      <c r="F2693" s="4">
        <v>4.297453703703704E-2</v>
      </c>
      <c r="G2693" s="28"/>
      <c r="J2693" t="s">
        <v>1995</v>
      </c>
    </row>
    <row r="2694" spans="1:10" hidden="1" outlineLevel="1">
      <c r="A2694" s="28"/>
      <c r="B2694" s="1">
        <v>151</v>
      </c>
      <c r="C2694" s="5" t="s">
        <v>4120</v>
      </c>
      <c r="D2694" s="6" t="s">
        <v>1987</v>
      </c>
      <c r="E2694" s="236">
        <v>45171.804664351854</v>
      </c>
      <c r="F2694" s="4">
        <v>5.2407407407407403E-2</v>
      </c>
      <c r="G2694" s="28"/>
      <c r="J2694" t="s">
        <v>1995</v>
      </c>
    </row>
    <row r="2695" spans="1:10" hidden="1" outlineLevel="1">
      <c r="A2695" s="28"/>
      <c r="B2695" s="1">
        <v>152</v>
      </c>
      <c r="C2695" s="5" t="s">
        <v>4121</v>
      </c>
      <c r="D2695" s="6" t="s">
        <v>2093</v>
      </c>
      <c r="E2695" s="236">
        <v>45180.913263888891</v>
      </c>
      <c r="F2695" s="4">
        <v>4.673611111111111E-2</v>
      </c>
      <c r="G2695" s="28"/>
      <c r="J2695" t="s">
        <v>1995</v>
      </c>
    </row>
    <row r="2696" spans="1:10" hidden="1" outlineLevel="1">
      <c r="A2696" s="28"/>
      <c r="B2696" s="1">
        <v>153</v>
      </c>
      <c r="C2696" s="5" t="s">
        <v>4122</v>
      </c>
      <c r="D2696" s="6" t="s">
        <v>1975</v>
      </c>
      <c r="E2696" s="236">
        <v>45184.000011574077</v>
      </c>
      <c r="F2696" s="4">
        <v>4.5717592592592594E-2</v>
      </c>
      <c r="G2696" s="28"/>
      <c r="J2696" t="s">
        <v>1995</v>
      </c>
    </row>
    <row r="2697" spans="1:10" hidden="1" outlineLevel="1">
      <c r="A2697" s="28"/>
      <c r="B2697" s="1">
        <v>154</v>
      </c>
      <c r="C2697" s="5" t="s">
        <v>4123</v>
      </c>
      <c r="D2697" s="6" t="s">
        <v>2094</v>
      </c>
      <c r="E2697" s="236">
        <v>45192.566932870373</v>
      </c>
      <c r="F2697" s="4">
        <v>4.6643518518518522E-2</v>
      </c>
      <c r="G2697" s="28"/>
      <c r="J2697" t="s">
        <v>1995</v>
      </c>
    </row>
    <row r="2698" spans="1:10" hidden="1" outlineLevel="1">
      <c r="A2698" s="28"/>
      <c r="B2698" s="1">
        <v>155</v>
      </c>
      <c r="C2698" s="5" t="s">
        <v>4124</v>
      </c>
      <c r="D2698" s="6" t="s">
        <v>690</v>
      </c>
      <c r="E2698" s="236">
        <v>45198.777002314811</v>
      </c>
      <c r="F2698" s="4">
        <v>4.1134259259259259E-2</v>
      </c>
      <c r="G2698" s="28"/>
      <c r="J2698" t="s">
        <v>1995</v>
      </c>
    </row>
    <row r="2699" spans="1:10" hidden="1" outlineLevel="1">
      <c r="A2699" s="28"/>
      <c r="B2699" s="194">
        <v>156</v>
      </c>
      <c r="C2699" s="210" t="s">
        <v>4125</v>
      </c>
      <c r="D2699" s="441" t="s">
        <v>1972</v>
      </c>
      <c r="E2699" s="442">
        <v>45207.970439814817</v>
      </c>
      <c r="F2699" s="197">
        <v>5.1724537037037034E-2</v>
      </c>
      <c r="G2699" s="28"/>
      <c r="J2699" t="s">
        <v>1995</v>
      </c>
    </row>
    <row r="2700" spans="1:10" hidden="1" outlineLevel="1">
      <c r="A2700" s="28"/>
      <c r="B2700" s="1">
        <v>157</v>
      </c>
      <c r="C2700" s="5" t="s">
        <v>4126</v>
      </c>
      <c r="D2700" s="6">
        <v>0</v>
      </c>
      <c r="E2700" s="236">
        <v>45212.000011574077</v>
      </c>
      <c r="F2700" s="4">
        <v>8.4918981481481484E-2</v>
      </c>
      <c r="G2700" s="28"/>
      <c r="J2700" t="s">
        <v>1995</v>
      </c>
    </row>
    <row r="2701" spans="1:10" hidden="1" outlineLevel="1">
      <c r="A2701" s="28"/>
      <c r="B2701" s="1">
        <v>158</v>
      </c>
      <c r="C2701" s="5" t="s">
        <v>4164</v>
      </c>
      <c r="D2701" s="6">
        <v>0</v>
      </c>
      <c r="E2701" s="236">
        <v>45228.403460648151</v>
      </c>
      <c r="F2701" s="4">
        <v>6.6493055555555555E-2</v>
      </c>
      <c r="G2701" s="28"/>
      <c r="J2701" t="s">
        <v>1995</v>
      </c>
    </row>
    <row r="2702" spans="1:10" hidden="1" outlineLevel="1">
      <c r="A2702" s="28"/>
      <c r="B2702" s="1">
        <v>159</v>
      </c>
      <c r="C2702" s="5" t="s">
        <v>4172</v>
      </c>
      <c r="D2702" s="6">
        <v>0</v>
      </c>
      <c r="E2702" s="236">
        <v>45240.000011574077</v>
      </c>
      <c r="F2702" s="4">
        <v>5.2314814814814814E-2</v>
      </c>
      <c r="G2702" s="28"/>
      <c r="J2702" t="s">
        <v>1995</v>
      </c>
    </row>
    <row r="2703" spans="1:10" hidden="1" outlineLevel="1">
      <c r="A2703" s="28"/>
      <c r="B2703" s="76">
        <v>160</v>
      </c>
      <c r="C2703" s="77" t="s">
        <v>4173</v>
      </c>
      <c r="D2703" s="246" t="s">
        <v>2095</v>
      </c>
      <c r="E2703" s="261"/>
      <c r="F2703" s="80">
        <v>0</v>
      </c>
      <c r="G2703" s="28"/>
      <c r="J2703" t="s">
        <v>1995</v>
      </c>
    </row>
    <row r="2704" spans="1:10" hidden="1" outlineLevel="1">
      <c r="A2704" s="28"/>
      <c r="B2704" s="76">
        <v>161</v>
      </c>
      <c r="C2704" s="77" t="s">
        <v>4174</v>
      </c>
      <c r="D2704" s="246" t="s">
        <v>2096</v>
      </c>
      <c r="E2704" s="261"/>
      <c r="F2704" s="80">
        <v>0</v>
      </c>
      <c r="G2704" s="28"/>
      <c r="J2704" t="s">
        <v>1995</v>
      </c>
    </row>
    <row r="2705" spans="1:10" hidden="1" outlineLevel="1">
      <c r="A2705" s="28"/>
      <c r="B2705" s="76">
        <v>162</v>
      </c>
      <c r="C2705" s="77" t="s">
        <v>4175</v>
      </c>
      <c r="D2705" s="246" t="s">
        <v>2097</v>
      </c>
      <c r="E2705" s="261"/>
      <c r="F2705" s="80">
        <v>0</v>
      </c>
      <c r="G2705" s="28"/>
      <c r="J2705" t="s">
        <v>1995</v>
      </c>
    </row>
    <row r="2706" spans="1:10" hidden="1" outlineLevel="1">
      <c r="A2706" s="28"/>
      <c r="B2706" s="76">
        <v>163</v>
      </c>
      <c r="C2706" s="77" t="s">
        <v>4176</v>
      </c>
      <c r="D2706" s="246" t="s">
        <v>2098</v>
      </c>
      <c r="E2706" s="261"/>
      <c r="F2706" s="80">
        <v>0</v>
      </c>
      <c r="G2706" s="28"/>
      <c r="J2706" t="s">
        <v>1995</v>
      </c>
    </row>
    <row r="2707" spans="1:10" hidden="1" outlineLevel="1">
      <c r="A2707" s="28"/>
      <c r="B2707" s="76">
        <v>164</v>
      </c>
      <c r="C2707" s="77" t="s">
        <v>4177</v>
      </c>
      <c r="D2707" s="246" t="s">
        <v>2099</v>
      </c>
      <c r="E2707" s="261"/>
      <c r="F2707" s="80">
        <v>0</v>
      </c>
      <c r="G2707" s="28"/>
      <c r="J2707" t="s">
        <v>1995</v>
      </c>
    </row>
    <row r="2708" spans="1:10" hidden="1" outlineLevel="1">
      <c r="A2708" s="28"/>
      <c r="B2708" s="76">
        <v>165</v>
      </c>
      <c r="C2708" s="77" t="s">
        <v>4178</v>
      </c>
      <c r="D2708" s="246" t="s">
        <v>2100</v>
      </c>
      <c r="E2708" s="261"/>
      <c r="F2708" s="80">
        <v>0</v>
      </c>
      <c r="G2708" s="28"/>
      <c r="J2708" t="s">
        <v>1995</v>
      </c>
    </row>
    <row r="2709" spans="1:10">
      <c r="A2709" s="28"/>
      <c r="B2709" s="40"/>
      <c r="C2709" s="40"/>
      <c r="D2709" s="40"/>
      <c r="E2709" s="40"/>
      <c r="F2709" s="40"/>
      <c r="G2709" s="28"/>
    </row>
    <row r="2710" spans="1:10">
      <c r="A2710" s="28"/>
      <c r="B2710" s="28"/>
      <c r="C2710" s="28"/>
      <c r="D2710" s="28"/>
      <c r="E2710" s="409" t="s">
        <v>2730</v>
      </c>
      <c r="F2710" s="410">
        <f>SUM(Tabelle_Kids_Podcast[Dauer])</f>
        <v>5.2910532407407427</v>
      </c>
      <c r="G2710" s="28"/>
    </row>
    <row r="2711" spans="1:10">
      <c r="A2711" s="28"/>
      <c r="B2711" s="28"/>
      <c r="C2711" s="28"/>
      <c r="D2711" s="28"/>
      <c r="E2711" s="28"/>
      <c r="F2711" s="28"/>
      <c r="G2711" s="28"/>
    </row>
    <row r="2712" spans="1:10">
      <c r="E2712" s="28"/>
      <c r="F2712" s="28"/>
      <c r="G2712" s="28"/>
    </row>
    <row r="2713" spans="1:10">
      <c r="E2713" s="409" t="s">
        <v>2358</v>
      </c>
      <c r="F2713" s="410">
        <f>SUM(F2126,F2369,F2460,F2537,F2710)</f>
        <v>95.012395833333358</v>
      </c>
      <c r="G2713" s="28"/>
    </row>
    <row r="2714" spans="1:10">
      <c r="E2714" s="28"/>
      <c r="F2714" s="28"/>
      <c r="G2714" s="28"/>
    </row>
  </sheetData>
  <sheetProtection sort="0" autoFilter="0"/>
  <mergeCells count="8">
    <mergeCell ref="B2:F2"/>
    <mergeCell ref="B2129:F2129"/>
    <mergeCell ref="B2372:F2372"/>
    <mergeCell ref="O1005:Q1005"/>
    <mergeCell ref="L1082:N1082"/>
    <mergeCell ref="L1083:N1083"/>
    <mergeCell ref="B2463:F2463"/>
    <mergeCell ref="B2539:F2539"/>
  </mergeCells>
  <phoneticPr fontId="37" type="noConversion"/>
  <hyperlinks>
    <hyperlink ref="C999" r:id="rId1" xr:uid="{00000000-0004-0000-0000-000000000000}"/>
    <hyperlink ref="C985" r:id="rId2" xr:uid="{00000000-0004-0000-0000-000001000000}"/>
    <hyperlink ref="C913" r:id="rId3" xr:uid="{00000000-0004-0000-0000-000002000000}"/>
    <hyperlink ref="C492" r:id="rId4" xr:uid="{00000000-0004-0000-0000-000003000000}"/>
    <hyperlink ref="C303" r:id="rId5" xr:uid="{00000000-0004-0000-0000-000004000000}"/>
    <hyperlink ref="C8" r:id="rId6" xr:uid="{00000000-0004-0000-0000-000005000000}"/>
    <hyperlink ref="C1271" r:id="rId7" xr:uid="{00000000-0004-0000-0000-000007000000}"/>
    <hyperlink ref="C242" r:id="rId8" xr:uid="{00000000-0004-0000-0000-000008000000}"/>
    <hyperlink ref="C477" r:id="rId9" xr:uid="{00000000-0004-0000-0000-00000E000000}"/>
    <hyperlink ref="C4" r:id="rId10" display="zusammengestellt von        DDF Kompendium" xr:uid="{00000000-0004-0000-0000-00000F000000}"/>
    <hyperlink ref="C536" r:id="rId11" xr:uid="{00000000-0004-0000-0000-000010000000}"/>
    <hyperlink ref="C111" r:id="rId12" xr:uid="{00000000-0004-0000-0000-000011000000}"/>
    <hyperlink ref="C1255" r:id="rId13" xr:uid="{00000000-0004-0000-0000-000013000000}"/>
    <hyperlink ref="C2201" r:id="rId14" display="PODCAST #142 – DER EPISCHE “DIE DREI ???” PODCAST" xr:uid="{00000000-0004-0000-0000-000014000000}"/>
    <hyperlink ref="C2200" r:id="rId15" xr:uid="{00000000-0004-0000-0000-000015000000}"/>
    <hyperlink ref="C142" r:id="rId16" display="OhrCast 26-6 Interview mit Kai Schwind" xr:uid="{00000000-0004-0000-0000-000017000000}"/>
    <hyperlink ref="C131" r:id="rId17" display="OhrCast 17-8 Interview mit Kai Schwind" xr:uid="{00000000-0004-0000-0000-000018000000}"/>
    <hyperlink ref="C187" r:id="rId18" location="t=15m05s" display="OhrCast 67-3 Neue Hörspiele im Juni 2017 Teil 1" xr:uid="{00000000-0004-0000-0000-000019000000}"/>
    <hyperlink ref="C196" r:id="rId19" location="t=23m14s" display="Die drei ??? (195) Im Reich der Ungeheuer - Europa 2018 (23‘14''" xr:uid="{00000000-0004-0000-0000-00001A000000}"/>
    <hyperlink ref="C194" r:id="rId20" location="t=10m16s" display="Die drei ??? (193) Schrecken aus der Tiefe - Europa 2018 (10‘16'')" xr:uid="{00000000-0004-0000-0000-00001B000000}"/>
    <hyperlink ref="C193" r:id="rId21" location="t=16m43s" display="Die drei ??? (192) Im Bann des Drachen - Europa 2018 (16‘43'')" xr:uid="{00000000-0004-0000-0000-00001C000000}"/>
    <hyperlink ref="C195" r:id="rId22" location="t=8m6s" display="DIE DREI ??? (194) DIE DREI ??? UND DIE ZEITREISENDE" xr:uid="{00000000-0004-0000-0000-00001D000000}"/>
    <hyperlink ref="C192" r:id="rId23" location="t=21m24s" display="OhrCast 74-1 Nachtrag Februar - Neue Hörspiele im Januar 2018" xr:uid="{00000000-0004-0000-0000-00001E000000}"/>
    <hyperlink ref="C202" r:id="rId24" location="t=27m40s" display="OhrCast 89-1 Update Hörspiele im Mai 2019" xr:uid="{00000000-0004-0000-0000-00001F000000}"/>
    <hyperlink ref="C201" r:id="rId25" location="t=47m11s" display="Die drei ??? (198) Die Legende der Gaukler - Europa 2019" xr:uid="{00000000-0004-0000-0000-000020000000}"/>
    <hyperlink ref="C200" r:id="rId26" location="t=23m24s" display="Die drei ??? (SE) Die drei ??? und die schwarze Katze - Europa 2019 (23‘24'') " xr:uid="{00000000-0004-0000-0000-000021000000}"/>
    <hyperlink ref="C199" r:id="rId27" location="t=10m28s" display="Die drei ??? (197) Im Auge des Sturms - Europa 2018 (10‘28'')" xr:uid="{00000000-0004-0000-0000-000022000000}"/>
    <hyperlink ref="C198" r:id="rId28" location="t=12m56s" display="Die drei ??? (196) Geheimnis des Bauchredners - Europa 2018 (12‘5" xr:uid="{00000000-0004-0000-0000-000023000000}"/>
    <hyperlink ref="C197" r:id="rId29" location="t=40m21s" display="Die drei ??? (SE) Der schwarze Tag - Europa 2018 (40‘21''" xr:uid="{00000000-0004-0000-0000-000024000000}"/>
    <hyperlink ref="C206" r:id="rId30" display="OhrCast Special - Interview mit Kai Schwind zur Live-Tour &quot;Die drei ??? und der dunkle Taipan&quot;" xr:uid="{00000000-0004-0000-0000-000025000000}"/>
    <hyperlink ref="C207" r:id="rId31" location="t=3m12s" display="Die drei ??? (201) Höhenangst - Europa 2019" xr:uid="{00000000-0004-0000-0000-000026000000}"/>
    <hyperlink ref="C203" r:id="rId32" location="t=27m17s" display="Die drei ??? (200) Feuriges Auge - Europa 2019" xr:uid="{00000000-0004-0000-0000-000027000000}"/>
    <hyperlink ref="C204" r:id="rId33" location="t=42m55s" display="OhrCast 93-4 News Reste Gedöhns, Die Welt der Drei Fragezeichen (C. R. Rodenwald)" xr:uid="{00000000-0004-0000-0000-000028000000}"/>
    <hyperlink ref="C205" r:id="rId34" location="t=44m13s" display="OhrCast 93-4 News Reste Gedöhns, Die drei ??? und der grüne Geist (Hörbuch)" xr:uid="{00000000-0004-0000-0000-000029000000}"/>
    <hyperlink ref="C208" r:id="rId35" location="t=39m8s" xr:uid="{00000000-0004-0000-0000-00002A000000}"/>
    <hyperlink ref="C209" r:id="rId36" location="t=16m20s" xr:uid="{00000000-0004-0000-0000-00002B000000}"/>
    <hyperlink ref="C210" r:id="rId37" location="t=0m29s" xr:uid="{00000000-0004-0000-0000-00002C000000}"/>
    <hyperlink ref="C211" r:id="rId38" location="t=14m39s" xr:uid="{00000000-0004-0000-0000-00002D000000}"/>
    <hyperlink ref="C212" r:id="rId39" location="t=3m10s" xr:uid="{00000000-0004-0000-0000-00002E000000}"/>
    <hyperlink ref="C191" r:id="rId40" location="t=20m56s" display="OhrCast 73-2 Hörspiele im Dezember 2017 Teil 1" xr:uid="{00000000-0004-0000-0000-00002F000000}"/>
    <hyperlink ref="C190" r:id="rId41" location="t=38m39s" display="OhrCast 69-2 Neue Hörspiele im September 2017 Teil 1" xr:uid="{00000000-0004-0000-0000-000030000000}"/>
    <hyperlink ref="C188" r:id="rId42" location="t=10m17s" display="dddd" xr:uid="{00000000-0004-0000-0000-000031000000}"/>
    <hyperlink ref="C186" r:id="rId43" location="t=12m50s" display="oo" xr:uid="{00000000-0004-0000-0000-000032000000}"/>
    <hyperlink ref="C184" r:id="rId44" location="t=24m23s" display="dfs" xr:uid="{00000000-0004-0000-0000-000033000000}"/>
    <hyperlink ref="C182" r:id="rId45" location="t=25m50s" display="dfgds" xr:uid="{00000000-0004-0000-0000-000034000000}"/>
    <hyperlink ref="C183" r:id="rId46" location="t=0m7s" display="OhrCast 63-3 Nachträge" xr:uid="{00000000-0004-0000-0000-000035000000}"/>
    <hyperlink ref="C179" r:id="rId47" location="t=14m9s" display="sdfsf" xr:uid="{00000000-0004-0000-0000-000036000000}"/>
    <hyperlink ref="C178" r:id="rId48" location="t=11m26s" display="sada" xr:uid="{00000000-0004-0000-0000-000037000000}"/>
    <hyperlink ref="C177" r:id="rId49" location="t=16m22s" display="sdfds" xr:uid="{00000000-0004-0000-0000-000038000000}"/>
    <hyperlink ref="C173" r:id="rId50" location="t=10m52s" display="dfsf" xr:uid="{00000000-0004-0000-0000-000039000000}"/>
    <hyperlink ref="C172" r:id="rId51" location="t=6m13s" display="dfs" xr:uid="{00000000-0004-0000-0000-00003A000000}"/>
    <hyperlink ref="C170" r:id="rId52" location="t=7m54s" display="OhrCast 50-4 Neue Hörspiele im Dezember 2015" xr:uid="{00000000-0004-0000-0000-00003B000000}"/>
    <hyperlink ref="C171" r:id="rId53" location="t=10m20s" display="OhrCast 50-4 Hörspiele Dezember 2015, Die drei ??? (178) Der gefiederte Schrecken" xr:uid="{00000000-0004-0000-0000-00003C000000}"/>
    <hyperlink ref="C168" r:id="rId54" location="t=12m25s" display="OhrCast48-41 Hörspiele im Oktober 2015 Teil 1" xr:uid="{00000000-0004-0000-0000-00003D000000}"/>
    <hyperlink ref="C169" r:id="rId55" location="t=18m33s" display="OhrCast 48-4 Hörspiele Oktober 2015, Die drei ??? (177) Der Geist des Goldgräbers" xr:uid="{00000000-0004-0000-0000-00003E000000}"/>
    <hyperlink ref="C166" r:id="rId56" location="t=2m21s" display="OhrCast 45-4 Hörspiele Juli 2015, DIE DREI ??? (176) DIE DREI ??? UND DER GESTOHLENE SIEG" xr:uid="{00000000-0004-0000-0000-00003F000000}"/>
    <hyperlink ref="C167" r:id="rId57" location="t=5m20s" xr:uid="{00000000-0004-0000-0000-000040000000}"/>
    <hyperlink ref="C164" r:id="rId58" location="t=4m58s" display="OhrCast 43-4 Neue Hörspiele im Mai 2015 Teil 1" xr:uid="{00000000-0004-0000-0000-000041000000}"/>
    <hyperlink ref="C165" r:id="rId59" location="t=17m43s" display="OhrCast 43-4 Neue Hörspiele im Mai 2015 Teil 1" xr:uid="{00000000-0004-0000-0000-000042000000}"/>
    <hyperlink ref="C162" r:id="rId60" location="t=3m44s" xr:uid="{00000000-0004-0000-0000-000043000000}"/>
    <hyperlink ref="C163" r:id="rId61" location="t=6m12s" display="OhrCast 41-2 Hörspiele März 2015, Die drei ??? (174) und das Tuch der Toten" xr:uid="{00000000-0004-0000-0000-000044000000}"/>
    <hyperlink ref="C160" r:id="rId62" location="t=4m26s" xr:uid="{00000000-0004-0000-0000-000045000000}"/>
    <hyperlink ref="C158" r:id="rId63" location="t=6m47s" display="OhrCast 38-4 Hörspiele aus Vormonaten, " xr:uid="{00000000-0004-0000-0000-000046000000}"/>
    <hyperlink ref="C159" r:id="rId64" location="t=9m23s" display="OhrCast 38-4 Hörspiele November 2014, Die drei ??? (172) und der Eisenmann" xr:uid="{00000000-0004-0000-0000-000047000000}"/>
    <hyperlink ref="C161" r:id="rId65" location="t=6m41s" xr:uid="{00000000-0004-0000-0000-000048000000}"/>
    <hyperlink ref="C156" r:id="rId66" location="t=6m19s" xr:uid="{00000000-0004-0000-0000-000049000000}"/>
    <hyperlink ref="C157" r:id="rId67" location="t=8m31s" xr:uid="{00000000-0004-0000-0000-00004A000000}"/>
    <hyperlink ref="C154" r:id="rId68" location="t=31m50s" display="Die drei ??? (170) Straße des Grauens (Europa)" xr:uid="{00000000-0004-0000-0000-00004B000000}"/>
    <hyperlink ref="C155" r:id="rId69" location="t=34m33s" xr:uid="{00000000-0004-0000-0000-00004C000000}"/>
    <hyperlink ref="C153" r:id="rId70" location="t=21m36s" display="OhrCast 34-2 Hörspiele Juli 2014," xr:uid="{00000000-0004-0000-0000-00004D000000}"/>
    <hyperlink ref="C151" r:id="rId71" location="t=2m18s" display="OhrCast 32-2 Rückblick Mai 2014," xr:uid="{00000000-0004-0000-0000-00004E000000}"/>
    <hyperlink ref="C152" r:id="rId72" location="t=8m3s" xr:uid="{00000000-0004-0000-0000-00004F000000}"/>
    <hyperlink ref="C148" r:id="rId73" location="t=9m37s" display="OhrCast 30-2 Hörspielveröffentlichungen im Februar 2014" xr:uid="{00000000-0004-0000-0000-000050000000}"/>
    <hyperlink ref="C149" r:id="rId74" location="t=12m45s" xr:uid="{00000000-0004-0000-0000-000051000000}"/>
    <hyperlink ref="C150" r:id="rId75" location="t=15m46s" xr:uid="{00000000-0004-0000-0000-000052000000}"/>
    <hyperlink ref="C146" r:id="rId76" location="t=15m44s" display="OhrCast 28-1 Hörspiele im Januar 2014" xr:uid="{00000000-0004-0000-0000-000053000000}"/>
    <hyperlink ref="C147" r:id="rId77" location="t=19m12s" xr:uid="{00000000-0004-0000-0000-000054000000}"/>
    <hyperlink ref="C117" r:id="rId78" location="t=4m53s" display="OhrCast 6 Intro und Rückblick auf die Veröffentlichungen im März 2012 Teil 1" xr:uid="{00000000-0004-0000-0000-000055000000}"/>
    <hyperlink ref="C118" r:id="rId79" location="t=6m46s" display="OhrCast 06-1 Rückblick März 2012, Die drei ??? (152) Skateboardfieber" xr:uid="{00000000-0004-0000-0000-000056000000}"/>
    <hyperlink ref="C115" r:id="rId80" location="t=3ms" display="OhrCast 4 komplett" xr:uid="{00000000-0004-0000-0000-000057000000}"/>
    <hyperlink ref="C116" r:id="rId81" location="t=4m14s" display="OhrCast 04-1 komplett, Die drei ??? (151) Schwarze Sonne" xr:uid="{00000000-0004-0000-0000-000058000000}"/>
    <hyperlink ref="C113" r:id="rId82" location="t=3m48s" display="ohrcast2" xr:uid="{00000000-0004-0000-0000-000059000000}"/>
    <hyperlink ref="C143" r:id="rId83" location="t=8m52s" xr:uid="{00000000-0004-0000-0000-00005A000000}"/>
    <hyperlink ref="C145" r:id="rId84" location="t=14m10s" xr:uid="{00000000-0004-0000-0000-00005B000000}"/>
    <hyperlink ref="C144" r:id="rId85" location="t=11m12s" xr:uid="{00000000-0004-0000-0000-00005C000000}"/>
    <hyperlink ref="C139" r:id="rId86" location="t=8m33s" display="http://www.youtube.com/watch?v=3F1qmHAN-UA - t=8m33s" xr:uid="{00000000-0004-0000-0000-00005D000000}"/>
    <hyperlink ref="C140" r:id="rId87" location="t=12m34s" display="OhrCast 25-1 Hörspiele Oktober 2013, Die drei ??? (164) Fußball-Teufel" xr:uid="{00000000-0004-0000-0000-00005E000000}"/>
    <hyperlink ref="C141" r:id="rId88" location="t=35m41s" display="OhrCast 25-1 Hörspiele Oktober 2013, Die drei ??? (SE) Der 5. Advent" xr:uid="{00000000-0004-0000-0000-00005F000000}"/>
    <hyperlink ref="C137" r:id="rId89" location="t=5m39s" display="OhrCast 24-2 Nachträge aus dem August" xr:uid="{00000000-0004-0000-0000-000060000000}"/>
    <hyperlink ref="C138" r:id="rId90" location="t=8m38s" display="OhrCast 24-2 Nachtrag August 2013, Die drei ??? (163) und der verschollene Pilot" xr:uid="{00000000-0004-0000-0000-000061000000}"/>
    <hyperlink ref="C136" r:id="rId91" location="t=5m1s" xr:uid="{00000000-0004-0000-0000-000062000000}"/>
    <hyperlink ref="C134" r:id="rId92" location="t=24m16s" display="OhrCast 20-1 Hörspielveröffentlichungen im Mai 2013" xr:uid="{00000000-0004-0000-0000-000063000000}"/>
    <hyperlink ref="C135" r:id="rId93" location="t=25m34s" display="OhrCast 20-1 Hörspielveröffentlichungen im Mai 2013, Die blutenden Bilder" xr:uid="{00000000-0004-0000-0000-000064000000}"/>
    <hyperlink ref="C132" r:id="rId94" location="t=11m39s" display="OhrCast 18-1 Hörspielveröffentlichungen im März 2013" xr:uid="{00000000-0004-0000-0000-000065000000}"/>
    <hyperlink ref="C133" r:id="rId95" location="t=13m44s" display="OhrCast 18-1 Hörspiele März 2013, Die drei ??? (160) Geheimnisvolle Botschaften" xr:uid="{00000000-0004-0000-0000-000066000000}"/>
    <hyperlink ref="C130" r:id="rId96" location="t=0m15s" xr:uid="{00000000-0004-0000-0000-000067000000}"/>
    <hyperlink ref="C129" r:id="rId97" location="t=4m33s" xr:uid="{00000000-0004-0000-0000-000068000000}"/>
    <hyperlink ref="C127" r:id="rId98" location="t=5m6s" display="OhrCast 15-2 Hörspiele November 2012, und der Feuergeist" xr:uid="{00000000-0004-0000-0000-000069000000}"/>
    <hyperlink ref="C128" r:id="rId99" location="t=7m30s" display="OhrCast 15-2 Hörspiele November 2012, Die drei ??? (158) und der Feuergeist" xr:uid="{00000000-0004-0000-0000-00006A000000}"/>
    <hyperlink ref="C124" r:id="rId100" location="t=8m9s" display="OhrCast 13-2 Rückblick Hörspielveröffentlichungen Okt-Sep 2012 Teil 2" xr:uid="{00000000-0004-0000-0000-00006B000000}"/>
    <hyperlink ref="C125" r:id="rId101" location="t=10m32s" display="OhrCast 13-2 Rückblick Hörspielveröffentlichungen Okt-Sep 2012 Teil 2" xr:uid="{00000000-0004-0000-0000-00006C000000}"/>
    <hyperlink ref="C126" r:id="rId102" location="t=14m40s" display="OhrCast 13-2 Rückblick Okt-Sep 2012, Die drei ??? (157) Im Zeichen der Schlangen" xr:uid="{00000000-0004-0000-0000-00006D000000}"/>
    <hyperlink ref="C123" r:id="rId103" location="t=16m27s" display="OhrCast 11-1 Hörspielveröffentlichungen im August und Juli 2012" xr:uid="{00000000-0004-0000-0000-00006E000000}"/>
    <hyperlink ref="C122" r:id="rId104" location="t=24m20s" display="OhrCast 11-1 Hörspielveröffentlichungen im August und Juli 2012, und der Meister des Todes" xr:uid="{00000000-0004-0000-0000-00006F000000}"/>
    <hyperlink ref="C121" r:id="rId105" location="t=11m7s" xr:uid="{00000000-0004-0000-0000-000070000000}"/>
    <hyperlink ref="C119" r:id="rId106" location="t=4m12s" display="OhrCast 7 Mai 2012 - Teil 1 - Hörspielveröffentlichungen April 1" xr:uid="{00000000-0004-0000-0000-000071000000}"/>
    <hyperlink ref="C120" r:id="rId107" location="t=6m45s" display="OhrCast 07-1 Hörspiele April 2012, Die drei ??? (153) und das Fußball-Phantom" xr:uid="{00000000-0004-0000-0000-000072000000}"/>
    <hyperlink ref="C174" r:id="rId108" location="t=13m30s" xr:uid="{00000000-0004-0000-0000-000073000000}"/>
    <hyperlink ref="C175" r:id="rId109" location="t=15m57s" display="OhrCast 53-4 Rückblick März 2016, Die drei ??? (SE) und der Zeitgeist" xr:uid="{00000000-0004-0000-0000-000074000000}"/>
    <hyperlink ref="C176" r:id="rId110" location="t=17m20s" display="OhrCast 53-4 Rückblick März 2016, Die drei ??? Kids (49) Der singende Geist" xr:uid="{00000000-0004-0000-0000-000075000000}"/>
    <hyperlink ref="C185" r:id="rId111" location="t=29m37s" xr:uid="{00000000-0004-0000-0000-000076000000}"/>
    <hyperlink ref="C189" r:id="rId112" location="t=24m5s" display="OhrCast 68-2 Rückblick August 2017, Die drei ??? (SE) und der Tornadojäger" xr:uid="{00000000-0004-0000-0000-000077000000}"/>
    <hyperlink ref="C180" r:id="rId113" location="t=9m56s" display="OhrCast 61-41 Rückblick Neue Hörspiele im November 2016 Teil 1" xr:uid="{00000000-0004-0000-0000-000078000000}"/>
    <hyperlink ref="C181" r:id="rId114" location="t=14m28s" display="OhrCast 61-4 Rückblick November 2016, Die drei ??? (SE) Stille Nacht, düstere Nacht" xr:uid="{00000000-0004-0000-0000-000079000000}"/>
    <hyperlink ref="C114" r:id="rId115" location="t=5m6s" display="OhrCast 02-1 komplett, Die drei ??? (150) Geisterbucht" xr:uid="{00000000-0004-0000-0000-00007A000000}"/>
    <hyperlink ref="C1287" r:id="rId116" xr:uid="{00000000-0004-0000-0000-00007D000000}"/>
    <hyperlink ref="C1368" r:id="rId117" xr:uid="{00000000-0004-0000-0000-000083000000}"/>
    <hyperlink ref="C213" r:id="rId118" location="t=50m23s" display="OhrCast 101-1 Rückhör Die drei ??? (205) Das rätselhafte Erbe" xr:uid="{00000000-0004-0000-0000-000086000000}"/>
    <hyperlink ref="C214" r:id="rId119" location="t=51m49s" display="OhrCast 101-1 Rückhör, Die drei ??? (205) Das rätselhafte Erbe" xr:uid="{00000000-0004-0000-0000-000087000000}"/>
    <hyperlink ref="C2391" r:id="rId120" xr:uid="{00000000-0004-0000-0000-000088000000}"/>
    <hyperlink ref="C2390" r:id="rId121" xr:uid="{00000000-0004-0000-0000-000089000000}"/>
    <hyperlink ref="C2389" r:id="rId122" display="Die drei ??? Podcast - Katrin Fröhlich im Interview" xr:uid="{00000000-0004-0000-0000-00008A000000}"/>
    <hyperlink ref="C2388" r:id="rId123" xr:uid="{00000000-0004-0000-0000-00008B000000}"/>
    <hyperlink ref="C2387" r:id="rId124" display="Die drei ??? Podcast - Oliver Kalkofe im Interview" xr:uid="{00000000-0004-0000-0000-00008C000000}"/>
    <hyperlink ref="C2386" r:id="rId125" xr:uid="{00000000-0004-0000-0000-00008D000000}"/>
    <hyperlink ref="C2385" r:id="rId126" display="Die drei ??? Podcast - Tim Grobe im Interview" xr:uid="{00000000-0004-0000-0000-00008E000000}"/>
    <hyperlink ref="C2384" r:id="rId127" display="Die drei ??? Podcast - Jessica Schwarz im Interview" xr:uid="{00000000-0004-0000-0000-00008F000000}"/>
    <hyperlink ref="C2383" r:id="rId128" display="Die drei ??? Podcast - Bela B im Interview" xr:uid="{00000000-0004-0000-0000-000090000000}"/>
    <hyperlink ref="C2382" r:id="rId129" display="Die drei ??? Podcast - Andreas Fröhlich im Interview" xr:uid="{00000000-0004-0000-0000-000091000000}"/>
    <hyperlink ref="C2381" r:id="rId130" display="Die drei ??? Podcast - Jens Wawrczeck im Interview" xr:uid="{00000000-0004-0000-0000-000092000000}"/>
    <hyperlink ref="C2380" r:id="rId131" display="Die drei ??? Podcast - Oliver Rohrbeck im Interview" xr:uid="{00000000-0004-0000-0000-000093000000}"/>
    <hyperlink ref="C2379" r:id="rId132" display="Die drei ??? Podcast - Jannik Schümann im Interview" xr:uid="{00000000-0004-0000-0000-000094000000}"/>
    <hyperlink ref="C2378" r:id="rId133" display="Die drei ??? Podcast - Anna Thalbach im Interview" xr:uid="{00000000-0004-0000-0000-000095000000}"/>
    <hyperlink ref="C2377" r:id="rId134" display="Die drei ??? Podcast - Bastian Pastewka im Interview" xr:uid="{00000000-0004-0000-0000-000096000000}"/>
    <hyperlink ref="C2434" r:id="rId135" xr:uid="{00000000-0004-0000-0000-000097000000}"/>
    <hyperlink ref="C2435" r:id="rId136" xr:uid="{00000000-0004-0000-0000-000098000000}"/>
    <hyperlink ref="C2436" r:id="rId137" display="Die drei Fragezeichen - Seuchenalarm" xr:uid="{00000000-0004-0000-0000-000099000000}"/>
    <hyperlink ref="C2437" r:id="rId138" xr:uid="{00000000-0004-0000-0000-00009A000000}"/>
    <hyperlink ref="C2438" r:id="rId139" xr:uid="{00000000-0004-0000-0000-00009B000000}"/>
    <hyperlink ref="C2439" r:id="rId140" xr:uid="{00000000-0004-0000-0000-00009C000000}"/>
    <hyperlink ref="C2440" r:id="rId141" display="Die drei Fragezeichen und der schreiende Drache" xr:uid="{00000000-0004-0000-0000-00009D000000}"/>
    <hyperlink ref="C2441" r:id="rId142" xr:uid="{00000000-0004-0000-0000-00009E000000}"/>
    <hyperlink ref="C215" r:id="rId143" location="t=16m35s" xr:uid="{00000000-0004-0000-0000-00009F000000}"/>
    <hyperlink ref="C2392" r:id="rId144" xr:uid="{00000000-0004-0000-0000-0000A0000000}"/>
    <hyperlink ref="C217" r:id="rId145" location="t=11m30s" display="OhrCast 103-5 Update Oktober, Die drei ??? - O du finstere" xr:uid="{00000000-0004-0000-0000-0000A1000000}"/>
    <hyperlink ref="C216" r:id="rId146" location="t=12m56s" display="OhrCast 103-4 Reste News und Gedöhns, Die drei ??? und die Welt der Hörspiele (C. R. Rodenwald)" xr:uid="{00000000-0004-0000-0000-0000A2000000}"/>
    <hyperlink ref="C2219" r:id="rId147" xr:uid="{00000000-0004-0000-0000-0000A3000000}"/>
    <hyperlink ref="C2220" r:id="rId148" display="Folge 2 - Das Tastaturklackern" xr:uid="{00000000-0004-0000-0000-0000A4000000}"/>
    <hyperlink ref="C1423" r:id="rId149" xr:uid="{00000000-0004-0000-0000-0000A5000000}"/>
    <hyperlink ref="C218" r:id="rId150" location="t=10m53s" display="OhrCast 104-4 Rückhör November 2020" xr:uid="{00000000-0004-0000-0000-0000A6000000}"/>
    <hyperlink ref="C2444" r:id="rId151" xr:uid="{00000000-0004-0000-0000-0000A7000000}"/>
    <hyperlink ref="C2443" r:id="rId152" xr:uid="{00000000-0004-0000-0000-0000A8000000}"/>
    <hyperlink ref="C2442" r:id="rId153" xr:uid="{00000000-0004-0000-0000-0000A9000000}"/>
    <hyperlink ref="C2243" r:id="rId154" xr:uid="{00000000-0004-0000-0000-0000AC000000}"/>
    <hyperlink ref="C2244" r:id="rId155" xr:uid="{00000000-0004-0000-0000-0000AD000000}"/>
    <hyperlink ref="C2245" r:id="rId156" xr:uid="{00000000-0004-0000-0000-0000AE000000}"/>
    <hyperlink ref="C2249" r:id="rId157" xr:uid="{8A2A0DCE-D3C5-47F9-A99C-F5A47520AC1C}"/>
    <hyperlink ref="C2248" r:id="rId158" xr:uid="{12D18E5F-D186-4E9F-98DC-E4FE195A3BB4}"/>
    <hyperlink ref="C2223" r:id="rId159" xr:uid="{DDF90DF3-D875-4851-A88F-166333CACCB2}"/>
    <hyperlink ref="C219" r:id="rId160" location="t=31m35s" xr:uid="{86622BD1-4BCC-4F1E-A635-BE61DC42B410}"/>
    <hyperlink ref="C1578" r:id="rId161" xr:uid="{E9A03F3C-F051-4BCC-94A9-1E473D1DD2A9}"/>
    <hyperlink ref="C2396" r:id="rId162" xr:uid="{61744132-26B3-41ED-831C-203DB441FFCD}"/>
    <hyperlink ref="C1450" r:id="rId163" xr:uid="{FF4216AE-B8C5-478E-A24F-331E83C9BEF5}"/>
    <hyperlink ref="C1360" r:id="rId164" xr:uid="{940B9C34-7240-4A3E-971C-8D31FFF0A2D5}"/>
    <hyperlink ref="C220" r:id="rId165" location="t=6m40s" xr:uid="{08A66509-0C5A-4223-9D79-2C3737001367}"/>
    <hyperlink ref="C1709" r:id="rId166" xr:uid="{667F6961-2214-469F-8097-DC47B4B1B1E6}"/>
    <hyperlink ref="C2208" r:id="rId167" xr:uid="{720D4B7B-4D77-4F4B-932D-02971EDBB9AE}"/>
    <hyperlink ref="C2210" r:id="rId168" xr:uid="{44C05C09-0036-4B70-AA9A-8A30027AB16A}"/>
    <hyperlink ref="C2209" r:id="rId169" xr:uid="{510662B9-7CBA-464A-B9B4-88F84B89313D}"/>
    <hyperlink ref="C2235" r:id="rId170" xr:uid="{9905D3E5-D9B8-4183-81FA-89992BB057CB}"/>
    <hyperlink ref="C2236" r:id="rId171" xr:uid="{1B255BBA-A370-493E-AD15-D630F5F96884}"/>
    <hyperlink ref="C2240" r:id="rId172" display="Serial Dads - Der Kinderserien Podcast: Die drei Fragezeichen" xr:uid="{5499631C-CD99-4286-A044-B7B26033393E}"/>
    <hyperlink ref="C2239" r:id="rId173" xr:uid="{F227043E-C761-4EAF-8B1A-58E000CD4430}"/>
    <hyperlink ref="C2224" r:id="rId174" xr:uid="{B844CF5F-0D04-42EF-B47E-4FE01109467C}"/>
    <hyperlink ref="C2226" r:id="rId175" xr:uid="{69B5D778-AEF5-4363-8AEE-83E6E4AE61F3}"/>
    <hyperlink ref="C2225" r:id="rId176" xr:uid="{595A8092-F2DE-491A-B0F6-79B8F40A6DEC}"/>
    <hyperlink ref="C2205" r:id="rId177" display="Die Drei ???, Das Hörspiel über die drei Detektive" xr:uid="{8A199F21-6BF7-48E0-B23D-1E62AD0225C8}"/>
    <hyperlink ref="C2204" r:id="rId178" xr:uid="{AC70540A-72A9-4F86-96DD-B95A5326022D}"/>
    <hyperlink ref="C2393" r:id="rId179" xr:uid="{85F32733-4CF3-4317-B51A-3B867E84E3FD}"/>
    <hyperlink ref="C2394" r:id="rId180" xr:uid="{EA32169A-4E20-4085-BD32-B94459C49A20}"/>
    <hyperlink ref="C2395" r:id="rId181" xr:uid="{8B5CB24B-BAD9-48C1-B87B-641203D6586D}"/>
    <hyperlink ref="C2450" r:id="rId182" xr:uid="{4DED6F97-C8B0-4510-B67C-EC4551FA56AB}"/>
    <hyperlink ref="C2449" r:id="rId183" xr:uid="{72A70C93-CC54-4FCE-A96F-E971CFF282E7}"/>
    <hyperlink ref="C2448" r:id="rId184" xr:uid="{67AC8969-402B-4AFB-8DA4-90298A3288BD}"/>
    <hyperlink ref="C2447" r:id="rId185" xr:uid="{13298704-35E3-4DFF-808D-C6AAE05E4239}"/>
    <hyperlink ref="C2446" r:id="rId186" xr:uid="{9F2C670E-4C11-4EBB-9518-7DEA24398E13}"/>
    <hyperlink ref="C2445" r:id="rId187" display="Die drei Fragezeichen und der tanzende Inspektor" xr:uid="{8491EB51-061B-4CE2-B008-A3CCBB63BC80}"/>
    <hyperlink ref="C2432" r:id="rId188" xr:uid="{2630A36B-8A59-4A16-9416-5CCDB24EC390}"/>
    <hyperlink ref="C2433" r:id="rId189" xr:uid="{8B7B1D44-6DA0-4AC6-AA9A-1A2100B18D35}"/>
    <hyperlink ref="C2227" r:id="rId190" xr:uid="{2C39B048-006D-454D-947E-4AD4EFAAD481}"/>
    <hyperlink ref="C2397" r:id="rId191" display="Die drei ??? Podcast - Jürgen Thormann im Interview" xr:uid="{C5FF6EA7-098C-4428-AC3F-F3B93999DA95}"/>
    <hyperlink ref="C2399" r:id="rId192" xr:uid="{48A25309-7EF3-4324-BA6E-056F5FC0F775}"/>
    <hyperlink ref="C2398" r:id="rId193" xr:uid="{A4F1A281-E5A4-4118-A159-88812FAD386D}"/>
    <hyperlink ref="C1859" r:id="rId194" xr:uid="{EB14D858-B1AB-423E-AB17-347345B4123E}"/>
    <hyperlink ref="C2401" r:id="rId195" xr:uid="{2053E327-2576-4B87-8801-DB8D3D3667D6}"/>
    <hyperlink ref="C2400" r:id="rId196" display="Die drei ??? Podcast - Axel Prahl im Interview" xr:uid="{B7C43D6A-3C3B-4DD7-949D-CE39C3DA1AE6}"/>
    <hyperlink ref="C2257" r:id="rId197" xr:uid="{1D585B7B-C086-4247-957F-3BD671A0C0BC}"/>
    <hyperlink ref="C2256" r:id="rId198" xr:uid="{0A111799-5E90-4107-B3BF-2DDB8748A9ED}"/>
    <hyperlink ref="C2228" r:id="rId199" xr:uid="{A8357A9F-9AAC-4EDC-8EF0-C4594F89EF16}"/>
    <hyperlink ref="C221" r:id="rId200" location="t=17m39s" xr:uid="{8BAD350D-2E09-4BA2-A33B-C0EFFB246617}"/>
    <hyperlink ref="C222" r:id="rId201" location="t=27m43s" xr:uid="{6331E80B-AB46-4886-AD5A-00249B8DA5C0}"/>
    <hyperlink ref="C2451" r:id="rId202" xr:uid="{7F5D3768-2B80-4999-BC36-4F7F0CD890A1}"/>
    <hyperlink ref="C2253" r:id="rId203" xr:uid="{88921123-3617-43D1-8DF6-A51CF183A7E1}"/>
    <hyperlink ref="C2252" r:id="rId204" xr:uid="{B3CDC06A-E258-467B-A052-760C9F78528B}"/>
    <hyperlink ref="C2542" r:id="rId205" xr:uid="{7498F5A0-70DB-450B-B5B8-99BC3D895896}"/>
    <hyperlink ref="C2213" r:id="rId206" xr:uid="{D19FFC7F-A364-466E-9807-2520E85A09C7}"/>
    <hyperlink ref="C2215" r:id="rId207" xr:uid="{F8F75936-91CC-49EB-9E54-95E53364FD31}"/>
    <hyperlink ref="C2214" r:id="rId208" xr:uid="{A6B1FBA6-378A-42C5-83D7-3339F3A01160}"/>
    <hyperlink ref="C2216" r:id="rId209" xr:uid="{750E75C1-FB80-4BD5-901F-A35F050812D2}"/>
    <hyperlink ref="C2192" r:id="rId210" xr:uid="{3591ECC5-A953-4472-9779-23FAFA938AD2}"/>
    <hyperlink ref="C2191" r:id="rId211" xr:uid="{69C9C2CD-4B2B-4D7E-A60F-D0AF82A6DAE2}"/>
    <hyperlink ref="D2542" r:id="rId212" xr:uid="{218220DB-7BDD-4FEB-BFB1-47537705EB16}"/>
    <hyperlink ref="D1709" r:id="rId213" xr:uid="{6B408F61-FD09-46F4-8032-6940D3FA27B0}"/>
    <hyperlink ref="H1432" r:id="rId214" xr:uid="{98D145CC-E7C5-42E9-9298-617EF8C37C8D}"/>
    <hyperlink ref="D8" r:id="rId215" xr:uid="{2CDAC9DC-5946-4D82-A713-7650477A26EE}"/>
    <hyperlink ref="D111" r:id="rId216" xr:uid="{64524F3F-8D1C-49EE-BBB7-97B4C50F65F7}"/>
    <hyperlink ref="D477" r:id="rId217" xr:uid="{6F995AD2-9190-4A60-A885-320407DBEFE8}"/>
    <hyperlink ref="E242" r:id="rId218" xr:uid="{6EE7E40D-27CA-44B6-B756-91CF0BA4667C}"/>
    <hyperlink ref="E111" r:id="rId219" xr:uid="{DF5A2341-2B95-4D99-AB0C-AD4235E086CC}"/>
    <hyperlink ref="D242" r:id="rId220" xr:uid="{D7F8A6DA-B698-445A-8976-35B4449C37BE}"/>
    <hyperlink ref="E477" r:id="rId221" xr:uid="{F5C9E922-9225-4313-9ECB-7BD2D6AB7CEF}"/>
    <hyperlink ref="E2542" r:id="rId222" xr:uid="{6AC01667-CBC2-4EAD-86F8-2CABEC14B101}"/>
    <hyperlink ref="C2402" r:id="rId223" xr:uid="{58746EE4-DE6B-4FC1-948E-E27B7B50966E}"/>
    <hyperlink ref="C2403" r:id="rId224" xr:uid="{2864BFFB-75B2-4E1C-A7C1-C7E50FC0664C}"/>
    <hyperlink ref="C223" r:id="rId225" location="t=36m4s" xr:uid="{94CDCFE9-DE4E-4715-87F4-1D9324387EB1}"/>
    <hyperlink ref="C2404" r:id="rId226" xr:uid="{00494F91-D59F-4BD5-9806-77477A4B1188}"/>
    <hyperlink ref="C2405" r:id="rId227" xr:uid="{FE5D7CF4-88EF-45A3-8467-468AC311467B}"/>
    <hyperlink ref="C793" r:id="rId228" xr:uid="{58F1EF89-9A30-4784-99A5-BFED4393A82A}"/>
    <hyperlink ref="C729" r:id="rId229" xr:uid="{36E8A3E5-07F2-4ED6-A855-1B82F383209F}"/>
    <hyperlink ref="C730" r:id="rId230" xr:uid="{585C09D1-14DD-44C0-8141-99045BB0E015}"/>
    <hyperlink ref="C224" r:id="rId231" location="t=32m28s" display="OhrCast 115-2-3 Noch mehr Rückhör (September, November, Dezember 2021), Die drei ??? (213) Der Fluch der Medusa - Europa 2021" xr:uid="{6E548C30-C9C8-4815-9553-116370B7541C}"/>
    <hyperlink ref="C2314" r:id="rId232" xr:uid="{AA27E80B-060F-4164-A176-F66954BA6F39}"/>
    <hyperlink ref="C2313" r:id="rId233" xr:uid="{08259EA0-5512-4D77-881A-4EC0C31F889C}"/>
    <hyperlink ref="C2304" r:id="rId234" xr:uid="{DB81F952-FCBB-4A7D-899D-1AD5CE772145}"/>
    <hyperlink ref="C2303" r:id="rId235" xr:uid="{EA669194-565F-4597-A03A-66B2D2DD5BF1}"/>
    <hyperlink ref="C2302" r:id="rId236" xr:uid="{810C40B5-4596-437F-85F6-030F0EDEAC5D}"/>
    <hyperlink ref="C2301" r:id="rId237" xr:uid="{A2D4E2E0-227C-49F5-A39A-49AED48F4C9E}"/>
    <hyperlink ref="C2466" r:id="rId238" xr:uid="{89E4A00B-27AD-45D6-91BB-899FEC977261}"/>
    <hyperlink ref="C2296" r:id="rId239" xr:uid="{579C46E0-DE17-41BD-8958-988F1836AB83}"/>
    <hyperlink ref="C2297" r:id="rId240" display="Heikedine Körting stellt sich eurem Fragenmarathon (Teil 1)" xr:uid="{3EE9914A-79C5-4594-B6AB-D9C831028AE9}"/>
    <hyperlink ref="C2298" r:id="rId241" display="Heikedine Körting stellt sich eurem Fragenmarathon (Teil 2)" xr:uid="{95827984-33C7-4D8D-9FE3-62B8BC7F57BD}"/>
    <hyperlink ref="C1837" r:id="rId242" xr:uid="{441D44AA-1F81-4B2F-8DE8-74276D6932E8}"/>
    <hyperlink ref="C2406" r:id="rId243" xr:uid="{99E6DAF4-AAE0-47BD-B326-485E36BCE606}"/>
    <hyperlink ref="C522" r:id="rId244" xr:uid="{087F7E13-7C3C-452A-BD6F-31463238B1F8}"/>
    <hyperlink ref="D522" r:id="rId245" xr:uid="{B81253EB-73E9-480A-B1C1-DBD31D10C582}"/>
    <hyperlink ref="C530" r:id="rId246" xr:uid="{15C5B859-4822-4015-AE88-C7B826B0BBB6}"/>
    <hyperlink ref="C528" r:id="rId247" display="HKK #5: Europa &amp; die recycelten Sounds (???®-185)" xr:uid="{339DEF3D-593C-459A-8B5A-330067A18A0D}"/>
    <hyperlink ref="C527" r:id="rId248" display="Folge 4" xr:uid="{E9A5AEED-6360-42FE-A3A0-67F763304B3C}"/>
    <hyperlink ref="C526" r:id="rId249" display="Folge 3: Die Mehrzahl von Titus?" xr:uid="{F2359329-1BC3-4065-9871-1534E8184890}"/>
    <hyperlink ref="C525" r:id="rId250" display="folge 2" xr:uid="{CC0A7ACB-789B-4915-AA2E-E55B1067536C}"/>
    <hyperlink ref="C524" r:id="rId251" display="Warum Bob ein Papasöhnchen ist" xr:uid="{855B4EA6-14FE-4DD1-97AC-38285100CC82}"/>
    <hyperlink ref="C531" r:id="rId252" display="Folge: Der Dumme ist verliebt" xr:uid="{D4516523-9AC7-408C-8A0A-67109929DD91}"/>
    <hyperlink ref="C532" r:id="rId253" xr:uid="{2D2B8119-171D-4405-8955-58B1E5EB9598}"/>
    <hyperlink ref="C529" r:id="rId254" display="Folge 6: Justus hat 1 Aua" xr:uid="{336E7C23-AEB1-4D57-9197-DA7019AA59BF}"/>
    <hyperlink ref="C2293" r:id="rId255" xr:uid="{E73BD37A-ECFD-4C15-93DD-9659B98719B5}"/>
    <hyperlink ref="C2292" r:id="rId256" xr:uid="{EE2C8377-A3DE-4095-8695-79BD903990B9}"/>
    <hyperlink ref="C2197" r:id="rId257" xr:uid="{FD7EE54A-6529-45E6-9860-FB0EEC66063A}"/>
    <hyperlink ref="C2195" r:id="rId258" xr:uid="{D47AB527-C235-4F89-9FD7-F0E2C998D8A3}"/>
    <hyperlink ref="C2196" r:id="rId259" xr:uid="{49CDBFB8-41EF-4B86-9DA1-76833050D3A0}"/>
    <hyperlink ref="C2407" r:id="rId260" xr:uid="{9F558ED6-AC95-4731-BF47-9B6EED5551BB}"/>
    <hyperlink ref="C2305" r:id="rId261" xr:uid="{88B989E9-962E-49B7-B9E4-6302826F0924}"/>
    <hyperlink ref="C2315" r:id="rId262" xr:uid="{DDC015A2-68BA-404A-8E4E-9916C07FF38D}"/>
    <hyperlink ref="C225" r:id="rId263" location="t=56m04s" xr:uid="{9F118D36-2679-4E96-8A20-30AA3FCCC9D9}"/>
    <hyperlink ref="C2306" r:id="rId264" xr:uid="{36138943-8C83-466E-8666-D536C1782D39}"/>
    <hyperlink ref="C2316" r:id="rId265" xr:uid="{8CECF8FD-AF5B-4215-8C4F-55F0A2ABB13A}"/>
    <hyperlink ref="H2313" r:id="rId266" xr:uid="{A4FEA34B-ACAC-4341-8724-4B96AB88F08E}"/>
    <hyperlink ref="C2332" r:id="rId267" xr:uid="{4E310DFC-26A6-413F-A372-81FE3418F43E}"/>
    <hyperlink ref="C2331" r:id="rId268" xr:uid="{1598C039-0813-4A5E-9314-C5D30D6091D6}"/>
    <hyperlink ref="C2333" r:id="rId269" xr:uid="{79811462-8110-4E47-B92E-8E8EB0BB2B4C}"/>
    <hyperlink ref="C2408" r:id="rId270" xr:uid="{32768E4D-A413-4AD0-BFF2-5ABAA366924F}"/>
    <hyperlink ref="C226" r:id="rId271" location="t=29m25s" display="OhrCast 119-2 Rückhör März 2022, Die drei ??? (215) und der Geisterbunker" xr:uid="{C826DFBE-BC70-41B7-9529-1BB1F2AD0DD5}"/>
    <hyperlink ref="C2307" r:id="rId272" xr:uid="{469CEDD6-4CE8-42FB-A84B-856A5165D485}"/>
    <hyperlink ref="C2317" r:id="rId273" xr:uid="{D3942275-9B05-41A9-888F-4347CBF122B1}"/>
    <hyperlink ref="H1438" r:id="rId274" xr:uid="{9DF950E6-5834-4F6D-B11C-DB41DD31382D}"/>
    <hyperlink ref="C2318" r:id="rId275" xr:uid="{DEB749AD-7A54-4AF9-8F90-229160835027}"/>
    <hyperlink ref="C2343" r:id="rId276" xr:uid="{75014CE1-704B-4DEC-9777-8301366BF675}"/>
    <hyperlink ref="C2409" r:id="rId277" display="fff" xr:uid="{594BC4B4-B6AD-45FF-AD74-8477FD8DFCBF}"/>
    <hyperlink ref="C2410" r:id="rId278" display="Die drei ??? - Record Release Feature Folge 217 | Sonder Podcast" xr:uid="{E0F83791-13D7-479A-BA24-25EA5191F11B}"/>
    <hyperlink ref="C227" r:id="rId279" location="t=27m1s" display="OhrCast 122-4 Rückhör Mai 2022 Teil 1" xr:uid="{3F2A5D25-844D-4BA0-BFDE-09A05E6C3C37}"/>
    <hyperlink ref="C2347" r:id="rId280" xr:uid="{F56C9BCF-979B-4A51-A522-68383A4A2056}"/>
    <hyperlink ref="C2348" r:id="rId281" xr:uid="{FCD5A97F-373C-4039-B697-04B58A9DA4F6}"/>
    <hyperlink ref="C2349" r:id="rId282" xr:uid="{82086307-4FD4-46B9-9719-335AADB7C8E8}"/>
    <hyperlink ref="C2350" r:id="rId283" xr:uid="{DC713ADF-681A-4552-851B-E823CA55E068}"/>
    <hyperlink ref="C228" r:id="rId284" location="t=23m36s" display="OhrCast 123-2 Update August und Rückhör Juli 2022 Teil 1" xr:uid="{5A37FC8D-5035-4697-B5DE-F25EF492755B}"/>
    <hyperlink ref="C2229" r:id="rId285" display="Folge 3: Oliver Rohrbeck, die Stimme von Justus Jonas von „Die drei ???“" xr:uid="{CF03DB00-20B6-4490-8896-41EFA3D0157B}"/>
    <hyperlink ref="C2230" r:id="rId286" display="Folge 5: Twitch-Star Shurjoka über ihre späte Liebe zur „Die drei ???“-Hörspielreihe" xr:uid="{66348DF7-C677-43FE-A320-9E533A0DE7E0}"/>
    <hyperlink ref="C2319" r:id="rId287" xr:uid="{4279D2DB-1760-43E6-906F-70C8550F9F2D}"/>
    <hyperlink ref="C2320" r:id="rId288" xr:uid="{C10AF175-1B85-46EF-9B9B-278C3C103E64}"/>
    <hyperlink ref="C2321" r:id="rId289" xr:uid="{C5975A91-E333-45D6-9BE0-802B3D22B589}"/>
    <hyperlink ref="C2309" r:id="rId290" xr:uid="{E3BBB6F6-08BC-4DBA-ADF3-BA34A92B58CB}"/>
    <hyperlink ref="C2308" r:id="rId291" xr:uid="{B5A39942-248F-431F-8C26-5098D7E5A851}"/>
    <hyperlink ref="C2322" r:id="rId292" xr:uid="{48E1BAB0-48C7-4B23-84AA-C2390170502A}"/>
    <hyperlink ref="C229" r:id="rId293" location="t=15m23s" xr:uid="{D46FF63A-574E-4E69-BDD5-C512EE6C1D24}"/>
    <hyperlink ref="C2310" r:id="rId294" xr:uid="{42238523-B1FE-4995-8030-B61303713232}"/>
    <hyperlink ref="C2411" r:id="rId295" display="Die drei ??? Podcast - Nicholas Müller im Interview" xr:uid="{631B6C32-B688-431B-8F33-EECA03B694A2}"/>
    <hyperlink ref="C2412" r:id="rId296" xr:uid="{60E240D7-A8DC-4564-A31C-6AD373897E5E}"/>
    <hyperlink ref="C230" r:id="rId297" location="t=43m47s" display="OhrCast 126-2 Rückhör in den Hörspielmonat November 2022 Teil 2 und Rückhör Oktober 2022 Teil 1" xr:uid="{2CA70F5D-F665-4A2E-905C-DFE0CB335248}"/>
    <hyperlink ref="C2323" r:id="rId298" xr:uid="{456BA3DD-DB85-47D5-911B-5F73D0BDD598}"/>
    <hyperlink ref="C231" r:id="rId299" location="t=14m36s" display="OhrCast 127-2 Rückhör November 2022, Die drei ??? (219) und die Teufelsklippe" xr:uid="{092492A8-3ABB-46DE-BC80-F79C9DA4F07F}"/>
    <hyperlink ref="C2187" r:id="rId300" xr:uid="{00000000-0004-0000-0000-000012000000}"/>
    <hyperlink ref="C2188" r:id="rId301" xr:uid="{00000000-0004-0000-0000-00000D000000}"/>
    <hyperlink ref="C2183" r:id="rId302" display="Die 2 drei ??? Hörspiele Nerds | Nerdizismus Folge 40" xr:uid="{00000000-0004-0000-0000-00000C000000}"/>
    <hyperlink ref="C2186" r:id="rId303" xr:uid="{00000000-0004-0000-0000-000009000000}"/>
    <hyperlink ref="C2182" r:id="rId304" xr:uid="{00000000-0004-0000-0000-000006000000}"/>
    <hyperlink ref="C2173" r:id="rId305" xr:uid="{00000000-0004-0000-0000-00000A000000}"/>
    <hyperlink ref="C2174" r:id="rId306" xr:uid="{00000000-0004-0000-0000-00000B000000}"/>
    <hyperlink ref="C2177" r:id="rId307" xr:uid="{00000000-0004-0000-0000-00007B000000}"/>
    <hyperlink ref="C2178" r:id="rId308" xr:uid="{00000000-0004-0000-0000-00007E000000}"/>
    <hyperlink ref="C2179" r:id="rId309" xr:uid="{00000000-0004-0000-0000-00007F000000}"/>
    <hyperlink ref="C2170" r:id="rId310" display="dfd" xr:uid="{00000000-0004-0000-0000-000080000000}"/>
    <hyperlink ref="C2168" r:id="rId311" xr:uid="{00000000-0004-0000-0000-000081000000}"/>
    <hyperlink ref="C2169" r:id="rId312" display="Episode 2: Hörspiele" xr:uid="{00000000-0004-0000-0000-000082000000}"/>
    <hyperlink ref="C2142" r:id="rId313" xr:uid="{1449CBFC-2A35-42F9-98C8-D81C24704B6C}"/>
    <hyperlink ref="C2132" r:id="rId314" xr:uid="{ACE6ABA9-7801-4762-8EAA-14BB2BFCE01A}"/>
    <hyperlink ref="C2165" r:id="rId315" xr:uid="{2C517CF2-E498-4F5D-B4C6-BE54B81FCB64}"/>
    <hyperlink ref="C2164" r:id="rId316" xr:uid="{E6B9EE20-100F-46C1-893F-2FA34B7689A3}"/>
    <hyperlink ref="C2145" r:id="rId317" xr:uid="{D90D10A6-306E-4B7A-8F23-331B1309C34A}"/>
    <hyperlink ref="C2144" r:id="rId318" xr:uid="{A3257236-A023-43C7-9E3A-651F549F62FE}"/>
    <hyperlink ref="C2143" r:id="rId319" xr:uid="{1B0992A8-E9AE-4ECF-9D63-C7ECE737313D}"/>
    <hyperlink ref="H2132" r:id="rId320" xr:uid="{751B603C-5D09-4CB0-8144-F3433E105562}"/>
    <hyperlink ref="F2126" location="Synopsis!E35" tooltip="springen" display="Synopsis!E35" xr:uid="{C5357C13-A4C4-49E5-8E98-37F057540120}"/>
    <hyperlink ref="C2138" r:id="rId321" xr:uid="{22735876-6181-4918-8065-B567C7EB4D47}"/>
    <hyperlink ref="C2139" r:id="rId322" xr:uid="{2C760D52-43B8-4F76-A710-F8562E184491}"/>
    <hyperlink ref="H2139" r:id="rId323" xr:uid="{1DD2CFFF-A62B-4F96-AC00-F1561F494656}"/>
    <hyperlink ref="C2159" r:id="rId324" xr:uid="{9501C40B-9317-4658-AA97-CAADBF491A0E}"/>
    <hyperlink ref="C2160" r:id="rId325" display="https://www.whocast.de/2010/11/09/whocast-175-kleiner-nachschlag/" xr:uid="{3B1C029F-7A2B-41E5-A043-A1B11B7F4130}"/>
    <hyperlink ref="C2161" r:id="rId326" xr:uid="{807E8B5B-223B-491B-9F09-BA1B243269B5}"/>
    <hyperlink ref="C2149" r:id="rId327" display="Hörbarium #11" xr:uid="{82C5B906-85DF-4BD8-A252-D2F10A9E0628}"/>
    <hyperlink ref="C2148" r:id="rId328" xr:uid="{91B8E229-482F-4562-9EC0-ACD710EB3C02}"/>
    <hyperlink ref="C2150" r:id="rId329" xr:uid="{802C3073-0BF4-4F94-80C7-3A87F607A5D8}"/>
    <hyperlink ref="C2151" r:id="rId330" xr:uid="{FF65B5E8-2DE3-4932-9F33-55A68AF13E44}"/>
    <hyperlink ref="C2152" r:id="rId331" display="Hörbarium #18" xr:uid="{68A6FE3A-E160-490A-8B07-F1783E16D5C9}"/>
    <hyperlink ref="C2155" r:id="rId332" xr:uid="{10E6AEF0-F439-4AB7-8560-9DD96040C1D8}"/>
    <hyperlink ref="C2156" r:id="rId333" xr:uid="{CB6A4EAA-485C-49F8-B16B-83383D56A16A}"/>
    <hyperlink ref="H2142" r:id="rId334" xr:uid="{071A29C0-AEA9-4725-87C8-42833FBE07CE}"/>
    <hyperlink ref="C2075" r:id="rId335" xr:uid="{B9E770F1-0116-498C-8E8D-BF475B35FD12}"/>
    <hyperlink ref="C2096" r:id="rId336" xr:uid="{C2B5891D-3DA2-417E-8465-0BF1658864C8}"/>
    <hyperlink ref="C1299" r:id="rId337" xr:uid="{76C6A634-3272-40DB-BA91-1AD69BEC31B1}"/>
    <hyperlink ref="E1299" r:id="rId338" xr:uid="{B6DAD4C3-F310-45DA-87A8-B1EECF95A40C}"/>
    <hyperlink ref="C2260" r:id="rId339" xr:uid="{2643822E-E9A3-427E-B71B-6D5BD38CA406}"/>
    <hyperlink ref="C2261" r:id="rId340" display="[2] Diggytalk meets ??? - ANDRÉ MINNINGER" xr:uid="{52D512A9-6D39-4257-B325-F6E911897C15}"/>
    <hyperlink ref="C2262" r:id="rId341" display="[5] Diggytalk meets ??? - KAI SCHWIND" xr:uid="{F8C71AD4-D8BD-4EA0-9824-BC3B75973EC4}"/>
    <hyperlink ref="C2264" r:id="rId342" xr:uid="{18DDF730-242F-4B4B-8A9B-436B306EC55B}"/>
    <hyperlink ref="C2263" r:id="rId343" xr:uid="{73E482B0-ABDE-40A9-844A-0A40062F4A4E}"/>
    <hyperlink ref="E2260" r:id="rId344" xr:uid="{BF9B8A06-4D9F-42C1-AD99-9F83ACBB69AD}"/>
    <hyperlink ref="C2265" r:id="rId345" xr:uid="{F0005BD2-11E7-40FD-AC63-7AEEC6A70985}"/>
    <hyperlink ref="C2266" r:id="rId346" xr:uid="{64DBE8A2-AB3D-4F4A-8FEC-2BAD5B1A2A71}"/>
    <hyperlink ref="C2267" r:id="rId347" xr:uid="{2702310E-A60D-4341-80AF-210D21AB12DD}"/>
    <hyperlink ref="C2268" r:id="rId348" xr:uid="{30078A1F-BA0F-4A15-9FD7-C8018C27A8E1}"/>
    <hyperlink ref="C2269" r:id="rId349" xr:uid="{E3CB63F1-5D72-4B60-B9F1-1348DE9D822C}"/>
    <hyperlink ref="C2270" r:id="rId350" display="[22] Diggytalk meets ??? -  IVAR LEON MENGER" xr:uid="{A180BAA9-991B-42DB-B98D-ECA1620A116F}"/>
    <hyperlink ref="C2271" r:id="rId351" xr:uid="{46C81BA1-B53A-4070-A59F-7A893C414692}"/>
    <hyperlink ref="C2272" r:id="rId352" xr:uid="{5D3CBED4-042B-404A-AD21-F33744056182}"/>
    <hyperlink ref="C2273" r:id="rId353" xr:uid="{58D9803D-30AE-4C7E-8454-36FF7A8D7A30}"/>
    <hyperlink ref="C2274" r:id="rId354" xr:uid="{B355763F-3293-4768-BCCB-4D95697185AC}"/>
    <hyperlink ref="C2275" r:id="rId355" xr:uid="{77B3DEA7-4BDE-41D4-A769-CB9364BFDE45}"/>
    <hyperlink ref="C2276" r:id="rId356" display="[32] Diggytalk meets ??? -  BRIGITTE JOHANNA HENKEL-WAIDHOFER" xr:uid="{49C8B89F-00DC-44BF-A512-1FD85A14731B}"/>
    <hyperlink ref="C2277" r:id="rId357" display="Diggytalk meets ??? - ROCKY-BEACH.COM" xr:uid="{C2D7F046-853C-49FA-BCDE-3452565079DC}"/>
    <hyperlink ref="C2413" r:id="rId358" xr:uid="{FA0BF0F1-CCC1-489B-8C4E-54A2A6DC8428}"/>
    <hyperlink ref="C2414" r:id="rId359" xr:uid="{2F4BE203-F340-41DF-BD39-DF3DDA1A5E7B}"/>
    <hyperlink ref="C2415" r:id="rId360" display="Die drei ??? Podcast - Holger Mahlich im Interview" xr:uid="{6D2E1E8C-C420-4DC2-B310-3458BA3C1B3C}"/>
    <hyperlink ref="C2416" r:id="rId361" xr:uid="{941BBECB-60C6-4F01-8B6C-00F89699EF21}"/>
    <hyperlink ref="C2324" r:id="rId362" xr:uid="{102F57F8-1385-4834-B4F1-1DFFE809F143}"/>
    <hyperlink ref="C2325" r:id="rId363" xr:uid="{430A9A5B-9390-4BB7-A647-0866F536E2D6}"/>
    <hyperlink ref="C232" r:id="rId364" location="t=12m41s" display="OhrCast 129-3 Rückhör Januar 2023" xr:uid="{10091047-E290-499A-8C99-08DDAF3F294D}"/>
    <hyperlink ref="C233" r:id="rId365" location="t=21m59s" xr:uid="{8B94F364-89D6-4DAF-89DF-2863D5EBAE58}"/>
    <hyperlink ref="C2231" r:id="rId366" xr:uid="{BD5BA9B0-9A54-4014-84BA-52CE2026CEDD}"/>
    <hyperlink ref="C2232" r:id="rId367" xr:uid="{45869C9D-1D77-4F5E-ABD1-1A3DC31286DD}"/>
    <hyperlink ref="C2351" r:id="rId368" xr:uid="{7AB7C70C-ACD4-47A0-83EE-BA9078B2D9D5}"/>
    <hyperlink ref="C2278" r:id="rId369" display="Diggytalk meets ??? - MATTHIAS BOGUCKI" xr:uid="{EE276285-F132-4799-AC83-BC5E1C67B917}"/>
    <hyperlink ref="C2452" r:id="rId370" display="Review 106 Der Mann ohne Kopf" xr:uid="{87E7A616-1359-4F3A-8B77-0C046FFC21AC}"/>
    <hyperlink ref="C2453" r:id="rId371" xr:uid="{8DA3836D-5DDB-4B31-9651-EAFEB092A4BF}"/>
    <hyperlink ref="C2454" r:id="rId372" xr:uid="{DD34D57C-E9E4-4B12-8F43-723D872A8AEB}"/>
    <hyperlink ref="C2456" r:id="rId373" xr:uid="{6171B026-21C3-4399-A23A-A21D05351A67}"/>
    <hyperlink ref="C2457" r:id="rId374" xr:uid="{7B775A3B-6307-4C0B-A35C-85C3549CDF76}"/>
    <hyperlink ref="C2336" r:id="rId375" xr:uid="{C3279C65-E429-4667-B476-5F84CA9C83B6}"/>
    <hyperlink ref="C2337" r:id="rId376" xr:uid="{07ECA31F-2AC0-48C8-9AF3-0B13157550A2}"/>
    <hyperlink ref="C2338" r:id="rId377" xr:uid="{A1B75206-E5D8-4C8F-83EA-016735D3CB5D}"/>
    <hyperlink ref="C2339" r:id="rId378" xr:uid="{CCFF3F0A-A673-4ACB-805F-E6B36ECAE941}"/>
    <hyperlink ref="C2340" r:id="rId379" xr:uid="{69889A42-9571-4CD2-AEAF-D1A1ABC7866A}"/>
    <hyperlink ref="C2352" r:id="rId380" xr:uid="{AC9B286A-9DA0-4D9A-B023-0043263D2F05}"/>
    <hyperlink ref="C2353" r:id="rId381" xr:uid="{E19BE3BF-CC62-488F-8F3B-4BBD7940E084}"/>
    <hyperlink ref="C2354" r:id="rId382" xr:uid="{059AF396-1D43-4BA6-8891-9690434E67F5}"/>
    <hyperlink ref="C2355" r:id="rId383" xr:uid="{908D2F11-0EF8-411C-A434-E93A3C214EFF}"/>
    <hyperlink ref="C2356" r:id="rId384" xr:uid="{6380EB88-7572-4057-8531-6D46ADFFBC24}"/>
    <hyperlink ref="C2357" r:id="rId385" xr:uid="{1AAD1B97-42C5-4228-A703-3FBA93338BE5}"/>
    <hyperlink ref="C2358" r:id="rId386" xr:uid="{F41A1D3C-47DC-411B-8E2E-D1271030D643}"/>
    <hyperlink ref="C2359" r:id="rId387" xr:uid="{D113A510-60D7-43A4-A1ED-87C3A05BA3A8}"/>
    <hyperlink ref="C2360" r:id="rId388" xr:uid="{F8A79128-8517-4E5B-A61E-2248CA76971A}"/>
    <hyperlink ref="C2361" r:id="rId389" xr:uid="{D32696FA-F067-4E6E-94FF-7D8BC135AE2B}"/>
    <hyperlink ref="C2279" r:id="rId390" display="Diggytalk meets ??? - VALENTIN RÖVENSTRUNCK" xr:uid="{1832B0FA-3A0B-4CD6-9D66-7BD73BBECB83}"/>
    <hyperlink ref="C2061" r:id="rId391" xr:uid="{879C2D84-7B4E-4B58-AC7D-6C9FA5472160}"/>
    <hyperlink ref="D1360" r:id="rId392" xr:uid="{9EF8F760-11D5-4D0B-AABC-15618BD26C2B}"/>
    <hyperlink ref="D1423" r:id="rId393" xr:uid="{B63D511D-BFB2-42E0-9EE3-83501E73EF73}"/>
    <hyperlink ref="C2417" r:id="rId394" xr:uid="{DA9600AA-D043-4652-A181-94628C6C1FAC}"/>
    <hyperlink ref="C866" r:id="rId395" xr:uid="{7B4593E4-447D-40BA-8A2D-8C6018C0F5EC}"/>
    <hyperlink ref="C2418" r:id="rId396" xr:uid="{02172711-4B8A-40B5-BAE9-F7333A6E2DEA}"/>
    <hyperlink ref="C2365" r:id="rId397" display="Die Drei Fragezeichen – Wie alles begann mit Judith Suermann und Urs von Wulfen" xr:uid="{BF2A9576-DD53-45DA-8B6D-A1B4AD9600D0}"/>
    <hyperlink ref="C2364" r:id="rId398" xr:uid="{C229FEA0-FD23-466E-9CFE-AF9472F73A73}"/>
    <hyperlink ref="C234" r:id="rId399" location="t=0m8s" display="OhrCast 133-3 - Rückhör Mai 2023 Teil 2" xr:uid="{B4B8D322-568A-4332-A5C2-6592B0821916}"/>
    <hyperlink ref="C2280" r:id="rId400" xr:uid="{C5E8A550-4FC0-4B54-BF27-55F8FDE8A954}"/>
    <hyperlink ref="C2419" r:id="rId401" display="Die drei ??? Podcast - Klaas Heufer-Umlauf im Interview" xr:uid="{8637435F-A350-4195-B24F-A5ED500882BA}"/>
    <hyperlink ref="C1998" r:id="rId402" xr:uid="{A7655512-E51F-4C58-9F1E-4D0BEB3BED59}"/>
    <hyperlink ref="C2420" r:id="rId403" xr:uid="{4AFFE9D0-CFC3-43C2-82A6-0F1F31E0706C}"/>
    <hyperlink ref="C2421" r:id="rId404" xr:uid="{5B17C3A2-1452-490C-B9CF-99F8D07B84B3}"/>
    <hyperlink ref="C2281" r:id="rId405" display="[44] CHRISTIAN RODENWALD – Die Welt der drei Fragezeichen 2" xr:uid="{9D46DB99-A351-47F6-9F8C-F18410988F03}"/>
    <hyperlink ref="C235" r:id="rId406" location="t=35m22s" display="OhrCast 135 2 Update des Hörspielmonats Juli und Rückhör in den August 2023 Teil 1" xr:uid="{53C401B4-75B8-403D-B8D2-F5E790382397}"/>
    <hyperlink ref="G2466" r:id="rId407" xr:uid="{484953AE-999B-43A1-815C-E9D4E25EDBD7}"/>
    <hyperlink ref="H1859" r:id="rId408" xr:uid="{6A73E951-A155-416D-B538-2DD950DFAFD3}"/>
    <hyperlink ref="C2423" r:id="rId409" xr:uid="{1931FFA3-20D9-4F2A-84AB-22A69002AD8C}"/>
    <hyperlink ref="C2422" r:id="rId410" xr:uid="{D2764FFE-A5C4-4D7A-AB20-B2FE842D69B5}"/>
    <hyperlink ref="C236" r:id="rId411" location="t=0m7s" display="OhrCast 139-4 Rückhör November 2023 Teil 2, Die drei ??? (224) Die Yacht des Verrats (Ben Nevis) Europa 2023" xr:uid="{63C1A533-8148-452D-9ABC-CE92BAF2ED11}"/>
    <hyperlink ref="C237" r:id="rId412" location="t=7m50s" xr:uid="{334BF20F-EEC1-440E-BAC8-EF99534EA6AB}"/>
    <hyperlink ref="C2326" r:id="rId413" xr:uid="{EAD28049-DD51-4201-8AEF-2E04E0FADDA6}"/>
    <hyperlink ref="C2327" r:id="rId414" xr:uid="{573A5504-E2DA-4B32-AA4B-FCD4211C2208}"/>
    <hyperlink ref="C2328" r:id="rId415" xr:uid="{39968D40-29ED-4DC8-A89E-61A62601AF9F}"/>
    <hyperlink ref="C2424" r:id="rId416" xr:uid="{FF04DD99-304A-4C1C-A541-D71404A114BB}"/>
    <hyperlink ref="C2118" r:id="rId417" xr:uid="{AD3CA040-2CE0-4018-9D37-13697ADBF57C}"/>
    <hyperlink ref="D2118" r:id="rId418" xr:uid="{523170B8-A434-4079-AAE0-D5775670187F}"/>
    <hyperlink ref="C2425" r:id="rId419" xr:uid="{10491FDA-853E-4F70-A176-4101158F1044}"/>
    <hyperlink ref="C238" r:id="rId420" display="OhrCast 142-3 Uwe (3) Rückhör Januar 2024 Teil 2, Die drei Fragezeichen (225) und der Puppenmacher" xr:uid="{9747AFF7-4963-4A31-8342-7BD307FF3870}"/>
  </hyperlinks>
  <pageMargins left="0.7" right="0.7" top="0.78740157499999996" bottom="0.78740157499999996" header="0.3" footer="0.3"/>
  <pageSetup paperSize="9" orientation="portrait"/>
  <ignoredErrors>
    <ignoredError sqref="K330:K333" formulaRange="1"/>
  </ignoredErrors>
  <drawing r:id="rId421"/>
  <legacyDrawing r:id="rId422"/>
  <tableParts count="34">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B4A65-4E25-42B8-8145-5F20F8D747F4}">
  <sheetPr codeName="Tabelle4">
    <tabColor theme="0"/>
  </sheetPr>
  <dimension ref="A1:G35"/>
  <sheetViews>
    <sheetView showGridLines="0" showRowColHeaders="0" workbookViewId="0">
      <selection activeCell="B2" sqref="B2:F2"/>
    </sheetView>
  </sheetViews>
  <sheetFormatPr baseColWidth="10" defaultRowHeight="14.5"/>
  <cols>
    <col min="1" max="1" width="4.26953125" customWidth="1"/>
    <col min="2" max="2" width="35.81640625" customWidth="1"/>
    <col min="3" max="3" width="10.90625" customWidth="1"/>
    <col min="4" max="4" width="22.1796875" customWidth="1"/>
    <col min="5" max="5" width="6.81640625" customWidth="1"/>
    <col min="6" max="6" width="56.36328125" customWidth="1"/>
  </cols>
  <sheetData>
    <row r="1" spans="1:7">
      <c r="A1" s="28"/>
      <c r="B1" s="28"/>
      <c r="C1" s="28"/>
      <c r="D1" s="28"/>
      <c r="E1" s="28"/>
      <c r="F1" s="28"/>
      <c r="G1" s="28"/>
    </row>
    <row r="2" spans="1:7">
      <c r="A2" s="28"/>
      <c r="B2" s="764" t="s">
        <v>1643</v>
      </c>
      <c r="C2" s="765"/>
      <c r="D2" s="765"/>
      <c r="E2" s="765"/>
      <c r="F2" s="766"/>
      <c r="G2" s="28"/>
    </row>
    <row r="3" spans="1:7">
      <c r="A3" s="28"/>
      <c r="B3" s="28"/>
      <c r="C3" s="28"/>
      <c r="D3" s="28"/>
      <c r="E3" s="28"/>
      <c r="F3" s="28"/>
      <c r="G3" s="28"/>
    </row>
    <row r="4" spans="1:7">
      <c r="A4" s="28"/>
      <c r="B4" s="448" t="s">
        <v>1653</v>
      </c>
      <c r="C4" s="447" t="s">
        <v>1644</v>
      </c>
      <c r="D4" s="447" t="s">
        <v>1640</v>
      </c>
      <c r="E4" s="447" t="s">
        <v>1661</v>
      </c>
      <c r="F4" s="450" t="s">
        <v>1641</v>
      </c>
      <c r="G4" s="28"/>
    </row>
    <row r="5" spans="1:7">
      <c r="A5" s="28"/>
      <c r="B5" s="449" t="s">
        <v>1646</v>
      </c>
      <c r="C5" s="428" t="s">
        <v>197</v>
      </c>
      <c r="D5" s="451" t="str">
        <f>TEXT(Podcasts!E10,"TT.MM.JJJJ")&amp;" - "&amp;TEXT(Podcasts!E107,"TT.MM.JJJJ")</f>
        <v>01.10.2011 - 22.02.2024</v>
      </c>
      <c r="E5" s="218">
        <f>COUNTIF(Podcasts!D10:'Podcasts'!D107,"&gt;0")-3</f>
        <v>49</v>
      </c>
      <c r="F5" s="452" t="s">
        <v>1668</v>
      </c>
      <c r="G5" s="28"/>
    </row>
    <row r="6" spans="1:7">
      <c r="A6" s="28"/>
      <c r="B6" s="449" t="s">
        <v>1652</v>
      </c>
      <c r="C6" s="428" t="s">
        <v>636</v>
      </c>
      <c r="D6" s="451" t="str">
        <f>"03.11.2011 - "&amp;TEXT(Podcasts!E238,"TT.MM.JJJJ")</f>
        <v>03.11.2011 - 19.03.2024</v>
      </c>
      <c r="E6" s="218">
        <f>COUNTIF(Podcasts!D113:'Podcasts'!D238,"&gt;0")</f>
        <v>76</v>
      </c>
      <c r="F6" s="452" t="s">
        <v>1669</v>
      </c>
      <c r="G6" s="28"/>
    </row>
    <row r="7" spans="1:7">
      <c r="A7" s="28"/>
      <c r="B7" s="449" t="s">
        <v>1647</v>
      </c>
      <c r="C7" s="428" t="s">
        <v>416</v>
      </c>
      <c r="D7" s="451" t="str">
        <f>TEXT(Podcasts!E244,"TT.MM.JJJJ")&amp;" - "&amp;TEXT(Podcasts!E299,"TT.MM.JJJJ")</f>
        <v>05.02.2012 - 08.11.2021</v>
      </c>
      <c r="E7" s="218">
        <f>COUNTIF(Podcasts!D244:'Podcasts'!D299,"&gt;0")</f>
        <v>37</v>
      </c>
      <c r="F7" s="452" t="s">
        <v>1670</v>
      </c>
      <c r="G7" s="28"/>
    </row>
    <row r="8" spans="1:7">
      <c r="A8" s="28"/>
      <c r="B8" s="449" t="s">
        <v>1648</v>
      </c>
      <c r="C8" s="428" t="s">
        <v>198</v>
      </c>
      <c r="D8" s="451" t="str">
        <f>TEXT(Podcasts!E305,"TT.MM.JJJJ")&amp;" - "&amp;TEXT(Podcasts!E326,"TT.MM.JJJJ")</f>
        <v>01.11.2013 - 15.01.2017</v>
      </c>
      <c r="E8" s="218">
        <f>COUNTIF(Podcasts!D330:'Podcasts'!D473,"&gt;0")</f>
        <v>135</v>
      </c>
      <c r="F8" s="452" t="s">
        <v>1671</v>
      </c>
      <c r="G8" s="28"/>
    </row>
    <row r="9" spans="1:7">
      <c r="A9" s="28"/>
      <c r="B9" s="449" t="s">
        <v>1649</v>
      </c>
      <c r="C9" s="428" t="s">
        <v>396</v>
      </c>
      <c r="D9" s="451" t="str">
        <f>"24.07.2016 - "&amp;TEXT(Podcasts!E488,"TT.MM.JJJJ")</f>
        <v>24.07.2016 - 24.07.2023</v>
      </c>
      <c r="E9" s="218">
        <f>COUNTIF(Podcasts!D479:'Podcasts'!D488,"&gt;0")</f>
        <v>4</v>
      </c>
      <c r="F9" s="452" t="s">
        <v>2397</v>
      </c>
      <c r="G9" s="28"/>
    </row>
    <row r="10" spans="1:7">
      <c r="A10" s="28"/>
      <c r="B10" s="449" t="s">
        <v>1642</v>
      </c>
      <c r="C10" s="428" t="s">
        <v>114</v>
      </c>
      <c r="D10" s="451" t="str">
        <f>TEXT(Podcasts!E494,"TT.MM.JJJJ")&amp;" - "&amp;TEXT(Podcasts!E512,"TT.MM.JJJJ")</f>
        <v>15.11.2016 - 01.08.2023</v>
      </c>
      <c r="E10" s="218">
        <f>COUNTIF(Podcasts!D494:'Podcasts'!D512,"&gt;0")</f>
        <v>19</v>
      </c>
      <c r="F10" s="452" t="s">
        <v>1672</v>
      </c>
      <c r="G10" s="28"/>
    </row>
    <row r="11" spans="1:7">
      <c r="A11" s="28"/>
      <c r="B11" s="449" t="s">
        <v>2772</v>
      </c>
      <c r="C11" s="428" t="s">
        <v>2762</v>
      </c>
      <c r="D11" s="451" t="str">
        <f>TEXT(Podcasts!E524,"TT.MM.JJJJ")&amp;" - "&amp;TEXT(Podcasts!E532,"TT.MM.JJJJ")</f>
        <v>28.12.2016 - 19.12.2017</v>
      </c>
      <c r="E11" s="218">
        <f>COUNTIF(Podcasts!D524:'Podcasts'!D532,"&gt;0")</f>
        <v>7</v>
      </c>
      <c r="F11" s="452" t="s">
        <v>2773</v>
      </c>
      <c r="G11" s="28"/>
    </row>
    <row r="12" spans="1:7">
      <c r="A12" s="28"/>
      <c r="B12" s="449" t="s">
        <v>1650</v>
      </c>
      <c r="C12" s="428" t="s">
        <v>109</v>
      </c>
      <c r="D12" s="451" t="str">
        <f>TEXT(Podcasts!E538,"TT.MM.JJJJ")&amp;" - "&amp;TEXT(Podcasts!E909,"TT.MM.JJJJ")</f>
        <v>29.03.2017 - 19.04.2024</v>
      </c>
      <c r="E12" s="218">
        <f>COUNTIF(Podcasts!D538:'Podcasts'!D909,"&gt;0")-9</f>
        <v>132</v>
      </c>
      <c r="F12" s="452" t="s">
        <v>1673</v>
      </c>
      <c r="G12" s="28"/>
    </row>
    <row r="13" spans="1:7">
      <c r="A13" s="28"/>
      <c r="B13" s="449" t="s">
        <v>1651</v>
      </c>
      <c r="C13" s="428" t="s">
        <v>44</v>
      </c>
      <c r="D13" s="451" t="str">
        <f>TEXT(Podcasts!E915,"TT.MM.JJJJ")&amp;" - "&amp;TEXT(Podcasts!E981,"TT.MM.JJJJ")</f>
        <v>08.03.2018 - 07.12.2022</v>
      </c>
      <c r="E13" s="218">
        <f>COUNTIF(Podcasts!D915:'Podcasts'!D981,"&gt;0")</f>
        <v>57</v>
      </c>
      <c r="F13" s="452" t="s">
        <v>1674</v>
      </c>
      <c r="G13" s="28"/>
    </row>
    <row r="14" spans="1:7">
      <c r="A14" s="28"/>
      <c r="B14" s="449" t="s">
        <v>1645</v>
      </c>
      <c r="C14" s="428" t="s">
        <v>34</v>
      </c>
      <c r="D14" s="451" t="str">
        <f>TEXT(Podcasts!E987,"TT.MM.JJJJ")&amp;" - "&amp;TEXT(Podcasts!E995,"TT.MM.JJJJ")</f>
        <v>29.11.2018 - 28.03.2019</v>
      </c>
      <c r="E14" s="218" t="str">
        <f>"("&amp;COUNTIF(Podcasts!D987:'Podcasts'!D995,"&gt;0")+8&amp;")"</f>
        <v>(8)</v>
      </c>
      <c r="F14" s="452" t="s">
        <v>1675</v>
      </c>
      <c r="G14" s="28"/>
    </row>
    <row r="15" spans="1:7">
      <c r="A15" s="28"/>
      <c r="B15" s="449" t="s">
        <v>1654</v>
      </c>
      <c r="C15" s="428" t="s">
        <v>199</v>
      </c>
      <c r="D15" s="451" t="str">
        <f>TEXT(Podcasts!E1001,"TT.MM.JJJJ")&amp;" - "&amp;TEXT(Podcasts!E1251,"TT.MM.JJJJ")</f>
        <v>07.01.2019 - 17.04.2024</v>
      </c>
      <c r="E15" s="218">
        <f>COUNTIF(Podcasts!D1001:'Podcasts'!D1251,"&gt;0")-6</f>
        <v>59</v>
      </c>
      <c r="F15" s="452" t="s">
        <v>1676</v>
      </c>
      <c r="G15" s="28"/>
    </row>
    <row r="16" spans="1:7">
      <c r="A16" s="28"/>
      <c r="B16" s="449" t="s">
        <v>1655</v>
      </c>
      <c r="C16" s="429" t="s">
        <v>572</v>
      </c>
      <c r="D16" s="451" t="str">
        <f>TEXT(Podcasts!E1257,"TT.MM.JJJJ")&amp;" - "&amp;TEXT(Podcasts!E1267,"TT.MM.JJJJ")</f>
        <v>17.04.2019 - 04.02.2023</v>
      </c>
      <c r="E16" s="218">
        <f>COUNTIF(Podcasts!D1257:'Podcasts'!D1267,"&gt;0")-1</f>
        <v>8</v>
      </c>
      <c r="F16" s="452" t="s">
        <v>1677</v>
      </c>
      <c r="G16" s="28"/>
    </row>
    <row r="17" spans="1:7">
      <c r="A17" s="28"/>
      <c r="B17" s="449" t="s">
        <v>1656</v>
      </c>
      <c r="C17" s="430" t="s">
        <v>201</v>
      </c>
      <c r="D17" s="451" t="str">
        <f>TEXT(Podcasts!E1273,"TT.MM.JJJJ")&amp;" - "&amp;TEXT(Podcasts!E1281,"TT.MM.JJJJ")</f>
        <v>21.06.2019 - 19.06.2020</v>
      </c>
      <c r="E17" s="218">
        <f>COUNTIF(Podcasts!D1273:'Podcasts'!D1281,"&gt;0")-3</f>
        <v>5</v>
      </c>
      <c r="F17" s="452" t="s">
        <v>1678</v>
      </c>
      <c r="G17" s="28"/>
    </row>
    <row r="18" spans="1:7">
      <c r="A18" s="28"/>
      <c r="B18" s="449" t="s">
        <v>1657</v>
      </c>
      <c r="C18" s="430" t="s">
        <v>235</v>
      </c>
      <c r="D18" s="451" t="str">
        <f>TEXT(Podcasts!E1289,"TT.MM.JJJJ")&amp;" - "&amp;TEXT(Podcasts!E1295,"TT.MM.JJJJ")</f>
        <v>23.03.2020 - 20.06.2021</v>
      </c>
      <c r="E18" s="218">
        <f>COUNTIF(Podcasts!D1289:'Podcasts'!D1295,"&gt;0")</f>
        <v>7</v>
      </c>
      <c r="F18" s="452" t="s">
        <v>1679</v>
      </c>
      <c r="G18" s="28"/>
    </row>
    <row r="19" spans="1:7">
      <c r="A19" s="28"/>
      <c r="B19" s="449" t="s">
        <v>3703</v>
      </c>
      <c r="C19" s="430" t="s">
        <v>3639</v>
      </c>
      <c r="D19" s="451" t="str">
        <f>TEXT(Podcasts!E1301,"TT.MM.JJJJ")&amp;" - "&amp;TEXT(Podcasts!E1356,"TT.MM.JJJJ")</f>
        <v>15.05.2020 - 17.05.2024</v>
      </c>
      <c r="E19" s="218">
        <f>COUNTIF(Podcasts!D1301:'Podcasts'!D1356,"&gt;0")-5</f>
        <v>47</v>
      </c>
      <c r="F19" s="452" t="s">
        <v>3704</v>
      </c>
      <c r="G19" s="28"/>
    </row>
    <row r="20" spans="1:7">
      <c r="A20" s="28"/>
      <c r="B20" s="563" t="s">
        <v>1682</v>
      </c>
      <c r="C20" s="430" t="s">
        <v>1329</v>
      </c>
      <c r="D20" s="451" t="str">
        <f>TEXT(Podcasts!E1362,"TT.MM.JJJJ")&amp;" - "&amp;TEXT(Podcasts!E1364,"TT.MM.JJJJ")</f>
        <v>24.08.2020 - 27.12.2020</v>
      </c>
      <c r="E20" s="218">
        <f>COUNTIF(Podcasts!D1362:'Podcasts'!D1364,"&gt;0")</f>
        <v>3</v>
      </c>
      <c r="F20" s="452" t="s">
        <v>1738</v>
      </c>
      <c r="G20" s="28"/>
    </row>
    <row r="21" spans="1:7">
      <c r="A21" s="28"/>
      <c r="B21" s="449" t="s">
        <v>1658</v>
      </c>
      <c r="C21" s="430" t="s">
        <v>1326</v>
      </c>
      <c r="D21" s="451" t="str">
        <f>TEXT(Podcasts!E1370,"TT.MM.JJJJ")&amp;" - "&amp;TEXT(Podcasts!E1419,"TT.MM.JJJJ")</f>
        <v>31.08.2020 - 24.05.2024</v>
      </c>
      <c r="E21" s="218">
        <f>COUNTIF(Podcasts!D1370:'Podcasts'!D1419,"&gt;0")</f>
        <v>42</v>
      </c>
      <c r="F21" s="452" t="s">
        <v>1680</v>
      </c>
      <c r="G21" s="28"/>
    </row>
    <row r="22" spans="1:7">
      <c r="A22" s="28"/>
      <c r="B22" s="449" t="s">
        <v>1659</v>
      </c>
      <c r="C22" s="430" t="s">
        <v>1504</v>
      </c>
      <c r="D22" s="451" t="str">
        <f>TEXT(Podcasts!E1425,"TT.MM.JJJJ")&amp;" - "&amp;TEXT(Podcasts!E1446,"TT.MM.JJJJ")</f>
        <v>22.11.2020 - 06.03.2022</v>
      </c>
      <c r="E22" s="218">
        <f>COUNTIF(Podcasts!D1425:'Podcasts'!D1446,"&gt;0")</f>
        <v>13</v>
      </c>
      <c r="F22" s="452" t="s">
        <v>1739</v>
      </c>
      <c r="G22" s="28"/>
    </row>
    <row r="23" spans="1:7">
      <c r="A23" s="28"/>
      <c r="B23" s="449" t="s">
        <v>1702</v>
      </c>
      <c r="C23" s="430" t="s">
        <v>1662</v>
      </c>
      <c r="D23" s="451" t="str">
        <f>TEXT(Podcasts!E1452,"TT.MM.JJJJ")&amp;" - "&amp;TEXT(Podcasts!E1502,"TT.MM.JJJJ")</f>
        <v>23.11.2020 - 29.03.2024</v>
      </c>
      <c r="E23" s="218">
        <f>COUNTIF(Podcasts!D1452:'Podcasts'!D1574,"&gt;0")-1</f>
        <v>81</v>
      </c>
      <c r="F23" s="452" t="s">
        <v>1705</v>
      </c>
      <c r="G23" s="28"/>
    </row>
    <row r="24" spans="1:7">
      <c r="A24" s="28"/>
      <c r="B24" s="449" t="s">
        <v>1660</v>
      </c>
      <c r="C24" s="430" t="s">
        <v>1617</v>
      </c>
      <c r="D24" s="451" t="str">
        <f>TEXT(Podcasts!E1580,"TT.MM.JJJJ")&amp;" - "&amp;TEXT(Podcasts!E1705,"TT.MM.JJJJ")</f>
        <v>04.12.2020 - 31.12.2026</v>
      </c>
      <c r="E24" s="218">
        <f>COUNTIF(Podcasts!D1580:'Podcasts'!D1705,"&gt;0")-2</f>
        <v>84</v>
      </c>
      <c r="F24" s="452" t="s">
        <v>1703</v>
      </c>
      <c r="G24" s="28"/>
    </row>
    <row r="25" spans="1:7">
      <c r="A25" s="28"/>
      <c r="B25" s="449" t="s">
        <v>1683</v>
      </c>
      <c r="C25" s="564" t="s">
        <v>1684</v>
      </c>
      <c r="D25" s="565" t="str">
        <f>TEXT(Podcasts!E1711,"TT.MM.JJJJ")&amp;" - "&amp;TEXT(Podcasts!E1750,"TT.MM.JJJJ")</f>
        <v>03.03.2021 - 03.05.2024</v>
      </c>
      <c r="E25" s="218">
        <f>COUNTIF(Podcasts!D1711:'Podcasts'!D1833,"&gt;0")</f>
        <v>77</v>
      </c>
      <c r="F25" s="452" t="s">
        <v>1685</v>
      </c>
      <c r="G25" s="28"/>
    </row>
    <row r="26" spans="1:7">
      <c r="A26" s="28"/>
      <c r="B26" s="449" t="s">
        <v>2752</v>
      </c>
      <c r="C26" s="564" t="s">
        <v>1686</v>
      </c>
      <c r="D26" s="565" t="str">
        <f>TEXT(Podcasts!E1839,"TT.MM.JJJJ")&amp;" - "&amp;TEXT(Podcasts!E1855,"TT.MM.JJJJ")</f>
        <v>03.04.2021 - 14.04.2024</v>
      </c>
      <c r="E26" s="218">
        <f>COUNTIF(Podcasts!D1839:'Podcasts'!D1855,"&gt;0")</f>
        <v>9</v>
      </c>
      <c r="F26" s="452" t="s">
        <v>2750</v>
      </c>
      <c r="G26" s="28"/>
    </row>
    <row r="27" spans="1:7">
      <c r="A27" s="28"/>
      <c r="B27" s="449" t="s">
        <v>1999</v>
      </c>
      <c r="C27" s="564" t="s">
        <v>1864</v>
      </c>
      <c r="D27" s="565" t="str">
        <f>TEXT(Podcasts!E1861,"TT.MM.JJJJ")&amp;" - "&amp;TEXT(Podcasts!E1994,"TT.MM.JJJJ")</f>
        <v>25.06.2021 - 26.07.2024</v>
      </c>
      <c r="E27" s="218">
        <f>COUNTIF(Podcasts!D1861:'Podcasts'!D1994,"&gt;0")-2</f>
        <v>55</v>
      </c>
      <c r="F27" s="452" t="s">
        <v>1865</v>
      </c>
      <c r="G27" s="28"/>
    </row>
    <row r="28" spans="1:7">
      <c r="A28" s="28"/>
      <c r="B28" s="449" t="s">
        <v>4018</v>
      </c>
      <c r="C28" s="564" t="s">
        <v>3981</v>
      </c>
      <c r="D28" s="565" t="str">
        <f>TEXT(Podcasts!E2000,"TT.MM.JJJJ")&amp;" - "&amp;TEXT(Podcasts!E2057,"TT.MM.JJJJ")</f>
        <v>12.09.2022 - 18.04.2024</v>
      </c>
      <c r="E28" s="218">
        <f>COUNTIF(Podcasts!D2000:'Podcasts'!D2057,"&gt;0")</f>
        <v>55</v>
      </c>
      <c r="F28" s="452" t="s">
        <v>4019</v>
      </c>
      <c r="G28" s="28"/>
    </row>
    <row r="29" spans="1:7">
      <c r="A29" s="28"/>
      <c r="B29" s="449" t="s">
        <v>3878</v>
      </c>
      <c r="C29" s="564" t="s">
        <v>3887</v>
      </c>
      <c r="D29" s="565" t="str">
        <f>TEXT(Podcasts!E2063,"TT.MM.JJJJ")&amp;" - "&amp;TEXT(Podcasts!E2071,"TT.MM.JJJJ")</f>
        <v>09.10.2022 - 30.05.2024</v>
      </c>
      <c r="E29" s="218">
        <f>COUNTIF(Podcasts!D2063:'Podcasts'!D2071,"&gt;0")</f>
        <v>9</v>
      </c>
      <c r="F29" s="452" t="s">
        <v>3886</v>
      </c>
      <c r="G29" s="28"/>
    </row>
    <row r="30" spans="1:7">
      <c r="A30" s="28"/>
      <c r="B30" s="449" t="s">
        <v>3705</v>
      </c>
      <c r="C30" s="564" t="s">
        <v>3694</v>
      </c>
      <c r="D30" s="565" t="str">
        <f>TEXT(Podcasts!E2077,"TT.MM.JJJJ")&amp;" - "&amp;TEXT(Podcasts!E2092,"TT.MM.JJJJ")</f>
        <v>23.12.2022 - 04.05.2024</v>
      </c>
      <c r="E30" s="218">
        <f>COUNTIF(Podcasts!D2077:'Podcasts'!D2092,"&gt;0")</f>
        <v>11</v>
      </c>
      <c r="F30" s="728" t="s">
        <v>3707</v>
      </c>
      <c r="G30" s="28"/>
    </row>
    <row r="31" spans="1:7">
      <c r="A31" s="28"/>
      <c r="B31" s="449" t="s">
        <v>3706</v>
      </c>
      <c r="C31" s="564" t="s">
        <v>3695</v>
      </c>
      <c r="D31" s="565" t="str">
        <f>TEXT(Podcasts!E2098,"TT.MM.JJJJ")&amp;" - "&amp;TEXT(Podcasts!E2114,"TT.MM.JJJJ")</f>
        <v>23.12.2022 - 01.04.2024</v>
      </c>
      <c r="E31" s="218">
        <f>COUNTIF(Podcasts!D2098:'Podcasts'!D2114,"&gt;0")</f>
        <v>16</v>
      </c>
      <c r="F31" s="728" t="s">
        <v>3708</v>
      </c>
      <c r="G31" s="28"/>
    </row>
    <row r="32" spans="1:7">
      <c r="A32" s="28"/>
      <c r="B32" s="729" t="s">
        <v>4466</v>
      </c>
      <c r="C32" s="730" t="s">
        <v>4416</v>
      </c>
      <c r="D32" s="731" t="str">
        <f>TEXT(Podcasts!E2120,"TT.MM.JJJJ")&amp;" - "&amp;TEXT(Podcasts!E2124,"TT.MM.JJJJ")</f>
        <v>23.07.2023 - 29.02.2024</v>
      </c>
      <c r="E32" s="732">
        <f>COUNTIF(Podcasts!D2120:'Podcasts'!D2124,"&gt;0")</f>
        <v>3</v>
      </c>
      <c r="F32" s="733" t="s">
        <v>4464</v>
      </c>
      <c r="G32" s="28"/>
    </row>
    <row r="33" spans="1:7">
      <c r="A33" s="28"/>
      <c r="B33" s="28"/>
      <c r="C33" s="28"/>
      <c r="D33" s="28"/>
      <c r="E33" s="28"/>
      <c r="F33" s="28"/>
      <c r="G33" s="28"/>
    </row>
    <row r="34" spans="1:7">
      <c r="A34" s="28"/>
      <c r="B34" s="28"/>
      <c r="C34" s="28"/>
      <c r="D34" s="28"/>
      <c r="E34" s="28"/>
      <c r="F34" s="28"/>
      <c r="G34" s="28"/>
    </row>
    <row r="35" spans="1:7">
      <c r="A35" s="28"/>
      <c r="B35" s="28"/>
      <c r="C35" s="28"/>
      <c r="D35" s="28"/>
      <c r="E35" s="28"/>
      <c r="F35" s="28"/>
      <c r="G35" s="28"/>
    </row>
  </sheetData>
  <mergeCells count="1">
    <mergeCell ref="B2:F2"/>
  </mergeCells>
  <hyperlinks>
    <hyperlink ref="F24" r:id="rId1" xr:uid="{5D30AC34-CCEF-47BE-9B2C-CD30CCD5D84E}"/>
    <hyperlink ref="F21" r:id="rId2" xr:uid="{1D508993-AD56-4826-BFD7-3EE36C5EE017}"/>
    <hyperlink ref="F15" r:id="rId3" xr:uid="{A9EEEBC2-B822-461A-93C9-FCCA060D457F}"/>
    <hyperlink ref="F14" r:id="rId4" xr:uid="{993FAD7E-7737-4AEF-A023-828B317F882A}"/>
    <hyperlink ref="F6" r:id="rId5" xr:uid="{A817CF78-DD3C-41B3-92BB-DFB913592306}"/>
    <hyperlink ref="F18" r:id="rId6" xr:uid="{8ADF1064-4CFC-4485-914E-D6E88D1DE9FA}"/>
    <hyperlink ref="F17" r:id="rId7" xr:uid="{7F8EC937-A9B3-4AF1-AC6A-D43BAA9B7F7A}"/>
    <hyperlink ref="F10" r:id="rId8" xr:uid="{A3863AC3-D8AD-4B30-AA81-420C99EFCE04}"/>
    <hyperlink ref="F13" r:id="rId9" xr:uid="{4F6D61FC-DB3C-4C00-AF6D-51D5097CAB0A}"/>
    <hyperlink ref="F16" r:id="rId10" xr:uid="{A1360921-125E-4F7B-B906-012B337B2D1C}"/>
    <hyperlink ref="F12" r:id="rId11" xr:uid="{40146182-B38E-4361-BACA-DF7207427115}"/>
    <hyperlink ref="F8" r:id="rId12" xr:uid="{B1FF99D3-9401-444C-8423-7DAA171D835D}"/>
    <hyperlink ref="F7" r:id="rId13" xr:uid="{DA0CCF44-0B8C-4B37-A7FF-705552D5D948}"/>
    <hyperlink ref="F9" r:id="rId14" xr:uid="{0C2F1AF8-8870-4CF7-85B0-548E7301017F}"/>
    <hyperlink ref="F5" r:id="rId15" xr:uid="{0424D61B-F224-49B9-A00D-82DA7605D6C6}"/>
    <hyperlink ref="C5" location="_01._FragezeichenPod_seit_2011" tooltip="springen" display="???od" xr:uid="{5B96DB84-AE46-40CA-831D-843F4E9A47E8}"/>
    <hyperlink ref="C7" location="_03._TalkerLounge_seit_2012" tooltip="springen" display="Talker" xr:uid="{DCDEB98D-B7B0-4E7E-91FA-C0690C43D819}"/>
    <hyperlink ref="C8" location="_04._Haschimitenfürst_seit_2013" tooltip="springen" display="Fürst" xr:uid="{88FAD0BD-2020-4ED4-BE6A-4114250C2063}"/>
    <hyperlink ref="C9" location="_05._WasHoerstDuSo_seit_2016" tooltip="springen" display="Hoerst" xr:uid="{7BF0193D-657C-4F07-B0C4-A415D650EB1A}"/>
    <hyperlink ref="C10" location="_06._Schrottcast_seit_2016" tooltip="springen" display="Schrott" xr:uid="{0DB27208-BA3B-4924-B497-41441E48AE8E}"/>
    <hyperlink ref="C12" location="_08._SSP_seit_2017" tooltip="springen" display="SSP" xr:uid="{5FB5E432-561B-4A20-AAFA-DE93251A6C86}"/>
    <hyperlink ref="C13" location="_09._RundA_seit_2018" tooltip="springen" display="R&amp;A" xr:uid="{90EEDF30-E596-4371-B2DB-640ACC356C79}"/>
    <hyperlink ref="C14" location="_10._DiE_2WO_seit_2018" tooltip="springen" display="DiE 2WO" xr:uid="{E7D654BC-A154-441F-8815-4DFCAA9A859C}"/>
    <hyperlink ref="C15" location="_11._Die_Zentrale_seit_2019" tooltip="springen" display="Zentrale" xr:uid="{27795CE6-11FD-4613-A54B-4E57E1091A03}"/>
    <hyperlink ref="C17" location="_13._Retroabteil_seit_2019" tooltip="springen" display="Retro" xr:uid="{06C4D342-1A89-42C7-8537-3454D557ACAD}"/>
    <hyperlink ref="C16" location="_12._Gebrauchtwaren_seit_2019" tooltip="springen" display="Gebraucht" xr:uid="{13841798-A448-4E0D-9FB6-DCD72C87E7AA}"/>
    <hyperlink ref="C6" location="_02._OhrCast_seit_2011" tooltip="springen" display="Ohr" xr:uid="{9F7856B5-8893-4FDD-9911-36D7898095D3}"/>
    <hyperlink ref="C18" location="_14._Schrottplatz_seit_2020" tooltip="springen" display="Platz" xr:uid="{3D92264B-8366-4E6C-B76D-DA2EE9DCD774}"/>
    <hyperlink ref="C21" location="_17._Anführungszeichen_seit_2020" tooltip="springen" display="Zeichen" xr:uid="{50BD278F-2D75-4B9D-9EAA-257408CE38A4}"/>
    <hyperlink ref="C22" location="_18._Fanatiker_seit_2020" tooltip="springen" display="Fan" xr:uid="{E3F941CE-E4DF-4799-96B1-F05E2279A4A9}"/>
    <hyperlink ref="C24" location="_20._Kirschkuchen_seit_2020" tooltip="springen" display="Kuchen" xr:uid="{2DC71CDF-05CE-4AF7-BCCF-91C5646F87F8}"/>
    <hyperlink ref="C23" location="_19._Kaffeeklatsch_seit_2020" tooltip="springen" display="Kaffee" xr:uid="{204744FF-A693-4C49-A28A-DDC4D2FC37E9}"/>
    <hyperlink ref="F22" r:id="rId16" xr:uid="{8CA680BD-6E1C-458A-9760-FB0911F12321}"/>
    <hyperlink ref="F23" r:id="rId17" xr:uid="{054FB7ED-CCA1-41B4-BEA2-B8D59D53E9B4}"/>
    <hyperlink ref="F20" r:id="rId18" xr:uid="{00B086F8-567F-4470-BB18-53D8630C4242}"/>
    <hyperlink ref="F25" r:id="rId19" xr:uid="{ED46B153-0842-4CC5-A7E4-5EF3736B7CC0}"/>
    <hyperlink ref="C20" location="_16._Taschenlampen_seit_2020" tooltip="springen" display="Lampe" xr:uid="{07281EE9-56D2-44C3-94F4-937C52EDF95D}"/>
    <hyperlink ref="C25" location="_21._Verstärker_seit_2021" tooltip="springen" display="Verstärker" xr:uid="{927D9A7D-3A91-4588-9E78-558D6799EAB4}"/>
    <hyperlink ref="F27" r:id="rId20" xr:uid="{BD420A33-F3FA-4E29-9A1D-E910326ABF57}"/>
    <hyperlink ref="C27" location="_23._Die_Zw3i_seit_2021" tooltip="springen" display="Die Zw3i" xr:uid="{DA5F5EC7-B50D-432D-A73A-59D513C9D173}"/>
    <hyperlink ref="F26" r:id="rId21" xr:uid="{39D01D4D-E527-48E6-BDC3-6277F58DF4B2}"/>
    <hyperlink ref="C26" location="_22._Rose_seit_2021" tooltip="springen" display="Rose" xr:uid="{6AAF7D70-D9AC-41AA-9906-67D14D3D6C00}"/>
    <hyperlink ref="F11" r:id="rId22" xr:uid="{28565286-FBD2-43CC-8B36-3F78FB286ACD}"/>
    <hyperlink ref="C11" location="_07._KellerKanal_seit_2016" tooltip="springen" display="Keller" xr:uid="{3BE593AF-C868-4DF0-8317-0EE62D6E37E5}"/>
    <hyperlink ref="C19" location="_15._Abfahrt_seit_2020" tooltip="springen" display="Abfahrt" xr:uid="{B9ACEEDC-516C-4683-B9A3-5CF8396E7076}"/>
    <hyperlink ref="F19" r:id="rId23" xr:uid="{8E09342C-DF6C-4721-8D3A-8C5214A57B8E}"/>
    <hyperlink ref="C30:C31" location="_23._Die_Zw3i_seit_2021" tooltip="springen" display="Die Zw3i" xr:uid="{FE9FAC2F-9E53-4EB7-8132-4E3CBC5FE729}"/>
    <hyperlink ref="C30" location="_26._beachcast_seit_2022" tooltip="springen" display="beachcast" xr:uid="{B5AA9CCE-DE4B-461A-9C33-48965361F44F}"/>
    <hyperlink ref="C31" location="_27._DGdB_seit_2022" tooltip="springen" display="DGdB" xr:uid="{1357D8E7-698A-4631-8DE4-54DA0152CF38}"/>
    <hyperlink ref="F30" r:id="rId24" xr:uid="{3BAD619A-10BD-4B71-802B-063A8F1E3474}"/>
    <hyperlink ref="F31" r:id="rId25" xr:uid="{DF20CAF1-F262-46D0-B8A7-856CF274357A}"/>
    <hyperlink ref="F29" r:id="rId26" xr:uid="{3C656302-B7EA-43C8-96DD-B348C4A4C6F6}"/>
    <hyperlink ref="C29" location="_25._Doppelpunkt_seit_2022" tooltip="springen" display=":punkt" xr:uid="{FCA91F74-9059-4F84-8891-C9CBEDB17C75}"/>
    <hyperlink ref="F28" r:id="rId27" xr:uid="{B08A67BE-EC13-4625-B3E2-7FC2ACDE747B}"/>
    <hyperlink ref="C28" location="_24._RockyBeachWeekly_seit_2022" tooltip="springen" display="RBW" xr:uid="{CD1D3BD3-142D-46F7-AFE0-77717949B6AC}"/>
    <hyperlink ref="F32" r:id="rId28" xr:uid="{F62CBF22-34D0-4A45-9B1D-E86384F92DC1}"/>
    <hyperlink ref="C32" location="_28._RBP_seit_2023" tooltip="springen" display="RBP" xr:uid="{BA0F9F07-4392-41D7-8A21-BECD137ED02A}"/>
  </hyperlinks>
  <pageMargins left="0.7" right="0.7" top="0.78740157499999996" bottom="0.78740157499999996" header="0.3" footer="0.3"/>
  <pageSetup paperSize="9" orientation="portrait" horizontalDpi="1200" verticalDpi="12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0080E8"/>
    <outlinePr summaryBelow="0"/>
  </sheetPr>
  <dimension ref="A1:HZ2143"/>
  <sheetViews>
    <sheetView showGridLines="0" showRowColHeaders="0" zoomScaleNormal="100" workbookViewId="0">
      <pane xSplit="3" topLeftCell="D1" activePane="topRight" state="frozen"/>
      <selection pane="topRight" activeCell="B2" sqref="B2:I2"/>
    </sheetView>
  </sheetViews>
  <sheetFormatPr baseColWidth="10" defaultRowHeight="14.5" outlineLevelRow="1"/>
  <cols>
    <col min="1" max="1" width="4.26953125" customWidth="1"/>
    <col min="2" max="2" width="6.26953125" customWidth="1"/>
    <col min="3" max="3" width="10" customWidth="1"/>
    <col min="4" max="4" width="28.54296875" customWidth="1"/>
    <col min="5" max="49" width="10" customWidth="1"/>
  </cols>
  <sheetData>
    <row r="1" spans="1:43">
      <c r="A1" s="140"/>
      <c r="B1" s="140"/>
      <c r="C1" s="140"/>
      <c r="D1" s="140"/>
      <c r="E1" s="143"/>
      <c r="F1" s="140"/>
      <c r="G1" s="143"/>
      <c r="H1" s="140"/>
      <c r="I1" s="140"/>
      <c r="J1" s="140"/>
      <c r="K1" s="140"/>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Q1" s="28"/>
    </row>
    <row r="2" spans="1:43">
      <c r="A2" s="140"/>
      <c r="B2" s="764" t="s">
        <v>1243</v>
      </c>
      <c r="C2" s="765"/>
      <c r="D2" s="765"/>
      <c r="E2" s="765"/>
      <c r="F2" s="765"/>
      <c r="G2" s="765"/>
      <c r="H2" s="765"/>
      <c r="I2" s="766"/>
      <c r="J2" s="104" t="s">
        <v>2782</v>
      </c>
      <c r="K2" s="104">
        <v>226</v>
      </c>
      <c r="L2" s="28"/>
      <c r="M2" s="767" t="s">
        <v>2019</v>
      </c>
      <c r="N2" s="768"/>
      <c r="O2" s="768"/>
      <c r="P2" s="768"/>
      <c r="Q2" s="768"/>
      <c r="R2" s="768"/>
      <c r="S2" s="768"/>
      <c r="T2" s="768"/>
      <c r="U2" s="768"/>
      <c r="V2" s="768"/>
      <c r="W2" s="768"/>
      <c r="X2" s="769"/>
      <c r="Z2" s="28"/>
      <c r="AA2" s="767" t="s">
        <v>2865</v>
      </c>
      <c r="AB2" s="768"/>
      <c r="AC2" s="768"/>
      <c r="AD2" s="768"/>
      <c r="AE2" s="768"/>
      <c r="AF2" s="769"/>
      <c r="AG2" s="28"/>
      <c r="AH2" s="28"/>
      <c r="AI2" s="773" t="s">
        <v>2016</v>
      </c>
      <c r="AJ2" s="774"/>
      <c r="AK2" s="774"/>
      <c r="AL2" s="774"/>
      <c r="AM2" s="774"/>
      <c r="AN2" s="774"/>
      <c r="AO2" s="774"/>
      <c r="AP2" s="775"/>
      <c r="AQ2" s="28"/>
    </row>
    <row r="3" spans="1:43" outlineLevel="1">
      <c r="A3" s="140"/>
      <c r="B3" s="140"/>
      <c r="C3" s="140"/>
      <c r="D3" s="140"/>
      <c r="E3" s="143"/>
      <c r="F3" s="140"/>
      <c r="G3" s="143"/>
      <c r="H3" s="140"/>
      <c r="I3" s="140"/>
      <c r="J3" s="140"/>
      <c r="K3" s="140"/>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row>
    <row r="4" spans="1:43" outlineLevel="1">
      <c r="A4" s="140"/>
      <c r="B4" s="785" t="s">
        <v>31</v>
      </c>
      <c r="C4" s="786"/>
      <c r="D4" s="109" t="s">
        <v>530</v>
      </c>
      <c r="E4" s="19" t="s">
        <v>1236</v>
      </c>
      <c r="F4" s="67"/>
      <c r="G4" s="789" t="s">
        <v>1304</v>
      </c>
      <c r="H4" s="790"/>
      <c r="I4" s="791"/>
      <c r="J4" s="776" t="s">
        <v>1707</v>
      </c>
      <c r="K4" s="776"/>
      <c r="L4" s="104" t="s">
        <v>370</v>
      </c>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row>
    <row r="5" spans="1:43" outlineLevel="1">
      <c r="A5" s="140"/>
      <c r="B5" s="787"/>
      <c r="C5" s="788"/>
      <c r="D5" s="111" t="s">
        <v>1234</v>
      </c>
      <c r="E5" s="112" t="s">
        <v>1238</v>
      </c>
      <c r="F5" s="107" t="s">
        <v>33</v>
      </c>
      <c r="G5" s="106" t="s">
        <v>1233</v>
      </c>
      <c r="H5" s="112" t="s">
        <v>1319</v>
      </c>
      <c r="I5" s="107" t="s">
        <v>33</v>
      </c>
      <c r="J5" s="106" t="s">
        <v>1235</v>
      </c>
      <c r="K5" s="108" t="s">
        <v>1237</v>
      </c>
      <c r="L5" s="104" t="s">
        <v>370</v>
      </c>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row>
    <row r="6" spans="1:43" outlineLevel="1">
      <c r="A6" s="140"/>
      <c r="B6" s="24" t="s">
        <v>202</v>
      </c>
      <c r="C6" s="68" t="s">
        <v>203</v>
      </c>
      <c r="D6" s="85" t="s">
        <v>32</v>
      </c>
      <c r="E6" s="115" t="s">
        <v>1239</v>
      </c>
      <c r="F6" s="110" t="s">
        <v>1240</v>
      </c>
      <c r="G6" s="86" t="s">
        <v>1314</v>
      </c>
      <c r="H6" s="24" t="s">
        <v>1315</v>
      </c>
      <c r="I6" s="110" t="s">
        <v>1316</v>
      </c>
      <c r="J6" s="86" t="s">
        <v>1241</v>
      </c>
      <c r="K6" s="24" t="s">
        <v>1242</v>
      </c>
      <c r="L6" s="104" t="s">
        <v>370</v>
      </c>
      <c r="M6" s="28"/>
      <c r="N6" s="28"/>
      <c r="O6" s="28"/>
      <c r="P6" s="28"/>
      <c r="Q6" s="28"/>
      <c r="R6" s="28"/>
      <c r="S6" s="28"/>
      <c r="T6" s="28"/>
      <c r="U6" s="28"/>
      <c r="V6" s="28"/>
      <c r="W6" s="28"/>
      <c r="X6" s="28"/>
      <c r="Y6" s="28"/>
      <c r="Z6" s="28"/>
      <c r="AA6" s="28"/>
      <c r="AB6" s="28"/>
      <c r="AC6" s="28"/>
      <c r="AD6" s="28"/>
      <c r="AE6" s="28"/>
      <c r="AF6" s="28"/>
      <c r="AG6" s="28"/>
      <c r="AH6" s="28"/>
      <c r="AI6" s="28"/>
      <c r="AJ6" s="28"/>
      <c r="AK6" s="28"/>
      <c r="AL6" s="98" t="s">
        <v>203</v>
      </c>
      <c r="AM6" s="98" t="s">
        <v>1810</v>
      </c>
      <c r="AN6" s="267" t="s">
        <v>235</v>
      </c>
      <c r="AO6" s="98" t="s">
        <v>203</v>
      </c>
      <c r="AP6" s="267" t="s">
        <v>1810</v>
      </c>
      <c r="AQ6" s="28"/>
    </row>
    <row r="7" spans="1:43" outlineLevel="1">
      <c r="A7" s="140"/>
      <c r="B7" s="87">
        <v>1</v>
      </c>
      <c r="C7" s="432" t="s">
        <v>197</v>
      </c>
      <c r="D7" s="91" t="str">
        <f>DATEDIF(Podcasts!E10,Podcasts!E107,"y")&amp;" Jahre, " &amp;DATEDIF(Podcasts!E10,Podcasts!E107,"ym")&amp;IF(DATEDIF(Podcasts!E10,Podcasts!E107,"ym")&lt;&gt;1," Monate und "," Monat und ") &amp;DATEDIF(Podcasts!E10,Podcasts!E107,"mD")&amp;IF(DATEDIF(Podcasts!E10,Podcasts!E107,"mD")&lt;&gt;1," Tage"," Tag")</f>
        <v>12 Jahre, 4 Monate und 21 Tage</v>
      </c>
      <c r="E7" s="145">
        <f>SUM(Podcasts!F10:'Podcasts'!F107)</f>
        <v>3.2270138888888895</v>
      </c>
      <c r="F7" s="116">
        <f>DATEDIF(Podcasts!E10,Podcasts!E107,"D")/(Podcasts!B107-Podcasts!B10)</f>
        <v>46.670103092783506</v>
      </c>
      <c r="G7" s="92">
        <f>SUMIF(Podcasts!D10:'Podcasts'!D107,"&gt;0", Podcasts!F10:'Podcasts'!F107)</f>
        <v>2.441527777777778</v>
      </c>
      <c r="H7" s="149">
        <f ca="1">G7/(K2-J7)</f>
        <v>4.9827097505668938E-2</v>
      </c>
      <c r="I7" s="113">
        <f ca="1">ROUND(CONVERT(Podcasts!E107-Podcasts!E10,"day","day")/((K2-J7)-1),0)</f>
        <v>94</v>
      </c>
      <c r="J7" s="184">
        <f ca="1">K2-(COUNTIF(AQ$44:AQ$273,"")-(COUNTA(B44:B273)-K2))</f>
        <v>177</v>
      </c>
      <c r="K7" s="93" t="str">
        <f ca="1">K2-J7&amp;" ("&amp;K2-J7+3&amp;")  "</f>
        <v xml:space="preserve">49 (52)  </v>
      </c>
      <c r="L7" s="140"/>
      <c r="M7" s="28"/>
      <c r="N7" s="28"/>
      <c r="O7" s="28"/>
      <c r="P7" s="28"/>
      <c r="Q7" s="28"/>
      <c r="R7" s="28"/>
      <c r="S7" s="28"/>
      <c r="T7" s="28"/>
      <c r="U7" s="28"/>
      <c r="V7" s="28"/>
      <c r="W7" s="28"/>
      <c r="X7" s="28"/>
      <c r="Y7" s="28"/>
      <c r="Z7" s="28"/>
      <c r="AA7" s="28"/>
      <c r="AB7" s="28"/>
      <c r="AC7" s="28"/>
      <c r="AD7" s="28"/>
      <c r="AE7" s="28"/>
      <c r="AF7" s="28"/>
      <c r="AG7" s="28"/>
      <c r="AH7" s="28"/>
      <c r="AI7" s="28"/>
      <c r="AJ7" s="28"/>
      <c r="AK7" s="28"/>
      <c r="AL7" s="98" t="str">
        <f>C7</f>
        <v>???od</v>
      </c>
      <c r="AM7" s="269">
        <f t="shared" ref="AM7:AM34" si="0">G7/G$35</f>
        <v>4.1203444988054824E-2</v>
      </c>
      <c r="AN7" s="595">
        <v>1</v>
      </c>
      <c r="AO7" s="595" t="str">
        <f t="shared" ref="AO7:AO34" si="1">INDEX(AL$7:AL$34,MATCH(AP7,$AM$7:$AM$34,0))</f>
        <v>SSP</v>
      </c>
      <c r="AP7" s="596">
        <f>LARGE(AM$7:AM$34,1)</f>
        <v>0.19297224097753338</v>
      </c>
      <c r="AQ7" s="28"/>
    </row>
    <row r="8" spans="1:43" outlineLevel="1">
      <c r="A8" s="140"/>
      <c r="B8" s="88">
        <v>2</v>
      </c>
      <c r="C8" s="431" t="s">
        <v>636</v>
      </c>
      <c r="D8" s="94" t="str">
        <f>DATEDIF(Podcasts!E113,Podcasts!E238,"y")&amp; " Jahre, " &amp;DATEDIF(Podcasts!E113,Podcasts!E238,"ym")&amp;IF(DATEDIF(Podcasts!E113,Podcasts!E238,"ym")&lt;&gt;1," Monate und "," Monat und ") &amp;DATEDIF(Podcasts!E113,Podcasts!E238,"mD")&amp;IF(DATEDIF(Podcasts!E113,Podcasts!E238,"mD")&lt;&gt;1," Tage"," Tag")</f>
        <v>12 Jahre, 3 Monate und 15 Tage</v>
      </c>
      <c r="E8" s="146">
        <f>SUM(Podcasts!F113:'Podcasts'!F238)</f>
        <v>0.37506944444444457</v>
      </c>
      <c r="F8" s="147">
        <f>DATEDIF(Podcasts!E113,Podcasts!E238,"D")/(Podcasts!B238-Podcasts!B113)</f>
        <v>35.911999999999999</v>
      </c>
      <c r="G8" s="95">
        <f>SUMIF(Podcasts!D113:'Podcasts'!D238, "&gt;0", Podcasts!F113:'Podcasts'!F238)</f>
        <v>0.206087962962963</v>
      </c>
      <c r="H8" s="148">
        <f ca="1">G8/(K2-J8)</f>
        <v>2.7116837231968816E-3</v>
      </c>
      <c r="I8" s="114">
        <f ca="1">ROUND(CONVERT(Podcasts!E238-Podcasts!E113,"day","day")/((K2-J8)-1),0)</f>
        <v>60</v>
      </c>
      <c r="J8" s="185">
        <f ca="1">K2-(COUNTIF(AR$44:AR$273,"")-(COUNTA(B44:B273)-K2))</f>
        <v>150</v>
      </c>
      <c r="K8" s="96" t="str">
        <f ca="1">K2-J8&amp;" ("&amp;K2-J8+19&amp;")  "</f>
        <v xml:space="preserve">76 (95)  </v>
      </c>
      <c r="L8" s="140"/>
      <c r="M8" s="28"/>
      <c r="N8" s="28"/>
      <c r="O8" s="28"/>
      <c r="P8" s="28"/>
      <c r="Q8" s="28"/>
      <c r="R8" s="28"/>
      <c r="S8" s="28"/>
      <c r="T8" s="28"/>
      <c r="U8" s="28"/>
      <c r="V8" s="28"/>
      <c r="W8" s="28"/>
      <c r="X8" s="28"/>
      <c r="Y8" s="28"/>
      <c r="Z8" s="28"/>
      <c r="AA8" s="28" t="s">
        <v>235</v>
      </c>
      <c r="AB8" s="28" t="s">
        <v>31</v>
      </c>
      <c r="AC8" s="28" t="s">
        <v>380</v>
      </c>
      <c r="AD8" s="28"/>
      <c r="AE8" s="28"/>
      <c r="AF8" s="28"/>
      <c r="AG8" s="28"/>
      <c r="AH8" s="28"/>
      <c r="AI8" s="28"/>
      <c r="AJ8" s="28"/>
      <c r="AK8" s="28"/>
      <c r="AL8" s="98" t="str">
        <f t="shared" ref="AL8:AL13" si="2">C8</f>
        <v>Ohr</v>
      </c>
      <c r="AM8" s="269">
        <f t="shared" si="0"/>
        <v>3.4779592196053258E-3</v>
      </c>
      <c r="AN8" s="597">
        <v>2</v>
      </c>
      <c r="AO8" s="597" t="str">
        <f t="shared" si="1"/>
        <v>Zentrale</v>
      </c>
      <c r="AP8" s="598">
        <f>LARGE(AM$7:AM$34,2)</f>
        <v>0.13144013802364435</v>
      </c>
      <c r="AQ8" s="28"/>
    </row>
    <row r="9" spans="1:43" ht="15" outlineLevel="1" thickBot="1">
      <c r="A9" s="140"/>
      <c r="B9" s="88">
        <v>3</v>
      </c>
      <c r="C9" s="431" t="s">
        <v>416</v>
      </c>
      <c r="D9" s="94" t="str">
        <f>DATEDIF(Podcasts!E244,Podcasts!E299,"y")&amp; " Jahre, " &amp;DATEDIF(Podcasts!E244,Podcasts!E299,"ym")&amp;IF(DATEDIF(Podcasts!E244,Podcasts!E299,"ym")&lt;&gt;1," Monate und "," Monat und ") &amp;DATEDIF(Podcasts!E244,Podcasts!E299,"mD")&amp;IF(DATEDIF(Podcasts!E244,Podcasts!E299,"mD")&lt;&gt;1," Tage"," Tag")</f>
        <v>9 Jahre, 9 Monate und 3 Tage</v>
      </c>
      <c r="E9" s="146">
        <f>SUM(Podcasts!F244:'Podcasts'!F299)</f>
        <v>1.1588425925925929</v>
      </c>
      <c r="F9" s="147">
        <f>DATEDIF(Podcasts!E244,Podcasts!E299,"D")/(Podcasts!B299-Podcasts!B244)</f>
        <v>64.8</v>
      </c>
      <c r="G9" s="95">
        <f>SUMIF(Podcasts!D244:'Podcasts'!D299,"&gt;0", Podcasts!F244:'Podcasts'!F299)</f>
        <v>0.81332175925925909</v>
      </c>
      <c r="H9" s="148">
        <f ca="1">G9/(K2-J9)</f>
        <v>2.1981669169169164E-2</v>
      </c>
      <c r="I9" s="114">
        <f ca="1">ROUND(CONVERT(Podcasts!E299-Podcasts!E244,"day","day")/((K2-J9)-1),0)</f>
        <v>99</v>
      </c>
      <c r="J9" s="185">
        <f ca="1">K2-(COUNTIF(AS$44:AS$273,"")-(COUNTA(B44:B273)-K2))</f>
        <v>189</v>
      </c>
      <c r="K9" s="96" t="str">
        <f ca="1">K2-J9&amp;" ("&amp;K2-J9+1&amp;")  "</f>
        <v xml:space="preserve">37 (38)  </v>
      </c>
      <c r="L9" s="140"/>
      <c r="M9" s="28"/>
      <c r="N9" s="28"/>
      <c r="O9" s="28"/>
      <c r="P9" s="28"/>
      <c r="Q9" s="28"/>
      <c r="R9" s="28"/>
      <c r="S9" s="28"/>
      <c r="T9" s="28"/>
      <c r="U9" s="28"/>
      <c r="V9" s="28"/>
      <c r="W9" s="28"/>
      <c r="X9" s="28"/>
      <c r="Y9" s="28"/>
      <c r="Z9" s="28"/>
      <c r="AA9" s="28" t="s">
        <v>1757</v>
      </c>
      <c r="AB9" s="28" t="s">
        <v>197</v>
      </c>
      <c r="AC9" s="28">
        <f>COUNTIF(E$44:E$273,AB9)</f>
        <v>24</v>
      </c>
      <c r="AD9" s="28"/>
      <c r="AE9" s="28"/>
      <c r="AF9" s="28"/>
      <c r="AG9" s="28"/>
      <c r="AH9" s="28"/>
      <c r="AI9" s="28"/>
      <c r="AJ9" s="28"/>
      <c r="AK9" s="28"/>
      <c r="AL9" s="98" t="str">
        <f t="shared" si="2"/>
        <v>Talker</v>
      </c>
      <c r="AM9" s="269">
        <f t="shared" si="0"/>
        <v>1.3725692031949104E-2</v>
      </c>
      <c r="AN9" s="599">
        <v>3</v>
      </c>
      <c r="AO9" s="599" t="str">
        <f t="shared" si="1"/>
        <v>Kuchen</v>
      </c>
      <c r="AP9" s="600">
        <f>LARGE(AM$7:AM$34,3)</f>
        <v>9.2471603144020628E-2</v>
      </c>
      <c r="AQ9" s="28"/>
    </row>
    <row r="10" spans="1:43" ht="15" outlineLevel="1" thickTop="1">
      <c r="A10" s="140"/>
      <c r="B10" s="88">
        <v>4</v>
      </c>
      <c r="C10" s="431" t="s">
        <v>198</v>
      </c>
      <c r="D10" s="94" t="str">
        <f>DATEDIF(Podcasts!E305,Podcasts!E326,"y")&amp; " Jahre, " &amp;DATEDIF(Podcasts!E305,Podcasts!E326,"ym")&amp;IF(DATEDIF(Podcasts!E305,Podcasts!E326,"ym")&lt;&gt;1," Monate und "," Monat und ") &amp;DATEDIF(Podcasts!E305,Podcasts!E326,"mD")&amp; IF(DATEDIF(Podcasts!E305,Podcasts!E326,"mD")&lt;&gt;1," Tage"," Tag")</f>
        <v>3 Jahre, 2 Monate und 14 Tage</v>
      </c>
      <c r="E10" s="146">
        <f>SUM(Podcasts!F305:'Podcasts'!F324)</f>
        <v>1.3372569444444444</v>
      </c>
      <c r="F10" s="147">
        <f>DATEDIF(Podcasts!E305,Podcasts!E324,"D")/(Podcasts!B324-Podcasts!B305)</f>
        <v>30.263157894736842</v>
      </c>
      <c r="G10" s="150">
        <f>SUMIF(Podcasts!D305:'Podcasts'!D473,"&gt;0", Podcasts!F305:'Podcasts'!F473)</f>
        <v>1.0603472222222221</v>
      </c>
      <c r="H10" s="151">
        <f ca="1">G10/(K2-J10)</f>
        <v>7.854423868312756E-3</v>
      </c>
      <c r="I10" s="152">
        <f>ROUND(CONVERT(Podcasts!E324-Podcasts!E305,"day","day")/COUNTA(Podcasts!B305:'Podcasts'!B324),0)</f>
        <v>29</v>
      </c>
      <c r="J10" s="185">
        <f ca="1">K2-(COUNTIF(AT$44:AT$273,"")-(COUNTA(B44:B273)-K2))</f>
        <v>91</v>
      </c>
      <c r="K10" s="96" t="str">
        <f ca="1">K2-J10&amp;" ("&amp;K2-J10+9&amp;")  "</f>
        <v xml:space="preserve">135 (144)  </v>
      </c>
      <c r="L10" s="140"/>
      <c r="M10" s="28"/>
      <c r="N10" s="28"/>
      <c r="O10" s="28"/>
      <c r="P10" s="28"/>
      <c r="Q10" s="28"/>
      <c r="R10" s="28"/>
      <c r="S10" s="28"/>
      <c r="T10" s="28"/>
      <c r="U10" s="28"/>
      <c r="V10" s="28"/>
      <c r="W10" s="28"/>
      <c r="X10" s="28"/>
      <c r="Y10" s="28"/>
      <c r="Z10" s="28"/>
      <c r="AA10" s="28"/>
      <c r="AB10" s="28" t="s">
        <v>109</v>
      </c>
      <c r="AC10" s="28">
        <f>COUNTIF(E$44:E$273,AB10)</f>
        <v>7</v>
      </c>
      <c r="AD10" s="28"/>
      <c r="AE10" s="28"/>
      <c r="AF10" s="28"/>
      <c r="AG10" s="28"/>
      <c r="AH10" s="28"/>
      <c r="AI10" s="28"/>
      <c r="AJ10" s="28"/>
      <c r="AK10" s="28"/>
      <c r="AL10" s="98" t="str">
        <f t="shared" si="2"/>
        <v>Fürst</v>
      </c>
      <c r="AM10" s="269">
        <f t="shared" si="0"/>
        <v>1.789451622739089E-2</v>
      </c>
      <c r="AN10" s="591">
        <v>4</v>
      </c>
      <c r="AO10" s="591" t="str">
        <f t="shared" si="1"/>
        <v>R&amp;A</v>
      </c>
      <c r="AP10" s="592">
        <f>LARGE(AM$7:AM$34,4)</f>
        <v>8.0749165619331556E-2</v>
      </c>
      <c r="AQ10" s="28"/>
    </row>
    <row r="11" spans="1:43" outlineLevel="1">
      <c r="A11" s="140"/>
      <c r="B11" s="88">
        <v>5</v>
      </c>
      <c r="C11" s="431" t="s">
        <v>396</v>
      </c>
      <c r="D11" s="94" t="str">
        <f>DATEDIF(Podcasts!E479,Podcasts!E488,"y")&amp; " Jahre, " &amp;DATEDIF(Podcasts!E479,Podcasts!E488,"ym")&amp;IF(DATEDIF(Podcasts!E479,Podcasts!E488,"ym")&lt;&gt;1," Monate und "," Monat und ") &amp;DATEDIF(Podcasts!E479,Podcasts!E488,"mD")&amp; IF(DATEDIF(Podcasts!E479,Podcasts!E488,"mD")&lt;&gt;1," Tage"," Tag")</f>
        <v>6 Jahre, 11 Monate und 6 Tage</v>
      </c>
      <c r="E11" s="146">
        <f>SUM(Podcasts!F479:'Podcasts'!F488)</f>
        <v>0.51138888888888889</v>
      </c>
      <c r="F11" s="147">
        <f>DATEDIF(Podcasts!E479,Podcasts!E488,"D")/(Podcasts!B488-Podcasts!B479)</f>
        <v>281.22222222222223</v>
      </c>
      <c r="G11" s="95">
        <f>SUMIF(Podcasts!D479:'Podcasts'!D488,"&gt;0", Podcasts!F479:'Podcasts'!F488)</f>
        <v>0.21962962962962962</v>
      </c>
      <c r="H11" s="148">
        <f ca="1">G11/(K2-J11)</f>
        <v>5.4907407407407405E-2</v>
      </c>
      <c r="I11" s="114">
        <f ca="1">ROUND(CONVERT(Podcasts!E488-Podcasts!E479,"day","day")/((K2-J11)-1),0)</f>
        <v>844</v>
      </c>
      <c r="J11" s="185">
        <f ca="1">K2-(COUNTIF(AU$44:AU$273,"")-(COUNTA(B44:B273)-K2))</f>
        <v>222</v>
      </c>
      <c r="K11" s="96" t="str">
        <f ca="1">TEXT(K2-J11, "00")&amp;" ("&amp;K2-J11+3&amp;")  "</f>
        <v xml:space="preserve">04 (7)  </v>
      </c>
      <c r="L11" s="140"/>
      <c r="M11" s="28"/>
      <c r="N11" s="28"/>
      <c r="O11" s="28"/>
      <c r="P11" s="28"/>
      <c r="Q11" s="28"/>
      <c r="R11" s="28"/>
      <c r="S11" s="28"/>
      <c r="T11" s="28"/>
      <c r="U11" s="28"/>
      <c r="V11" s="28"/>
      <c r="W11" s="28"/>
      <c r="X11" s="28"/>
      <c r="Y11" s="28"/>
      <c r="Z11" s="28"/>
      <c r="AA11" s="28"/>
      <c r="AB11" s="28" t="s">
        <v>44</v>
      </c>
      <c r="AC11" s="28">
        <f>COUNTIF(E$44:E$273,AB11)</f>
        <v>1</v>
      </c>
      <c r="AD11" s="28"/>
      <c r="AE11" s="28"/>
      <c r="AF11" s="28"/>
      <c r="AG11" s="28"/>
      <c r="AH11" s="28"/>
      <c r="AI11" s="28"/>
      <c r="AJ11" s="28"/>
      <c r="AK11" s="28"/>
      <c r="AL11" s="98" t="str">
        <f t="shared" si="2"/>
        <v>Hoerst</v>
      </c>
      <c r="AM11" s="269">
        <f t="shared" si="0"/>
        <v>3.7064896187369786E-3</v>
      </c>
      <c r="AN11" s="583">
        <v>5</v>
      </c>
      <c r="AO11" s="583" t="str">
        <f t="shared" si="1"/>
        <v>Die Zw3i</v>
      </c>
      <c r="AP11" s="584">
        <f>LARGE(AM$7:AM$34,5)</f>
        <v>7.6994235368983782E-2</v>
      </c>
      <c r="AQ11" s="28"/>
    </row>
    <row r="12" spans="1:43" ht="15" outlineLevel="1" thickBot="1">
      <c r="A12" s="140"/>
      <c r="B12" s="88">
        <v>6</v>
      </c>
      <c r="C12" s="431" t="s">
        <v>114</v>
      </c>
      <c r="D12" s="94" t="str">
        <f>DATEDIF(Podcasts!E494,Podcasts!E512,"y")&amp; " Jahre, " &amp;DATEDIF(Podcasts!E494,Podcasts!E512,"ym")&amp;IF(DATEDIF(Podcasts!E494,Podcasts!E512,"ym")&lt;&gt;1," Monate und "," Monat und ") &amp;DATEDIF(Podcasts!E494,Podcasts!E512,"mD")&amp; IF(DATEDIF(Podcasts!E494,Podcasts!E512,"mD")&lt;&gt;1," Tage"," Tag")</f>
        <v>6 Jahre, 8 Monate und 17 Tage</v>
      </c>
      <c r="E12" s="146">
        <f>SUM(Podcasts!F494:'Podcasts'!F512)</f>
        <v>1.0700578703703703</v>
      </c>
      <c r="F12" s="147">
        <f>DATEDIF(Podcasts!E494,Podcasts!E512,"D")/(Podcasts!B512-Podcasts!B494)</f>
        <v>136.11111111111111</v>
      </c>
      <c r="G12" s="95">
        <f>SUMIF(Podcasts!D494:'Podcasts'!D512,"&gt;0", Podcasts!F494:'Podcasts'!F512)</f>
        <v>1.0700578703703703</v>
      </c>
      <c r="H12" s="148">
        <f ca="1">G12/(K2-J12)</f>
        <v>5.6318835282651067E-2</v>
      </c>
      <c r="I12" s="114">
        <f ca="1">ROUND(CONVERT(Podcasts!E512-Podcasts!E494,"day","day")/((K2-J12)-1),0)</f>
        <v>136</v>
      </c>
      <c r="J12" s="185">
        <f ca="1">K2-(COUNTIF(AV$44:AV$273,"")-(COUNTA(B44:B273)-K2))+6 +N("+6 = 6 unveröffentlichte Folgen")</f>
        <v>207</v>
      </c>
      <c r="K12" s="96" t="str">
        <f ca="1">K2-J12&amp;" ("&amp;K2-J12+0&amp;")  "</f>
        <v xml:space="preserve">19 (19)  </v>
      </c>
      <c r="L12" s="140"/>
      <c r="M12" s="28"/>
      <c r="N12" s="28"/>
      <c r="O12" s="28"/>
      <c r="P12" s="28"/>
      <c r="Q12" s="28"/>
      <c r="R12" s="28"/>
      <c r="S12" s="28"/>
      <c r="T12" s="28"/>
      <c r="U12" s="28"/>
      <c r="V12" s="28"/>
      <c r="W12" s="28"/>
      <c r="X12" s="28"/>
      <c r="Y12" s="28"/>
      <c r="Z12" s="28"/>
      <c r="AA12" s="28"/>
      <c r="AB12" s="28" t="s">
        <v>199</v>
      </c>
      <c r="AC12" s="28">
        <f>COUNTIF(E$44:E$273,AB12)</f>
        <v>4</v>
      </c>
      <c r="AD12" s="28"/>
      <c r="AE12" s="28"/>
      <c r="AF12" s="28"/>
      <c r="AG12" s="28"/>
      <c r="AH12" s="28"/>
      <c r="AI12" s="28"/>
      <c r="AJ12" s="28"/>
      <c r="AK12" s="28"/>
      <c r="AL12" s="98" t="str">
        <f t="shared" si="2"/>
        <v>Schrott</v>
      </c>
      <c r="AM12" s="269">
        <f t="shared" si="0"/>
        <v>1.8058394009332308E-2</v>
      </c>
      <c r="AN12" s="585">
        <v>6</v>
      </c>
      <c r="AO12" s="585" t="str">
        <f t="shared" si="1"/>
        <v>Zeichen</v>
      </c>
      <c r="AP12" s="586">
        <f>LARGE(AM$7:AM$34,6)</f>
        <v>5.7093730082548366E-2</v>
      </c>
      <c r="AQ12" s="28"/>
    </row>
    <row r="13" spans="1:43" ht="15" outlineLevel="1" thickTop="1">
      <c r="A13" s="140"/>
      <c r="B13" s="88">
        <v>7</v>
      </c>
      <c r="C13" s="431" t="s">
        <v>2762</v>
      </c>
      <c r="D13" s="94" t="str">
        <f>DATEDIF(Podcasts!E524,Podcasts!E532,"y")&amp; " Jahre, " &amp;DATEDIF(Podcasts!E524,Podcasts!E532,"ym")&amp;IF(DATEDIF(Podcasts!E524,Podcasts!E532,"ym")&lt;&gt;1," Monate und "," Monat und ") &amp;DATEDIF(Podcasts!E524,Podcasts!E532,"mD")&amp; IF(DATEDIF(Podcasts!E524,Podcasts!E532,"mD")&lt;&gt;1," Tage"," Tag")</f>
        <v>0 Jahre, 11 Monate und 21 Tage</v>
      </c>
      <c r="E13" s="146">
        <f>SUM(Podcasts!F524:'Podcasts'!F532)</f>
        <v>0.33719907407407407</v>
      </c>
      <c r="F13" s="147">
        <f>DATEDIF(Podcasts!E524,Podcasts!E532,"D")/(Podcasts!B532-Podcasts!B524)</f>
        <v>44.5</v>
      </c>
      <c r="G13" s="95">
        <f>SUMIF(Podcasts!D524:'Podcasts'!D532,"&gt;0", Podcasts!F524:'Podcasts'!F532)</f>
        <v>0.24236111111111111</v>
      </c>
      <c r="H13" s="148">
        <f ca="1">G13/(K2-J13)</f>
        <v>3.4623015873015875E-2</v>
      </c>
      <c r="I13" s="114">
        <f ca="1">ROUND(CONVERT(Podcasts!E532-Podcasts!E524,"day","day")/((K2-J13)-1),0)</f>
        <v>59</v>
      </c>
      <c r="J13" s="185">
        <f ca="1">K2-(COUNTIF(AW$44:AW$273,"")-(COUNTA(B44:B273)-K2))</f>
        <v>219</v>
      </c>
      <c r="K13" s="96" t="str">
        <f ca="1">TEXT(K2-J13, "00")&amp;" ("&amp;K2-J13+0&amp;")  "</f>
        <v xml:space="preserve">07 (7)  </v>
      </c>
      <c r="L13" s="140"/>
      <c r="M13" s="28"/>
      <c r="N13" s="28"/>
      <c r="O13" s="28"/>
      <c r="P13" s="28"/>
      <c r="Q13" s="28"/>
      <c r="R13" s="28"/>
      <c r="S13" s="28"/>
      <c r="T13" s="28"/>
      <c r="U13" s="28"/>
      <c r="V13" s="28"/>
      <c r="W13" s="28"/>
      <c r="X13" s="28"/>
      <c r="Y13" s="28"/>
      <c r="Z13" s="28"/>
      <c r="AA13" s="28" t="s">
        <v>1758</v>
      </c>
      <c r="AB13" s="28" t="s">
        <v>197</v>
      </c>
      <c r="AC13" s="28">
        <f>COUNTIF(H$44:H$273,AB13)</f>
        <v>15</v>
      </c>
      <c r="AD13" s="28"/>
      <c r="AE13" s="28"/>
      <c r="AF13" s="28"/>
      <c r="AG13" s="28"/>
      <c r="AH13" s="28"/>
      <c r="AI13" s="28"/>
      <c r="AJ13" s="28"/>
      <c r="AK13" s="28"/>
      <c r="AL13" s="98" t="str">
        <f t="shared" si="2"/>
        <v>Keller</v>
      </c>
      <c r="AM13" s="269">
        <f t="shared" si="0"/>
        <v>4.0901081690742167E-3</v>
      </c>
      <c r="AN13" s="593">
        <v>7</v>
      </c>
      <c r="AO13" s="593" t="str">
        <f t="shared" si="1"/>
        <v>Abfahrt</v>
      </c>
      <c r="AP13" s="594">
        <f>LARGE(AM$7:AM$34,7)</f>
        <v>4.9494215348347269E-2</v>
      </c>
      <c r="AQ13" s="28"/>
    </row>
    <row r="14" spans="1:43" outlineLevel="1">
      <c r="A14" s="140"/>
      <c r="B14" s="88">
        <v>8</v>
      </c>
      <c r="C14" s="431" t="s">
        <v>109</v>
      </c>
      <c r="D14" s="94" t="str">
        <f>DATEDIF(Podcasts!E538,Podcasts!E909,"y")&amp; " Jahre, " &amp;DATEDIF(Podcasts!E538,Podcasts!E909,"ym")&amp;IF(DATEDIF(Podcasts!E538,Podcasts!E909,"ym")&lt;&gt;1," Monate und "," Monat und ") &amp;DATEDIF(Podcasts!E538,Podcasts!E909,"mD")&amp; IF(DATEDIF(Podcasts!E538,Podcasts!E909,"mD")&lt;&gt;1," Tage"," Tag")</f>
        <v>7 Jahre, 0 Monate und 21 Tage</v>
      </c>
      <c r="E14" s="146">
        <f>SUM(Podcasts!F538:'Podcasts'!F909)</f>
        <v>19.550185185185192</v>
      </c>
      <c r="F14" s="147">
        <f>DATEDIF(Podcasts!E538,Podcasts!E909,"D")/(Podcasts!B909-Podcasts!B538)</f>
        <v>6.93010752688172</v>
      </c>
      <c r="G14" s="95">
        <f>SUMIF(Podcasts!D538:'Podcasts'!D909,"&gt;0", Podcasts!F538:'Podcasts'!F909)</f>
        <v>11.434652777777778</v>
      </c>
      <c r="H14" s="148">
        <f ca="1">G14/(K2-J14)</f>
        <v>8.6626157407407409E-2</v>
      </c>
      <c r="I14" s="114">
        <f ca="1">ROUND(CONVERT(Podcasts!E909-Podcasts!E538,"day","day")/((K2-J14)-1),0)</f>
        <v>20</v>
      </c>
      <c r="J14" s="185">
        <f ca="1">K2-(COUNTIF(AX$44:AX$273,"")-(COUNTA(B44:B273)-K2))</f>
        <v>94</v>
      </c>
      <c r="K14" s="96" t="str">
        <f ca="1">K2-J14&amp;" ("&amp;K2-J14+15&amp;")  "</f>
        <v xml:space="preserve">132 (147)  </v>
      </c>
      <c r="L14" s="140"/>
      <c r="M14" s="28"/>
      <c r="N14" s="28"/>
      <c r="O14" s="28"/>
      <c r="P14" s="28"/>
      <c r="Q14" s="28"/>
      <c r="R14" s="28"/>
      <c r="S14" s="28"/>
      <c r="T14" s="28"/>
      <c r="U14" s="28"/>
      <c r="V14" s="28"/>
      <c r="W14" s="28"/>
      <c r="X14" s="28"/>
      <c r="Y14" s="28"/>
      <c r="Z14" s="28"/>
      <c r="AA14" s="28"/>
      <c r="AB14" s="28" t="s">
        <v>109</v>
      </c>
      <c r="AC14" s="28">
        <f>COUNTIF(H$44:H$273,AB14)</f>
        <v>47</v>
      </c>
      <c r="AD14" s="28"/>
      <c r="AE14" s="28"/>
      <c r="AF14" s="28"/>
      <c r="AG14" s="28"/>
      <c r="AH14" s="28"/>
      <c r="AI14" s="28"/>
      <c r="AJ14" s="28"/>
      <c r="AK14" s="28"/>
      <c r="AL14" s="98" t="str">
        <f t="shared" ref="AL14:AL28" si="3">C14</f>
        <v>SSP</v>
      </c>
      <c r="AM14" s="269">
        <f t="shared" si="0"/>
        <v>0.19297224097753338</v>
      </c>
      <c r="AN14" s="587">
        <v>8</v>
      </c>
      <c r="AO14" s="587" t="str">
        <f t="shared" si="1"/>
        <v>Kaffee</v>
      </c>
      <c r="AP14" s="588">
        <f>LARGE(AM$7:AM$34,8)</f>
        <v>4.3501054462401531E-2</v>
      </c>
      <c r="AQ14" s="28"/>
    </row>
    <row r="15" spans="1:43" outlineLevel="1">
      <c r="A15" s="140"/>
      <c r="B15" s="88">
        <v>9</v>
      </c>
      <c r="C15" s="431" t="s">
        <v>44</v>
      </c>
      <c r="D15" s="94" t="str">
        <f>DATEDIF(Podcasts!E915,Podcasts!E981,"y")&amp; " Jahre, " &amp;DATEDIF(Podcasts!E915,Podcasts!E981,"ym")&amp;IF(DATEDIF(Podcasts!E915,Podcasts!E981,"ym")&lt;&gt;1," Monate und "," Monat und ") &amp;DATEDIF(Podcasts!E915,Podcasts!E981,"mD")&amp; IF(DATEDIF(Podcasts!E915,Podcasts!E981,"mD")&lt;&gt;1," Tage"," Tag")</f>
        <v>4 Jahre, 8 Monate und 29 Tage</v>
      </c>
      <c r="E15" s="146">
        <f>SUM(Podcasts!F915:'Podcasts'!F981)</f>
        <v>5.247719907407407</v>
      </c>
      <c r="F15" s="147">
        <f>DATEDIF(Podcasts!E915,Podcasts!E981,"D")/(Podcasts!B981-Podcasts!B915)</f>
        <v>26.287878787878789</v>
      </c>
      <c r="G15" s="95">
        <f>SUMIF(Podcasts!D915:'Podcasts'!D981,"&gt;0", Podcasts!F915:'Podcasts'!F981)</f>
        <v>4.7848263888888889</v>
      </c>
      <c r="H15" s="148">
        <f ca="1">G15/(K2-J15)</f>
        <v>8.3944322612085773E-2</v>
      </c>
      <c r="I15" s="114">
        <f ca="1">ROUND(CONVERT(Podcasts!E981-Podcasts!E915,"day","day")/((K2-J15)-1),0)</f>
        <v>31</v>
      </c>
      <c r="J15" s="185">
        <f ca="1">K2-(COUNTIF(AY$44:AY$273,"")-(COUNTA(B44:B273)-K2))</f>
        <v>169</v>
      </c>
      <c r="K15" s="96" t="str">
        <f ca="1">K2-J15&amp;" ("&amp;K2-J15+1&amp;")  "</f>
        <v xml:space="preserve">57 (58)  </v>
      </c>
      <c r="L15" s="140"/>
      <c r="M15" s="28"/>
      <c r="N15" s="28"/>
      <c r="O15" s="28"/>
      <c r="P15" s="28"/>
      <c r="Q15" s="28"/>
      <c r="R15" s="28"/>
      <c r="S15" s="28"/>
      <c r="T15" s="28"/>
      <c r="U15" s="28"/>
      <c r="V15" s="28"/>
      <c r="W15" s="28"/>
      <c r="X15" s="28"/>
      <c r="Y15" s="28"/>
      <c r="Z15" s="28"/>
      <c r="AA15" s="28"/>
      <c r="AB15" s="28" t="s">
        <v>44</v>
      </c>
      <c r="AC15" s="28">
        <f>COUNTIF(H$44:H$273,AB15)</f>
        <v>15</v>
      </c>
      <c r="AD15" s="28"/>
      <c r="AE15" s="28"/>
      <c r="AF15" s="28"/>
      <c r="AG15" s="28"/>
      <c r="AH15" s="28"/>
      <c r="AI15" s="28"/>
      <c r="AJ15" s="28"/>
      <c r="AK15" s="28"/>
      <c r="AL15" s="98" t="str">
        <f t="shared" si="3"/>
        <v>R&amp;A</v>
      </c>
      <c r="AM15" s="269">
        <f t="shared" si="0"/>
        <v>8.0749165619331556E-2</v>
      </c>
      <c r="AN15" s="589">
        <v>9</v>
      </c>
      <c r="AO15" s="589" t="str">
        <f t="shared" si="1"/>
        <v>???od</v>
      </c>
      <c r="AP15" s="590">
        <f>LARGE(AM$7:AM$34,9)</f>
        <v>4.1203444988054824E-2</v>
      </c>
      <c r="AQ15" s="28"/>
    </row>
    <row r="16" spans="1:43" outlineLevel="1">
      <c r="A16" s="140"/>
      <c r="B16" s="88">
        <v>10</v>
      </c>
      <c r="C16" s="431" t="s">
        <v>34</v>
      </c>
      <c r="D16" s="94" t="str">
        <f>DATEDIF(Podcasts!E987,Podcasts!E995,"y")&amp; " Jahre, " &amp;DATEDIF(Podcasts!E987,Podcasts!E995,"ym")&amp;IF(DATEDIF(Podcasts!E987,Podcasts!E995,"ym")&lt;&gt;1," Monate und "," Monat und ") &amp;DATEDIF(Podcasts!E987,Podcasts!E995,"mD")&amp; IF(DATEDIF(Podcasts!E987,Podcasts!E995,"mD")&lt;&gt;1," Tage"," Tag")</f>
        <v>0 Jahre, 3 Monate und 27 Tage</v>
      </c>
      <c r="E16" s="146">
        <f>SUM(Podcasts!F987:'Podcasts'!F995)</f>
        <v>0.52178240740740744</v>
      </c>
      <c r="F16" s="147">
        <f>DATEDIF(Podcasts!E987,Podcasts!E995,"D")/(Podcasts!B995-Podcasts!B987-1) +N("-1 = 1 unveröffentlichte Folge")</f>
        <v>17</v>
      </c>
      <c r="G16" s="198">
        <f>SUM(Podcasts!F987:'Podcasts'!F995)</f>
        <v>0.52178240740740744</v>
      </c>
      <c r="H16" s="199">
        <f>G16/8</f>
        <v>6.5222800925925931E-2</v>
      </c>
      <c r="I16" s="200">
        <f>ROUND(CONVERT(Podcasts!E995-Podcasts!E987,"day","day")/((8)-1),0)</f>
        <v>17</v>
      </c>
      <c r="J16" s="185" t="s">
        <v>45</v>
      </c>
      <c r="K16" s="96" t="str">
        <f>0&amp;" ("&amp;0+8&amp;")  "</f>
        <v xml:space="preserve">0 (8)  </v>
      </c>
      <c r="L16" s="140"/>
      <c r="M16" s="28"/>
      <c r="N16" s="28"/>
      <c r="O16" s="28"/>
      <c r="P16" s="28"/>
      <c r="Q16" s="28"/>
      <c r="R16" s="28"/>
      <c r="S16" s="28"/>
      <c r="T16" s="28"/>
      <c r="U16" s="28"/>
      <c r="V16" s="28"/>
      <c r="W16" s="28"/>
      <c r="X16" s="28"/>
      <c r="Y16" s="28"/>
      <c r="Z16" s="28"/>
      <c r="AA16" s="28"/>
      <c r="AB16" s="28" t="s">
        <v>199</v>
      </c>
      <c r="AC16" s="28">
        <f>COUNTIF(H$44:H$273,AB16)</f>
        <v>9</v>
      </c>
      <c r="AD16" s="28"/>
      <c r="AE16" s="28"/>
      <c r="AF16" s="28"/>
      <c r="AG16" s="28"/>
      <c r="AH16" s="28"/>
      <c r="AI16" s="28"/>
      <c r="AJ16" s="28"/>
      <c r="AK16" s="28"/>
      <c r="AL16" s="98" t="str">
        <f t="shared" si="3"/>
        <v>DiE 2WO</v>
      </c>
      <c r="AM16" s="269">
        <f t="shared" si="0"/>
        <v>8.8056473962848068E-3</v>
      </c>
      <c r="AN16" s="294">
        <v>10</v>
      </c>
      <c r="AO16" s="294" t="str">
        <f t="shared" si="1"/>
        <v>RBW</v>
      </c>
      <c r="AP16" s="295">
        <f>LARGE(AM$7:AM$34,10)</f>
        <v>3.5991584611960857E-2</v>
      </c>
      <c r="AQ16" s="28"/>
    </row>
    <row r="17" spans="1:43" outlineLevel="1">
      <c r="A17" s="140"/>
      <c r="B17" s="88">
        <v>11</v>
      </c>
      <c r="C17" s="431" t="s">
        <v>199</v>
      </c>
      <c r="D17" s="94" t="str">
        <f>DATEDIF(Podcasts!E1001,Podcasts!E1251,"y")&amp; " Jahre, " &amp;DATEDIF(Podcasts!E1001,Podcasts!E1251,"ym")&amp;IF(DATEDIF(Podcasts!E1001,Podcasts!E1251,"ym")&lt;&gt;1," Monate und "," Monat und ") &amp;DATEDIF(Podcasts!E1001,Podcasts!E1251,"mD")&amp; IF(DATEDIF(Podcasts!E1001,Podcasts!E1251,"mD")&lt;&gt;1," Tage"," Tag")</f>
        <v>5 Jahre, 3 Monate und 10 Tage</v>
      </c>
      <c r="E17" s="146">
        <f>SUM(Podcasts!F1001:'Podcasts'!F1251)</f>
        <v>13.030949074074075</v>
      </c>
      <c r="F17" s="147">
        <f>DATEDIF(Podcasts!E1001,Podcasts!E1251,"D")/(Podcasts!B1251-Podcasts!B1001)</f>
        <v>7.7080000000000002</v>
      </c>
      <c r="G17" s="95">
        <f>SUMIF(Podcasts!D1001:'Podcasts'!D1251,"&gt;0", Podcasts!F1001:'Podcasts'!F1251)</f>
        <v>7.7885416666666663</v>
      </c>
      <c r="H17" s="148">
        <f ca="1">G17/(K2-J17)</f>
        <v>0.13200918079096044</v>
      </c>
      <c r="I17" s="114">
        <f ca="1">ROUND(CONVERT(Podcasts!E1251-Podcasts!E1001,"day","day")/((K2-J17)-1),0)</f>
        <v>33</v>
      </c>
      <c r="J17" s="185">
        <f ca="1">K2-(COUNTIF(BA$44:BA$273,"")-(COUNTA(B44:B273)-K2))</f>
        <v>167</v>
      </c>
      <c r="K17" s="96" t="str">
        <f ca="1">K2-J17&amp;" ("&amp;K2-J17+13&amp;")  "</f>
        <v xml:space="preserve">59 (72)  </v>
      </c>
      <c r="L17" s="140"/>
      <c r="M17" s="28"/>
      <c r="N17" s="28"/>
      <c r="O17" s="28"/>
      <c r="P17" s="28"/>
      <c r="Q17" s="28"/>
      <c r="R17" s="28"/>
      <c r="S17" s="28"/>
      <c r="T17" s="28"/>
      <c r="U17" s="28"/>
      <c r="V17" s="28"/>
      <c r="W17" s="28"/>
      <c r="X17" s="28"/>
      <c r="Y17" s="28"/>
      <c r="Z17" s="28"/>
      <c r="AA17" s="28" t="s">
        <v>1759</v>
      </c>
      <c r="AB17" s="28" t="s">
        <v>197</v>
      </c>
      <c r="AC17" s="28">
        <f>COUNTIF(K$44:K$273,AB17)</f>
        <v>7</v>
      </c>
      <c r="AD17" s="28"/>
      <c r="AE17" s="28"/>
      <c r="AF17" s="28"/>
      <c r="AG17" s="28"/>
      <c r="AH17" s="28"/>
      <c r="AI17" s="28"/>
      <c r="AJ17" s="28"/>
      <c r="AK17" s="28"/>
      <c r="AL17" s="98" t="str">
        <f t="shared" si="3"/>
        <v>Zentrale</v>
      </c>
      <c r="AM17" s="269">
        <f t="shared" si="0"/>
        <v>0.13144013802364435</v>
      </c>
      <c r="AN17" s="98">
        <v>11</v>
      </c>
      <c r="AO17" s="98" t="str">
        <f t="shared" si="1"/>
        <v>DGdB</v>
      </c>
      <c r="AP17" s="269">
        <f>LARGE(AM$7:AM$34,11)</f>
        <v>3.4204555020802323E-2</v>
      </c>
      <c r="AQ17" s="28"/>
    </row>
    <row r="18" spans="1:43" outlineLevel="1">
      <c r="A18" s="140"/>
      <c r="B18" s="88">
        <v>12</v>
      </c>
      <c r="C18" s="433" t="s">
        <v>572</v>
      </c>
      <c r="D18" s="94" t="str">
        <f>DATEDIF(Podcasts!E1257,Podcasts!E1267,"y")&amp; " Jahre, " &amp;DATEDIF(Podcasts!E1257,Podcasts!E1267,"ym")&amp;IF(DATEDIF(Podcasts!E1257,Podcasts!E1267,"ym")&lt;&gt;1," Monate und "," Monat und ") &amp;DATEDIF(Podcasts!E1257,Podcasts!E1267,"mD")&amp; IF(DATEDIF(Podcasts!E1257,Podcasts!E1267,"mD")&lt;&gt;1," Tage"," Tag")</f>
        <v>3 Jahre, 9 Monate und 18 Tage</v>
      </c>
      <c r="E18" s="146">
        <f>SUM(Podcasts!F1257:'Podcasts'!F1267)</f>
        <v>0.47374999999999995</v>
      </c>
      <c r="F18" s="147">
        <f>DATEDIF(Podcasts!E1257,Podcasts!E1267,"D")/(Podcasts!B1267-Podcasts!B1257)</f>
        <v>138.9</v>
      </c>
      <c r="G18" s="95">
        <f>SUMIF(Podcasts!D1257:'Podcasts'!D1267,"&gt;0", Podcasts!F1257:'Podcasts'!F1267)</f>
        <v>0.38086805555555558</v>
      </c>
      <c r="H18" s="148">
        <f ca="1">G18/(K2-J18)</f>
        <v>4.7608506944444448E-2</v>
      </c>
      <c r="I18" s="114">
        <f ca="1">ROUND(CONVERT(Podcasts!E1267-Podcasts!E1257,"day","day")/((K2-J18)-1),0)</f>
        <v>198</v>
      </c>
      <c r="J18" s="185">
        <f ca="1">K2-(COUNTIF(BB$44:BB$273,"")-(COUNTA(B44:B273)-K2))</f>
        <v>218</v>
      </c>
      <c r="K18" s="96" t="str">
        <f ca="1">TEXT(K2-J18, "00")&amp;" ("&amp;K2-J18+1&amp;")  "</f>
        <v xml:space="preserve">08 (9)  </v>
      </c>
      <c r="L18" s="140"/>
      <c r="M18" s="28"/>
      <c r="N18" s="28"/>
      <c r="O18" s="28"/>
      <c r="P18" s="28"/>
      <c r="Q18" s="28"/>
      <c r="R18" s="28"/>
      <c r="S18" s="28"/>
      <c r="T18" s="28"/>
      <c r="U18" s="28"/>
      <c r="V18" s="28"/>
      <c r="W18" s="28"/>
      <c r="X18" s="28"/>
      <c r="Y18" s="28"/>
      <c r="Z18" s="28"/>
      <c r="AA18" s="28"/>
      <c r="AB18" s="28" t="s">
        <v>109</v>
      </c>
      <c r="AC18" s="28">
        <f>COUNTIF(K$44:K$273,AB18)</f>
        <v>43</v>
      </c>
      <c r="AD18" s="28"/>
      <c r="AE18" s="28"/>
      <c r="AF18" s="28"/>
      <c r="AG18" s="28"/>
      <c r="AH18" s="28"/>
      <c r="AI18" s="28"/>
      <c r="AJ18" s="28"/>
      <c r="AK18" s="28"/>
      <c r="AL18" s="98" t="str">
        <f t="shared" si="3"/>
        <v>Gebraucht</v>
      </c>
      <c r="AM18" s="269">
        <f t="shared" si="0"/>
        <v>6.4275639694233652E-3</v>
      </c>
      <c r="AN18" s="98">
        <v>12</v>
      </c>
      <c r="AO18" s="98" t="str">
        <f t="shared" si="1"/>
        <v>Verstärker</v>
      </c>
      <c r="AP18" s="269">
        <f>LARGE(AM$7:AM$34,12)</f>
        <v>2.8309447348842966E-2</v>
      </c>
      <c r="AQ18" s="28"/>
    </row>
    <row r="19" spans="1:43" outlineLevel="1">
      <c r="A19" s="140"/>
      <c r="B19" s="88">
        <v>13</v>
      </c>
      <c r="C19" s="434" t="s">
        <v>201</v>
      </c>
      <c r="D19" s="94" t="str">
        <f>DATEDIF(Podcasts!E1273,Podcasts!E1283,"y")&amp; " Jahr, " &amp;DATEDIF(Podcasts!E1273,Podcasts!E1283,"ym")&amp;IF(DATEDIF(Podcasts!E1273,Podcasts!E1283,"ym")&lt;&gt;1," Monate und "," Monat und ") &amp;DATEDIF(Podcasts!E1273,Podcasts!E1283,"mD")&amp; IF(DATEDIF(Podcasts!E1273,Podcasts!E1283,"mD")&lt;&gt;1," Tage"," Tag")</f>
        <v>1 Jahr, 3 Monate und 9 Tage</v>
      </c>
      <c r="E19" s="148">
        <f>SUM(Podcasts!F1273:'Podcasts'!F1283)</f>
        <v>0.57223379629629623</v>
      </c>
      <c r="F19" s="147">
        <f>DATEDIF(Podcasts!E1273,Podcasts!E1283,"D")/(Podcasts!B1283-Podcasts!B1273-2) +N("-2 = 2 unveröffentlichte Folgen")</f>
        <v>58.375</v>
      </c>
      <c r="G19" s="95">
        <f>SUMIF(Podcasts!D1273:'Podcasts'!D1283,"&gt;0", Podcasts!F1273:'Podcasts'!F1283)</f>
        <v>0.54668981481481493</v>
      </c>
      <c r="H19" s="148">
        <f ca="1">G19/(K2-J19)</f>
        <v>0.10933796296296298</v>
      </c>
      <c r="I19" s="114">
        <f ca="1">ROUND(CONVERT(Podcasts!E1283-Podcasts!E1273,"day","day")/((K2-J19)-1),0)</f>
        <v>117</v>
      </c>
      <c r="J19" s="185">
        <f ca="1">K2-(COUNTIF(BC$44:BC$273,"")-(COUNTA(B44:B273)-K2))+2 +N("+2 = 2 unveröffentlichte Folgen")</f>
        <v>221</v>
      </c>
      <c r="K19" s="96" t="str">
        <f ca="1">TEXT(K2-J19, "00")&amp;" ("&amp;K2-J19+0&amp;")  "</f>
        <v xml:space="preserve">05 (5)  </v>
      </c>
      <c r="L19" s="140"/>
      <c r="M19" s="28"/>
      <c r="N19" s="28"/>
      <c r="O19" s="28"/>
      <c r="P19" s="28"/>
      <c r="Q19" s="28"/>
      <c r="R19" s="28"/>
      <c r="S19" s="28"/>
      <c r="T19" s="28"/>
      <c r="U19" s="28"/>
      <c r="V19" s="28"/>
      <c r="W19" s="28"/>
      <c r="X19" s="28"/>
      <c r="Y19" s="28"/>
      <c r="Z19" s="28"/>
      <c r="AA19" s="28"/>
      <c r="AB19" s="28" t="s">
        <v>44</v>
      </c>
      <c r="AC19" s="28">
        <f>COUNTIF(K$44:K$273,AB19)</f>
        <v>17</v>
      </c>
      <c r="AD19" s="28"/>
      <c r="AE19" s="28"/>
      <c r="AF19" s="28"/>
      <c r="AG19" s="28"/>
      <c r="AH19" s="28"/>
      <c r="AI19" s="28"/>
      <c r="AJ19" s="28"/>
      <c r="AK19" s="28"/>
      <c r="AL19" s="98" t="str">
        <f t="shared" si="3"/>
        <v>Retro</v>
      </c>
      <c r="AM19" s="269">
        <f t="shared" si="0"/>
        <v>9.2259870705850809E-3</v>
      </c>
      <c r="AN19" s="294">
        <v>13</v>
      </c>
      <c r="AO19" s="294" t="str">
        <f t="shared" si="1"/>
        <v>Schrott</v>
      </c>
      <c r="AP19" s="295">
        <f>LARGE(AM$7:AM$34,13)</f>
        <v>1.8058394009332308E-2</v>
      </c>
      <c r="AQ19" s="28"/>
    </row>
    <row r="20" spans="1:43" outlineLevel="1">
      <c r="A20" s="140"/>
      <c r="B20" s="88">
        <v>14</v>
      </c>
      <c r="C20" s="434" t="s">
        <v>235</v>
      </c>
      <c r="D20" s="94" t="str">
        <f>DATEDIF(Podcasts!E1289,Podcasts!E1295,"y")&amp; " Jahr, " &amp;DATEDIF(Podcasts!E1289,Podcasts!E1295,"ym")&amp;IF(DATEDIF(Podcasts!E1289,Podcasts!E1295,"ym")&lt;&gt;1," Monate und "," Monat und ") &amp;DATEDIF(Podcasts!E1289,Podcasts!E1295,"mD")&amp; IF(DATEDIF(Podcasts!E1289,Podcasts!E1295,"mD")&lt;&gt;1," Tage"," Tag")</f>
        <v>1 Jahr, 2 Monate und 28 Tage</v>
      </c>
      <c r="E20" s="146">
        <f>SUM(Podcasts!F1289:'Podcasts'!F1295)</f>
        <v>0.51406249999999998</v>
      </c>
      <c r="F20" s="147">
        <f>DATEDIF(Podcasts!E1289,Podcasts!E1295,"D")/(Podcasts!B1295-Podcasts!B1289)</f>
        <v>75.666666666666671</v>
      </c>
      <c r="G20" s="95">
        <f>SUMIF(Podcasts!D1289:'Podcasts'!D1295, "&gt;0", Podcasts!F1289:'Podcasts'!F1295)</f>
        <v>0.51406249999999998</v>
      </c>
      <c r="H20" s="148">
        <f ca="1">G20/(K2-J20)</f>
        <v>7.3437500000000003E-2</v>
      </c>
      <c r="I20" s="114">
        <f ca="1">ROUND(CONVERT(Podcasts!E1295-Podcasts!E1289,"day","day")/((K2-J20)-1),0)</f>
        <v>76</v>
      </c>
      <c r="J20" s="185">
        <f ca="1">K2-(COUNTIF(BD$44:BD$273,"")-(COUNTA(B44:B273)-K2))</f>
        <v>219</v>
      </c>
      <c r="K20" s="96" t="str">
        <f ca="1">TEXT(K2-J20, "00")&amp;" ("&amp;K2-J20+0&amp;")  "</f>
        <v xml:space="preserve">07 (7)  </v>
      </c>
      <c r="L20" s="140"/>
      <c r="M20" s="28"/>
      <c r="N20" s="28"/>
      <c r="O20" s="28"/>
      <c r="P20" s="28"/>
      <c r="Q20" s="28"/>
      <c r="R20" s="28"/>
      <c r="S20" s="28"/>
      <c r="T20" s="28"/>
      <c r="U20" s="28"/>
      <c r="V20" s="28"/>
      <c r="W20" s="28"/>
      <c r="X20" s="28"/>
      <c r="Y20" s="28"/>
      <c r="Z20" s="28"/>
      <c r="AA20" s="28"/>
      <c r="AB20" s="28" t="s">
        <v>199</v>
      </c>
      <c r="AC20" s="28">
        <f>COUNTIF(K$44:K$273,AB20)</f>
        <v>15</v>
      </c>
      <c r="AD20" s="28"/>
      <c r="AE20" s="28"/>
      <c r="AF20" s="28"/>
      <c r="AG20" s="28"/>
      <c r="AH20" s="28"/>
      <c r="AI20" s="28"/>
      <c r="AJ20" s="28"/>
      <c r="AK20" s="28"/>
      <c r="AL20" s="98" t="str">
        <f t="shared" si="3"/>
        <v>Platz</v>
      </c>
      <c r="AM20" s="269">
        <f t="shared" si="0"/>
        <v>8.675365536267016E-3</v>
      </c>
      <c r="AN20" s="98">
        <v>14</v>
      </c>
      <c r="AO20" s="98" t="str">
        <f t="shared" si="1"/>
        <v>Fürst</v>
      </c>
      <c r="AP20" s="269">
        <f>LARGE(AM$7:AM$34,14)</f>
        <v>1.789451622739089E-2</v>
      </c>
      <c r="AQ20" s="28"/>
    </row>
    <row r="21" spans="1:43" outlineLevel="1">
      <c r="A21" s="140"/>
      <c r="B21" s="88">
        <v>15</v>
      </c>
      <c r="C21" s="434" t="s">
        <v>3639</v>
      </c>
      <c r="D21" s="94" t="str">
        <f>DATEDIF(Podcasts!E1301,Podcasts!E1356,"y")&amp; " Jahre, " &amp;DATEDIF(Podcasts!E1301,Podcasts!E1356,"ym")&amp;IF(DATEDIF(Podcasts!E1301,Podcasts!E1356,"ym")&lt;&gt;1," Monate und "," Monat und ") &amp;DATEDIF(Podcasts!E1301,Podcasts!E1356,"mD")&amp; IF(DATEDIF(Podcasts!E1301,Podcasts!E1356,"mD")&lt;&gt;1," Tage"," Tag")</f>
        <v>4 Jahre, 0 Monate und 2 Tage</v>
      </c>
      <c r="E21" s="146">
        <f>SUM(Podcasts!F1301:'Podcasts'!F1356)</f>
        <v>3.1095370370370357</v>
      </c>
      <c r="F21" s="147">
        <f>DATEDIF(Podcasts!E1301,Podcasts!E1356,"D")/(Podcasts!B1356-Podcasts!B1301)</f>
        <v>26.6</v>
      </c>
      <c r="G21" s="95">
        <f>SUMIF(Podcasts!D1301:'Podcasts'!D1356, "&gt;0", Podcasts!F1301:'Podcasts'!F1356)</f>
        <v>2.9328009259259251</v>
      </c>
      <c r="H21" s="148">
        <f ca="1">G21/(K2-J21)</f>
        <v>6.2400019700551597E-2</v>
      </c>
      <c r="I21" s="114">
        <f ca="1">ROUND(CONVERT(Podcasts!E1356-Podcasts!E1301,"day","day")/((K2-J21)-1),0)</f>
        <v>32</v>
      </c>
      <c r="J21" s="185">
        <f ca="1">K2-(COUNTIF(BE$44:BE$273,"")-(COUNTA(B44:B273)-K2))</f>
        <v>179</v>
      </c>
      <c r="K21" s="96" t="str">
        <f ca="1">TEXT(K2-J21, "00")&amp;" ("&amp;K2-J21+0&amp;")  "</f>
        <v xml:space="preserve">47 (47)  </v>
      </c>
      <c r="L21" s="140"/>
      <c r="M21" s="28"/>
      <c r="N21" s="28"/>
      <c r="O21" s="28"/>
      <c r="P21" s="28"/>
      <c r="Q21" s="28"/>
      <c r="R21" s="28"/>
      <c r="S21" s="28"/>
      <c r="T21" s="28"/>
      <c r="U21" s="28"/>
      <c r="V21" s="28"/>
      <c r="W21" s="28"/>
      <c r="X21" s="28"/>
      <c r="Y21" s="28"/>
      <c r="Z21" s="28"/>
      <c r="AA21" s="28" t="s">
        <v>1760</v>
      </c>
      <c r="AB21" s="28" t="s">
        <v>197</v>
      </c>
      <c r="AC21" s="28">
        <f>COUNTIF(N$44:N$273,AB21)</f>
        <v>4</v>
      </c>
      <c r="AD21" s="28"/>
      <c r="AE21" s="28"/>
      <c r="AF21" s="28"/>
      <c r="AG21" s="28"/>
      <c r="AH21" s="28"/>
      <c r="AI21" s="28"/>
      <c r="AJ21" s="28"/>
      <c r="AK21" s="28"/>
      <c r="AL21" s="98" t="str">
        <f t="shared" si="3"/>
        <v>Abfahrt</v>
      </c>
      <c r="AM21" s="269">
        <f t="shared" si="0"/>
        <v>4.9494215348347269E-2</v>
      </c>
      <c r="AN21" s="98">
        <v>15</v>
      </c>
      <c r="AO21" s="98" t="str">
        <f t="shared" si="1"/>
        <v>Fan</v>
      </c>
      <c r="AP21" s="269">
        <f>LARGE(AM$7:AM$34,15)</f>
        <v>1.6500480792687806E-2</v>
      </c>
      <c r="AQ21" s="28"/>
    </row>
    <row r="22" spans="1:43" outlineLevel="1">
      <c r="A22" s="140"/>
      <c r="B22" s="88">
        <v>16</v>
      </c>
      <c r="C22" s="434" t="s">
        <v>1329</v>
      </c>
      <c r="D22" s="94" t="str">
        <f>DATEDIF(Podcasts!E1362,Podcasts!E1364,"y")&amp; " Jahre, " &amp;DATEDIF(Podcasts!E1362,Podcasts!E1364,"ym")&amp;IF(DATEDIF(Podcasts!E1362,Podcasts!E1364,"ym")&lt;&gt;1," Monate und "," Monat und ") &amp;DATEDIF(Podcasts!E1362,Podcasts!E1364,"mD")&amp; IF(DATEDIF(Podcasts!E1362,Podcasts!E1364,"mD")&lt;&gt;1," Tage"," Tag")</f>
        <v>0 Jahre, 4 Monate und 3 Tage</v>
      </c>
      <c r="E22" s="146">
        <f>SUM(Podcasts!F1362:'Podcasts'!F1364)</f>
        <v>5.3136574074074072E-2</v>
      </c>
      <c r="F22" s="147">
        <f>DATEDIF(Podcasts!E1362,Podcasts!E1364,"D")/(Podcasts!B1364-Podcasts!B1362)</f>
        <v>62.5</v>
      </c>
      <c r="G22" s="95">
        <f>SUMIF(Podcasts!D1362:'Podcasts'!D1364, "&gt;0", Podcasts!F1362:'Podcasts'!F1364)</f>
        <v>5.3136574074074072E-2</v>
      </c>
      <c r="H22" s="148">
        <f ca="1">G22/(K2-J22)</f>
        <v>1.7712191358024692E-2</v>
      </c>
      <c r="I22" s="114">
        <f ca="1">ROUND(CONVERT(Podcasts!E1364-Podcasts!E1362,"day","day")/((K2-J22)-1),0)</f>
        <v>63</v>
      </c>
      <c r="J22" s="185">
        <f ca="1">K2-(COUNTIF(BF$44:BF$273,"")-(COUNTA(B44:B273)-K2))</f>
        <v>223</v>
      </c>
      <c r="K22" s="96" t="str">
        <f ca="1">TEXT(K2-J22, "00")&amp;" ("&amp;K2-J22+0&amp;")  "</f>
        <v xml:space="preserve">03 (3)  </v>
      </c>
      <c r="L22" s="140"/>
      <c r="M22" s="28"/>
      <c r="N22" s="28"/>
      <c r="O22" s="28"/>
      <c r="P22" s="28"/>
      <c r="Q22" s="28"/>
      <c r="R22" s="28"/>
      <c r="S22" s="28"/>
      <c r="T22" s="28"/>
      <c r="U22" s="28"/>
      <c r="V22" s="28"/>
      <c r="W22" s="28"/>
      <c r="X22" s="28"/>
      <c r="Y22" s="28"/>
      <c r="Z22" s="28"/>
      <c r="AA22" s="28"/>
      <c r="AB22" s="28" t="s">
        <v>109</v>
      </c>
      <c r="AC22" s="28">
        <f>COUNTIF(N$44:N$273,AB22)</f>
        <v>23</v>
      </c>
      <c r="AD22" s="28"/>
      <c r="AE22" s="28"/>
      <c r="AF22" s="28"/>
      <c r="AG22" s="28"/>
      <c r="AH22" s="28"/>
      <c r="AI22" s="28"/>
      <c r="AJ22" s="28"/>
      <c r="AK22" s="28"/>
      <c r="AL22" s="98" t="str">
        <f t="shared" si="3"/>
        <v>Lampe</v>
      </c>
      <c r="AM22" s="269">
        <f t="shared" si="0"/>
        <v>8.9673766018241307E-4</v>
      </c>
      <c r="AN22" s="294">
        <v>16</v>
      </c>
      <c r="AO22" s="294" t="str">
        <f t="shared" si="1"/>
        <v>beachcast</v>
      </c>
      <c r="AP22" s="295">
        <f>LARGE(AM$7:AM$34,16)</f>
        <v>1.468200385600772E-2</v>
      </c>
      <c r="AQ22" s="28"/>
    </row>
    <row r="23" spans="1:43" outlineLevel="1">
      <c r="A23" s="140"/>
      <c r="B23" s="88">
        <v>17</v>
      </c>
      <c r="C23" s="434" t="s">
        <v>1326</v>
      </c>
      <c r="D23" s="94" t="str">
        <f>DATEDIF(Podcasts!E1370,Podcasts!E1419,"y")&amp; " Jahre, " &amp;DATEDIF(Podcasts!E1370,Podcasts!E1419,"ym")&amp;IF(DATEDIF(Podcasts!E1370,Podcasts!E1419,"ym")&lt;&gt;1," Monate und "," Monat und ") &amp;DATEDIF(Podcasts!E1370,Podcasts!E1419,"mD")&amp; IF(DATEDIF(Podcasts!E1370,Podcasts!E1419,"mD")&lt;&gt;1," Tage"," Tag")</f>
        <v>3 Jahre, 8 Monate und 23 Tage</v>
      </c>
      <c r="E23" s="146">
        <f>SUM(Podcasts!F1370:'Podcasts'!F1419)</f>
        <v>3.60400462962963</v>
      </c>
      <c r="F23" s="147">
        <f>DATEDIF(Podcasts!E1370,Podcasts!E1419,"D")/(Podcasts!B1419-Podcasts!B1370)</f>
        <v>27.795918367346939</v>
      </c>
      <c r="G23" s="95">
        <f>SUMIF(Podcasts!D1370:'Podcasts'!D1419, "&gt;0", Podcasts!F1370:'Podcasts'!F1419)</f>
        <v>3.3831134259259263</v>
      </c>
      <c r="H23" s="148">
        <f ca="1">G23/(K2-J23)</f>
        <v>8.0550319664903003E-2</v>
      </c>
      <c r="I23" s="114">
        <f ca="1">ROUND(CONVERT(Podcasts!E1419-Podcasts!E1370,"day","day")/((K2-J23)-1),0)</f>
        <v>33</v>
      </c>
      <c r="J23" s="185">
        <f ca="1">K2-(COUNTIF(BG$44:BG$273,"")-(COUNTA(B44:B273)-K2))</f>
        <v>184</v>
      </c>
      <c r="K23" s="96" t="str">
        <f ca="1">TEXT(K2-J23, "00")&amp;" ("&amp;K2-J23+0&amp;")  "</f>
        <v xml:space="preserve">42 (42)  </v>
      </c>
      <c r="L23" s="140"/>
      <c r="M23" s="28"/>
      <c r="N23" s="28"/>
      <c r="O23" s="28"/>
      <c r="P23" s="28"/>
      <c r="Q23" s="28"/>
      <c r="R23" s="28"/>
      <c r="S23" s="28"/>
      <c r="T23" s="28"/>
      <c r="U23" s="28"/>
      <c r="V23" s="28"/>
      <c r="W23" s="28"/>
      <c r="X23" s="28"/>
      <c r="Y23" s="28"/>
      <c r="Z23" s="28"/>
      <c r="AA23" s="28"/>
      <c r="AB23" s="28" t="s">
        <v>44</v>
      </c>
      <c r="AC23" s="28">
        <f>COUNTIF(N$44:N$273,AB23)</f>
        <v>12</v>
      </c>
      <c r="AD23" s="28"/>
      <c r="AE23" s="28"/>
      <c r="AF23" s="28"/>
      <c r="AG23" s="28"/>
      <c r="AH23" s="28"/>
      <c r="AI23" s="28"/>
      <c r="AJ23" s="28"/>
      <c r="AK23" s="28"/>
      <c r="AL23" s="98" t="str">
        <f t="shared" si="3"/>
        <v>Zeichen</v>
      </c>
      <c r="AM23" s="269">
        <f t="shared" si="0"/>
        <v>5.7093730082548366E-2</v>
      </c>
      <c r="AN23" s="98">
        <v>17</v>
      </c>
      <c r="AO23" s="98" t="str">
        <f t="shared" si="1"/>
        <v>Talker</v>
      </c>
      <c r="AP23" s="269">
        <f>LARGE(AM$7:AM$34,17)</f>
        <v>1.3725692031949104E-2</v>
      </c>
      <c r="AQ23" s="28"/>
    </row>
    <row r="24" spans="1:43" outlineLevel="1">
      <c r="A24" s="140"/>
      <c r="B24" s="88">
        <v>18</v>
      </c>
      <c r="C24" s="435" t="s">
        <v>1504</v>
      </c>
      <c r="D24" s="249" t="str">
        <f>DATEDIF(Podcasts!E1425,Podcasts!E1446,"y")&amp; " Jahr, " &amp;DATEDIF(Podcasts!E1425,Podcasts!E1446,"ym")&amp;IF(DATEDIF(Podcasts!E1425,Podcasts!E1446,"ym")&lt;&gt;1," Monate und "," Monat und ") &amp;DATEDIF(Podcasts!E1425,Podcasts!E1446,"mD")&amp; IF(DATEDIF(Podcasts!E1425,Podcasts!E1446,"mD")&lt;&gt;1," Tage"," Tag")</f>
        <v>1 Jahr, 3 Monate und 12 Tage</v>
      </c>
      <c r="E24" s="250">
        <f>SUM(Podcasts!F1425:'Podcasts'!F1446)</f>
        <v>1.1246296296296299</v>
      </c>
      <c r="F24" s="251">
        <f>DATEDIF(Podcasts!E1425,Podcasts!E1446,"D")/(Podcasts!B1446-Podcasts!B1425)</f>
        <v>22.333333333333332</v>
      </c>
      <c r="G24" s="213">
        <f>SUMIF(Podcasts!D1425:'Podcasts'!D1446, "&gt;0", Podcasts!F1425:'Podcasts'!F1446)</f>
        <v>0.97774305555555563</v>
      </c>
      <c r="H24" s="214">
        <f ca="1">G24/(K2-J24)</f>
        <v>7.5211004273504273E-2</v>
      </c>
      <c r="I24" s="215">
        <f ca="1">ROUND(CONVERT(Podcasts!E1446-Podcasts!E1425,"day","day")/((K2-J24)-1),0)</f>
        <v>39</v>
      </c>
      <c r="J24" s="185">
        <f ca="1">K2-(COUNTIF(BH$44:BH$273,"")-(COUNTA(B44:B273)-K2))</f>
        <v>213</v>
      </c>
      <c r="K24" s="96" t="str">
        <f ca="1">TEXT(K2-J24, "00")&amp;" ("&amp;K2-J24+0&amp;")  "</f>
        <v xml:space="preserve">13 (13)  </v>
      </c>
      <c r="L24" s="140"/>
      <c r="M24" s="28"/>
      <c r="N24" s="28"/>
      <c r="O24" s="28"/>
      <c r="P24" s="28"/>
      <c r="Q24" s="28"/>
      <c r="R24" s="28"/>
      <c r="S24" s="28"/>
      <c r="T24" s="28"/>
      <c r="U24" s="28"/>
      <c r="V24" s="28"/>
      <c r="W24" s="28"/>
      <c r="X24" s="28"/>
      <c r="Y24" s="28"/>
      <c r="Z24" s="28"/>
      <c r="AA24" s="28"/>
      <c r="AB24" s="28" t="s">
        <v>199</v>
      </c>
      <c r="AC24" s="28">
        <f>COUNTIF(N$44:N$273,AB24)</f>
        <v>9</v>
      </c>
      <c r="AD24" s="28"/>
      <c r="AE24" s="28"/>
      <c r="AF24" s="28"/>
      <c r="AG24" s="28"/>
      <c r="AH24" s="28"/>
      <c r="AI24" s="28"/>
      <c r="AJ24" s="28"/>
      <c r="AK24" s="28"/>
      <c r="AL24" s="98" t="str">
        <f t="shared" si="3"/>
        <v>Fan</v>
      </c>
      <c r="AM24" s="269">
        <f t="shared" si="0"/>
        <v>1.6500480792687806E-2</v>
      </c>
      <c r="AN24" s="98">
        <v>18</v>
      </c>
      <c r="AO24" s="98" t="str">
        <f t="shared" si="1"/>
        <v>Retro</v>
      </c>
      <c r="AP24" s="269">
        <f>LARGE(AM$7:AM$34,18)</f>
        <v>9.2259870705850809E-3</v>
      </c>
      <c r="AQ24" s="28"/>
    </row>
    <row r="25" spans="1:43" outlineLevel="1">
      <c r="A25" s="140"/>
      <c r="B25" s="88">
        <v>19</v>
      </c>
      <c r="C25" s="436" t="s">
        <v>1662</v>
      </c>
      <c r="D25" s="252" t="str">
        <f>DATEDIF(Podcasts!E1452,Podcasts!E1502,"y")&amp; " Jahre, " &amp;DATEDIF(Podcasts!E1452,Podcasts!E1502,"ym")&amp;IF(DATEDIF(Podcasts!E1452,Podcasts!E1502,"ym")&lt;&gt;1," Monate und "," Monat und ") &amp;DATEDIF(Podcasts!E1452,Podcasts!E1502,"mD")&amp; IF(DATEDIF(Podcasts!E1452,Podcasts!E1502,"mD")&lt;&gt;1," Tage"," Tag")</f>
        <v>3 Jahre, 4 Monate und 6 Tage</v>
      </c>
      <c r="E25" s="253">
        <f>SUM(Podcasts!F1452:'Podcasts'!F1502)</f>
        <v>2.6404745370370373</v>
      </c>
      <c r="F25" s="254">
        <f>DATEDIF(Podcasts!E1452,Podcasts!E1502,"D")/(Podcasts!B1502-Podcasts!B1452)</f>
        <v>24.44</v>
      </c>
      <c r="G25" s="95">
        <f>SUMIF(Podcasts!D1452:'Podcasts'!D1574, "&gt;0", Podcasts!F1452:'Podcasts'!F1574)</f>
        <v>2.5776736111111114</v>
      </c>
      <c r="H25" s="148">
        <f ca="1">G25/(K2-J25)</f>
        <v>3.1823131001371747E-2</v>
      </c>
      <c r="I25" s="114">
        <f ca="1">ROUND(CONVERT(Podcasts!E1502-Podcasts!E1452,"day","day")/((K2-J25)-1),0)</f>
        <v>15</v>
      </c>
      <c r="J25" s="185">
        <f ca="1">K2-(COUNTIF(BI$44:BI$273,"")-(COUNTA(B44:B273)-K2))</f>
        <v>145</v>
      </c>
      <c r="K25" s="96" t="str">
        <f ca="1">TEXT(K2-J25, "00")&amp;" ("&amp;K2-J25+0&amp;")  "</f>
        <v xml:space="preserve">81 (81)  </v>
      </c>
      <c r="L25" s="140"/>
      <c r="M25" s="28"/>
      <c r="N25" s="28"/>
      <c r="O25" s="28"/>
      <c r="P25" s="28"/>
      <c r="Q25" s="28"/>
      <c r="R25" s="28"/>
      <c r="S25" s="28"/>
      <c r="T25" s="28"/>
      <c r="U25" s="28"/>
      <c r="V25" s="28"/>
      <c r="W25" s="28"/>
      <c r="X25" s="28"/>
      <c r="Y25" s="28"/>
      <c r="Z25" s="28"/>
      <c r="AA25" s="28" t="s">
        <v>1761</v>
      </c>
      <c r="AB25" s="28" t="s">
        <v>197</v>
      </c>
      <c r="AC25" s="28">
        <f>COUNTIF(Q$44:Q$273,AB25)</f>
        <v>1</v>
      </c>
      <c r="AD25" s="28"/>
      <c r="AE25" s="28"/>
      <c r="AF25" s="28"/>
      <c r="AG25" s="28"/>
      <c r="AH25" s="28"/>
      <c r="AI25" s="28"/>
      <c r="AJ25" s="28"/>
      <c r="AK25" s="28"/>
      <c r="AL25" s="98" t="str">
        <f t="shared" si="3"/>
        <v>Kaffee</v>
      </c>
      <c r="AM25" s="269">
        <f t="shared" si="0"/>
        <v>4.3501054462401531E-2</v>
      </c>
      <c r="AN25" s="294">
        <v>19</v>
      </c>
      <c r="AO25" s="294" t="str">
        <f t="shared" si="1"/>
        <v>DiE 2WO</v>
      </c>
      <c r="AP25" s="295">
        <f>LARGE(AM$7:AM$34,19)</f>
        <v>8.8056473962848068E-3</v>
      </c>
      <c r="AQ25" s="28"/>
    </row>
    <row r="26" spans="1:43" outlineLevel="1">
      <c r="A26" s="140"/>
      <c r="B26" s="88">
        <v>20</v>
      </c>
      <c r="C26" s="437" t="s">
        <v>1617</v>
      </c>
      <c r="D26" s="252" t="str">
        <f>DATEDIF(Podcasts!E1580,Podcasts!E1703,"y")&amp; " Jahre, " &amp;DATEDIF(Podcasts!E1580,Podcasts!E1703,"ym")&amp;IF(DATEDIF(Podcasts!E1580,Podcasts!E1703,"ym")&lt;&gt;1," Monate und "," Monat und ") &amp;DATEDIF(Podcasts!E1580,Podcasts!E1703,"mD")&amp; IF(DATEDIF(Podcasts!E1580,Podcasts!E1703,"mD")&lt;&gt;1," Tage"," Tag")</f>
        <v>3 Jahre, 3 Monate und 27 Tage</v>
      </c>
      <c r="E26" s="253">
        <f>SUM(Podcasts!F1580:'Podcasts'!F1703)</f>
        <v>7.1169791666666686</v>
      </c>
      <c r="F26" s="254">
        <f>DATEDIF(Podcasts!E1580,Podcasts!E1703,"D")/(Podcasts!B1703-Podcasts!B1580)</f>
        <v>9.8617886178861784</v>
      </c>
      <c r="G26" s="95">
        <f>SUMIF(Podcasts!D1580:'Podcasts'!D1703, "&gt;0", Podcasts!F1580:'Podcasts'!F1703)</f>
        <v>5.4794444444444439</v>
      </c>
      <c r="H26" s="148">
        <f ca="1">G26/(K2-J26)</f>
        <v>6.5231481481481474E-2</v>
      </c>
      <c r="I26" s="114">
        <f ca="1">ROUND(CONVERT(Podcasts!E1703-Podcasts!E1580,"day","day")/((K2-J26)-1),0)</f>
        <v>15</v>
      </c>
      <c r="J26" s="185">
        <f ca="1">K2-(COUNTIF(BJ$44:BJ$273,"")-(COUNTA(B44:B273)-K2))+1 +N("+1 = 1 unveröffentlichte Folge")</f>
        <v>142</v>
      </c>
      <c r="K26" s="96" t="str">
        <f ca="1">TEXT(K2-J26, "00")&amp;" ("&amp;K2-J26+2&amp;")  "</f>
        <v xml:space="preserve">84 (86)  </v>
      </c>
      <c r="L26" s="140"/>
      <c r="M26" s="28"/>
      <c r="N26" s="28"/>
      <c r="O26" s="28"/>
      <c r="P26" s="28"/>
      <c r="Q26" s="28"/>
      <c r="R26" s="28"/>
      <c r="S26" s="28"/>
      <c r="T26" s="28"/>
      <c r="U26" s="28"/>
      <c r="V26" s="28"/>
      <c r="W26" s="28"/>
      <c r="X26" s="28"/>
      <c r="Y26" s="28"/>
      <c r="Z26" s="28"/>
      <c r="AA26" s="28"/>
      <c r="AB26" s="28" t="s">
        <v>109</v>
      </c>
      <c r="AC26" s="28">
        <f>COUNTIF(Q$44:Q$273,AB26)</f>
        <v>4</v>
      </c>
      <c r="AD26" s="28"/>
      <c r="AE26" s="28"/>
      <c r="AF26" s="28"/>
      <c r="AG26" s="28"/>
      <c r="AH26" s="28"/>
      <c r="AI26" s="28"/>
      <c r="AJ26" s="28"/>
      <c r="AK26" s="28"/>
      <c r="AL26" s="98" t="str">
        <f t="shared" si="3"/>
        <v>Kuchen</v>
      </c>
      <c r="AM26" s="269">
        <f t="shared" si="0"/>
        <v>9.2471603144020628E-2</v>
      </c>
      <c r="AN26" s="98">
        <v>20</v>
      </c>
      <c r="AO26" s="98" t="str">
        <f t="shared" si="1"/>
        <v>Platz</v>
      </c>
      <c r="AP26" s="269">
        <f>LARGE(AM$7:AM$34,20)</f>
        <v>8.675365536267016E-3</v>
      </c>
      <c r="AQ26" s="28"/>
    </row>
    <row r="27" spans="1:43" outlineLevel="1">
      <c r="A27" s="140"/>
      <c r="B27" s="88">
        <v>21</v>
      </c>
      <c r="C27" s="436" t="s">
        <v>1684</v>
      </c>
      <c r="D27" s="255" t="str">
        <f>DATEDIF(Podcasts!E1711,Podcasts!E1750,"y")&amp; " Jahre, " &amp;DATEDIF(Podcasts!E1711,Podcasts!E1750,"ym")&amp;IF(DATEDIF(Podcasts!E1711,Podcasts!E1750,"ym")&lt;&gt;1," Monate und "," Monat und ") &amp;DATEDIF(Podcasts!E1711,Podcasts!E1750,"mD")&amp; IF(DATEDIF(Podcasts!E1711,Podcasts!E1750,"mD")&lt;&gt;1," Tage"," Tag")</f>
        <v>3 Jahre, 2 Monate und 0 Tage</v>
      </c>
      <c r="E27" s="253">
        <f>SUM(Podcasts!F1711:'Podcasts'!F1750)</f>
        <v>1.7591898148148146</v>
      </c>
      <c r="F27" s="254">
        <f>DATEDIF(Podcasts!E1711,Podcasts!E1750,"D")/(Podcasts!B1750-Podcasts!B1711)</f>
        <v>29.666666666666668</v>
      </c>
      <c r="G27" s="95">
        <f>SUMIF(Podcasts!D1711:'Podcasts'!D1833, "&gt;0", Podcasts!F1711:'Podcasts'!F1833)</f>
        <v>1.6774884259259262</v>
      </c>
      <c r="H27" s="148">
        <f ca="1">G27/(K2-J27)</f>
        <v>2.1785563973063977E-2</v>
      </c>
      <c r="I27" s="114">
        <f ca="1">ROUND(CONVERT(Podcasts!E1750-Podcasts!E1711,"day","day")/((K2-J27)-1),0)</f>
        <v>15</v>
      </c>
      <c r="J27" s="185">
        <f ca="1">K2-(COUNTIF(BK$44:BK$273,"")-(COUNTA(B44:B273)-K2))</f>
        <v>149</v>
      </c>
      <c r="K27" s="96" t="str">
        <f ca="1">TEXT(K2-J27, "00")&amp;" ("&amp;K2-J27+3&amp;")  "</f>
        <v xml:space="preserve">77 (80)  </v>
      </c>
      <c r="L27" s="140"/>
      <c r="M27" s="28"/>
      <c r="N27" s="28"/>
      <c r="O27" s="28"/>
      <c r="P27" s="28"/>
      <c r="Q27" s="28"/>
      <c r="R27" s="28"/>
      <c r="S27" s="28"/>
      <c r="T27" s="28"/>
      <c r="U27" s="28"/>
      <c r="V27" s="28"/>
      <c r="W27" s="28"/>
      <c r="X27" s="28"/>
      <c r="Y27" s="28"/>
      <c r="Z27" s="28"/>
      <c r="AA27" s="28"/>
      <c r="AB27" s="28" t="s">
        <v>44</v>
      </c>
      <c r="AC27" s="28">
        <f>COUNTIF(Q$44:Q$273,AB27)</f>
        <v>5</v>
      </c>
      <c r="AD27" s="28"/>
      <c r="AE27" s="28"/>
      <c r="AF27" s="28"/>
      <c r="AG27" s="28"/>
      <c r="AH27" s="28"/>
      <c r="AI27" s="28"/>
      <c r="AJ27" s="28"/>
      <c r="AK27" s="28"/>
      <c r="AL27" s="98" t="str">
        <f t="shared" si="3"/>
        <v>Verstärker</v>
      </c>
      <c r="AM27" s="269">
        <f t="shared" si="0"/>
        <v>2.8309447348842966E-2</v>
      </c>
      <c r="AN27" s="98">
        <v>21</v>
      </c>
      <c r="AO27" s="98" t="str">
        <f t="shared" si="1"/>
        <v>Rose</v>
      </c>
      <c r="AP27" s="269">
        <f>LARGE(AM$7:AM$34,21)</f>
        <v>7.8186695272145102E-3</v>
      </c>
      <c r="AQ27" s="28"/>
    </row>
    <row r="28" spans="1:43" outlineLevel="1">
      <c r="A28" s="140"/>
      <c r="B28" s="88">
        <v>22</v>
      </c>
      <c r="C28" s="434" t="s">
        <v>1686</v>
      </c>
      <c r="D28" s="569" t="str">
        <f>DATEDIF(Podcasts!E1839,Podcasts!E1855,"y")&amp; " Jahre, " &amp;DATEDIF(Podcasts!E1839,Podcasts!E1855,"ym")&amp;IF(DATEDIF(Podcasts!E1839,Podcasts!E1855,"ym")&lt;&gt;1," Monate und "," Monat und ") &amp;DATEDIF(Podcasts!E1839,Podcasts!E1855,"mD")&amp; IF(DATEDIF(Podcasts!E1839,Podcasts!E1855,"mD")&lt;&gt;1," Tage"," Tag")</f>
        <v>3 Jahre, 0 Monate und 11 Tage</v>
      </c>
      <c r="E28" s="570">
        <f>SUM(Podcasts!F1839:'Podcasts'!F1855)</f>
        <v>0.86959490740740741</v>
      </c>
      <c r="F28" s="571">
        <f>DATEDIF(Podcasts!E1839,Podcasts!E1855,"D")/(Podcasts!B1855-Podcasts!B1839)</f>
        <v>69.1875</v>
      </c>
      <c r="G28" s="95">
        <f>SUMIF(Podcasts!D1839:'Podcasts'!D1855, "&gt;0", Podcasts!F1839:'Podcasts'!F1855)</f>
        <v>0.46329861111111115</v>
      </c>
      <c r="H28" s="148">
        <f ca="1">G28/(K2-J28)</f>
        <v>5.1477623456790127E-2</v>
      </c>
      <c r="I28" s="114">
        <f ca="1">ROUND(CONVERT(Podcasts!E1855-Podcasts!E1839,"day","day")/((K2-J28)-1),0)</f>
        <v>138</v>
      </c>
      <c r="J28" s="185">
        <f ca="1">K2-(COUNTIF(BL$44:BL$273,"")-(COUNTA(B44:B273)-K2))</f>
        <v>217</v>
      </c>
      <c r="K28" s="96" t="str">
        <f ca="1">TEXT(K2-J28, "00")&amp;" ("&amp;K2-J28+0&amp;")  "</f>
        <v xml:space="preserve">09 (9)  </v>
      </c>
      <c r="L28" s="140"/>
      <c r="M28" s="28"/>
      <c r="N28" s="28"/>
      <c r="O28" s="28"/>
      <c r="P28" s="28"/>
      <c r="Q28" s="28"/>
      <c r="R28" s="28"/>
      <c r="S28" s="28"/>
      <c r="T28" s="28"/>
      <c r="U28" s="28"/>
      <c r="V28" s="28"/>
      <c r="W28" s="28"/>
      <c r="X28" s="28"/>
      <c r="Y28" s="28"/>
      <c r="Z28" s="28"/>
      <c r="AA28" s="28"/>
      <c r="AB28" s="28" t="s">
        <v>199</v>
      </c>
      <c r="AC28" s="28">
        <f>COUNTIF(Q$44:Q$273,AB28)</f>
        <v>11</v>
      </c>
      <c r="AD28" s="28"/>
      <c r="AE28" s="28"/>
      <c r="AF28" s="28"/>
      <c r="AG28" s="28"/>
      <c r="AH28" s="28"/>
      <c r="AI28" s="28"/>
      <c r="AJ28" s="28"/>
      <c r="AK28" s="28"/>
      <c r="AL28" s="98" t="str">
        <f t="shared" si="3"/>
        <v>Rose</v>
      </c>
      <c r="AM28" s="269">
        <f t="shared" si="0"/>
        <v>7.8186695272145102E-3</v>
      </c>
      <c r="AN28" s="294">
        <v>22</v>
      </c>
      <c r="AO28" s="294" t="str">
        <f t="shared" si="1"/>
        <v>Gebraucht</v>
      </c>
      <c r="AP28" s="295">
        <f>LARGE(AM$7:AM$34,22)</f>
        <v>6.4275639694233652E-3</v>
      </c>
      <c r="AQ28" s="28"/>
    </row>
    <row r="29" spans="1:43" outlineLevel="1">
      <c r="A29" s="140"/>
      <c r="B29" s="506">
        <v>23</v>
      </c>
      <c r="C29" s="435" t="s">
        <v>1864</v>
      </c>
      <c r="D29" s="94" t="str">
        <f>DATEDIF(Podcasts!E1861,Podcasts!E1994,"y")&amp; " Jahre, " &amp;DATEDIF(Podcasts!E1861,Podcasts!E1994,"ym")&amp;IF(DATEDIF(Podcasts!E1861,Podcasts!E1994,"ym")&lt;&gt;1," Monate und "," Monat und ") &amp;DATEDIF(Podcasts!E1861,Podcasts!E1994,"mD")&amp; IF(DATEDIF(Podcasts!E1861,Podcasts!E1994,"mD")&lt;&gt;1," Tage"," Tag")</f>
        <v>3 Jahre, 1 Monat und 1 Tag</v>
      </c>
      <c r="E29" s="146">
        <f>SUM(Podcasts!F1861:'Podcasts'!F1994)</f>
        <v>6.522256944444444</v>
      </c>
      <c r="F29" s="147">
        <f>DATEDIF(Podcasts!E1861,Podcasts!E1994,"D")/(Podcasts!B1994-Podcasts!B1861)</f>
        <v>8.473684210526315</v>
      </c>
      <c r="G29" s="95">
        <f>SUMIF(Podcasts!D1861:'Podcasts'!D1994, "&gt;0", Podcasts!F1861:'Podcasts'!F1994)</f>
        <v>4.5623263888888896</v>
      </c>
      <c r="H29" s="148">
        <f ca="1">G29/(K2-J29)</f>
        <v>8.2951388888888908E-2</v>
      </c>
      <c r="I29" s="114">
        <f ca="1">ROUND(CONVERT(Podcasts!E1994-Podcasts!E1861,"day","day")/((K2-J29)-1),0)</f>
        <v>21</v>
      </c>
      <c r="J29" s="185">
        <f ca="1">K2-(COUNTIF(BM$44:BM$273,"")-(COUNTA(B44:B273)-K2))</f>
        <v>171</v>
      </c>
      <c r="K29" s="96" t="str">
        <f ca="1">TEXT(K2-J29, "00")&amp;" ("&amp;K2-J29+12&amp;")  "</f>
        <v xml:space="preserve">55 (67)  </v>
      </c>
      <c r="L29" s="140"/>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98" t="str">
        <f>C29</f>
        <v>Die Zw3i</v>
      </c>
      <c r="AM29" s="269">
        <f t="shared" si="0"/>
        <v>7.6994235368983782E-2</v>
      </c>
      <c r="AN29" s="98">
        <v>23</v>
      </c>
      <c r="AO29" s="98" t="str">
        <f t="shared" si="1"/>
        <v>:punkt</v>
      </c>
      <c r="AP29" s="269">
        <f>LARGE(AM$7:AM$34,23)</f>
        <v>5.6679445487199439E-3</v>
      </c>
      <c r="AQ29" s="28"/>
    </row>
    <row r="30" spans="1:43" outlineLevel="1">
      <c r="A30" s="140"/>
      <c r="B30" s="88">
        <v>24</v>
      </c>
      <c r="C30" s="434" t="s">
        <v>3981</v>
      </c>
      <c r="D30" s="94" t="str">
        <f>DATEDIF(Podcasts!E2000,Podcasts!E2057,"y")&amp; " Jahr, " &amp;DATEDIF(Podcasts!E2000,Podcasts!E2057,"ym")&amp;IF(DATEDIF(Podcasts!E2000,Podcasts!E2057,"ym")&lt;&gt;1," Monate und "," Monat und ") &amp;DATEDIF(Podcasts!E2000,Podcasts!E2057,"mD")&amp; IF(DATEDIF(Podcasts!E2000,Podcasts!E2057,"mD")&lt;&gt;1," Tage"," Tag")</f>
        <v>1 Jahr, 7 Monate und 6 Tage</v>
      </c>
      <c r="E30" s="146">
        <f>SUM(Podcasts!F2000:'Podcasts'!F2057)</f>
        <v>2.1820138888888887</v>
      </c>
      <c r="F30" s="147">
        <f>DATEDIF(Podcasts!E2000,Podcasts!E2057,"D")/(Podcasts!B2057-Podcasts!B2000)</f>
        <v>10.245614035087719</v>
      </c>
      <c r="G30" s="95">
        <f>SUMIF(Podcasts!D2000:'Podcasts'!D2057, "&gt;0", Podcasts!F2000:'Podcasts'!F2057)</f>
        <v>2.1326967592592587</v>
      </c>
      <c r="H30" s="148">
        <f ca="1">G30/(K2-J30)</f>
        <v>3.8776304713804707E-2</v>
      </c>
      <c r="I30" s="114">
        <f ca="1">ROUND(CONVERT(Podcasts!E2057-Podcasts!E2000,"day","day")/((K2-J30)-1),0)</f>
        <v>11</v>
      </c>
      <c r="J30" s="185">
        <f ca="1">K2-(COUNTIF(BN$44:BN$273,"")-(COUNTA(B44:B273)-K2))</f>
        <v>171</v>
      </c>
      <c r="K30" s="96" t="str">
        <f ca="1">TEXT(K2-J30, "00")&amp;" ("&amp;K2-J30+0&amp;")  "</f>
        <v xml:space="preserve">55 (55)  </v>
      </c>
      <c r="L30" s="140"/>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98" t="str">
        <f>C30</f>
        <v>RBW</v>
      </c>
      <c r="AM30" s="269">
        <f t="shared" si="0"/>
        <v>3.5991584611960857E-2</v>
      </c>
      <c r="AN30" s="643">
        <v>24</v>
      </c>
      <c r="AO30" s="98" t="str">
        <f t="shared" si="1"/>
        <v>RBP</v>
      </c>
      <c r="AP30" s="269">
        <f>LARGE(AM$7:AM$34,24)</f>
        <v>4.7266727594759781E-3</v>
      </c>
      <c r="AQ30" s="28"/>
    </row>
    <row r="31" spans="1:43" outlineLevel="1">
      <c r="A31" s="140"/>
      <c r="B31" s="506">
        <v>25</v>
      </c>
      <c r="C31" s="434" t="s">
        <v>3887</v>
      </c>
      <c r="D31" s="94" t="str">
        <f>DATEDIF(Podcasts!E2063,Podcasts!E2071,"y")&amp; " Jahr, " &amp;DATEDIF(Podcasts!E2063,Podcasts!E2071,"ym")&amp;IF(DATEDIF(Podcasts!E2063,Podcasts!E2071,"ym")&lt;&gt;1," Monate und "," Monat und ") &amp;DATEDIF(Podcasts!E2063,Podcasts!E2071,"mD")&amp; IF(DATEDIF(Podcasts!E2063,Podcasts!E2071,"mD")&lt;&gt;1," Tage"," Tag")</f>
        <v>1 Jahr, 7 Monate und 21 Tage</v>
      </c>
      <c r="E31" s="146">
        <f>SUM(Podcasts!F2063:'Podcasts'!F2071)</f>
        <v>0.33585648148148151</v>
      </c>
      <c r="F31" s="147">
        <f>DATEDIF(Podcasts!E2063,Podcasts!E2071,"D")/(Podcasts!B2071-Podcasts!B2063)</f>
        <v>74.875</v>
      </c>
      <c r="G31" s="95">
        <f>SUMIF(Podcasts!D2063:'Podcasts'!D2071, "&gt;0", Podcasts!F2063:'Podcasts'!F2071)</f>
        <v>0.33585648148148151</v>
      </c>
      <c r="H31" s="148">
        <f ca="1">G31/(K2-J31)</f>
        <v>3.7317386831275723E-2</v>
      </c>
      <c r="I31" s="114">
        <f ca="1">ROUND(CONVERT(Podcasts!E2071-Podcasts!E2063,"day","day")/((K2-J31)-1),0)</f>
        <v>75</v>
      </c>
      <c r="J31" s="185">
        <f ca="1">K2-(COUNTIF(BO$44:BO$273,"")-(COUNTA(B44:B273)-K2))</f>
        <v>217</v>
      </c>
      <c r="K31" s="96" t="str">
        <f ca="1">TEXT(K2-J31, "00")&amp;" ("&amp;K2-J31+0&amp;")  "</f>
        <v xml:space="preserve">09 (9)  </v>
      </c>
      <c r="L31" s="140"/>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98" t="str">
        <f>C31</f>
        <v>:punkt</v>
      </c>
      <c r="AM31" s="269">
        <f t="shared" si="0"/>
        <v>5.6679445487199439E-3</v>
      </c>
      <c r="AN31" s="294">
        <v>25</v>
      </c>
      <c r="AO31" s="294" t="str">
        <f t="shared" si="1"/>
        <v>Keller</v>
      </c>
      <c r="AP31" s="295">
        <f>LARGE(AM$7:AM$34,25)</f>
        <v>4.0901081690742167E-3</v>
      </c>
      <c r="AQ31" s="28"/>
    </row>
    <row r="32" spans="1:43" outlineLevel="1">
      <c r="A32" s="140"/>
      <c r="B32" s="88">
        <v>26</v>
      </c>
      <c r="C32" s="436" t="s">
        <v>3694</v>
      </c>
      <c r="D32" s="94" t="str">
        <f>DATEDIF(Podcasts!E2077,Podcasts!E2092,"y")&amp; " Jahr, " &amp;DATEDIF(Podcasts!E2077,Podcasts!E2092,"ym")&amp;IF(DATEDIF(Podcasts!E2077,Podcasts!E2092,"ym")&lt;&gt;1," Monate und "," Monat und ") &amp;DATEDIF(Podcasts!E2077,Podcasts!E2092,"mD")&amp; IF(DATEDIF(Podcasts!E2077,Podcasts!E2092,"mD")&lt;&gt;1," Tage"," Tag")</f>
        <v>1 Jahr, 4 Monate und 11 Tage</v>
      </c>
      <c r="E32" s="146">
        <f>SUM(Podcasts!F2077:'Podcasts'!F2092)</f>
        <v>1.0598263888888888</v>
      </c>
      <c r="F32" s="147">
        <f>DATEDIF(Podcasts!E2077,Podcasts!E2092,"D")/(Podcasts!B2092-Podcasts!B2077)</f>
        <v>33.200000000000003</v>
      </c>
      <c r="G32" s="95">
        <f>SUMIF(Podcasts!D2077:'Podcasts'!D2092, "&gt;0", Podcasts!F2077:'Podcasts'!F2092)</f>
        <v>0.86998842592592596</v>
      </c>
      <c r="H32" s="148">
        <f ca="1">G32/(K2-J32)</f>
        <v>7.9089856902356911E-2</v>
      </c>
      <c r="I32" s="114">
        <f ca="1">ROUND(CONVERT(Podcasts!E2092-Podcasts!E2077,"day","day")/((K2-J32)-1),0)</f>
        <v>50</v>
      </c>
      <c r="J32" s="185">
        <f ca="1">K2-(COUNTIF(BP$44:BP$273,"")-(COUNTA(B44:B273)-K2))</f>
        <v>215</v>
      </c>
      <c r="K32" s="96" t="str">
        <f ca="1">TEXT(K2-J32, "00")&amp;" ("&amp;K2-J32+1&amp;")  "</f>
        <v xml:space="preserve">11 (12)  </v>
      </c>
      <c r="L32" s="140"/>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98" t="str">
        <f t="shared" ref="AL32:AL34" si="4">C32</f>
        <v>beachcast</v>
      </c>
      <c r="AM32" s="269">
        <f t="shared" si="0"/>
        <v>1.468200385600772E-2</v>
      </c>
      <c r="AN32" s="98">
        <v>26</v>
      </c>
      <c r="AO32" s="98" t="str">
        <f t="shared" si="1"/>
        <v>Hoerst</v>
      </c>
      <c r="AP32" s="269">
        <f>LARGE(AM$7:AM$34,26)</f>
        <v>3.7064896187369786E-3</v>
      </c>
      <c r="AQ32" s="28"/>
    </row>
    <row r="33" spans="1:71" outlineLevel="1">
      <c r="A33" s="140"/>
      <c r="B33" s="88">
        <v>27</v>
      </c>
      <c r="C33" s="738" t="s">
        <v>3695</v>
      </c>
      <c r="D33" s="94" t="str">
        <f>DATEDIF(Podcasts!E2098,Podcasts!E2114,"y")&amp; " Jahr, " &amp;DATEDIF(Podcasts!E2098,Podcasts!E2114,"ym")&amp;IF(DATEDIF(Podcasts!E2098,Podcasts!E2114,"ym")&lt;&gt;1," Monate und "," Monat und ") &amp;DATEDIF(Podcasts!E2098,Podcasts!E2114,"mD")&amp; IF(DATEDIF(Podcasts!E2098,Podcasts!E2114,"mD")&lt;&gt;1," Tage"," Tag")</f>
        <v>1 Jahr, 3 Monate und 9 Tage</v>
      </c>
      <c r="E33" s="146">
        <f>SUM(Podcasts!F2098:'Podcasts'!F2114)</f>
        <v>2.0436111111111113</v>
      </c>
      <c r="F33" s="147">
        <f>DATEDIF(Podcasts!E2098,Podcasts!E2114,"D")/(Podcasts!B2114-Podcasts!B2098)</f>
        <v>29.0625</v>
      </c>
      <c r="G33" s="95">
        <f>SUMIF(Podcasts!D2098:'Podcasts'!D2114, "&gt;0", Podcasts!F2098:'Podcasts'!F2114)</f>
        <v>2.0268055555555557</v>
      </c>
      <c r="H33" s="148">
        <f ca="1">G33/(K2-J33)</f>
        <v>0.12667534722222223</v>
      </c>
      <c r="I33" s="114">
        <f ca="1">ROUND(CONVERT(Podcasts!E2114-Podcasts!E2098,"day","day")/((K2-J33)-1),0)</f>
        <v>31</v>
      </c>
      <c r="J33" s="185">
        <f ca="1">K2-(COUNTIF(BQ$44:BQ$273,"")-(COUNTA(B44:B273)-K2))</f>
        <v>210</v>
      </c>
      <c r="K33" s="96" t="str">
        <f ca="1">TEXT(K2-J33, "00")&amp;" ("&amp;K2-J33+0&amp;")  "</f>
        <v xml:space="preserve">16 (16)  </v>
      </c>
      <c r="L33" s="140"/>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98" t="str">
        <f t="shared" si="4"/>
        <v>DGdB</v>
      </c>
      <c r="AM33" s="269">
        <f t="shared" si="0"/>
        <v>3.4204555020802323E-2</v>
      </c>
      <c r="AN33" s="98">
        <v>27</v>
      </c>
      <c r="AO33" s="98" t="str">
        <f t="shared" si="1"/>
        <v>Ohr</v>
      </c>
      <c r="AP33" s="269">
        <f>LARGE(AM$7:AM$34,27)</f>
        <v>3.4779592196053258E-3</v>
      </c>
      <c r="AQ33" s="28"/>
    </row>
    <row r="34" spans="1:71" outlineLevel="1">
      <c r="A34" s="140"/>
      <c r="B34" s="739">
        <v>28</v>
      </c>
      <c r="C34" s="740" t="s">
        <v>4416</v>
      </c>
      <c r="D34" s="572" t="str">
        <f>DATEDIF(Podcasts!E2120,Podcasts!E2124,"y")&amp; " Jahre, " &amp;DATEDIF(Podcasts!E2120,Podcasts!E2124,"ym")&amp;IF(DATEDIF(Podcasts!E2120,Podcasts!E2124,"ym")&lt;&gt;1," Monate und "," Monat und ") &amp;DATEDIF(Podcasts!E2120,Podcasts!E2124,"mD")&amp; IF(DATEDIF(Podcasts!E2120,Podcasts!E2124,"mD")&lt;&gt;1," Tage"," Tag")</f>
        <v>0 Jahre, 7 Monate und 6 Tage</v>
      </c>
      <c r="E34" s="573">
        <f>SUM(Podcasts!F2120:'Podcasts'!F2124)</f>
        <v>0.34043981481481483</v>
      </c>
      <c r="F34" s="574">
        <f>DATEDIF(Podcasts!E2120,Podcasts!E2124,"D")/(Podcasts!B2124-Podcasts!B2120)</f>
        <v>55.25</v>
      </c>
      <c r="G34" s="153">
        <f>SUMIF(Podcasts!D2120:'Podcasts'!D2124, "&gt;0", Podcasts!F2120:'Podcasts'!F2124)</f>
        <v>0.28008101851851852</v>
      </c>
      <c r="H34" s="154">
        <f ca="1">G34/(K2-J34)</f>
        <v>9.336033950617284E-2</v>
      </c>
      <c r="I34" s="256">
        <f ca="1">ROUND(CONVERT(Podcasts!E2124-Podcasts!E2120,"day","day")/((K2-J34)-1),0)</f>
        <v>111</v>
      </c>
      <c r="J34" s="257">
        <f ca="1">K2-(COUNTIF(BR$44:BR$273,"")-(COUNTA(B44:B273)-K2))</f>
        <v>223</v>
      </c>
      <c r="K34" s="258" t="str">
        <f ca="1">TEXT(K2-J34, "00")&amp;" ("&amp;K2-J34+0&amp;")  "</f>
        <v xml:space="preserve">03 (3)  </v>
      </c>
      <c r="L34" s="140"/>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98" t="str">
        <f t="shared" si="4"/>
        <v>RBP</v>
      </c>
      <c r="AM34" s="269">
        <f t="shared" si="0"/>
        <v>4.7266727594759781E-3</v>
      </c>
      <c r="AN34" s="745">
        <v>28</v>
      </c>
      <c r="AO34" s="745" t="str">
        <f t="shared" si="1"/>
        <v>Lampe</v>
      </c>
      <c r="AP34" s="746">
        <f>LARGE(AM$7:AM$34,28)</f>
        <v>8.9673766018241307E-4</v>
      </c>
      <c r="AQ34" s="28"/>
    </row>
    <row r="35" spans="1:71" outlineLevel="1">
      <c r="A35" s="140"/>
      <c r="B35" s="141"/>
      <c r="C35" s="141"/>
      <c r="D35" s="141"/>
      <c r="E35" s="423">
        <f>SUBTOTAL(109,Tabelle_Synopsis[Std. Σ gesamt])</f>
        <v>80.68906250000002</v>
      </c>
      <c r="F35" s="420">
        <f>DATEDIF(Podcasts!E10,Podcasts!E2114,"D")/(COUNT(Podcasts!D10:'Podcasts'!D2114)-144-14)</f>
        <v>3.7735537190082646</v>
      </c>
      <c r="G35" s="419">
        <f>SUBTOTAL(109,Tabelle_Synopsis[Std. Σ DDF regulär])-0.521782407 +N("-0,5... = DiE 2WO Folgen")</f>
        <v>59.255428241148152</v>
      </c>
      <c r="H35" s="419">
        <f ca="1">G35/SUM(LEFT(K35,FIND(" ",K35)-1)*1)</f>
        <v>5.38685711283165E-2</v>
      </c>
      <c r="I35" s="420">
        <f>DATEDIF(Podcasts!E10,Podcasts!E2114,"D")/(COUNTIF(Podcasts!D10:'Podcasts'!D2114,"&gt;0")-135+15)</f>
        <v>4.485265225933202</v>
      </c>
      <c r="J35" s="415" t="s">
        <v>600</v>
      </c>
      <c r="K35" s="416" t="str">
        <f ca="1">((ROWS(B$7:B$34)-1)*K2)-SUM(J7:J34)&amp;" ("&amp;K38&amp;")"</f>
        <v>1100 (1191)</v>
      </c>
      <c r="L35" s="140"/>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row>
    <row r="36" spans="1:71" outlineLevel="1">
      <c r="A36" s="140"/>
      <c r="B36" s="140"/>
      <c r="C36" s="140"/>
      <c r="D36" s="140"/>
      <c r="F36" s="414"/>
      <c r="G36" s="28"/>
      <c r="H36" s="777" t="s">
        <v>2747</v>
      </c>
      <c r="I36" s="778"/>
      <c r="J36" s="778"/>
      <c r="K36" s="418" t="str">
        <f>COUNTIF(Podcasts!D2133:'Podcasts'!D2535,"&gt;0")&amp;" (85)  "</f>
        <v xml:space="preserve">84 (85)  </v>
      </c>
      <c r="L36" s="140"/>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row>
    <row r="37" spans="1:71" outlineLevel="1">
      <c r="A37" s="140"/>
      <c r="B37" s="140"/>
      <c r="C37" s="140"/>
      <c r="D37" s="140"/>
      <c r="E37" s="410"/>
      <c r="F37" s="414"/>
      <c r="G37" s="28"/>
      <c r="H37" s="779" t="s">
        <v>2748</v>
      </c>
      <c r="I37" s="780"/>
      <c r="J37" s="780"/>
      <c r="K37" s="417" t="str">
        <f ca="1">SUM(C44:C273)&amp;" ("&amp;K38+MID(K36,5,2)&amp;")"</f>
        <v>1184 (1276)</v>
      </c>
      <c r="L37" s="140"/>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row>
    <row r="38" spans="1:71" outlineLevel="1">
      <c r="A38" s="140"/>
      <c r="B38" s="140"/>
      <c r="C38" s="140"/>
      <c r="D38" s="140"/>
      <c r="E38" s="410"/>
      <c r="F38" s="414"/>
      <c r="G38" s="28"/>
      <c r="H38" s="422"/>
      <c r="I38" s="422"/>
      <c r="J38" s="422"/>
      <c r="K38" s="104">
        <f t="array" aca="1" ref="K38" ca="1">SUM(SUBSTITUTE(RIGHT(K7:K34,LEN(K7:K34)-FIND(" ",K7:K34)-1),")","")*1)</f>
        <v>1191</v>
      </c>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row>
    <row r="39" spans="1:71">
      <c r="A39" s="140"/>
      <c r="B39" s="140"/>
      <c r="C39" s="140"/>
      <c r="D39" s="140"/>
      <c r="E39" s="142"/>
      <c r="F39" s="144"/>
      <c r="G39" s="142"/>
      <c r="H39" s="140"/>
      <c r="I39" s="140"/>
      <c r="J39" s="140"/>
      <c r="K39" s="140"/>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row>
    <row r="40" spans="1:71">
      <c r="A40" s="28"/>
      <c r="B40" s="770" t="s">
        <v>2817</v>
      </c>
      <c r="C40" s="771"/>
      <c r="D40" s="771"/>
      <c r="E40" s="771"/>
      <c r="F40" s="771"/>
      <c r="G40" s="771"/>
      <c r="H40" s="771"/>
      <c r="I40" s="772"/>
      <c r="J40" s="140"/>
      <c r="K40" s="140"/>
      <c r="L40" s="140"/>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767" t="s">
        <v>1335</v>
      </c>
      <c r="AQ40" s="768"/>
      <c r="AR40" s="768"/>
      <c r="AS40" s="768"/>
      <c r="AT40" s="768"/>
      <c r="AU40" s="768"/>
      <c r="AV40" s="768"/>
      <c r="AW40" s="769"/>
      <c r="AX40" s="28"/>
      <c r="AY40" s="28"/>
      <c r="AZ40" s="28"/>
      <c r="BA40" s="28"/>
      <c r="BB40" s="28"/>
      <c r="BC40" s="28"/>
      <c r="BD40" s="28"/>
      <c r="BE40" s="28"/>
      <c r="BF40" s="28"/>
      <c r="BG40" s="28"/>
      <c r="BH40" s="28"/>
      <c r="BI40" s="28"/>
      <c r="BJ40" s="28"/>
      <c r="BK40" s="28"/>
      <c r="BL40" s="28"/>
      <c r="BM40" s="28"/>
      <c r="BN40" s="28"/>
      <c r="BO40" s="28"/>
      <c r="BP40" s="28"/>
      <c r="BQ40" s="28"/>
      <c r="BR40" s="28"/>
      <c r="BS40" s="28"/>
    </row>
    <row r="41" spans="1:71" outlineLevel="1">
      <c r="A41" s="28"/>
      <c r="B41" s="142"/>
      <c r="C41" s="272">
        <f>SUM(C44:C273) +N("Standardpodcasts +6x reguläre Folgen sonstiger Podcasts, +23x Label, +6x Kanal, +49x Bobcast")</f>
        <v>1184</v>
      </c>
      <c r="D41" s="140"/>
      <c r="E41" s="144"/>
      <c r="F41" s="144"/>
      <c r="G41" s="140"/>
      <c r="H41" s="140"/>
      <c r="I41" s="140"/>
      <c r="J41" s="140"/>
      <c r="K41" s="140"/>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row>
    <row r="42" spans="1:71" ht="15" customHeight="1" outlineLevel="1">
      <c r="A42" s="28"/>
      <c r="B42" s="32" t="s">
        <v>4</v>
      </c>
      <c r="C42" s="32" t="s">
        <v>372</v>
      </c>
      <c r="D42" s="789" t="s">
        <v>1246</v>
      </c>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1"/>
      <c r="AO42" s="28"/>
      <c r="AP42" s="781" t="s">
        <v>1247</v>
      </c>
      <c r="AQ42" s="782"/>
      <c r="AR42" s="782"/>
      <c r="AS42" s="782"/>
      <c r="AT42" s="782"/>
      <c r="AU42" s="782"/>
      <c r="AV42" s="782"/>
      <c r="AW42" s="782"/>
      <c r="AX42" s="782"/>
      <c r="AY42" s="782"/>
      <c r="AZ42" s="782"/>
      <c r="BA42" s="782"/>
      <c r="BB42" s="782"/>
      <c r="BC42" s="782"/>
      <c r="BD42" s="782"/>
      <c r="BE42" s="782"/>
      <c r="BF42" s="782"/>
      <c r="BG42" s="782"/>
      <c r="BH42" s="782"/>
      <c r="BI42" s="782"/>
      <c r="BJ42" s="782"/>
      <c r="BK42" s="782"/>
      <c r="BL42" s="782"/>
      <c r="BM42" s="782"/>
      <c r="BN42" s="782"/>
      <c r="BO42" s="782"/>
      <c r="BP42" s="782"/>
      <c r="BQ42" s="782"/>
      <c r="BR42" s="783"/>
      <c r="BS42" s="28"/>
    </row>
    <row r="43" spans="1:71" outlineLevel="1">
      <c r="A43" s="28"/>
      <c r="B43" s="120" t="s">
        <v>202</v>
      </c>
      <c r="C43" s="121" t="s">
        <v>380</v>
      </c>
      <c r="D43" s="157" t="s">
        <v>1245</v>
      </c>
      <c r="E43" s="155" t="str">
        <f>" Podcast 1 ("&amp;SUBTOTAL(102,G44:G273)&amp;" Folgen)"</f>
        <v xml:space="preserve"> Podcast 1 (224 Folgen)</v>
      </c>
      <c r="F43" s="126" t="s">
        <v>1249</v>
      </c>
      <c r="G43" s="127" t="s">
        <v>1248</v>
      </c>
      <c r="H43" s="128" t="str">
        <f>" Podcast 2 ("&amp;SUBTOTAL(102,J44:J273)&amp;" Folgen)"</f>
        <v xml:space="preserve"> Podcast 2 (212 Folgen)</v>
      </c>
      <c r="I43" s="129" t="s">
        <v>1250</v>
      </c>
      <c r="J43" s="127" t="s">
        <v>1248</v>
      </c>
      <c r="K43" s="128" t="str">
        <f>" Podcast 3 ("&amp;SUBTOTAL(102,M44:M273)&amp;" Folgen)"</f>
        <v xml:space="preserve"> Podcast 3 (192 Folgen)</v>
      </c>
      <c r="L43" s="129" t="s">
        <v>1251</v>
      </c>
      <c r="M43" s="127" t="s">
        <v>1248</v>
      </c>
      <c r="N43" s="128" t="str">
        <f>" Podcast 4 ("&amp;SUBTOTAL(102,P44:P273)&amp;" Folgen)"</f>
        <v xml:space="preserve"> Podcast 4 (155 Folgen)</v>
      </c>
      <c r="O43" s="129" t="s">
        <v>1252</v>
      </c>
      <c r="P43" s="127" t="s">
        <v>1248</v>
      </c>
      <c r="Q43" s="128" t="str">
        <f>" Podcast 5 ("&amp;SUBTOTAL(102,S44:S273)&amp;" Folgen)"</f>
        <v xml:space="preserve"> Podcast 5 (124 Folgen)</v>
      </c>
      <c r="R43" s="129" t="s">
        <v>1253</v>
      </c>
      <c r="S43" s="127" t="s">
        <v>1248</v>
      </c>
      <c r="T43" s="128" t="str">
        <f>" Podcast 6 ("&amp;SUBTOTAL(102,V44:V273)&amp;" Folgen)"</f>
        <v xml:space="preserve"> Podcast 6 (88 Folgen)</v>
      </c>
      <c r="U43" s="129" t="s">
        <v>1254</v>
      </c>
      <c r="V43" s="127" t="s">
        <v>1248</v>
      </c>
      <c r="W43" s="128" t="str">
        <f>" Podcast 7 ("&amp;SUBTOTAL(102,Y44:Y273)&amp;" Folgen)"</f>
        <v xml:space="preserve"> Podcast 7 (61 Folgen)</v>
      </c>
      <c r="X43" s="129" t="s">
        <v>1255</v>
      </c>
      <c r="Y43" s="127" t="s">
        <v>1248</v>
      </c>
      <c r="Z43" s="128" t="str">
        <f>" Podcast 8 ("&amp;SUBTOTAL(102,AB44:AB273)&amp;" Folgen)"</f>
        <v xml:space="preserve"> Podcast 8 (46 Folgen)</v>
      </c>
      <c r="AA43" s="130" t="s">
        <v>1256</v>
      </c>
      <c r="AB43" s="403" t="s">
        <v>1248</v>
      </c>
      <c r="AC43" s="405" t="str">
        <f>" Podcast 9 ("&amp;SUBTOTAL(102,AE44:AE273)&amp;" Folgen)"</f>
        <v xml:space="preserve"> Podcast 9 (36 Folgen)</v>
      </c>
      <c r="AD43" s="399" t="s">
        <v>2715</v>
      </c>
      <c r="AE43" s="399" t="s">
        <v>1248</v>
      </c>
      <c r="AF43" s="405" t="str">
        <f>" Podcast 10 ("&amp;SUBTOTAL(102,AH44:AH273)&amp;" Folgen)"</f>
        <v xml:space="preserve"> Podcast 10 (27 Folgen)</v>
      </c>
      <c r="AG43" s="399" t="s">
        <v>2716</v>
      </c>
      <c r="AH43" s="399" t="s">
        <v>1248</v>
      </c>
      <c r="AI43" s="405" t="str">
        <f>" Podcast 11 ("&amp;SUBTOTAL(102,AK44:AK273)&amp;" Folgen)"</f>
        <v xml:space="preserve"> Podcast 11 (20 Folgen)</v>
      </c>
      <c r="AJ43" s="399" t="s">
        <v>2717</v>
      </c>
      <c r="AK43" s="399" t="s">
        <v>1248</v>
      </c>
      <c r="AL43" s="405" t="str">
        <f>" Podcast 12 ("&amp;SUBTOTAL(102,AN44:AN273)&amp;" Folgen)"</f>
        <v xml:space="preserve"> Podcast 12 (12 Folgen)</v>
      </c>
      <c r="AM43" s="399" t="s">
        <v>2718</v>
      </c>
      <c r="AN43" s="399" t="s">
        <v>1248</v>
      </c>
      <c r="AO43" s="402"/>
      <c r="AP43" s="477" t="s">
        <v>2825</v>
      </c>
      <c r="AQ43" s="122" t="s">
        <v>197</v>
      </c>
      <c r="AR43" s="122" t="s">
        <v>636</v>
      </c>
      <c r="AS43" s="122" t="s">
        <v>416</v>
      </c>
      <c r="AT43" s="122" t="s">
        <v>198</v>
      </c>
      <c r="AU43" s="122" t="s">
        <v>396</v>
      </c>
      <c r="AV43" s="122" t="s">
        <v>114</v>
      </c>
      <c r="AW43" s="122" t="s">
        <v>2762</v>
      </c>
      <c r="AX43" s="122" t="s">
        <v>109</v>
      </c>
      <c r="AY43" s="122" t="s">
        <v>44</v>
      </c>
      <c r="AZ43" s="122" t="s">
        <v>34</v>
      </c>
      <c r="BA43" s="122" t="s">
        <v>199</v>
      </c>
      <c r="BB43" s="122" t="s">
        <v>572</v>
      </c>
      <c r="BC43" s="122" t="s">
        <v>201</v>
      </c>
      <c r="BD43" s="122" t="s">
        <v>235</v>
      </c>
      <c r="BE43" s="122" t="s">
        <v>3639</v>
      </c>
      <c r="BF43" s="122" t="s">
        <v>1329</v>
      </c>
      <c r="BG43" s="122" t="s">
        <v>1326</v>
      </c>
      <c r="BH43" s="122" t="s">
        <v>1504</v>
      </c>
      <c r="BI43" s="122" t="s">
        <v>1662</v>
      </c>
      <c r="BJ43" s="122" t="s">
        <v>1617</v>
      </c>
      <c r="BK43" s="122" t="s">
        <v>1684</v>
      </c>
      <c r="BL43" s="122" t="s">
        <v>1686</v>
      </c>
      <c r="BM43" s="566" t="s">
        <v>1864</v>
      </c>
      <c r="BN43" s="566" t="s">
        <v>3981</v>
      </c>
      <c r="BO43" s="566" t="s">
        <v>3887</v>
      </c>
      <c r="BP43" s="568" t="s">
        <v>3694</v>
      </c>
      <c r="BQ43" s="175" t="s">
        <v>3695</v>
      </c>
      <c r="BR43" s="743" t="s">
        <v>4416</v>
      </c>
      <c r="BS43" s="28"/>
    </row>
    <row r="44" spans="1:71" outlineLevel="1">
      <c r="A44" s="28"/>
      <c r="B44" s="161">
        <v>1</v>
      </c>
      <c r="C44" s="161">
        <f>COUNTIF(Podcasts!$D$10:'Podcasts'!$D$2535,B44)-1</f>
        <v>15</v>
      </c>
      <c r="D44" s="158" t="s">
        <v>1029</v>
      </c>
      <c r="E44" s="156" t="str">
        <f t="array" ref="E44">IF(F44="","",INDEX(Podcasts!$J$10:'Podcasts'!$J$2535,MATCH(F44&amp;$B44,Podcasts!$E$10:'Podcasts'!$E$2535&amp;Podcasts!$D$10:'Podcasts'!$D$2535,0)))</f>
        <v>Talker</v>
      </c>
      <c r="F44" s="131">
        <f t="array" ref="F44">IF(COUNTIF(Podcasts!$D$10:'Podcasts'!$D$2535,$B44)&lt;COLUMN(A1),"",SMALL(IF(Podcasts!$D$10:'Podcasts'!$D$2535=$B44,Podcasts!$E$10:'Podcasts'!$E$2535),COLUMN(A1)))</f>
        <v>40965</v>
      </c>
      <c r="G44" s="132">
        <f t="array" ref="G44">IF(F44="","",INDEX(Podcasts!$F$10:'Podcasts'!$F$2535,MATCH(F44&amp;$B44,Podcasts!$E$10:'Podcasts'!$E$2535&amp;Podcasts!$D$10:'Podcasts'!$D$2535,0)))</f>
        <v>3.2777777777777781E-2</v>
      </c>
      <c r="H44" s="136" t="str">
        <f t="array" ref="H44">IF(I44="","",INDEX(Podcasts!$J$10:'Podcasts'!$J$2535,MATCH(I44&amp;$B44,Podcasts!$E$10:'Podcasts'!$E$2535&amp;Podcasts!$D$10:'Podcasts'!$D$2535,0)))</f>
        <v>Fürst</v>
      </c>
      <c r="I44" s="133">
        <f t="array" ref="I44">IF(COUNTIF(Podcasts!$D$10:'Podcasts'!$D$2535,$B44)&lt;COLUMN(B1),"",SMALL(IF(Podcasts!$D$10:'Podcasts'!$D$2535=$B44,Podcasts!$E$10:'Podcasts'!$E$2535),COLUMN(B1)))</f>
        <v>41936</v>
      </c>
      <c r="J44" s="132">
        <f t="array" ref="J44">IF(I44="","",INDEX(Podcasts!$F$10:'Podcasts'!$F$2535,MATCH(I44&amp;$B44,Podcasts!$E$10:'Podcasts'!$E$2535&amp;Podcasts!$D$10:'Podcasts'!$D$2535,0)))</f>
        <v>5.4976851851852027E-3</v>
      </c>
      <c r="K44" s="136" t="str">
        <f t="array" ref="K44">IF(L44="","",INDEX(Podcasts!$J$10:'Podcasts'!$J$2535,MATCH(L44&amp;$B44,Podcasts!$E$10:'Podcasts'!$E$2535&amp;Podcasts!$D$10:'Podcasts'!$D$2535,0)))</f>
        <v>Schrott</v>
      </c>
      <c r="L44" s="133">
        <f t="array" ref="L44">IF(COUNTIF(Podcasts!$D$10:'Podcasts'!$D$2535,$B44)&lt;COLUMN(C1),"",SMALL(IF(Podcasts!$D$10:'Podcasts'!$D$2535=$B44,Podcasts!$E$10:'Podcasts'!$E$2535),COLUMN(C1)))</f>
        <v>42689</v>
      </c>
      <c r="M44" s="132">
        <f t="array" ref="M44">IF(L44="","",INDEX(Podcasts!$F$10:'Podcasts'!$F$2535,MATCH(L44&amp;$B44,Podcasts!$E$10:'Podcasts'!$E$2535&amp;Podcasts!$D$10:'Podcasts'!$D$2535,0)))</f>
        <v>4.0486111111111105E-2</v>
      </c>
      <c r="N44" s="136" t="str">
        <f t="array" ref="N44">IF(O44="","",INDEX(Podcasts!$J$10:'Podcasts'!$J$2535,MATCH(O44&amp;$B44,Podcasts!$E$10:'Podcasts'!$E$2535&amp;Podcasts!$D$10:'Podcasts'!$D$2535,0)))</f>
        <v>SSP</v>
      </c>
      <c r="O44" s="133">
        <f t="array" ref="O44">IF(COUNTIF(Podcasts!$D$10:'Podcasts'!$D$2535,$B44)&lt;COLUMN(D1),"",SMALL(IF(Podcasts!$D$10:'Podcasts'!$D$2535=$B44,Podcasts!$E$10:'Podcasts'!$E$2535),COLUMN(D1)))</f>
        <v>42826</v>
      </c>
      <c r="P44" s="132">
        <f t="array" ref="P44">IF(O44="","",INDEX(Podcasts!$F$10:'Podcasts'!$F$2535,MATCH(O44&amp;$B44,Podcasts!$E$10:'Podcasts'!$E$2535&amp;Podcasts!$D$10:'Podcasts'!$D$2535,0)))</f>
        <v>5.6620370370370376E-2</v>
      </c>
      <c r="Q44" s="136" t="str">
        <f t="array" ref="Q44">IF(R44="","",INDEX(Podcasts!$J$10:'Podcasts'!$J$2535,MATCH(R44&amp;$B44,Podcasts!$E$10:'Podcasts'!$E$2535&amp;Podcasts!$D$10:'Podcasts'!$D$2535,0)))</f>
        <v>R&amp;A</v>
      </c>
      <c r="R44" s="133">
        <f t="array" ref="R44">IF(COUNTIF(Podcasts!$D$10:'Podcasts'!$D$2535,$B44)&lt;COLUMN(E1),"",SMALL(IF(Podcasts!$D$10:'Podcasts'!$D$2535=$B44,Podcasts!$E$10:'Podcasts'!$E$2535),COLUMN(E1)))</f>
        <v>43373.444513888891</v>
      </c>
      <c r="S44" s="132">
        <f t="array" ref="S44">IF(R44="","",INDEX(Podcasts!$F$10:'Podcasts'!$F$2535,MATCH(R44&amp;$B44,Podcasts!$E$10:'Podcasts'!$E$2535&amp;Podcasts!$D$10:'Podcasts'!$D$2535,0)))</f>
        <v>8.2812499999999997E-2</v>
      </c>
      <c r="T44" s="136" t="str">
        <f t="array" ref="T44">IF(U44="","",INDEX(Podcasts!$J$10:'Podcasts'!$J$2535,MATCH(U44&amp;$B44,Podcasts!$E$10:'Podcasts'!$E$2535&amp;Podcasts!$D$10:'Podcasts'!$D$2535,0)))</f>
        <v>Zentrale</v>
      </c>
      <c r="U44" s="133">
        <f t="array" ref="U44">IF(COUNTIF(Podcasts!$D$10:'Podcasts'!$D$2535,$B44)&lt;COLUMN(F1),"",SMALL(IF(Podcasts!$D$10:'Podcasts'!$D$2535=$B44,Podcasts!$E$10:'Podcasts'!$E$2535),COLUMN(F1)))</f>
        <v>43929</v>
      </c>
      <c r="V44" s="132">
        <f t="array" ref="V44">IF(U44="","",INDEX(Podcasts!$F$10:'Podcasts'!$F$2535,MATCH(U44&amp;$B44,Podcasts!$E$10:'Podcasts'!$E$2535&amp;Podcasts!$D$10:'Podcasts'!$D$2535,0)))</f>
        <v>9.0624999999999997E-2</v>
      </c>
      <c r="W44" s="136" t="str">
        <f t="array" ref="W44">IF(X44="","",INDEX(Podcasts!$J$10:'Podcasts'!$J$2535,MATCH(X44&amp;$B44,Podcasts!$E$10:'Podcasts'!$E$2535&amp;Podcasts!$D$10:'Podcasts'!$D$2535,0)))</f>
        <v>Abfahrt</v>
      </c>
      <c r="X44" s="133">
        <f t="array" ref="X44">IF(COUNTIF(Podcasts!$D$10:'Podcasts'!$D$2535,$B44)&lt;COLUMN(G1),"",SMALL(IF(Podcasts!$D$10:'Podcasts'!$D$2535=$B44,Podcasts!$E$10:'Podcasts'!$E$2535),COLUMN(G1)))</f>
        <v>43966</v>
      </c>
      <c r="Y44" s="132">
        <f t="array" ref="Y44">IF(X44="","",INDEX(Podcasts!$F$10:'Podcasts'!$F$2535,MATCH(X44&amp;$B44,Podcasts!$E$10:'Podcasts'!$E$2535&amp;Podcasts!$D$10:'Podcasts'!$D$2535,0)))</f>
        <v>4.2337962962962966E-2</v>
      </c>
      <c r="Z44" s="136" t="str">
        <f t="array" ref="Z44">IF(AA44="","",INDEX(Podcasts!$J$10:'Podcasts'!$J$2535,MATCH(AA44&amp;$B44,Podcasts!$E$10:'Podcasts'!$E$2535&amp;Podcasts!$D$10:'Podcasts'!$D$2535,0)))</f>
        <v>Abfahrt</v>
      </c>
      <c r="AA44" s="134">
        <f t="array" ref="AA44">IF(COUNTIF(Podcasts!$D$10:'Podcasts'!$D$2535,$B44)&lt;COLUMN(H1),"",SMALL(IF(Podcasts!$D$10:'Podcasts'!$D$2535=$B44,Podcasts!$E$10:'Podcasts'!$E$2535),COLUMN(H1)))</f>
        <v>43966</v>
      </c>
      <c r="AB44" s="404">
        <f t="array" ref="AB44">IF(AA44="","",INDEX(Podcasts!$F$10:'Podcasts'!$F$2535,MATCH(AA44&amp;$B44,Podcasts!$E$10:'Podcasts'!$E$2535&amp;Podcasts!$D$10:'Podcasts'!$D$2535,0)))</f>
        <v>4.2337962962962966E-2</v>
      </c>
      <c r="AC44" s="406" t="str">
        <f t="array" ref="AC44">IF(AD44="","",INDEX(Podcasts!$J$10:'Podcasts'!$J$2535,MATCH(AD44&amp;$B44,Podcasts!$E$10:'Podcasts'!$E$2535&amp;Podcasts!$D$10:'Podcasts'!$D$2535,0)))</f>
        <v>Lampe</v>
      </c>
      <c r="AD44" s="400">
        <f t="array" ref="AD44">IF(COUNTIF(Podcasts!$D$10:'Podcasts'!$D$2535,$B44)&lt;COLUMN(I1),"",SMALL(IF(Podcasts!$D$10:'Podcasts'!$D$2535=$B44,Podcasts!$E$10:'Podcasts'!$E$2535),COLUMN(I1)))</f>
        <v>44067</v>
      </c>
      <c r="AE44" s="401">
        <f t="array" ref="AE44">IF(AD44="","",INDEX(Podcasts!$F$10:'Podcasts'!$F$2535,MATCH(AD44&amp;$B44,Podcasts!$E$10:'Podcasts'!$E$2535&amp;Podcasts!$D$10:'Podcasts'!$D$2535,0)))</f>
        <v>2.2013888888888888E-2</v>
      </c>
      <c r="AF44" s="406" t="str">
        <f t="array" ref="AF44">IF(AG44="","",INDEX(Podcasts!$J$10:'Podcasts'!$J$2535,MATCH(AG44&amp;$B44,Podcasts!$E$10:'Podcasts'!$E$2535&amp;Podcasts!$D$10:'Podcasts'!$D$2535,0)))</f>
        <v>Fan</v>
      </c>
      <c r="AG44" s="400">
        <f t="array" ref="AG44">IF(COUNTIF(Podcasts!$D$10:'Podcasts'!$D$2535,$B44)&lt;COLUMN(J1),"",SMALL(IF(Podcasts!$D$10:'Podcasts'!$D$2535=$B44,Podcasts!$E$10:'Podcasts'!$E$2535),COLUMN(J1)))</f>
        <v>44164</v>
      </c>
      <c r="AH44" s="401">
        <f t="array" ref="AH44">IF(AG44="","",INDEX(Podcasts!$F$10:'Podcasts'!$F$2535,MATCH(AG44&amp;$B44,Podcasts!$E$10:'Podcasts'!$E$2535&amp;Podcasts!$D$10:'Podcasts'!$D$2535,0)))</f>
        <v>8.3854166666666674E-2</v>
      </c>
      <c r="AI44" s="406" t="str">
        <f t="array" ref="AI44">IF(AJ44="","",INDEX(Podcasts!$J$10:'Podcasts'!$J$2535,MATCH(AJ44&amp;$B44,Podcasts!$E$10:'Podcasts'!$E$2535&amp;Podcasts!$D$10:'Podcasts'!$D$2535,0)))</f>
        <v>Kuchen</v>
      </c>
      <c r="AJ44" s="400">
        <f t="array" ref="AJ44">IF(COUNTIF(Podcasts!$D$10:'Podcasts'!$D$2535,$B44)&lt;COLUMN(K1),"",SMALL(IF(Podcasts!$D$10:'Podcasts'!$D$2535=$B44,Podcasts!$E$10:'Podcasts'!$E$2535),COLUMN(K1)))</f>
        <v>44227</v>
      </c>
      <c r="AK44" s="401">
        <f t="array" ref="AK44">IF(AJ44="","",INDEX(Podcasts!$F$10:'Podcasts'!$F$2535,MATCH(AJ44&amp;$B44,Podcasts!$E$10:'Podcasts'!$E$2535&amp;Podcasts!$D$10:'Podcasts'!$D$2535,0)))</f>
        <v>5.5925925925925928E-2</v>
      </c>
      <c r="AL44" s="406" t="str">
        <f t="array" ref="AL44">IF(AM44="","",INDEX(Podcasts!$J$10:'Podcasts'!$J$2535,MATCH(AM44&amp;$B44,Podcasts!$E$10:'Podcasts'!$E$2535&amp;Podcasts!$D$10:'Podcasts'!$D$2535,0)))</f>
        <v>Verstärker</v>
      </c>
      <c r="AM44" s="400">
        <f t="array" ref="AM44">IF(COUNTIF(Podcasts!$D$10:'Podcasts'!$D$2535,$B44)&lt;COLUMN(L1),"",SMALL(IF(Podcasts!$D$10:'Podcasts'!$D$2535=$B44,Podcasts!$E$10:'Podcasts'!$E$2535),COLUMN(L1)))</f>
        <v>44258</v>
      </c>
      <c r="AN44" s="401">
        <f t="array" ref="AN44">IF(AM44="","",INDEX(Podcasts!$F$10:'Podcasts'!$F$2535,MATCH(AM44&amp;$B44,Podcasts!$E$10:'Podcasts'!$E$2535&amp;Podcasts!$D$10:'Podcasts'!$D$2535,0)))</f>
        <v>2.0995370370370373E-2</v>
      </c>
      <c r="AO44" s="402"/>
      <c r="AP44" s="119">
        <f t="array" aca="1" ref="AP44" ca="1">IFERROR(SMALL(IF(COUNTIF(Podcasts!$D$1:'Podcasts'!$D$2565,ROW(INDIRECT("1:"&amp;K$2)))=0,ROW(INDIRECT("1:"&amp;K$2))),ROW($A1)),"")</f>
        <v>118</v>
      </c>
      <c r="AQ44" s="117">
        <f t="array" aca="1" ref="AQ44" ca="1">IFERROR(SMALL(IF(COUNTIF(Podcasts!$D$10:'Podcasts'!$D$107,ROW(INDIRECT("1:"&amp;K$2)))=0,ROW(INDIRECT("1:"&amp;K$2))),ROW($A1)),"")</f>
        <v>2</v>
      </c>
      <c r="AR44" s="117">
        <f t="array" aca="1" ref="AR44" ca="1">IFERROR(SMALL(IF(COUNTIF(Podcasts!$D$113:'Podcasts'!$D$238,ROW(INDIRECT("1:"&amp;K$2)))=0,ROW(INDIRECT("1:"&amp;K$2))),ROW($A1)),"")</f>
        <v>1</v>
      </c>
      <c r="AS44" s="117">
        <f t="array" aca="1" ref="AS44" ca="1">IFERROR(SMALL(IF(COUNTIF(Podcasts!$D$244:'Podcasts'!$D$299,ROW(INDIRECT("1:"&amp;K$2)))=0,ROW(INDIRECT("1:"&amp;K$2))),ROW($A1)),"")</f>
        <v>11</v>
      </c>
      <c r="AT44" s="117">
        <f t="array" aca="1" ref="AT44" ca="1">IFERROR(SMALL(IF(COUNTIF(Podcasts!$D$305:'Podcasts'!$D$473,ROW(INDIRECT("1:"&amp;K$2)))=0,ROW(INDIRECT("1:"&amp;K$2))),ROW($A1)),"")</f>
        <v>95</v>
      </c>
      <c r="AU44" s="117">
        <f t="array" aca="1" ref="AU44" ca="1">IFERROR(SMALL(IF(COUNTIF(Podcasts!$D$479:'Podcasts'!$D$488,ROW(INDIRECT("1:"&amp;K$2)))=0,ROW(INDIRECT("1:"&amp;K$2))),ROW($A1)),"")</f>
        <v>1</v>
      </c>
      <c r="AV44" s="117">
        <f t="array" aca="1" ref="AV44" ca="1">IFERROR(SMALL(IF(COUNTIF(Podcasts!$D$494:'Podcasts'!$D$518,ROW(INDIRECT("1:"&amp;K$2)))=0,ROW(INDIRECT("1:"&amp;K$2))),ROW($A1)),"")</f>
        <v>15</v>
      </c>
      <c r="AW44" s="117">
        <f t="array" aca="1" ref="AW44" ca="1">IFERROR(SMALL(IF(COUNTIF(Podcasts!$D$524:'Podcasts'!$D$532,ROW(INDIRECT("1:"&amp;K$2)))=0,ROW(INDIRECT("1:"&amp;K$2))),ROW($A1)),"")</f>
        <v>1</v>
      </c>
      <c r="AX44" s="117">
        <f t="array" aca="1" ref="AX44" ca="1">IFERROR(SMALL(IF(COUNTIF(Podcasts!$D$538:'Podcasts'!$D$909,ROW(INDIRECT("1:"&amp;K$2)))=0,ROW(INDIRECT("1:"&amp;K$2))),ROW($A1)),"")</f>
        <v>3</v>
      </c>
      <c r="AY44" s="117">
        <f t="array" aca="1" ref="AY44" ca="1">IFERROR(SMALL(IF(COUNTIF(Podcasts!$D$915:'Podcasts'!$D$981,ROW(INDIRECT("1:"&amp;K$2)))=0,ROW(INDIRECT("1:"&amp;K$2))),ROW($A1)),"")</f>
        <v>3</v>
      </c>
      <c r="AZ44" s="118" t="s">
        <v>45</v>
      </c>
      <c r="BA44" s="117">
        <f t="array" aca="1" ref="BA44" ca="1">IFERROR(SMALL(IF(COUNTIF(Podcasts!$D$1001:'Podcasts'!$D$1251,ROW(INDIRECT("1:"&amp;K$2)))=0,ROW(INDIRECT("1:"&amp;K$2))),ROW($A1)),"")</f>
        <v>3</v>
      </c>
      <c r="BB44" s="117">
        <f t="array" aca="1" ref="BB44" ca="1">IFERROR(SMALL(IF(COUNTIF(Podcasts!$D$1257:'Podcasts'!$D$1267,ROW(INDIRECT("1:"&amp;K$2)))=0,ROW(INDIRECT("1:"&amp;K$2))),ROW($A1)),"")</f>
        <v>1</v>
      </c>
      <c r="BC44" s="117">
        <f t="array" aca="1" ref="BC44" ca="1">IFERROR(SMALL(IF(COUNTIF(Podcasts!$D$1273:'Podcasts'!$D$1283,ROW(INDIRECT("1:"&amp;K$2)))=0,ROW(INDIRECT("1:"&amp;K$2))),ROW($A1)),"")</f>
        <v>1</v>
      </c>
      <c r="BD44" s="117">
        <f t="array" aca="1" ref="BD44" ca="1">IFERROR(SMALL(IF(COUNTIF(Podcasts!$D$1289:'Podcasts'!$D$1295,ROW(INDIRECT("1:"&amp;K$2)))=0,ROW(INDIRECT("1:"&amp;K$2))),ROW($A1)),"")</f>
        <v>1</v>
      </c>
      <c r="BE44" s="117">
        <f t="array" aca="1" ref="BE44" ca="1">IFERROR(SMALL(IF(COUNTIF(Podcasts!$D$1301:'Podcasts'!$D$1356,ROW(INDIRECT("1:"&amp;K$2)))=0,ROW(INDIRECT("1:"&amp;K$2))),ROW($A1)),"")</f>
        <v>48</v>
      </c>
      <c r="BF44" s="117">
        <f t="array" aca="1" ref="BF44" ca="1">IFERROR(SMALL(IF(COUNTIF(Podcasts!$D$1362:'Podcasts'!$D$1364,ROW(INDIRECT("1:"&amp;K$2)))=0,ROW(INDIRECT("1:"&amp;K$2))),ROW($A1)),"")</f>
        <v>4</v>
      </c>
      <c r="BG44" s="202">
        <f t="array" aca="1" ref="BG44" ca="1">IFERROR(SMALL(IF(COUNTIF(Podcasts!$D$1370:'Podcasts'!$D$1419,ROW(INDIRECT("1:"&amp;K$2)))=0,ROW(INDIRECT("1:"&amp;K$2))),ROW($A1)),"")</f>
        <v>1</v>
      </c>
      <c r="BH44" s="202">
        <f t="array" aca="1" ref="BH44" ca="1">IFERROR(SMALL(IF(COUNTIF(Podcasts!$D$1425:'Podcasts'!$D$1446,ROW(INDIRECT("1:"&amp;K$2)))=0,ROW(INDIRECT("1:"&amp;K$2))),ROW($A1)),"")</f>
        <v>2</v>
      </c>
      <c r="BI44" s="202">
        <f t="array" aca="1" ref="BI44" ca="1">IFERROR(SMALL(IF(COUNTIF(Podcasts!$D$1452:'Podcasts'!$D$1574,ROW(INDIRECT("1:"&amp;K$2)))=0,ROW(INDIRECT("1:"&amp;K$2))),ROW($A1)),"")</f>
        <v>13</v>
      </c>
      <c r="BJ44" s="202">
        <f t="array" aca="1" ref="BJ44" ca="1">IFERROR(SMALL(IF(COUNTIF(Podcasts!$D$1580:'Podcasts'!$D$1705,ROW(INDIRECT("1:"&amp;K$2)))=0,ROW(INDIRECT("1:"&amp;K$2))),ROW($A1)),"")</f>
        <v>2</v>
      </c>
      <c r="BK44" s="202">
        <f t="array" aca="1" ref="BK44" ca="1">IFERROR(SMALL(IF(COUNTIF(Podcasts!$D$1711:'Podcasts'!$D$1833,ROW(INDIRECT("1:"&amp;K$2)))=0,ROW(INDIRECT("1:"&amp;K$2))),ROW($A1)),"")</f>
        <v>41</v>
      </c>
      <c r="BL44" s="202">
        <f t="array" aca="1" ref="BL44" ca="1">IFERROR(SMALL(IF(COUNTIF(Podcasts!$D$1839:'Podcasts'!$D$1855,ROW(INDIRECT("1:"&amp;K$2)))=0,ROW(INDIRECT("1:"&amp;K$2))),ROW($A1)),"")</f>
        <v>1</v>
      </c>
      <c r="BM44" s="567">
        <f t="array" aca="1" ref="BM44" ca="1">IFERROR(SMALL(IF(COUNTIF(Podcasts!$D$1861:'Podcasts'!$D$1994,ROW(INDIRECT("1:"&amp;K$2)))=0,ROW(INDIRECT("1:"&amp;K$2))),ROW($A1)),"")</f>
        <v>1</v>
      </c>
      <c r="BN44" s="567">
        <f t="array" aca="1" ref="BN44" ca="1">IFERROR(SMALL(IF(COUNTIF(Podcasts!$D$2000:'Podcasts'!$D$2057,ROW(INDIRECT("1:"&amp;K$2)))=0,ROW(INDIRECT("1:"&amp;K$2))),ROW($A1)),"")</f>
        <v>29</v>
      </c>
      <c r="BO44" s="567">
        <f t="array" aca="1" ref="BO44" ca="1">IFERROR(SMALL(IF(COUNTIF(Podcasts!$D$2063:'Podcasts'!$D$2071,ROW(INDIRECT("1:"&amp;K$2)))=0,ROW(INDIRECT("1:"&amp;K$2))),ROW($A1)),"")</f>
        <v>1</v>
      </c>
      <c r="BP44" s="202">
        <f t="array" aca="1" ref="BP44" ca="1">IFERROR(SMALL(IF(COUNTIF(Podcasts!$D$2077:'Podcasts'!$D$2092,ROW(INDIRECT("1:"&amp;K$2)))=0,ROW(INDIRECT("1:"&amp;K$2))),ROW($A1)),"")</f>
        <v>1</v>
      </c>
      <c r="BQ44" s="741">
        <f t="array" aca="1" ref="BQ44" ca="1">IFERROR(SMALL(IF(COUNTIF(Podcasts!$D$2098:'Podcasts'!$D$2114,ROW(INDIRECT("1:"&amp;K$2)))=0,ROW(INDIRECT("1:"&amp;K$2))),ROW($A1)),"")</f>
        <v>1</v>
      </c>
      <c r="BR44" s="744">
        <f t="array" aca="1" ref="BR44" ca="1">IFERROR(SMALL(IF(COUNTIF(Podcasts!$D$2120:'Podcasts'!$D$2124,ROW(INDIRECT("1:"&amp;K$2)))=0,ROW(INDIRECT("1:"&amp;K$2))),ROW($A1)),"")</f>
        <v>1</v>
      </c>
      <c r="BS44" s="28"/>
    </row>
    <row r="45" spans="1:71" outlineLevel="1">
      <c r="A45" s="28"/>
      <c r="B45" s="161">
        <v>2</v>
      </c>
      <c r="C45" s="161">
        <f>COUNTIF(Podcasts!$D$10:'Podcasts'!$D$2535,B45)-1</f>
        <v>14</v>
      </c>
      <c r="D45" s="158" t="s">
        <v>1030</v>
      </c>
      <c r="E45" s="156" t="str">
        <f t="array" ref="E45">IF(F45="","",INDEX(Podcasts!$J$10:'Podcasts'!$J$2535,MATCH(F45&amp;$B45,Podcasts!$E$10:'Podcasts'!$E$2535&amp;Podcasts!$D$10:'Podcasts'!$D$2535,0)))</f>
        <v>Talker</v>
      </c>
      <c r="F45" s="131">
        <f t="array" ref="F45">IF(COUNTIF(Podcasts!$D$10:'Podcasts'!$D$2535,$B45)&lt;COLUMN(A2),"",SMALL(IF(Podcasts!$D$10:'Podcasts'!$D$2535=$B45,Podcasts!$E$10:'Podcasts'!$E$2535),COLUMN(A2)))</f>
        <v>40980</v>
      </c>
      <c r="G45" s="132">
        <f t="array" ref="G45">IF(F45="","",INDEX(Podcasts!$F$10:'Podcasts'!$F$2535,MATCH(F45&amp;$B45,Podcasts!$E$10:'Podcasts'!$E$2535&amp;Podcasts!$D$10:'Podcasts'!$D$2535,0)))</f>
        <v>4.3738425925925924E-2</v>
      </c>
      <c r="H45" s="136" t="str">
        <f t="array" ref="H45">IF(I45="","",INDEX(Podcasts!$J$10:'Podcasts'!$J$2535,MATCH(I45&amp;$B45,Podcasts!$E$10:'Podcasts'!$E$2535&amp;Podcasts!$D$10:'Podcasts'!$D$2535,0)))</f>
        <v>Fürst</v>
      </c>
      <c r="I45" s="133">
        <f t="array" ref="I45">IF(COUNTIF(Podcasts!$D$10:'Podcasts'!$D$2535,$B45)&lt;COLUMN(B2),"",SMALL(IF(Podcasts!$D$10:'Podcasts'!$D$2535=$B45,Podcasts!$E$10:'Podcasts'!$E$2535),COLUMN(B2)))</f>
        <v>42106</v>
      </c>
      <c r="J45" s="132">
        <f t="array" ref="J45">IF(I45="","",INDEX(Podcasts!$F$10:'Podcasts'!$F$2535,MATCH(I45&amp;$B45,Podcasts!$E$10:'Podcasts'!$E$2535&amp;Podcasts!$D$10:'Podcasts'!$D$2535,0)))</f>
        <v>1.545138888888889E-2</v>
      </c>
      <c r="K45" s="136" t="str">
        <f t="array" ref="K45">IF(L45="","",INDEX(Podcasts!$J$10:'Podcasts'!$J$2535,MATCH(L45&amp;$B45,Podcasts!$E$10:'Podcasts'!$E$2535&amp;Podcasts!$D$10:'Podcasts'!$D$2535,0)))</f>
        <v>Schrott</v>
      </c>
      <c r="L45" s="133">
        <f t="array" ref="L45">IF(COUNTIF(Podcasts!$D$10:'Podcasts'!$D$2535,$B45)&lt;COLUMN(C2),"",SMALL(IF(Podcasts!$D$10:'Podcasts'!$D$2535=$B45,Podcasts!$E$10:'Podcasts'!$E$2535),COLUMN(C2)))</f>
        <v>42752</v>
      </c>
      <c r="M45" s="132">
        <f t="array" ref="M45">IF(L45="","",INDEX(Podcasts!$F$10:'Podcasts'!$F$2535,MATCH(L45&amp;$B45,Podcasts!$E$10:'Podcasts'!$E$2535&amp;Podcasts!$D$10:'Podcasts'!$D$2535,0)))</f>
        <v>4.8321759259259266E-2</v>
      </c>
      <c r="N45" s="136" t="str">
        <f t="array" ref="N45">IF(O45="","",INDEX(Podcasts!$J$10:'Podcasts'!$J$2535,MATCH(O45&amp;$B45,Podcasts!$E$10:'Podcasts'!$E$2535&amp;Podcasts!$D$10:'Podcasts'!$D$2535,0)))</f>
        <v>SSP</v>
      </c>
      <c r="O45" s="133">
        <f t="array" ref="O45">IF(COUNTIF(Podcasts!$D$10:'Podcasts'!$D$2535,$B45)&lt;COLUMN(D2),"",SMALL(IF(Podcasts!$D$10:'Podcasts'!$D$2535=$B45,Podcasts!$E$10:'Podcasts'!$E$2535),COLUMN(D2)))</f>
        <v>43131</v>
      </c>
      <c r="P45" s="132">
        <f t="array" ref="P45">IF(O45="","",INDEX(Podcasts!$F$10:'Podcasts'!$F$2535,MATCH(O45&amp;$B45,Podcasts!$E$10:'Podcasts'!$E$2535&amp;Podcasts!$D$10:'Podcasts'!$D$2535,0)))</f>
        <v>8.9212962962962952E-2</v>
      </c>
      <c r="Q45" s="136" t="str">
        <f t="array" ref="Q45">IF(R45="","",INDEX(Podcasts!$J$10:'Podcasts'!$J$2535,MATCH(R45&amp;$B45,Podcasts!$E$10:'Podcasts'!$E$2535&amp;Podcasts!$D$10:'Podcasts'!$D$2535,0)))</f>
        <v>Zentrale</v>
      </c>
      <c r="R45" s="133">
        <f t="array" ref="R45">IF(COUNTIF(Podcasts!$D$10:'Podcasts'!$D$2535,$B45)&lt;COLUMN(E2),"",SMALL(IF(Podcasts!$D$10:'Podcasts'!$D$2535=$B45,Podcasts!$E$10:'Podcasts'!$E$2535),COLUMN(E2)))</f>
        <v>43498.956504629627</v>
      </c>
      <c r="S45" s="132">
        <f t="array" ref="S45">IF(R45="","",INDEX(Podcasts!$F$10:'Podcasts'!$F$2535,MATCH(R45&amp;$B45,Podcasts!$E$10:'Podcasts'!$E$2535&amp;Podcasts!$D$10:'Podcasts'!$D$2535,0)))</f>
        <v>6.6724537037037041E-2</v>
      </c>
      <c r="T45" s="136" t="str">
        <f t="array" ref="T45">IF(U45="","",INDEX(Podcasts!$J$10:'Podcasts'!$J$2535,MATCH(U45&amp;$B45,Podcasts!$E$10:'Podcasts'!$E$2535&amp;Podcasts!$D$10:'Podcasts'!$D$2535,0)))</f>
        <v>Platz</v>
      </c>
      <c r="U45" s="133">
        <f t="array" ref="U45">IF(COUNTIF(Podcasts!$D$10:'Podcasts'!$D$2535,$B45)&lt;COLUMN(F2),"",SMALL(IF(Podcasts!$D$10:'Podcasts'!$D$2535=$B45,Podcasts!$E$10:'Podcasts'!$E$2535),COLUMN(F2)))</f>
        <v>43913</v>
      </c>
      <c r="V45" s="132">
        <f t="array" ref="V45">IF(U45="","",INDEX(Podcasts!$F$10:'Podcasts'!$F$2535,MATCH(U45&amp;$B45,Podcasts!$E$10:'Podcasts'!$E$2535&amp;Podcasts!$D$10:'Podcasts'!$D$2535,0)))</f>
        <v>5.7314814814814818E-2</v>
      </c>
      <c r="W45" s="136" t="str">
        <f t="array" ref="W45">IF(X45="","",INDEX(Podcasts!$J$10:'Podcasts'!$J$2535,MATCH(X45&amp;$B45,Podcasts!$E$10:'Podcasts'!$E$2535&amp;Podcasts!$D$10:'Podcasts'!$D$2535,0)))</f>
        <v>Abfahrt</v>
      </c>
      <c r="X45" s="133">
        <f t="array" ref="X45">IF(COUNTIF(Podcasts!$D$10:'Podcasts'!$D$2535,$B45)&lt;COLUMN(G2),"",SMALL(IF(Podcasts!$D$10:'Podcasts'!$D$2535=$B45,Podcasts!$E$10:'Podcasts'!$E$2535),COLUMN(G2)))</f>
        <v>44001</v>
      </c>
      <c r="Y45" s="132">
        <f t="array" ref="Y45">IF(X45="","",INDEX(Podcasts!$F$10:'Podcasts'!$F$2535,MATCH(X45&amp;$B45,Podcasts!$E$10:'Podcasts'!$E$2535&amp;Podcasts!$D$10:'Podcasts'!$D$2535,0)))</f>
        <v>3.3912037037037039E-2</v>
      </c>
      <c r="Z45" s="136" t="str">
        <f t="array" ref="Z45">IF(AA45="","",INDEX(Podcasts!$J$10:'Podcasts'!$J$2535,MATCH(AA45&amp;$B45,Podcasts!$E$10:'Podcasts'!$E$2535&amp;Podcasts!$D$10:'Podcasts'!$D$2535,0)))</f>
        <v>Abfahrt</v>
      </c>
      <c r="AA45" s="134">
        <f t="array" ref="AA45">IF(COUNTIF(Podcasts!$D$10:'Podcasts'!$D$2535,$B45)&lt;COLUMN(H2),"",SMALL(IF(Podcasts!$D$10:'Podcasts'!$D$2535=$B45,Podcasts!$E$10:'Podcasts'!$E$2535),COLUMN(H2)))</f>
        <v>44001</v>
      </c>
      <c r="AB45" s="404">
        <f t="array" ref="AB45">IF(AA45="","",INDEX(Podcasts!$F$10:'Podcasts'!$F$2535,MATCH(AA45&amp;$B45,Podcasts!$E$10:'Podcasts'!$E$2535&amp;Podcasts!$D$10:'Podcasts'!$D$2535,0)))</f>
        <v>3.3912037037037039E-2</v>
      </c>
      <c r="AC45" s="406" t="str">
        <f t="array" ref="AC45">IF(AD45="","",INDEX(Podcasts!$J$10:'Podcasts'!$J$2535,MATCH(AD45&amp;$B45,Podcasts!$E$10:'Podcasts'!$E$2535&amp;Podcasts!$D$10:'Podcasts'!$D$2535,0)))</f>
        <v>Lampe</v>
      </c>
      <c r="AD45" s="400">
        <f t="array" ref="AD45">IF(COUNTIF(Podcasts!$D$10:'Podcasts'!$D$2535,$B45)&lt;COLUMN(I2),"",SMALL(IF(Podcasts!$D$10:'Podcasts'!$D$2535=$B45,Podcasts!$E$10:'Podcasts'!$E$2535),COLUMN(I2)))</f>
        <v>44187</v>
      </c>
      <c r="AE45" s="401">
        <f t="array" ref="AE45">IF(AD45="","",INDEX(Podcasts!$F$10:'Podcasts'!$F$2535,MATCH(AD45&amp;$B45,Podcasts!$E$10:'Podcasts'!$E$2535&amp;Podcasts!$D$10:'Podcasts'!$D$2535,0)))</f>
        <v>1.909722222222222E-2</v>
      </c>
      <c r="AF45" s="406" t="str">
        <f t="array" ref="AF45">IF(AG45="","",INDEX(Podcasts!$J$10:'Podcasts'!$J$2535,MATCH(AG45&amp;$B45,Podcasts!$E$10:'Podcasts'!$E$2535&amp;Podcasts!$D$10:'Podcasts'!$D$2535,0)))</f>
        <v>Verstärker</v>
      </c>
      <c r="AG45" s="400">
        <f t="array" ref="AG45">IF(COUNTIF(Podcasts!$D$10:'Podcasts'!$D$2535,$B45)&lt;COLUMN(J2),"",SMALL(IF(Podcasts!$D$10:'Podcasts'!$D$2535=$B45,Podcasts!$E$10:'Podcasts'!$E$2535),COLUMN(J2)))</f>
        <v>44289</v>
      </c>
      <c r="AH45" s="401">
        <f t="array" ref="AH45">IF(AG45="","",INDEX(Podcasts!$F$10:'Podcasts'!$F$2535,MATCH(AG45&amp;$B45,Podcasts!$E$10:'Podcasts'!$E$2535&amp;Podcasts!$D$10:'Podcasts'!$D$2535,0)))</f>
        <v>1.5416666666666667E-2</v>
      </c>
      <c r="AI45" s="406" t="str">
        <f t="array" ref="AI45">IF(AJ45="","",INDEX(Podcasts!$J$10:'Podcasts'!$J$2535,MATCH(AJ45&amp;$B45,Podcasts!$E$10:'Podcasts'!$E$2535&amp;Podcasts!$D$10:'Podcasts'!$D$2535,0)))</f>
        <v>Kaffee</v>
      </c>
      <c r="AJ45" s="400">
        <f t="array" ref="AJ45">IF(COUNTIF(Podcasts!$D$10:'Podcasts'!$D$2535,$B45)&lt;COLUMN(K2),"",SMALL(IF(Podcasts!$D$10:'Podcasts'!$D$2535=$B45,Podcasts!$E$10:'Podcasts'!$E$2535),COLUMN(K2)))</f>
        <v>44337</v>
      </c>
      <c r="AK45" s="401">
        <f t="array" ref="AK45">IF(AJ45="","",INDEX(Podcasts!$F$10:'Podcasts'!$F$2535,MATCH(AJ45&amp;$B45,Podcasts!$E$10:'Podcasts'!$E$2535&amp;Podcasts!$D$10:'Podcasts'!$D$2535,0)))</f>
        <v>2.9872685185185183E-2</v>
      </c>
      <c r="AL45" s="406" t="str">
        <f t="array" ref="AL45">IF(AM45="","",INDEX(Podcasts!$J$10:'Podcasts'!$J$2535,MATCH(AM45&amp;$B45,Podcasts!$E$10:'Podcasts'!$E$2535&amp;Podcasts!$D$10:'Podcasts'!$D$2535,0)))</f>
        <v>Zeichen</v>
      </c>
      <c r="AM45" s="400">
        <f t="array" ref="AM45">IF(COUNTIF(Podcasts!$D$10:'Podcasts'!$D$2535,$B45)&lt;COLUMN(L2),"",SMALL(IF(Podcasts!$D$10:'Podcasts'!$D$2535=$B45,Podcasts!$E$10:'Podcasts'!$E$2535),COLUMN(L2)))</f>
        <v>44493</v>
      </c>
      <c r="AN45" s="401">
        <f t="array" ref="AN45">IF(AM45="","",INDEX(Podcasts!$F$10:'Podcasts'!$F$2535,MATCH(AM45&amp;$B45,Podcasts!$E$10:'Podcasts'!$E$2535&amp;Podcasts!$D$10:'Podcasts'!$D$2535,0)))</f>
        <v>7.8414351851851846E-2</v>
      </c>
      <c r="AO45" s="402"/>
      <c r="AP45" s="119">
        <f t="array" aca="1" ref="AP45" ca="1">IFERROR(SMALL(IF(COUNTIF(Podcasts!$D$1:'Podcasts'!$D$2565,ROW(INDIRECT("1:"&amp;K$2)))=0,ROW(INDIRECT("1:"&amp;K$2))),ROW($A2)),"")</f>
        <v>134</v>
      </c>
      <c r="AQ45" s="117">
        <f t="array" aca="1" ref="AQ45" ca="1">IFERROR(SMALL(IF(COUNTIF(Podcasts!$D$10:'Podcasts'!$D$107,ROW(INDIRECT("1:"&amp;K$2)))=0,ROW(INDIRECT("1:"&amp;K$2))),ROW($A2)),"")</f>
        <v>6</v>
      </c>
      <c r="AR45" s="117">
        <f t="array" aca="1" ref="AR45" ca="1">IFERROR(SMALL(IF(COUNTIF(Podcasts!$D$113:'Podcasts'!$D$238,ROW(INDIRECT("1:"&amp;K$2)))=0,ROW(INDIRECT("1:"&amp;K$2))),ROW($A2)),"")</f>
        <v>2</v>
      </c>
      <c r="AS45" s="117">
        <f t="array" aca="1" ref="AS45" ca="1">IFERROR(SMALL(IF(COUNTIF(Podcasts!$D$244:'Podcasts'!$D$299,ROW(INDIRECT("1:"&amp;K$2)))=0,ROW(INDIRECT("1:"&amp;K$2))),ROW($A2)),"")</f>
        <v>18</v>
      </c>
      <c r="AT45" s="117">
        <f t="array" aca="1" ref="AT45" ca="1">IFERROR(SMALL(IF(COUNTIF(Podcasts!$D$305:'Podcasts'!$D$473,ROW(INDIRECT("1:"&amp;K$2)))=0,ROW(INDIRECT("1:"&amp;K$2))),ROW($A2)),"")</f>
        <v>102</v>
      </c>
      <c r="AU45" s="117">
        <f t="array" aca="1" ref="AU45" ca="1">IFERROR(SMALL(IF(COUNTIF(Podcasts!$D$479:'Podcasts'!$D$488,ROW(INDIRECT("1:"&amp;K$2)))=0,ROW(INDIRECT("1:"&amp;K$2))),ROW($A2)),"")</f>
        <v>2</v>
      </c>
      <c r="AV45" s="117">
        <f t="array" aca="1" ref="AV45" ca="1">IFERROR(SMALL(IF(COUNTIF(Podcasts!$D$494:'Podcasts'!$D$518,ROW(INDIRECT("1:"&amp;K$2)))=0,ROW(INDIRECT("1:"&amp;K$2))),ROW($A2)),"")</f>
        <v>16</v>
      </c>
      <c r="AW45" s="117">
        <f t="array" aca="1" ref="AW45" ca="1">IFERROR(SMALL(IF(COUNTIF(Podcasts!$D$524:'Podcasts'!$D$532,ROW(INDIRECT("1:"&amp;K$2)))=0,ROW(INDIRECT("1:"&amp;K$2))),ROW($A2)),"")</f>
        <v>2</v>
      </c>
      <c r="AX45" s="117">
        <f t="array" aca="1" ref="AX45" ca="1">IFERROR(SMALL(IF(COUNTIF(Podcasts!$D$538:'Podcasts'!$D$909,ROW(INDIRECT("1:"&amp;K$2)))=0,ROW(INDIRECT("1:"&amp;K$2))),ROW($A2)),"")</f>
        <v>7</v>
      </c>
      <c r="AY45" s="117">
        <f t="array" aca="1" ref="AY45" ca="1">IFERROR(SMALL(IF(COUNTIF(Podcasts!$D$915:'Podcasts'!$D$981,ROW(INDIRECT("1:"&amp;K$2)))=0,ROW(INDIRECT("1:"&amp;K$2))),ROW($A2)),"")</f>
        <v>4</v>
      </c>
      <c r="AZ45" s="444"/>
      <c r="BA45" s="117">
        <f t="array" aca="1" ref="BA45" ca="1">IFERROR(SMALL(IF(COUNTIF(Podcasts!$D$1001:'Podcasts'!$D$1251,ROW(INDIRECT("1:"&amp;K$2)))=0,ROW(INDIRECT("1:"&amp;K$2))),ROW($A2)),"")</f>
        <v>4</v>
      </c>
      <c r="BB45" s="117">
        <f t="array" aca="1" ref="BB45" ca="1">IFERROR(SMALL(IF(COUNTIF(Podcasts!$D$1257:'Podcasts'!$D$1267,ROW(INDIRECT("1:"&amp;K$2)))=0,ROW(INDIRECT("1:"&amp;K$2))),ROW($A2)),"")</f>
        <v>2</v>
      </c>
      <c r="BC45" s="117">
        <f t="array" aca="1" ref="BC45" ca="1">IFERROR(SMALL(IF(COUNTIF(Podcasts!$D$1273:'Podcasts'!$D$1283,ROW(INDIRECT("1:"&amp;K$2)))=0,ROW(INDIRECT("1:"&amp;K$2))),ROW($A2)),"")</f>
        <v>2</v>
      </c>
      <c r="BD45" s="117">
        <f t="array" aca="1" ref="BD45" ca="1">IFERROR(SMALL(IF(COUNTIF(Podcasts!$D$1289:'Podcasts'!$D$1295,ROW(INDIRECT("1:"&amp;K$2)))=0,ROW(INDIRECT("1:"&amp;K$2))),ROW($A2)),"")</f>
        <v>3</v>
      </c>
      <c r="BE45" s="117">
        <f t="array" aca="1" ref="BE45" ca="1">IFERROR(SMALL(IF(COUNTIF(Podcasts!$D$1301:'Podcasts'!$D$1356,ROW(INDIRECT("1:"&amp;K$2)))=0,ROW(INDIRECT("1:"&amp;K$2))),ROW($A2)),"")</f>
        <v>49</v>
      </c>
      <c r="BF45" s="117">
        <f t="array" aca="1" ref="BF45" ca="1">IFERROR(SMALL(IF(COUNTIF(Podcasts!$D$1362:'Podcasts'!$D$1364,ROW(INDIRECT("1:"&amp;K$2)))=0,ROW(INDIRECT("1:"&amp;K$2))),ROW($A2)),"")</f>
        <v>5</v>
      </c>
      <c r="BG45" s="202">
        <f t="array" aca="1" ref="BG45" ca="1">IFERROR(SMALL(IF(COUNTIF(Podcasts!$D$1370:'Podcasts'!$D$1419,ROW(INDIRECT("1:"&amp;K$2)))=0,ROW(INDIRECT("1:"&amp;K$2))),ROW($A2)),"")</f>
        <v>3</v>
      </c>
      <c r="BH45" s="202">
        <f t="array" aca="1" ref="BH45" ca="1">IFERROR(SMALL(IF(COUNTIF(Podcasts!$D$1425:'Podcasts'!$D$1446,ROW(INDIRECT("1:"&amp;K$2)))=0,ROW(INDIRECT("1:"&amp;K$2))),ROW($A2)),"")</f>
        <v>3</v>
      </c>
      <c r="BI45" s="202">
        <f t="array" aca="1" ref="BI45" ca="1">IFERROR(SMALL(IF(COUNTIF(Podcasts!$D$1452:'Podcasts'!$D$1574,ROW(INDIRECT("1:"&amp;K$2)))=0,ROW(INDIRECT("1:"&amp;K$2))),ROW($A2)),"")</f>
        <v>14</v>
      </c>
      <c r="BJ45" s="202">
        <f t="array" aca="1" ref="BJ45" ca="1">IFERROR(SMALL(IF(COUNTIF(Podcasts!$D$1580:'Podcasts'!$D$1705,ROW(INDIRECT("1:"&amp;K$2)))=0,ROW(INDIRECT("1:"&amp;K$2))),ROW($A2)),"")</f>
        <v>7</v>
      </c>
      <c r="BK45" s="202">
        <f t="array" aca="1" ref="BK45" ca="1">IFERROR(SMALL(IF(COUNTIF(Podcasts!$D$1711:'Podcasts'!$D$1833,ROW(INDIRECT("1:"&amp;K$2)))=0,ROW(INDIRECT("1:"&amp;K$2))),ROW($A2)),"")</f>
        <v>42</v>
      </c>
      <c r="BL45" s="202">
        <f t="array" aca="1" ref="BL45" ca="1">IFERROR(SMALL(IF(COUNTIF(Podcasts!$D$1839:'Podcasts'!$D$1855,ROW(INDIRECT("1:"&amp;K$2)))=0,ROW(INDIRECT("1:"&amp;K$2))),ROW($A2)),"")</f>
        <v>2</v>
      </c>
      <c r="BM45" s="567">
        <f t="array" aca="1" ref="BM45" ca="1">IFERROR(SMALL(IF(COUNTIF(Podcasts!$D$1861:'Podcasts'!$D$1994,ROW(INDIRECT("1:"&amp;K$2)))=0,ROW(INDIRECT("1:"&amp;K$2))),ROW($A2)),"")</f>
        <v>2</v>
      </c>
      <c r="BN45" s="567">
        <f t="array" aca="1" ref="BN45" ca="1">IFERROR(SMALL(IF(COUNTIF(Podcasts!$D$2000:'Podcasts'!$D$2057,ROW(INDIRECT("1:"&amp;K$2)))=0,ROW(INDIRECT("1:"&amp;K$2))),ROW($A2)),"")</f>
        <v>57</v>
      </c>
      <c r="BO45" s="567">
        <f t="array" aca="1" ref="BO45" ca="1">IFERROR(SMALL(IF(COUNTIF(Podcasts!$D$2063:'Podcasts'!$D$2071,ROW(INDIRECT("1:"&amp;K$2)))=0,ROW(INDIRECT("1:"&amp;K$2))),ROW($A2)),"")</f>
        <v>2</v>
      </c>
      <c r="BP45" s="202">
        <f t="array" aca="1" ref="BP45" ca="1">IFERROR(SMALL(IF(COUNTIF(Podcasts!$D$2077:'Podcasts'!$D$2092,ROW(INDIRECT("1:"&amp;K$2)))=0,ROW(INDIRECT("1:"&amp;K$2))),ROW($A2)),"")</f>
        <v>2</v>
      </c>
      <c r="BQ45" s="741">
        <f t="array" aca="1" ref="BQ45" ca="1">IFERROR(SMALL(IF(COUNTIF(Podcasts!$D$2098:'Podcasts'!$D$2114,ROW(INDIRECT("1:"&amp;K$2)))=0,ROW(INDIRECT("1:"&amp;K$2))),ROW($A2)),"")</f>
        <v>2</v>
      </c>
      <c r="BR45" s="744">
        <f t="array" aca="1" ref="BR45" ca="1">IFERROR(SMALL(IF(COUNTIF(Podcasts!$D$2120:'Podcasts'!$D$2124,ROW(INDIRECT("1:"&amp;K$2)))=0,ROW(INDIRECT("1:"&amp;K$2))),ROW($A2)),"")</f>
        <v>2</v>
      </c>
      <c r="BS45" s="28"/>
    </row>
    <row r="46" spans="1:71" outlineLevel="1">
      <c r="A46" s="28"/>
      <c r="B46" s="161">
        <v>3</v>
      </c>
      <c r="C46" s="161">
        <f>COUNTIF(Podcasts!$D$10:'Podcasts'!$D$2535,B46)-1</f>
        <v>12</v>
      </c>
      <c r="D46" s="158" t="s">
        <v>1031</v>
      </c>
      <c r="E46" s="156" t="str">
        <f t="array" ref="E46">IF(F46="","",INDEX(Podcasts!$J$10:'Podcasts'!$J$2535,MATCH(F46&amp;$B46,Podcasts!$E$10:'Podcasts'!$E$2535&amp;Podcasts!$D$10:'Podcasts'!$D$2535,0)))</f>
        <v>Talker</v>
      </c>
      <c r="F46" s="131">
        <f t="array" ref="F46">IF(COUNTIF(Podcasts!$D$10:'Podcasts'!$D$2535,$B46)&lt;COLUMN(A3),"",SMALL(IF(Podcasts!$D$10:'Podcasts'!$D$2535=$B46,Podcasts!$E$10:'Podcasts'!$E$2535),COLUMN(A3)))</f>
        <v>41061</v>
      </c>
      <c r="G46" s="132">
        <f t="array" ref="G46">IF(F46="","",INDEX(Podcasts!$F$10:'Podcasts'!$F$2535,MATCH(F46&amp;$B46,Podcasts!$E$10:'Podcasts'!$E$2535&amp;Podcasts!$D$10:'Podcasts'!$D$2535,0)))</f>
        <v>2.2743055555555555E-2</v>
      </c>
      <c r="H46" s="136" t="str">
        <f t="array" ref="H46">IF(I46="","",INDEX(Podcasts!$J$10:'Podcasts'!$J$2535,MATCH(I46&amp;$B46,Podcasts!$E$10:'Podcasts'!$E$2535&amp;Podcasts!$D$10:'Podcasts'!$D$2535,0)))</f>
        <v>???od</v>
      </c>
      <c r="I46" s="133">
        <f t="array" ref="I46">IF(COUNTIF(Podcasts!$D$10:'Podcasts'!$D$2535,$B46)&lt;COLUMN(B3),"",SMALL(IF(Podcasts!$D$10:'Podcasts'!$D$2535=$B46,Podcasts!$E$10:'Podcasts'!$E$2535),COLUMN(B3)))</f>
        <v>41281</v>
      </c>
      <c r="J46" s="132">
        <f t="array" ref="J46">IF(I46="","",INDEX(Podcasts!$F$10:'Podcasts'!$F$2535,MATCH(I46&amp;$B46,Podcasts!$E$10:'Podcasts'!$E$2535&amp;Podcasts!$D$10:'Podcasts'!$D$2535,0)))</f>
        <v>3.3842592592592598E-2</v>
      </c>
      <c r="K46" s="136" t="str">
        <f t="array" ref="K46">IF(L46="","",INDEX(Podcasts!$J$10:'Podcasts'!$J$2535,MATCH(L46&amp;$B46,Podcasts!$E$10:'Podcasts'!$E$2535&amp;Podcasts!$D$10:'Podcasts'!$D$2535,0)))</f>
        <v>Fürst</v>
      </c>
      <c r="L46" s="133">
        <f t="array" ref="L46">IF(COUNTIF(Podcasts!$D$10:'Podcasts'!$D$2535,$B46)&lt;COLUMN(C3),"",SMALL(IF(Podcasts!$D$10:'Podcasts'!$D$2535=$B46,Podcasts!$E$10:'Podcasts'!$E$2535),COLUMN(C3)))</f>
        <v>42064</v>
      </c>
      <c r="M46" s="132">
        <f t="array" ref="M46">IF(L46="","",INDEX(Podcasts!$F$10:'Podcasts'!$F$2535,MATCH(L46&amp;$B46,Podcasts!$E$10:'Podcasts'!$E$2535&amp;Podcasts!$D$10:'Podcasts'!$D$2535,0)))</f>
        <v>1.40625E-2</v>
      </c>
      <c r="N46" s="136" t="str">
        <f t="array" ref="N46">IF(O46="","",INDEX(Podcasts!$J$10:'Podcasts'!$J$2535,MATCH(O46&amp;$B46,Podcasts!$E$10:'Podcasts'!$E$2535&amp;Podcasts!$D$10:'Podcasts'!$D$2535,0)))</f>
        <v>Schrott</v>
      </c>
      <c r="O46" s="133">
        <f t="array" ref="O46">IF(COUNTIF(Podcasts!$D$10:'Podcasts'!$D$2535,$B46)&lt;COLUMN(D3),"",SMALL(IF(Podcasts!$D$10:'Podcasts'!$D$2535=$B46,Podcasts!$E$10:'Podcasts'!$E$2535),COLUMN(D3)))</f>
        <v>42831</v>
      </c>
      <c r="P46" s="132">
        <f t="array" ref="P46">IF(O46="","",INDEX(Podcasts!$F$10:'Podcasts'!$F$2535,MATCH(O46&amp;$B46,Podcasts!$E$10:'Podcasts'!$E$2535&amp;Podcasts!$D$10:'Podcasts'!$D$2535,0)))</f>
        <v>4.8576388888888884E-2</v>
      </c>
      <c r="Q46" s="136" t="str">
        <f t="array" ref="Q46">IF(R46="","",INDEX(Podcasts!$J$10:'Podcasts'!$J$2535,MATCH(R46&amp;$B46,Podcasts!$E$10:'Podcasts'!$E$2535&amp;Podcasts!$D$10:'Podcasts'!$D$2535,0)))</f>
        <v>Abfahrt</v>
      </c>
      <c r="R46" s="133">
        <f t="array" ref="R46">IF(COUNTIF(Podcasts!$D$10:'Podcasts'!$D$2535,$B46)&lt;COLUMN(E3),"",SMALL(IF(Podcasts!$D$10:'Podcasts'!$D$2535=$B46,Podcasts!$E$10:'Podcasts'!$E$2535),COLUMN(E3)))</f>
        <v>44029</v>
      </c>
      <c r="S46" s="132">
        <f t="array" ref="S46">IF(R46="","",INDEX(Podcasts!$F$10:'Podcasts'!$F$2535,MATCH(R46&amp;$B46,Podcasts!$E$10:'Podcasts'!$E$2535&amp;Podcasts!$D$10:'Podcasts'!$D$2535,0)))</f>
        <v>3.7465277777777778E-2</v>
      </c>
      <c r="T46" s="136" t="str">
        <f t="array" ref="T46">IF(U46="","",INDEX(Podcasts!$J$10:'Podcasts'!$J$2535,MATCH(U46&amp;$B46,Podcasts!$E$10:'Podcasts'!$E$2535&amp;Podcasts!$D$10:'Podcasts'!$D$2535,0)))</f>
        <v>Abfahrt</v>
      </c>
      <c r="U46" s="133">
        <f t="array" ref="U46">IF(COUNTIF(Podcasts!$D$10:'Podcasts'!$D$2535,$B46)&lt;COLUMN(F3),"",SMALL(IF(Podcasts!$D$10:'Podcasts'!$D$2535=$B46,Podcasts!$E$10:'Podcasts'!$E$2535),COLUMN(F3)))</f>
        <v>44029</v>
      </c>
      <c r="V46" s="132">
        <f t="array" ref="V46">IF(U46="","",INDEX(Podcasts!$F$10:'Podcasts'!$F$2535,MATCH(U46&amp;$B46,Podcasts!$E$10:'Podcasts'!$E$2535&amp;Podcasts!$D$10:'Podcasts'!$D$2535,0)))</f>
        <v>3.7465277777777778E-2</v>
      </c>
      <c r="W46" s="136" t="str">
        <f t="array" ref="W46">IF(X46="","",INDEX(Podcasts!$J$10:'Podcasts'!$J$2535,MATCH(X46&amp;$B46,Podcasts!$E$10:'Podcasts'!$E$2535&amp;Podcasts!$D$10:'Podcasts'!$D$2535,0)))</f>
        <v>Lampe</v>
      </c>
      <c r="X46" s="133">
        <f t="array" ref="X46">IF(COUNTIF(Podcasts!$D$10:'Podcasts'!$D$2535,$B46)&lt;COLUMN(G3),"",SMALL(IF(Podcasts!$D$10:'Podcasts'!$D$2535=$B46,Podcasts!$E$10:'Podcasts'!$E$2535),COLUMN(G3)))</f>
        <v>44192</v>
      </c>
      <c r="Y46" s="132">
        <f t="array" ref="Y46">IF(X46="","",INDEX(Podcasts!$F$10:'Podcasts'!$F$2535,MATCH(X46&amp;$B46,Podcasts!$E$10:'Podcasts'!$E$2535&amp;Podcasts!$D$10:'Podcasts'!$D$2535,0)))</f>
        <v>1.2025462962962962E-2</v>
      </c>
      <c r="Z46" s="136" t="str">
        <f t="array" ref="Z46">IF(AA46="","",INDEX(Podcasts!$J$10:'Podcasts'!$J$2535,MATCH(AA46&amp;$B46,Podcasts!$E$10:'Podcasts'!$E$2535&amp;Podcasts!$D$10:'Podcasts'!$D$2535,0)))</f>
        <v>Kuchen</v>
      </c>
      <c r="AA46" s="134">
        <f t="array" ref="AA46">IF(COUNTIF(Podcasts!$D$10:'Podcasts'!$D$2535,$B46)&lt;COLUMN(H3),"",SMALL(IF(Podcasts!$D$10:'Podcasts'!$D$2535=$B46,Podcasts!$E$10:'Podcasts'!$E$2535),COLUMN(H3)))</f>
        <v>44304</v>
      </c>
      <c r="AB46" s="404">
        <f t="array" ref="AB46">IF(AA46="","",INDEX(Podcasts!$F$10:'Podcasts'!$F$2535,MATCH(AA46&amp;$B46,Podcasts!$E$10:'Podcasts'!$E$2535&amp;Podcasts!$D$10:'Podcasts'!$D$2535,0)))</f>
        <v>5.5497685185185185E-2</v>
      </c>
      <c r="AC46" s="406" t="str">
        <f t="array" ref="AC46">IF(AD46="","",INDEX(Podcasts!$J$10:'Podcasts'!$J$2535,MATCH(AD46&amp;$B46,Podcasts!$E$10:'Podcasts'!$E$2535&amp;Podcasts!$D$10:'Podcasts'!$D$2535,0)))</f>
        <v>Verstärker</v>
      </c>
      <c r="AD46" s="400">
        <f t="array" ref="AD46">IF(COUNTIF(Podcasts!$D$10:'Podcasts'!$D$2535,$B46)&lt;COLUMN(I3),"",SMALL(IF(Podcasts!$D$10:'Podcasts'!$D$2535=$B46,Podcasts!$E$10:'Podcasts'!$E$2535),COLUMN(I3)))</f>
        <v>44319</v>
      </c>
      <c r="AE46" s="401">
        <f t="array" ref="AE46">IF(AD46="","",INDEX(Podcasts!$F$10:'Podcasts'!$F$2535,MATCH(AD46&amp;$B46,Podcasts!$E$10:'Podcasts'!$E$2535&amp;Podcasts!$D$10:'Podcasts'!$D$2535,0)))</f>
        <v>2.3159722222222224E-2</v>
      </c>
      <c r="AF46" s="406" t="str">
        <f t="array" ref="AF46">IF(AG46="","",INDEX(Podcasts!$J$10:'Podcasts'!$J$2535,MATCH(AG46&amp;$B46,Podcasts!$E$10:'Podcasts'!$E$2535&amp;Podcasts!$D$10:'Podcasts'!$D$2535,0)))</f>
        <v>Bobcast</v>
      </c>
      <c r="AG46" s="400">
        <f t="array" ref="AG46">IF(COUNTIF(Podcasts!$D$10:'Podcasts'!$D$2535,$B46)&lt;COLUMN(J3),"",SMALL(IF(Podcasts!$D$10:'Podcasts'!$D$2535=$B46,Podcasts!$E$10:'Podcasts'!$E$2535),COLUMN(J3)))</f>
        <v>44634.001377314817</v>
      </c>
      <c r="AH46" s="401">
        <f t="array" ref="AH46">IF(AG46="","",INDEX(Podcasts!$F$10:'Podcasts'!$F$2535,MATCH(AG46&amp;$B46,Podcasts!$E$10:'Podcasts'!$E$2535&amp;Podcasts!$D$10:'Podcasts'!$D$2535,0)))</f>
        <v>2.4641203703703703E-2</v>
      </c>
      <c r="AI46" s="406" t="str">
        <f t="array" ref="AI46">IF(AJ46="","",INDEX(Podcasts!$J$10:'Podcasts'!$J$2535,MATCH(AJ46&amp;$B46,Podcasts!$E$10:'Podcasts'!$E$2535&amp;Podcasts!$D$10:'Podcasts'!$D$2535,0)))</f>
        <v>Kaffee</v>
      </c>
      <c r="AJ46" s="400">
        <f t="array" ref="AJ46">IF(COUNTIF(Podcasts!$D$10:'Podcasts'!$D$2535,$B46)&lt;COLUMN(K3),"",SMALL(IF(Podcasts!$D$10:'Podcasts'!$D$2535=$B46,Podcasts!$E$10:'Podcasts'!$E$2535),COLUMN(K3)))</f>
        <v>44708</v>
      </c>
      <c r="AK46" s="401">
        <f t="array" ref="AK46">IF(AJ46="","",INDEX(Podcasts!$F$10:'Podcasts'!$F$2535,MATCH(AJ46&amp;$B46,Podcasts!$E$10:'Podcasts'!$E$2535&amp;Podcasts!$D$10:'Podcasts'!$D$2535,0)))</f>
        <v>2.5983796296296297E-2</v>
      </c>
      <c r="AL46" s="406" t="str">
        <f t="array" ref="AL46">IF(AM46="","",INDEX(Podcasts!$J$10:'Podcasts'!$J$2535,MATCH(AM46&amp;$B46,Podcasts!$E$10:'Podcasts'!$E$2535&amp;Podcasts!$D$10:'Podcasts'!$D$2535,0)))</f>
        <v>RBW</v>
      </c>
      <c r="AM46" s="400">
        <f t="array" ref="AM46">IF(COUNTIF(Podcasts!$D$10:'Podcasts'!$D$2535,$B46)&lt;COLUMN(L3),"",SMALL(IF(Podcasts!$D$10:'Podcasts'!$D$2535=$B46,Podcasts!$E$10:'Podcasts'!$E$2535),COLUMN(L3)))</f>
        <v>44833</v>
      </c>
      <c r="AN46" s="401">
        <f t="array" ref="AN46">IF(AM46="","",INDEX(Podcasts!$F$10:'Podcasts'!$F$2535,MATCH(AM46&amp;$B46,Podcasts!$E$10:'Podcasts'!$E$2535&amp;Podcasts!$D$10:'Podcasts'!$D$2535,0)))</f>
        <v>4.1597222222222223E-2</v>
      </c>
      <c r="AO46" s="402"/>
      <c r="AP46" s="119">
        <f t="array" aca="1" ref="AP46" ca="1">IFERROR(SMALL(IF(COUNTIF(Podcasts!$D$1:'Podcasts'!$D$2565,ROW(INDIRECT("1:"&amp;K$2)))=0,ROW(INDIRECT("1:"&amp;K$2))),ROW($A3)),"")</f>
        <v>135</v>
      </c>
      <c r="AQ46" s="117">
        <f t="array" aca="1" ref="AQ46" ca="1">IFERROR(SMALL(IF(COUNTIF(Podcasts!$D$10:'Podcasts'!$D$107,ROW(INDIRECT("1:"&amp;K$2)))=0,ROW(INDIRECT("1:"&amp;K$2))),ROW($A3)),"")</f>
        <v>7</v>
      </c>
      <c r="AR46" s="117">
        <f t="array" aca="1" ref="AR46" ca="1">IFERROR(SMALL(IF(COUNTIF(Podcasts!$D$113:'Podcasts'!$D$238,ROW(INDIRECT("1:"&amp;K$2)))=0,ROW(INDIRECT("1:"&amp;K$2))),ROW($A3)),"")</f>
        <v>3</v>
      </c>
      <c r="AS46" s="117">
        <f t="array" aca="1" ref="AS46" ca="1">IFERROR(SMALL(IF(COUNTIF(Podcasts!$D$244:'Podcasts'!$D$299,ROW(INDIRECT("1:"&amp;K$2)))=0,ROW(INDIRECT("1:"&amp;K$2))),ROW($A3)),"")</f>
        <v>19</v>
      </c>
      <c r="AT46" s="117">
        <f t="array" aca="1" ref="AT46" ca="1">IFERROR(SMALL(IF(COUNTIF(Podcasts!$D$305:'Podcasts'!$D$473,ROW(INDIRECT("1:"&amp;K$2)))=0,ROW(INDIRECT("1:"&amp;K$2))),ROW($A3)),"")</f>
        <v>114</v>
      </c>
      <c r="AU46" s="117">
        <f t="array" aca="1" ref="AU46" ca="1">IFERROR(SMALL(IF(COUNTIF(Podcasts!$D$479:'Podcasts'!$D$488,ROW(INDIRECT("1:"&amp;K$2)))=0,ROW(INDIRECT("1:"&amp;K$2))),ROW($A3)),"")</f>
        <v>3</v>
      </c>
      <c r="AV46" s="117">
        <f t="array" aca="1" ref="AV46" ca="1">IFERROR(SMALL(IF(COUNTIF(Podcasts!$D$494:'Podcasts'!$D$518,ROW(INDIRECT("1:"&amp;K$2)))=0,ROW(INDIRECT("1:"&amp;K$2))),ROW($A3)),"")</f>
        <v>17</v>
      </c>
      <c r="AW46" s="117">
        <f t="array" aca="1" ref="AW46" ca="1">IFERROR(SMALL(IF(COUNTIF(Podcasts!$D$524:'Podcasts'!$D$532,ROW(INDIRECT("1:"&amp;K$2)))=0,ROW(INDIRECT("1:"&amp;K$2))),ROW($A3)),"")</f>
        <v>3</v>
      </c>
      <c r="AX46" s="117">
        <f t="array" aca="1" ref="AX46" ca="1">IFERROR(SMALL(IF(COUNTIF(Podcasts!$D$538:'Podcasts'!$D$909,ROW(INDIRECT("1:"&amp;K$2)))=0,ROW(INDIRECT("1:"&amp;K$2))),ROW($A3)),"")</f>
        <v>9</v>
      </c>
      <c r="AY46" s="117">
        <f t="array" aca="1" ref="AY46" ca="1">IFERROR(SMALL(IF(COUNTIF(Podcasts!$D$915:'Podcasts'!$D$981,ROW(INDIRECT("1:"&amp;K$2)))=0,ROW(INDIRECT("1:"&amp;K$2))),ROW($A3)),"")</f>
        <v>8</v>
      </c>
      <c r="AZ46" s="445"/>
      <c r="BA46" s="117">
        <f t="array" aca="1" ref="BA46" ca="1">IFERROR(SMALL(IF(COUNTIF(Podcasts!$D$1001:'Podcasts'!$D$1251,ROW(INDIRECT("1:"&amp;K$2)))=0,ROW(INDIRECT("1:"&amp;K$2))),ROW($A3)),"")</f>
        <v>8</v>
      </c>
      <c r="BB46" s="117">
        <f t="array" aca="1" ref="BB46" ca="1">IFERROR(SMALL(IF(COUNTIF(Podcasts!$D$1257:'Podcasts'!$D$1267,ROW(INDIRECT("1:"&amp;K$2)))=0,ROW(INDIRECT("1:"&amp;K$2))),ROW($A3)),"")</f>
        <v>3</v>
      </c>
      <c r="BC46" s="117">
        <f t="array" aca="1" ref="BC46" ca="1">IFERROR(SMALL(IF(COUNTIF(Podcasts!$D$1273:'Podcasts'!$D$1283,ROW(INDIRECT("1:"&amp;K$2)))=0,ROW(INDIRECT("1:"&amp;K$2))),ROW($A3)),"")</f>
        <v>3</v>
      </c>
      <c r="BD46" s="117">
        <f t="array" aca="1" ref="BD46" ca="1">IFERROR(SMALL(IF(COUNTIF(Podcasts!$D$1289:'Podcasts'!$D$1295,ROW(INDIRECT("1:"&amp;K$2)))=0,ROW(INDIRECT("1:"&amp;K$2))),ROW($A3)),"")</f>
        <v>4</v>
      </c>
      <c r="BE46" s="117">
        <f t="array" aca="1" ref="BE46" ca="1">IFERROR(SMALL(IF(COUNTIF(Podcasts!$D$1301:'Podcasts'!$D$1356,ROW(INDIRECT("1:"&amp;K$2)))=0,ROW(INDIRECT("1:"&amp;K$2))),ROW($A3)),"")</f>
        <v>50</v>
      </c>
      <c r="BF46" s="117">
        <f t="array" aca="1" ref="BF46" ca="1">IFERROR(SMALL(IF(COUNTIF(Podcasts!$D$1362:'Podcasts'!$D$1364,ROW(INDIRECT("1:"&amp;K$2)))=0,ROW(INDIRECT("1:"&amp;K$2))),ROW($A3)),"")</f>
        <v>6</v>
      </c>
      <c r="BG46" s="202">
        <f t="array" aca="1" ref="BG46" ca="1">IFERROR(SMALL(IF(COUNTIF(Podcasts!$D$1370:'Podcasts'!$D$1419,ROW(INDIRECT("1:"&amp;K$2)))=0,ROW(INDIRECT("1:"&amp;K$2))),ROW($A3)),"")</f>
        <v>4</v>
      </c>
      <c r="BH46" s="202">
        <f t="array" aca="1" ref="BH46" ca="1">IFERROR(SMALL(IF(COUNTIF(Podcasts!$D$1425:'Podcasts'!$D$1446,ROW(INDIRECT("1:"&amp;K$2)))=0,ROW(INDIRECT("1:"&amp;K$2))),ROW($A3)),"")</f>
        <v>4</v>
      </c>
      <c r="BI46" s="202">
        <f t="array" aca="1" ref="BI46" ca="1">IFERROR(SMALL(IF(COUNTIF(Podcasts!$D$1452:'Podcasts'!$D$1574,ROW(INDIRECT("1:"&amp;K$2)))=0,ROW(INDIRECT("1:"&amp;K$2))),ROW($A3)),"")</f>
        <v>15</v>
      </c>
      <c r="BJ46" s="202">
        <f t="array" aca="1" ref="BJ46" ca="1">IFERROR(SMALL(IF(COUNTIF(Podcasts!$D$1580:'Podcasts'!$D$1705,ROW(INDIRECT("1:"&amp;K$2)))=0,ROW(INDIRECT("1:"&amp;K$2))),ROW($A3)),"")</f>
        <v>8</v>
      </c>
      <c r="BK46" s="202">
        <f t="array" aca="1" ref="BK46" ca="1">IFERROR(SMALL(IF(COUNTIF(Podcasts!$D$1711:'Podcasts'!$D$1833,ROW(INDIRECT("1:"&amp;K$2)))=0,ROW(INDIRECT("1:"&amp;K$2))),ROW($A3)),"")</f>
        <v>43</v>
      </c>
      <c r="BL46" s="202">
        <f t="array" aca="1" ref="BL46" ca="1">IFERROR(SMALL(IF(COUNTIF(Podcasts!$D$1839:'Podcasts'!$D$1855,ROW(INDIRECT("1:"&amp;K$2)))=0,ROW(INDIRECT("1:"&amp;K$2))),ROW($A3)),"")</f>
        <v>3</v>
      </c>
      <c r="BM46" s="567">
        <f t="array" aca="1" ref="BM46" ca="1">IFERROR(SMALL(IF(COUNTIF(Podcasts!$D$1861:'Podcasts'!$D$1994,ROW(INDIRECT("1:"&amp;K$2)))=0,ROW(INDIRECT("1:"&amp;K$2))),ROW($A3)),"")</f>
        <v>3</v>
      </c>
      <c r="BN46" s="567">
        <f t="array" aca="1" ref="BN46" ca="1">IFERROR(SMALL(IF(COUNTIF(Podcasts!$D$2000:'Podcasts'!$D$2057,ROW(INDIRECT("1:"&amp;K$2)))=0,ROW(INDIRECT("1:"&amp;K$2))),ROW($A3)),"")</f>
        <v>58</v>
      </c>
      <c r="BO46" s="567">
        <f t="array" aca="1" ref="BO46" ca="1">IFERROR(SMALL(IF(COUNTIF(Podcasts!$D$2063:'Podcasts'!$D$2071,ROW(INDIRECT("1:"&amp;K$2)))=0,ROW(INDIRECT("1:"&amp;K$2))),ROW($A3)),"")</f>
        <v>3</v>
      </c>
      <c r="BP46" s="202">
        <f t="array" aca="1" ref="BP46" ca="1">IFERROR(SMALL(IF(COUNTIF(Podcasts!$D$2077:'Podcasts'!$D$2092,ROW(INDIRECT("1:"&amp;K$2)))=0,ROW(INDIRECT("1:"&amp;K$2))),ROW($A3)),"")</f>
        <v>3</v>
      </c>
      <c r="BQ46" s="741">
        <f t="array" aca="1" ref="BQ46" ca="1">IFERROR(SMALL(IF(COUNTIF(Podcasts!$D$2098:'Podcasts'!$D$2114,ROW(INDIRECT("1:"&amp;K$2)))=0,ROW(INDIRECT("1:"&amp;K$2))),ROW($A3)),"")</f>
        <v>3</v>
      </c>
      <c r="BR46" s="744">
        <f t="array" aca="1" ref="BR46" ca="1">IFERROR(SMALL(IF(COUNTIF(Podcasts!$D$2120:'Podcasts'!$D$2124,ROW(INDIRECT("1:"&amp;K$2)))=0,ROW(INDIRECT("1:"&amp;K$2))),ROW($A3)),"")</f>
        <v>4</v>
      </c>
      <c r="BS46" s="28"/>
    </row>
    <row r="47" spans="1:71" outlineLevel="1">
      <c r="A47" s="28"/>
      <c r="B47" s="161">
        <v>4</v>
      </c>
      <c r="C47" s="161">
        <f>COUNTIF(Podcasts!$D$10:'Podcasts'!$D$2535,B47)-2</f>
        <v>13</v>
      </c>
      <c r="D47" s="158" t="s">
        <v>1032</v>
      </c>
      <c r="E47" s="156" t="str">
        <f t="array" ref="E47">IF(F47="","",INDEX(Podcasts!$J$10:'Podcasts'!$J$2535,MATCH(F47&amp;$B47,Podcasts!$E$10:'Podcasts'!$E$2535&amp;Podcasts!$D$10:'Podcasts'!$D$2535,0)))</f>
        <v>Talker</v>
      </c>
      <c r="F47" s="131">
        <f t="array" ref="F47">IF(COUNTIF(Podcasts!$D$10:'Podcasts'!$D$2535,$B47)&lt;COLUMN(A4),"",SMALL(IF(Podcasts!$D$10:'Podcasts'!$D$2535=$B47,Podcasts!$E$10:'Podcasts'!$E$2535),COLUMN(A4)))</f>
        <v>41537</v>
      </c>
      <c r="G47" s="132">
        <f t="array" ref="G47">IF(F47="","",INDEX(Podcasts!$F$10:'Podcasts'!$F$2535,MATCH(F47&amp;$B47,Podcasts!$E$10:'Podcasts'!$E$2535&amp;Podcasts!$D$10:'Podcasts'!$D$2535,0)))</f>
        <v>1.6550925925925924E-2</v>
      </c>
      <c r="H47" s="136" t="str">
        <f t="array" ref="H47">IF(I47="","",INDEX(Podcasts!$J$10:'Podcasts'!$J$2535,MATCH(I47&amp;$B47,Podcasts!$E$10:'Podcasts'!$E$2535&amp;Podcasts!$D$10:'Podcasts'!$D$2535,0)))</f>
        <v>Fürst</v>
      </c>
      <c r="I47" s="133">
        <f t="array" ref="I47">IF(COUNTIF(Podcasts!$D$10:'Podcasts'!$D$2535,$B47)&lt;COLUMN(B4),"",SMALL(IF(Podcasts!$D$10:'Podcasts'!$D$2535=$B47,Podcasts!$E$10:'Podcasts'!$E$2535),COLUMN(B4)))</f>
        <v>41839</v>
      </c>
      <c r="J47" s="132">
        <f t="array" ref="J47">IF(I47="","",INDEX(Podcasts!$F$10:'Podcasts'!$F$2535,MATCH(I47&amp;$B47,Podcasts!$E$10:'Podcasts'!$E$2535&amp;Podcasts!$D$10:'Podcasts'!$D$2535,0)))</f>
        <v>5.2083333333333287E-3</v>
      </c>
      <c r="K47" s="136" t="str">
        <f t="array" ref="K47">IF(L47="","",INDEX(Podcasts!$J$10:'Podcasts'!$J$2535,MATCH(L47&amp;$B47,Podcasts!$E$10:'Podcasts'!$E$2535&amp;Podcasts!$D$10:'Podcasts'!$D$2535,0)))</f>
        <v>???od</v>
      </c>
      <c r="L47" s="133">
        <f t="array" ref="L47">IF(COUNTIF(Podcasts!$D$10:'Podcasts'!$D$2535,$B47)&lt;COLUMN(C4),"",SMALL(IF(Podcasts!$D$10:'Podcasts'!$D$2535=$B47,Podcasts!$E$10:'Podcasts'!$E$2535),COLUMN(C4)))</f>
        <v>42186</v>
      </c>
      <c r="M47" s="132">
        <f t="array" ref="M47">IF(L47="","",INDEX(Podcasts!$F$10:'Podcasts'!$F$2535,MATCH(L47&amp;$B47,Podcasts!$E$10:'Podcasts'!$E$2535&amp;Podcasts!$D$10:'Podcasts'!$D$2535,0)))</f>
        <v>5.7164351851851848E-2</v>
      </c>
      <c r="N47" s="136" t="str">
        <f t="array" ref="N47">IF(O47="","",INDEX(Podcasts!$J$10:'Podcasts'!$J$2535,MATCH(O47&amp;$B47,Podcasts!$E$10:'Podcasts'!$E$2535&amp;Podcasts!$D$10:'Podcasts'!$D$2535,0)))</f>
        <v>Schrott</v>
      </c>
      <c r="O47" s="133">
        <f t="array" ref="O47">IF(COUNTIF(Podcasts!$D$10:'Podcasts'!$D$2535,$B47)&lt;COLUMN(D4),"",SMALL(IF(Podcasts!$D$10:'Podcasts'!$D$2535=$B47,Podcasts!$E$10:'Podcasts'!$E$2535),COLUMN(D4)))</f>
        <v>43054</v>
      </c>
      <c r="P47" s="132">
        <f t="array" ref="P47">IF(O47="","",INDEX(Podcasts!$F$10:'Podcasts'!$F$2535,MATCH(O47&amp;$B47,Podcasts!$E$10:'Podcasts'!$E$2535&amp;Podcasts!$D$10:'Podcasts'!$D$2535,0)))</f>
        <v>5.0370370370370371E-2</v>
      </c>
      <c r="Q47" s="136" t="str">
        <f t="array" ref="Q47">IF(R47="","",INDEX(Podcasts!$J$10:'Podcasts'!$J$2535,MATCH(R47&amp;$B47,Podcasts!$E$10:'Podcasts'!$E$2535&amp;Podcasts!$D$10:'Podcasts'!$D$2535,0)))</f>
        <v>???od</v>
      </c>
      <c r="R47" s="133">
        <f t="array" ref="R47">IF(COUNTIF(Podcasts!$D$10:'Podcasts'!$D$2535,$B47)&lt;COLUMN(E4),"",SMALL(IF(Podcasts!$D$10:'Podcasts'!$D$2535=$B47,Podcasts!$E$10:'Podcasts'!$E$2535),COLUMN(E4)))</f>
        <v>43169</v>
      </c>
      <c r="S47" s="132">
        <f t="array" ref="S47">IF(R47="","",INDEX(Podcasts!$F$10:'Podcasts'!$F$2535,MATCH(R47&amp;$B47,Podcasts!$E$10:'Podcasts'!$E$2535&amp;Podcasts!$D$10:'Podcasts'!$D$2535,0)))</f>
        <v>2.8819444444444443E-2</v>
      </c>
      <c r="T47" s="136" t="str">
        <f t="array" ref="T47">IF(U47="","",INDEX(Podcasts!$J$10:'Podcasts'!$J$2535,MATCH(U47&amp;$B47,Podcasts!$E$10:'Podcasts'!$E$2535&amp;Podcasts!$D$10:'Podcasts'!$D$2535,0)))</f>
        <v>Retro</v>
      </c>
      <c r="U47" s="133">
        <f t="array" ref="U47">IF(COUNTIF(Podcasts!$D$10:'Podcasts'!$D$2535,$B47)&lt;COLUMN(F4),"",SMALL(IF(Podcasts!$D$10:'Podcasts'!$D$2535=$B47,Podcasts!$E$10:'Podcasts'!$E$2535),COLUMN(F4)))</f>
        <v>43785</v>
      </c>
      <c r="V47" s="132">
        <f t="array" ref="V47">IF(U47="","",INDEX(Podcasts!$F$10:'Podcasts'!$F$2535,MATCH(U47&amp;$B47,Podcasts!$E$10:'Podcasts'!$E$2535&amp;Podcasts!$D$10:'Podcasts'!$D$2535,0)))</f>
        <v>4.3784722222222218E-2</v>
      </c>
      <c r="W47" s="136" t="str">
        <f t="array" ref="W47">IF(X47="","",INDEX(Podcasts!$J$10:'Podcasts'!$J$2535,MATCH(X47&amp;$B47,Podcasts!$E$10:'Podcasts'!$E$2535&amp;Podcasts!$D$10:'Podcasts'!$D$2535,0)))</f>
        <v>Abfahrt</v>
      </c>
      <c r="X47" s="133">
        <f t="array" ref="X47">IF(COUNTIF(Podcasts!$D$10:'Podcasts'!$D$2535,$B47)&lt;COLUMN(G4),"",SMALL(IF(Podcasts!$D$10:'Podcasts'!$D$2535=$B47,Podcasts!$E$10:'Podcasts'!$E$2535),COLUMN(G4)))</f>
        <v>44064</v>
      </c>
      <c r="Y47" s="132">
        <f t="array" ref="Y47">IF(X47="","",INDEX(Podcasts!$F$10:'Podcasts'!$F$2535,MATCH(X47&amp;$B47,Podcasts!$E$10:'Podcasts'!$E$2535&amp;Podcasts!$D$10:'Podcasts'!$D$2535,0)))</f>
        <v>4.4664351851851851E-2</v>
      </c>
      <c r="Z47" s="136" t="str">
        <f t="array" ref="Z47">IF(AA47="","",INDEX(Podcasts!$J$10:'Podcasts'!$J$2535,MATCH(AA47&amp;$B47,Podcasts!$E$10:'Podcasts'!$E$2535&amp;Podcasts!$D$10:'Podcasts'!$D$2535,0)))</f>
        <v>Abfahrt</v>
      </c>
      <c r="AA47" s="134">
        <f t="array" ref="AA47">IF(COUNTIF(Podcasts!$D$10:'Podcasts'!$D$2535,$B47)&lt;COLUMN(H4),"",SMALL(IF(Podcasts!$D$10:'Podcasts'!$D$2535=$B47,Podcasts!$E$10:'Podcasts'!$E$2535),COLUMN(H4)))</f>
        <v>44064</v>
      </c>
      <c r="AB47" s="404">
        <f t="array" ref="AB47">IF(AA47="","",INDEX(Podcasts!$F$10:'Podcasts'!$F$2535,MATCH(AA47&amp;$B47,Podcasts!$E$10:'Podcasts'!$E$2535&amp;Podcasts!$D$10:'Podcasts'!$D$2535,0)))</f>
        <v>4.4664351851851851E-2</v>
      </c>
      <c r="AC47" s="406" t="str">
        <f t="array" ref="AC47">IF(AD47="","",INDEX(Podcasts!$J$10:'Podcasts'!$J$2535,MATCH(AD47&amp;$B47,Podcasts!$E$10:'Podcasts'!$E$2535&amp;Podcasts!$D$10:'Podcasts'!$D$2535,0)))</f>
        <v>SSP</v>
      </c>
      <c r="AD47" s="400">
        <f t="array" ref="AD47">IF(COUNTIF(Podcasts!$D$10:'Podcasts'!$D$2535,$B47)&lt;COLUMN(I4),"",SMALL(IF(Podcasts!$D$10:'Podcasts'!$D$2535=$B47,Podcasts!$E$10:'Podcasts'!$E$2535),COLUMN(I4)))</f>
        <v>44243</v>
      </c>
      <c r="AE47" s="401">
        <f t="array" ref="AE47">IF(AD47="","",INDEX(Podcasts!$F$10:'Podcasts'!$F$2535,MATCH(AD47&amp;$B47,Podcasts!$E$10:'Podcasts'!$E$2535&amp;Podcasts!$D$10:'Podcasts'!$D$2535,0)))</f>
        <v>9.3541666666666676E-2</v>
      </c>
      <c r="AF47" s="406" t="str">
        <f t="array" ref="AF47">IF(AG47="","",INDEX(Podcasts!$J$10:'Podcasts'!$J$2535,MATCH(AG47&amp;$B47,Podcasts!$E$10:'Podcasts'!$E$2535&amp;Podcasts!$D$10:'Podcasts'!$D$2535,0)))</f>
        <v>Kaffee</v>
      </c>
      <c r="AG47" s="400">
        <f t="array" ref="AG47">IF(COUNTIF(Podcasts!$D$10:'Podcasts'!$D$2535,$B47)&lt;COLUMN(J4),"",SMALL(IF(Podcasts!$D$10:'Podcasts'!$D$2535=$B47,Podcasts!$E$10:'Podcasts'!$E$2535),COLUMN(J4)))</f>
        <v>44316</v>
      </c>
      <c r="AH47" s="401">
        <f t="array" ref="AH47">IF(AG47="","",INDEX(Podcasts!$F$10:'Podcasts'!$F$2535,MATCH(AG47&amp;$B47,Podcasts!$E$10:'Podcasts'!$E$2535&amp;Podcasts!$D$10:'Podcasts'!$D$2535,0)))</f>
        <v>2.6261574074074076E-2</v>
      </c>
      <c r="AI47" s="406" t="str">
        <f t="array" ref="AI47">IF(AJ47="","",INDEX(Podcasts!$J$10:'Podcasts'!$J$2535,MATCH(AJ47&amp;$B47,Podcasts!$E$10:'Podcasts'!$E$2535&amp;Podcasts!$D$10:'Podcasts'!$D$2535,0)))</f>
        <v>Verstärker</v>
      </c>
      <c r="AJ47" s="400">
        <f t="array" ref="AJ47">IF(COUNTIF(Podcasts!$D$10:'Podcasts'!$D$2535,$B47)&lt;COLUMN(K4),"",SMALL(IF(Podcasts!$D$10:'Podcasts'!$D$2535=$B47,Podcasts!$E$10:'Podcasts'!$E$2535),COLUMN(K4)))</f>
        <v>44350</v>
      </c>
      <c r="AK47" s="401">
        <f t="array" ref="AK47">IF(AJ47="","",INDEX(Podcasts!$F$10:'Podcasts'!$F$2535,MATCH(AJ47&amp;$B47,Podcasts!$E$10:'Podcasts'!$E$2535&amp;Podcasts!$D$10:'Podcasts'!$D$2535,0)))</f>
        <v>1.9976851851851853E-2</v>
      </c>
      <c r="AL47" s="406" t="str">
        <f t="array" ref="AL47">IF(AM47="","",INDEX(Podcasts!$J$10:'Podcasts'!$J$2535,MATCH(AM47&amp;$B47,Podcasts!$E$10:'Podcasts'!$E$2535&amp;Podcasts!$D$10:'Podcasts'!$D$2535,0)))</f>
        <v>Bobcast</v>
      </c>
      <c r="AM47" s="400">
        <f t="array" ref="AM47">IF(COUNTIF(Podcasts!$D$10:'Podcasts'!$D$2535,$B47)&lt;COLUMN(L4),"",SMALL(IF(Podcasts!$D$10:'Podcasts'!$D$2535=$B47,Podcasts!$E$10:'Podcasts'!$E$2535),COLUMN(L4)))</f>
        <v>44648.000925925924</v>
      </c>
      <c r="AN47" s="401">
        <f t="array" ref="AN47">IF(AM47="","",INDEX(Podcasts!$F$10:'Podcasts'!$F$2535,MATCH(AM47&amp;$B47,Podcasts!$E$10:'Podcasts'!$E$2535&amp;Podcasts!$D$10:'Podcasts'!$D$2535,0)))</f>
        <v>2.0879629629629626E-2</v>
      </c>
      <c r="AO47" s="402"/>
      <c r="AP47" s="119" t="str">
        <f t="array" aca="1" ref="AP47" ca="1">IFERROR(SMALL(IF(COUNTIF(Podcasts!$D$1:'Podcasts'!$D$2565,ROW(INDIRECT("1:"&amp;K$2)))=0,ROW(INDIRECT("1:"&amp;K$2))),ROW($A4)),"")</f>
        <v/>
      </c>
      <c r="AQ47" s="117">
        <f t="array" aca="1" ref="AQ47" ca="1">IFERROR(SMALL(IF(COUNTIF(Podcasts!$D$10:'Podcasts'!$D$107,ROW(INDIRECT("1:"&amp;K$2)))=0,ROW(INDIRECT("1:"&amp;K$2))),ROW($A4)),"")</f>
        <v>9</v>
      </c>
      <c r="AR47" s="117">
        <f t="array" aca="1" ref="AR47" ca="1">IFERROR(SMALL(IF(COUNTIF(Podcasts!$D$113:'Podcasts'!$D$238,ROW(INDIRECT("1:"&amp;K$2)))=0,ROW(INDIRECT("1:"&amp;K$2))),ROW($A4)),"")</f>
        <v>4</v>
      </c>
      <c r="AS47" s="117">
        <f t="array" aca="1" ref="AS47" ca="1">IFERROR(SMALL(IF(COUNTIF(Podcasts!$D$244:'Podcasts'!$D$299,ROW(INDIRECT("1:"&amp;K$2)))=0,ROW(INDIRECT("1:"&amp;K$2))),ROW($A4)),"")</f>
        <v>20</v>
      </c>
      <c r="AT47" s="117">
        <f t="array" aca="1" ref="AT47" ca="1">IFERROR(SMALL(IF(COUNTIF(Podcasts!$D$305:'Podcasts'!$D$473,ROW(INDIRECT("1:"&amp;K$2)))=0,ROW(INDIRECT("1:"&amp;K$2))),ROW($A4)),"")</f>
        <v>115</v>
      </c>
      <c r="AU47" s="117">
        <f t="array" aca="1" ref="AU47" ca="1">IFERROR(SMALL(IF(COUNTIF(Podcasts!$D$479:'Podcasts'!$D$488,ROW(INDIRECT("1:"&amp;K$2)))=0,ROW(INDIRECT("1:"&amp;K$2))),ROW($A4)),"")</f>
        <v>4</v>
      </c>
      <c r="AV47" s="117">
        <f t="array" aca="1" ref="AV47" ca="1">IFERROR(SMALL(IF(COUNTIF(Podcasts!$D$494:'Podcasts'!$D$518,ROW(INDIRECT("1:"&amp;K$2)))=0,ROW(INDIRECT("1:"&amp;K$2))),ROW($A4)),"")</f>
        <v>18</v>
      </c>
      <c r="AW47" s="117">
        <f t="array" aca="1" ref="AW47" ca="1">IFERROR(SMALL(IF(COUNTIF(Podcasts!$D$524:'Podcasts'!$D$532,ROW(INDIRECT("1:"&amp;K$2)))=0,ROW(INDIRECT("1:"&amp;K$2))),ROW($A4)),"")</f>
        <v>4</v>
      </c>
      <c r="AX47" s="117">
        <f t="array" aca="1" ref="AX47" ca="1">IFERROR(SMALL(IF(COUNTIF(Podcasts!$D$538:'Podcasts'!$D$909,ROW(INDIRECT("1:"&amp;K$2)))=0,ROW(INDIRECT("1:"&amp;K$2))),ROW($A4)),"")</f>
        <v>11</v>
      </c>
      <c r="AY47" s="117">
        <f t="array" aca="1" ref="AY47" ca="1">IFERROR(SMALL(IF(COUNTIF(Podcasts!$D$915:'Podcasts'!$D$981,ROW(INDIRECT("1:"&amp;K$2)))=0,ROW(INDIRECT("1:"&amp;K$2))),ROW($A4)),"")</f>
        <v>10</v>
      </c>
      <c r="AZ47" s="445"/>
      <c r="BA47" s="117">
        <f t="array" aca="1" ref="BA47" ca="1">IFERROR(SMALL(IF(COUNTIF(Podcasts!$D$1001:'Podcasts'!$D$1251,ROW(INDIRECT("1:"&amp;K$2)))=0,ROW(INDIRECT("1:"&amp;K$2))),ROW($A4)),"")</f>
        <v>9</v>
      </c>
      <c r="BB47" s="117">
        <f t="array" aca="1" ref="BB47" ca="1">IFERROR(SMALL(IF(COUNTIF(Podcasts!$D$1257:'Podcasts'!$D$1267,ROW(INDIRECT("1:"&amp;K$2)))=0,ROW(INDIRECT("1:"&amp;K$2))),ROW($A4)),"")</f>
        <v>4</v>
      </c>
      <c r="BC47" s="117">
        <f t="array" aca="1" ref="BC47" ca="1">IFERROR(SMALL(IF(COUNTIF(Podcasts!$D$1273:'Podcasts'!$D$1283,ROW(INDIRECT("1:"&amp;K$2)))=0,ROW(INDIRECT("1:"&amp;K$2))),ROW($A4)),"")</f>
        <v>6</v>
      </c>
      <c r="BD47" s="117">
        <f t="array" aca="1" ref="BD47" ca="1">IFERROR(SMALL(IF(COUNTIF(Podcasts!$D$1289:'Podcasts'!$D$1295,ROW(INDIRECT("1:"&amp;K$2)))=0,ROW(INDIRECT("1:"&amp;K$2))),ROW($A4)),"")</f>
        <v>5</v>
      </c>
      <c r="BE47" s="117">
        <f t="array" aca="1" ref="BE47" ca="1">IFERROR(SMALL(IF(COUNTIF(Podcasts!$D$1301:'Podcasts'!$D$1356,ROW(INDIRECT("1:"&amp;K$2)))=0,ROW(INDIRECT("1:"&amp;K$2))),ROW($A4)),"")</f>
        <v>51</v>
      </c>
      <c r="BF47" s="117">
        <f t="array" aca="1" ref="BF47" ca="1">IFERROR(SMALL(IF(COUNTIF(Podcasts!$D$1362:'Podcasts'!$D$1364,ROW(INDIRECT("1:"&amp;K$2)))=0,ROW(INDIRECT("1:"&amp;K$2))),ROW($A4)),"")</f>
        <v>7</v>
      </c>
      <c r="BG47" s="202">
        <f t="array" aca="1" ref="BG47" ca="1">IFERROR(SMALL(IF(COUNTIF(Podcasts!$D$1370:'Podcasts'!$D$1419,ROW(INDIRECT("1:"&amp;K$2)))=0,ROW(INDIRECT("1:"&amp;K$2))),ROW($A4)),"")</f>
        <v>5</v>
      </c>
      <c r="BH47" s="202">
        <f t="array" aca="1" ref="BH47" ca="1">IFERROR(SMALL(IF(COUNTIF(Podcasts!$D$1425:'Podcasts'!$D$1446,ROW(INDIRECT("1:"&amp;K$2)))=0,ROW(INDIRECT("1:"&amp;K$2))),ROW($A4)),"")</f>
        <v>5</v>
      </c>
      <c r="BI47" s="202">
        <f t="array" aca="1" ref="BI47" ca="1">IFERROR(SMALL(IF(COUNTIF(Podcasts!$D$1452:'Podcasts'!$D$1574,ROW(INDIRECT("1:"&amp;K$2)))=0,ROW(INDIRECT("1:"&amp;K$2))),ROW($A4)),"")</f>
        <v>17</v>
      </c>
      <c r="BJ47" s="202">
        <f t="array" aca="1" ref="BJ47" ca="1">IFERROR(SMALL(IF(COUNTIF(Podcasts!$D$1580:'Podcasts'!$D$1705,ROW(INDIRECT("1:"&amp;K$2)))=0,ROW(INDIRECT("1:"&amp;K$2))),ROW($A4)),"")</f>
        <v>9</v>
      </c>
      <c r="BK47" s="202">
        <f t="array" aca="1" ref="BK47" ca="1">IFERROR(SMALL(IF(COUNTIF(Podcasts!$D$1711:'Podcasts'!$D$1833,ROW(INDIRECT("1:"&amp;K$2)))=0,ROW(INDIRECT("1:"&amp;K$2))),ROW($A4)),"")</f>
        <v>44</v>
      </c>
      <c r="BL47" s="202">
        <f t="array" aca="1" ref="BL47" ca="1">IFERROR(SMALL(IF(COUNTIF(Podcasts!$D$1839:'Podcasts'!$D$1855,ROW(INDIRECT("1:"&amp;K$2)))=0,ROW(INDIRECT("1:"&amp;K$2))),ROW($A4)),"")</f>
        <v>4</v>
      </c>
      <c r="BM47" s="567">
        <f t="array" aca="1" ref="BM47" ca="1">IFERROR(SMALL(IF(COUNTIF(Podcasts!$D$1861:'Podcasts'!$D$1994,ROW(INDIRECT("1:"&amp;K$2)))=0,ROW(INDIRECT("1:"&amp;K$2))),ROW($A4)),"")</f>
        <v>4</v>
      </c>
      <c r="BN47" s="567">
        <f t="array" aca="1" ref="BN47" ca="1">IFERROR(SMALL(IF(COUNTIF(Podcasts!$D$2000:'Podcasts'!$D$2057,ROW(INDIRECT("1:"&amp;K$2)))=0,ROW(INDIRECT("1:"&amp;K$2))),ROW($A4)),"")</f>
        <v>59</v>
      </c>
      <c r="BO47" s="567">
        <f t="array" aca="1" ref="BO47" ca="1">IFERROR(SMALL(IF(COUNTIF(Podcasts!$D$2063:'Podcasts'!$D$2071,ROW(INDIRECT("1:"&amp;K$2)))=0,ROW(INDIRECT("1:"&amp;K$2))),ROW($A4)),"")</f>
        <v>4</v>
      </c>
      <c r="BP47" s="202">
        <f t="array" aca="1" ref="BP47" ca="1">IFERROR(SMALL(IF(COUNTIF(Podcasts!$D$2077:'Podcasts'!$D$2092,ROW(INDIRECT("1:"&amp;K$2)))=0,ROW(INDIRECT("1:"&amp;K$2))),ROW($A4)),"")</f>
        <v>5</v>
      </c>
      <c r="BQ47" s="741">
        <f t="array" aca="1" ref="BQ47" ca="1">IFERROR(SMALL(IF(COUNTIF(Podcasts!$D$2098:'Podcasts'!$D$2114,ROW(INDIRECT("1:"&amp;K$2)))=0,ROW(INDIRECT("1:"&amp;K$2))),ROW($A4)),"")</f>
        <v>4</v>
      </c>
      <c r="BR47" s="744">
        <f t="array" aca="1" ref="BR47" ca="1">IFERROR(SMALL(IF(COUNTIF(Podcasts!$D$2120:'Podcasts'!$D$2124,ROW(INDIRECT("1:"&amp;K$2)))=0,ROW(INDIRECT("1:"&amp;K$2))),ROW($A4)),"")</f>
        <v>5</v>
      </c>
      <c r="BS47" s="28"/>
    </row>
    <row r="48" spans="1:71" outlineLevel="1">
      <c r="A48" s="28"/>
      <c r="B48" s="161">
        <v>5</v>
      </c>
      <c r="C48" s="161">
        <f>COUNTIF(Podcasts!$D$10:'Podcasts'!$D$2535,B48)-1</f>
        <v>14</v>
      </c>
      <c r="D48" s="158" t="s">
        <v>1033</v>
      </c>
      <c r="E48" s="156" t="str">
        <f t="array" ref="E48">IF(F48="","",INDEX(Podcasts!$J$10:'Podcasts'!$J$2535,MATCH(F48&amp;$B48,Podcasts!$E$10:'Podcasts'!$E$2535&amp;Podcasts!$D$10:'Podcasts'!$D$2535,0)))</f>
        <v>Talker</v>
      </c>
      <c r="F48" s="131">
        <f t="array" ref="F48">IF(COUNTIF(Podcasts!$D$10:'Podcasts'!$D$2535,$B48)&lt;COLUMN(A5),"",SMALL(IF(Podcasts!$D$10:'Podcasts'!$D$2535=$B48,Podcasts!$E$10:'Podcasts'!$E$2535),COLUMN(A5)))</f>
        <v>41663</v>
      </c>
      <c r="G48" s="132">
        <f t="array" ref="G48">IF(F48="","",INDEX(Podcasts!$F$10:'Podcasts'!$F$2535,MATCH(F48&amp;$B48,Podcasts!$E$10:'Podcasts'!$E$2535&amp;Podcasts!$D$10:'Podcasts'!$D$2535,0)))</f>
        <v>1.7939814814814815E-2</v>
      </c>
      <c r="H48" s="136" t="str">
        <f t="array" ref="H48">IF(I48="","",INDEX(Podcasts!$J$10:'Podcasts'!$J$2535,MATCH(I48&amp;$B48,Podcasts!$E$10:'Podcasts'!$E$2535&amp;Podcasts!$D$10:'Podcasts'!$D$2535,0)))</f>
        <v>Fürst</v>
      </c>
      <c r="I48" s="133">
        <f t="array" ref="I48">IF(COUNTIF(Podcasts!$D$10:'Podcasts'!$D$2535,$B48)&lt;COLUMN(B5),"",SMALL(IF(Podcasts!$D$10:'Podcasts'!$D$2535=$B48,Podcasts!$E$10:'Podcasts'!$E$2535),COLUMN(B5)))</f>
        <v>41811</v>
      </c>
      <c r="J48" s="132">
        <f t="array" ref="J48">IF(I48="","",INDEX(Podcasts!$F$10:'Podcasts'!$F$2535,MATCH(I48&amp;$B48,Podcasts!$E$10:'Podcasts'!$E$2535&amp;Podcasts!$D$10:'Podcasts'!$D$2535,0)))</f>
        <v>4.5138888888888867E-3</v>
      </c>
      <c r="K48" s="136" t="str">
        <f t="array" ref="K48">IF(L48="","",INDEX(Podcasts!$J$10:'Podcasts'!$J$2535,MATCH(L48&amp;$B48,Podcasts!$E$10:'Podcasts'!$E$2535&amp;Podcasts!$D$10:'Podcasts'!$D$2535,0)))</f>
        <v>Schrott</v>
      </c>
      <c r="L48" s="133">
        <f t="array" ref="L48">IF(COUNTIF(Podcasts!$D$10:'Podcasts'!$D$2535,$B48)&lt;COLUMN(C5),"",SMALL(IF(Podcasts!$D$10:'Podcasts'!$D$2535=$B48,Podcasts!$E$10:'Podcasts'!$E$2535),COLUMN(C5)))</f>
        <v>43297</v>
      </c>
      <c r="M48" s="132">
        <f t="array" ref="M48">IF(L48="","",INDEX(Podcasts!$F$10:'Podcasts'!$F$2535,MATCH(L48&amp;$B48,Podcasts!$E$10:'Podcasts'!$E$2535&amp;Podcasts!$D$10:'Podcasts'!$D$2535,0)))</f>
        <v>6.3900462962962964E-2</v>
      </c>
      <c r="N48" s="136" t="str">
        <f t="array" ref="N48">IF(O48="","",INDEX(Podcasts!$J$10:'Podcasts'!$J$2535,MATCH(O48&amp;$B48,Podcasts!$E$10:'Podcasts'!$E$2535&amp;Podcasts!$D$10:'Podcasts'!$D$2535,0)))</f>
        <v>???od</v>
      </c>
      <c r="O48" s="133">
        <f t="array" ref="O48">IF(COUNTIF(Podcasts!$D$10:'Podcasts'!$D$2535,$B48)&lt;COLUMN(D5),"",SMALL(IF(Podcasts!$D$10:'Podcasts'!$D$2535=$B48,Podcasts!$E$10:'Podcasts'!$E$2535),COLUMN(D5)))</f>
        <v>43333</v>
      </c>
      <c r="P48" s="132">
        <f t="array" ref="P48">IF(O48="","",INDEX(Podcasts!$F$10:'Podcasts'!$F$2535,MATCH(O48&amp;$B48,Podcasts!$E$10:'Podcasts'!$E$2535&amp;Podcasts!$D$10:'Podcasts'!$D$2535,0)))</f>
        <v>6.4050925925925928E-2</v>
      </c>
      <c r="Q48" s="136" t="str">
        <f t="array" ref="Q48">IF(R48="","",INDEX(Podcasts!$J$10:'Podcasts'!$J$2535,MATCH(R48&amp;$B48,Podcasts!$E$10:'Podcasts'!$E$2535&amp;Podcasts!$D$10:'Podcasts'!$D$2535,0)))</f>
        <v>R&amp;A</v>
      </c>
      <c r="R48" s="133">
        <f t="array" ref="R48">IF(COUNTIF(Podcasts!$D$10:'Podcasts'!$D$2535,$B48)&lt;COLUMN(E5),"",SMALL(IF(Podcasts!$D$10:'Podcasts'!$D$2535=$B48,Podcasts!$E$10:'Podcasts'!$E$2535),COLUMN(E5)))</f>
        <v>43338.351967592593</v>
      </c>
      <c r="S48" s="132">
        <f t="array" ref="S48">IF(R48="","",INDEX(Podcasts!$F$10:'Podcasts'!$F$2535,MATCH(R48&amp;$B48,Podcasts!$E$10:'Podcasts'!$E$2535&amp;Podcasts!$D$10:'Podcasts'!$D$2535,0)))</f>
        <v>7.6574074074074072E-2</v>
      </c>
      <c r="T48" s="136" t="str">
        <f t="array" ref="T48">IF(U48="","",INDEX(Podcasts!$J$10:'Podcasts'!$J$2535,MATCH(U48&amp;$B48,Podcasts!$E$10:'Podcasts'!$E$2535&amp;Podcasts!$D$10:'Podcasts'!$D$2535,0)))</f>
        <v>SSP</v>
      </c>
      <c r="U48" s="133">
        <f t="array" ref="U48">IF(COUNTIF(Podcasts!$D$10:'Podcasts'!$D$2535,$B48)&lt;COLUMN(F5),"",SMALL(IF(Podcasts!$D$10:'Podcasts'!$D$2535=$B48,Podcasts!$E$10:'Podcasts'!$E$2535),COLUMN(F5)))</f>
        <v>43537</v>
      </c>
      <c r="V48" s="132">
        <f t="array" ref="V48">IF(U48="","",INDEX(Podcasts!$F$10:'Podcasts'!$F$2535,MATCH(U48&amp;$B48,Podcasts!$E$10:'Podcasts'!$E$2535&amp;Podcasts!$D$10:'Podcasts'!$D$2535,0)))</f>
        <v>9.0590277777777783E-2</v>
      </c>
      <c r="W48" s="136" t="str">
        <f t="array" ref="W48">IF(X48="","",INDEX(Podcasts!$J$10:'Podcasts'!$J$2535,MATCH(X48&amp;$B48,Podcasts!$E$10:'Podcasts'!$E$2535&amp;Podcasts!$D$10:'Podcasts'!$D$2535,0)))</f>
        <v>Retro</v>
      </c>
      <c r="X48" s="133">
        <f t="array" ref="X48">IF(COUNTIF(Podcasts!$D$10:'Podcasts'!$D$2535,$B48)&lt;COLUMN(G5),"",SMALL(IF(Podcasts!$D$10:'Podcasts'!$D$2535=$B48,Podcasts!$E$10:'Podcasts'!$E$2535),COLUMN(G5)))</f>
        <v>43637</v>
      </c>
      <c r="Y48" s="132">
        <f t="array" ref="Y48">IF(X48="","",INDEX(Podcasts!$F$10:'Podcasts'!$F$2535,MATCH(X48&amp;$B48,Podcasts!$E$10:'Podcasts'!$E$2535&amp;Podcasts!$D$10:'Podcasts'!$D$2535,0)))</f>
        <v>4.462962962962963E-2</v>
      </c>
      <c r="Z48" s="136" t="str">
        <f t="array" ref="Z48">IF(AA48="","",INDEX(Podcasts!$J$10:'Podcasts'!$J$2535,MATCH(AA48&amp;$B48,Podcasts!$E$10:'Podcasts'!$E$2535&amp;Podcasts!$D$10:'Podcasts'!$D$2535,0)))</f>
        <v>Zentrale</v>
      </c>
      <c r="AA48" s="134">
        <f t="array" ref="AA48">IF(COUNTIF(Podcasts!$D$10:'Podcasts'!$D$2535,$B48)&lt;COLUMN(H5),"",SMALL(IF(Podcasts!$D$10:'Podcasts'!$D$2535=$B48,Podcasts!$E$10:'Podcasts'!$E$2535),COLUMN(H5)))</f>
        <v>43829</v>
      </c>
      <c r="AB48" s="404">
        <f t="array" ref="AB48">IF(AA48="","",INDEX(Podcasts!$F$10:'Podcasts'!$F$2535,MATCH(AA48&amp;$B48,Podcasts!$E$10:'Podcasts'!$E$2535&amp;Podcasts!$D$10:'Podcasts'!$D$2535,0)))</f>
        <v>8.1250000000000003E-2</v>
      </c>
      <c r="AC48" s="406" t="str">
        <f t="array" ref="AC48">IF(AD48="","",INDEX(Podcasts!$J$10:'Podcasts'!$J$2535,MATCH(AD48&amp;$B48,Podcasts!$E$10:'Podcasts'!$E$2535&amp;Podcasts!$D$10:'Podcasts'!$D$2535,0)))</f>
        <v>Abfahrt</v>
      </c>
      <c r="AD48" s="400">
        <f t="array" ref="AD48">IF(COUNTIF(Podcasts!$D$10:'Podcasts'!$D$2535,$B48)&lt;COLUMN(I5),"",SMALL(IF(Podcasts!$D$10:'Podcasts'!$D$2535=$B48,Podcasts!$E$10:'Podcasts'!$E$2535),COLUMN(I5)))</f>
        <v>44092</v>
      </c>
      <c r="AE48" s="401">
        <f t="array" ref="AE48">IF(AD48="","",INDEX(Podcasts!$F$10:'Podcasts'!$F$2535,MATCH(AD48&amp;$B48,Podcasts!$E$10:'Podcasts'!$E$2535&amp;Podcasts!$D$10:'Podcasts'!$D$2535,0)))</f>
        <v>4.7789351851851847E-2</v>
      </c>
      <c r="AF48" s="406" t="str">
        <f t="array" ref="AF48">IF(AG48="","",INDEX(Podcasts!$J$10:'Podcasts'!$J$2535,MATCH(AG48&amp;$B48,Podcasts!$E$10:'Podcasts'!$E$2535&amp;Podcasts!$D$10:'Podcasts'!$D$2535,0)))</f>
        <v>Abfahrt</v>
      </c>
      <c r="AG48" s="400">
        <f t="array" ref="AG48">IF(COUNTIF(Podcasts!$D$10:'Podcasts'!$D$2535,$B48)&lt;COLUMN(J5),"",SMALL(IF(Podcasts!$D$10:'Podcasts'!$D$2535=$B48,Podcasts!$E$10:'Podcasts'!$E$2535),COLUMN(J5)))</f>
        <v>44092</v>
      </c>
      <c r="AH48" s="401">
        <f t="array" ref="AH48">IF(AG48="","",INDEX(Podcasts!$F$10:'Podcasts'!$F$2535,MATCH(AG48&amp;$B48,Podcasts!$E$10:'Podcasts'!$E$2535&amp;Podcasts!$D$10:'Podcasts'!$D$2535,0)))</f>
        <v>4.7789351851851847E-2</v>
      </c>
      <c r="AI48" s="406" t="str">
        <f t="array" ref="AI48">IF(AJ48="","",INDEX(Podcasts!$J$10:'Podcasts'!$J$2535,MATCH(AJ48&amp;$B48,Podcasts!$E$10:'Podcasts'!$E$2535&amp;Podcasts!$D$10:'Podcasts'!$D$2535,0)))</f>
        <v>Kuchen</v>
      </c>
      <c r="AJ48" s="400">
        <f t="array" ref="AJ48">IF(COUNTIF(Podcasts!$D$10:'Podcasts'!$D$2535,$B48)&lt;COLUMN(K5),"",SMALL(IF(Podcasts!$D$10:'Podcasts'!$D$2535=$B48,Podcasts!$E$10:'Podcasts'!$E$2535),COLUMN(K5)))</f>
        <v>44192</v>
      </c>
      <c r="AK48" s="401">
        <f t="array" ref="AK48">IF(AJ48="","",INDEX(Podcasts!$F$10:'Podcasts'!$F$2535,MATCH(AJ48&amp;$B48,Podcasts!$E$10:'Podcasts'!$E$2535&amp;Podcasts!$D$10:'Podcasts'!$D$2535,0)))</f>
        <v>6.3333333333333339E-2</v>
      </c>
      <c r="AL48" s="406" t="str">
        <f t="array" ref="AL48">IF(AM48="","",INDEX(Podcasts!$J$10:'Podcasts'!$J$2535,MATCH(AM48&amp;$B48,Podcasts!$E$10:'Podcasts'!$E$2535&amp;Podcasts!$D$10:'Podcasts'!$D$2535,0)))</f>
        <v>Verstärker</v>
      </c>
      <c r="AM48" s="400">
        <f t="array" ref="AM48">IF(COUNTIF(Podcasts!$D$10:'Podcasts'!$D$2535,$B48)&lt;COLUMN(L5),"",SMALL(IF(Podcasts!$D$10:'Podcasts'!$D$2535=$B48,Podcasts!$E$10:'Podcasts'!$E$2535),COLUMN(L5)))</f>
        <v>44380</v>
      </c>
      <c r="AN48" s="401">
        <f t="array" ref="AN48">IF(AM48="","",INDEX(Podcasts!$F$10:'Podcasts'!$F$2535,MATCH(AM48&amp;$B48,Podcasts!$E$10:'Podcasts'!$E$2535&amp;Podcasts!$D$10:'Podcasts'!$D$2535,0)))</f>
        <v>2.3692129629629629E-2</v>
      </c>
      <c r="AO48" s="402"/>
      <c r="AP48" s="119" t="str">
        <f t="array" aca="1" ref="AP48" ca="1">IFERROR(SMALL(IF(COUNTIF(Podcasts!$D$1:'Podcasts'!$D$2565,ROW(INDIRECT("1:"&amp;K$2)))=0,ROW(INDIRECT("1:"&amp;K$2))),ROW($A5)),"")</f>
        <v/>
      </c>
      <c r="AQ48" s="117">
        <f t="array" aca="1" ref="AQ48" ca="1">IFERROR(SMALL(IF(COUNTIF(Podcasts!$D$10:'Podcasts'!$D$107,ROW(INDIRECT("1:"&amp;K$2)))=0,ROW(INDIRECT("1:"&amp;K$2))),ROW($A5)),"")</f>
        <v>13</v>
      </c>
      <c r="AR48" s="117">
        <f t="array" aca="1" ref="AR48" ca="1">IFERROR(SMALL(IF(COUNTIF(Podcasts!$D$113:'Podcasts'!$D$238,ROW(INDIRECT("1:"&amp;K$2)))=0,ROW(INDIRECT("1:"&amp;K$2))),ROW($A5)),"")</f>
        <v>5</v>
      </c>
      <c r="AS48" s="117">
        <f t="array" aca="1" ref="AS48" ca="1">IFERROR(SMALL(IF(COUNTIF(Podcasts!$D$244:'Podcasts'!$D$299,ROW(INDIRECT("1:"&amp;K$2)))=0,ROW(INDIRECT("1:"&amp;K$2))),ROW($A5)),"")</f>
        <v>21</v>
      </c>
      <c r="AT48" s="117">
        <f t="array" aca="1" ref="AT48" ca="1">IFERROR(SMALL(IF(COUNTIF(Podcasts!$D$305:'Podcasts'!$D$473,ROW(INDIRECT("1:"&amp;K$2)))=0,ROW(INDIRECT("1:"&amp;K$2))),ROW($A5)),"")</f>
        <v>116</v>
      </c>
      <c r="AU48" s="117">
        <f t="array" aca="1" ref="AU48" ca="1">IFERROR(SMALL(IF(COUNTIF(Podcasts!$D$479:'Podcasts'!$D$488,ROW(INDIRECT("1:"&amp;K$2)))=0,ROW(INDIRECT("1:"&amp;K$2))),ROW($A5)),"")</f>
        <v>5</v>
      </c>
      <c r="AV48" s="117">
        <f t="array" aca="1" ref="AV48" ca="1">IFERROR(SMALL(IF(COUNTIF(Podcasts!$D$494:'Podcasts'!$D$518,ROW(INDIRECT("1:"&amp;K$2)))=0,ROW(INDIRECT("1:"&amp;K$2))),ROW($A5)),"")</f>
        <v>19</v>
      </c>
      <c r="AW48" s="117">
        <f t="array" aca="1" ref="AW48" ca="1">IFERROR(SMALL(IF(COUNTIF(Podcasts!$D$524:'Podcasts'!$D$532,ROW(INDIRECT("1:"&amp;K$2)))=0,ROW(INDIRECT("1:"&amp;K$2))),ROW($A5)),"")</f>
        <v>5</v>
      </c>
      <c r="AX48" s="117">
        <f t="array" aca="1" ref="AX48" ca="1">IFERROR(SMALL(IF(COUNTIF(Podcasts!$D$538:'Podcasts'!$D$909,ROW(INDIRECT("1:"&amp;K$2)))=0,ROW(INDIRECT("1:"&amp;K$2))),ROW($A5)),"")</f>
        <v>13</v>
      </c>
      <c r="AY48" s="117">
        <f t="array" aca="1" ref="AY48" ca="1">IFERROR(SMALL(IF(COUNTIF(Podcasts!$D$915:'Podcasts'!$D$981,ROW(INDIRECT("1:"&amp;K$2)))=0,ROW(INDIRECT("1:"&amp;K$2))),ROW($A5)),"")</f>
        <v>11</v>
      </c>
      <c r="AZ48" s="445"/>
      <c r="BA48" s="117">
        <f t="array" aca="1" ref="BA48" ca="1">IFERROR(SMALL(IF(COUNTIF(Podcasts!$D$1001:'Podcasts'!$D$1251,ROW(INDIRECT("1:"&amp;K$2)))=0,ROW(INDIRECT("1:"&amp;K$2))),ROW($A5)),"")</f>
        <v>10</v>
      </c>
      <c r="BB48" s="117">
        <f t="array" aca="1" ref="BB48" ca="1">IFERROR(SMALL(IF(COUNTIF(Podcasts!$D$1257:'Podcasts'!$D$1267,ROW(INDIRECT("1:"&amp;K$2)))=0,ROW(INDIRECT("1:"&amp;K$2))),ROW($A5)),"")</f>
        <v>5</v>
      </c>
      <c r="BC48" s="117">
        <f t="array" aca="1" ref="BC48" ca="1">IFERROR(SMALL(IF(COUNTIF(Podcasts!$D$1273:'Podcasts'!$D$1283,ROW(INDIRECT("1:"&amp;K$2)))=0,ROW(INDIRECT("1:"&amp;K$2))),ROW($A5)),"")</f>
        <v>7</v>
      </c>
      <c r="BD48" s="117">
        <f t="array" aca="1" ref="BD48" ca="1">IFERROR(SMALL(IF(COUNTIF(Podcasts!$D$1289:'Podcasts'!$D$1295,ROW(INDIRECT("1:"&amp;K$2)))=0,ROW(INDIRECT("1:"&amp;K$2))),ROW($A5)),"")</f>
        <v>6</v>
      </c>
      <c r="BE48" s="117">
        <f t="array" aca="1" ref="BE48" ca="1">IFERROR(SMALL(IF(COUNTIF(Podcasts!$D$1301:'Podcasts'!$D$1356,ROW(INDIRECT("1:"&amp;K$2)))=0,ROW(INDIRECT("1:"&amp;K$2))),ROW($A5)),"")</f>
        <v>52</v>
      </c>
      <c r="BF48" s="117">
        <f t="array" aca="1" ref="BF48" ca="1">IFERROR(SMALL(IF(COUNTIF(Podcasts!$D$1362:'Podcasts'!$D$1364,ROW(INDIRECT("1:"&amp;K$2)))=0,ROW(INDIRECT("1:"&amp;K$2))),ROW($A5)),"")</f>
        <v>8</v>
      </c>
      <c r="BG48" s="202">
        <f t="array" aca="1" ref="BG48" ca="1">IFERROR(SMALL(IF(COUNTIF(Podcasts!$D$1370:'Podcasts'!$D$1419,ROW(INDIRECT("1:"&amp;K$2)))=0,ROW(INDIRECT("1:"&amp;K$2))),ROW($A5)),"")</f>
        <v>6</v>
      </c>
      <c r="BH48" s="202">
        <f t="array" aca="1" ref="BH48" ca="1">IFERROR(SMALL(IF(COUNTIF(Podcasts!$D$1425:'Podcasts'!$D$1446,ROW(INDIRECT("1:"&amp;K$2)))=0,ROW(INDIRECT("1:"&amp;K$2))),ROW($A5)),"")</f>
        <v>6</v>
      </c>
      <c r="BI48" s="202">
        <f t="array" aca="1" ref="BI48" ca="1">IFERROR(SMALL(IF(COUNTIF(Podcasts!$D$1452:'Podcasts'!$D$1574,ROW(INDIRECT("1:"&amp;K$2)))=0,ROW(INDIRECT("1:"&amp;K$2))),ROW($A5)),"")</f>
        <v>19</v>
      </c>
      <c r="BJ48" s="202">
        <f t="array" aca="1" ref="BJ48" ca="1">IFERROR(SMALL(IF(COUNTIF(Podcasts!$D$1580:'Podcasts'!$D$1705,ROW(INDIRECT("1:"&amp;K$2)))=0,ROW(INDIRECT("1:"&amp;K$2))),ROW($A5)),"")</f>
        <v>10</v>
      </c>
      <c r="BK48" s="202">
        <f t="array" aca="1" ref="BK48" ca="1">IFERROR(SMALL(IF(COUNTIF(Podcasts!$D$1711:'Podcasts'!$D$1833,ROW(INDIRECT("1:"&amp;K$2)))=0,ROW(INDIRECT("1:"&amp;K$2))),ROW($A5)),"")</f>
        <v>45</v>
      </c>
      <c r="BL48" s="202">
        <f t="array" aca="1" ref="BL48" ca="1">IFERROR(SMALL(IF(COUNTIF(Podcasts!$D$1839:'Podcasts'!$D$1855,ROW(INDIRECT("1:"&amp;K$2)))=0,ROW(INDIRECT("1:"&amp;K$2))),ROW($A5)),"")</f>
        <v>5</v>
      </c>
      <c r="BM48" s="567">
        <f t="array" aca="1" ref="BM48" ca="1">IFERROR(SMALL(IF(COUNTIF(Podcasts!$D$1861:'Podcasts'!$D$1994,ROW(INDIRECT("1:"&amp;K$2)))=0,ROW(INDIRECT("1:"&amp;K$2))),ROW($A5)),"")</f>
        <v>5</v>
      </c>
      <c r="BN48" s="567">
        <f t="array" aca="1" ref="BN48" ca="1">IFERROR(SMALL(IF(COUNTIF(Podcasts!$D$2000:'Podcasts'!$D$2057,ROW(INDIRECT("1:"&amp;K$2)))=0,ROW(INDIRECT("1:"&amp;K$2))),ROW($A5)),"")</f>
        <v>60</v>
      </c>
      <c r="BO48" s="567">
        <f t="array" aca="1" ref="BO48" ca="1">IFERROR(SMALL(IF(COUNTIF(Podcasts!$D$2063:'Podcasts'!$D$2071,ROW(INDIRECT("1:"&amp;K$2)))=0,ROW(INDIRECT("1:"&amp;K$2))),ROW($A5)),"")</f>
        <v>5</v>
      </c>
      <c r="BP48" s="202">
        <f t="array" aca="1" ref="BP48" ca="1">IFERROR(SMALL(IF(COUNTIF(Podcasts!$D$2077:'Podcasts'!$D$2092,ROW(INDIRECT("1:"&amp;K$2)))=0,ROW(INDIRECT("1:"&amp;K$2))),ROW($A5)),"")</f>
        <v>7</v>
      </c>
      <c r="BQ48" s="741">
        <f t="array" aca="1" ref="BQ48" ca="1">IFERROR(SMALL(IF(COUNTIF(Podcasts!$D$2098:'Podcasts'!$D$2114,ROW(INDIRECT("1:"&amp;K$2)))=0,ROW(INDIRECT("1:"&amp;K$2))),ROW($A5)),"")</f>
        <v>5</v>
      </c>
      <c r="BR48" s="744">
        <f t="array" aca="1" ref="BR48" ca="1">IFERROR(SMALL(IF(COUNTIF(Podcasts!$D$2120:'Podcasts'!$D$2124,ROW(INDIRECT("1:"&amp;K$2)))=0,ROW(INDIRECT("1:"&amp;K$2))),ROW($A5)),"")</f>
        <v>6</v>
      </c>
      <c r="BS48" s="28"/>
    </row>
    <row r="49" spans="1:71" outlineLevel="1">
      <c r="A49" s="28"/>
      <c r="B49" s="161">
        <v>6</v>
      </c>
      <c r="C49" s="161">
        <f>COUNTIF(Podcasts!$D$10:'Podcasts'!$D$2535,B49)-1</f>
        <v>13</v>
      </c>
      <c r="D49" s="158" t="s">
        <v>1034</v>
      </c>
      <c r="E49" s="156" t="str">
        <f t="array" ref="E49">IF(F49="","",INDEX(Podcasts!$J$10:'Podcasts'!$J$2535,MATCH(F49&amp;$B49,Podcasts!$E$10:'Podcasts'!$E$2535&amp;Podcasts!$D$10:'Podcasts'!$D$2535,0)))</f>
        <v>Fürst</v>
      </c>
      <c r="F49" s="131">
        <f t="array" ref="F49">IF(COUNTIF(Podcasts!$D$10:'Podcasts'!$D$2535,$B49)&lt;COLUMN(A6),"",SMALL(IF(Podcasts!$D$10:'Podcasts'!$D$2535=$B49,Podcasts!$E$10:'Podcasts'!$E$2535),COLUMN(A6)))</f>
        <v>41917</v>
      </c>
      <c r="G49" s="132">
        <f t="array" ref="G49">IF(F49="","",INDEX(Podcasts!$F$10:'Podcasts'!$F$2535,MATCH(F49&amp;$B49,Podcasts!$E$10:'Podcasts'!$E$2535&amp;Podcasts!$D$10:'Podcasts'!$D$2535,0)))</f>
        <v>6.7129629629629657E-3</v>
      </c>
      <c r="H49" s="136" t="str">
        <f t="array" ref="H49">IF(I49="","",INDEX(Podcasts!$J$10:'Podcasts'!$J$2535,MATCH(I49&amp;$B49,Podcasts!$E$10:'Podcasts'!$E$2535&amp;Podcasts!$D$10:'Podcasts'!$D$2535,0)))</f>
        <v>Talker</v>
      </c>
      <c r="I49" s="133">
        <f t="array" ref="I49">IF(COUNTIF(Podcasts!$D$10:'Podcasts'!$D$2535,$B49)&lt;COLUMN(B6),"",SMALL(IF(Podcasts!$D$10:'Podcasts'!$D$2535=$B49,Podcasts!$E$10:'Podcasts'!$E$2535),COLUMN(B6)))</f>
        <v>41978</v>
      </c>
      <c r="J49" s="132">
        <f t="array" ref="J49">IF(I49="","",INDEX(Podcasts!$F$10:'Podcasts'!$F$2535,MATCH(I49&amp;$B49,Podcasts!$E$10:'Podcasts'!$E$2535&amp;Podcasts!$D$10:'Podcasts'!$D$2535,0)))</f>
        <v>1.3935185185185184E-2</v>
      </c>
      <c r="K49" s="136" t="str">
        <f t="array" ref="K49">IF(L49="","",INDEX(Podcasts!$J$10:'Podcasts'!$J$2535,MATCH(L49&amp;$B49,Podcasts!$E$10:'Podcasts'!$E$2535&amp;Podcasts!$D$10:'Podcasts'!$D$2535,0)))</f>
        <v>R&amp;A</v>
      </c>
      <c r="L49" s="133">
        <f t="array" ref="L49">IF(COUNTIF(Podcasts!$D$10:'Podcasts'!$D$2535,$B49)&lt;COLUMN(C6),"",SMALL(IF(Podcasts!$D$10:'Podcasts'!$D$2535=$B49,Podcasts!$E$10:'Podcasts'!$E$2535),COLUMN(C6)))</f>
        <v>43167.803877314815</v>
      </c>
      <c r="M49" s="132">
        <f t="array" ref="M49">IF(L49="","",INDEX(Podcasts!$F$10:'Podcasts'!$F$2535,MATCH(L49&amp;$B49,Podcasts!$E$10:'Podcasts'!$E$2535&amp;Podcasts!$D$10:'Podcasts'!$D$2535,0)))</f>
        <v>6.0995370370370366E-2</v>
      </c>
      <c r="N49" s="136" t="str">
        <f t="array" ref="N49">IF(O49="","",INDEX(Podcasts!$J$10:'Podcasts'!$J$2535,MATCH(O49&amp;$B49,Podcasts!$E$10:'Podcasts'!$E$2535&amp;Podcasts!$D$10:'Podcasts'!$D$2535,0)))</f>
        <v>Schrott</v>
      </c>
      <c r="O49" s="133">
        <f t="array" ref="O49">IF(COUNTIF(Podcasts!$D$10:'Podcasts'!$D$2535,$B49)&lt;COLUMN(D6),"",SMALL(IF(Podcasts!$D$10:'Podcasts'!$D$2535=$B49,Podcasts!$E$10:'Podcasts'!$E$2535),COLUMN(D6)))</f>
        <v>43368</v>
      </c>
      <c r="P49" s="132">
        <f t="array" ref="P49">IF(O49="","",INDEX(Podcasts!$F$10:'Podcasts'!$F$2535,MATCH(O49&amp;$B49,Podcasts!$E$10:'Podcasts'!$E$2535&amp;Podcasts!$D$10:'Podcasts'!$D$2535,0)))</f>
        <v>6.7245370370370372E-2</v>
      </c>
      <c r="Q49" s="136" t="str">
        <f t="array" ref="Q49">IF(R49="","",INDEX(Podcasts!$J$10:'Podcasts'!$J$2535,MATCH(R49&amp;$B49,Podcasts!$E$10:'Podcasts'!$E$2535&amp;Podcasts!$D$10:'Podcasts'!$D$2535,0)))</f>
        <v>Zentrale</v>
      </c>
      <c r="R49" s="133">
        <f t="array" ref="R49">IF(COUNTIF(Podcasts!$D$10:'Podcasts'!$D$2535,$B49)&lt;COLUMN(E6),"",SMALL(IF(Podcasts!$D$10:'Podcasts'!$D$2535=$B49,Podcasts!$E$10:'Podcasts'!$E$2535),COLUMN(E6)))</f>
        <v>43682</v>
      </c>
      <c r="S49" s="132">
        <f t="array" ref="S49">IF(R49="","",INDEX(Podcasts!$F$10:'Podcasts'!$F$2535,MATCH(R49&amp;$B49,Podcasts!$E$10:'Podcasts'!$E$2535&amp;Podcasts!$D$10:'Podcasts'!$D$2535,0)))</f>
        <v>9.3124999999999999E-2</v>
      </c>
      <c r="T49" s="136" t="str">
        <f t="array" ref="T49">IF(U49="","",INDEX(Podcasts!$J$10:'Podcasts'!$J$2535,MATCH(U49&amp;$B49,Podcasts!$E$10:'Podcasts'!$E$2535&amp;Podcasts!$D$10:'Podcasts'!$D$2535,0)))</f>
        <v>SSP</v>
      </c>
      <c r="U49" s="133">
        <f t="array" ref="U49">IF(COUNTIF(Podcasts!$D$10:'Podcasts'!$D$2535,$B49)&lt;COLUMN(F6),"",SMALL(IF(Podcasts!$D$10:'Podcasts'!$D$2535=$B49,Podcasts!$E$10:'Podcasts'!$E$2535),COLUMN(F6)))</f>
        <v>43800</v>
      </c>
      <c r="V49" s="132">
        <f t="array" ref="V49">IF(U49="","",INDEX(Podcasts!$F$10:'Podcasts'!$F$2535,MATCH(U49&amp;$B49,Podcasts!$E$10:'Podcasts'!$E$2535&amp;Podcasts!$D$10:'Podcasts'!$D$2535,0)))</f>
        <v>6.9363425925925926E-2</v>
      </c>
      <c r="W49" s="136" t="str">
        <f t="array" ref="W49">IF(X49="","",INDEX(Podcasts!$J$10:'Podcasts'!$J$2535,MATCH(X49&amp;$B49,Podcasts!$E$10:'Podcasts'!$E$2535&amp;Podcasts!$D$10:'Podcasts'!$D$2535,0)))</f>
        <v>SSP</v>
      </c>
      <c r="X49" s="133">
        <f t="array" ref="X49">IF(COUNTIF(Podcasts!$D$10:'Podcasts'!$D$2535,$B49)&lt;COLUMN(G6),"",SMALL(IF(Podcasts!$D$10:'Podcasts'!$D$2535=$B49,Podcasts!$E$10:'Podcasts'!$E$2535),COLUMN(G6)))</f>
        <v>43801</v>
      </c>
      <c r="Y49" s="132">
        <f t="array" ref="Y49">IF(X49="","",INDEX(Podcasts!$F$10:'Podcasts'!$F$2535,MATCH(X49&amp;$B49,Podcasts!$E$10:'Podcasts'!$E$2535&amp;Podcasts!$D$10:'Podcasts'!$D$2535,0)))</f>
        <v>8.3263888888888887E-2</v>
      </c>
      <c r="Z49" s="136" t="str">
        <f t="array" ref="Z49">IF(AA49="","",INDEX(Podcasts!$J$10:'Podcasts'!$J$2535,MATCH(AA49&amp;$B49,Podcasts!$E$10:'Podcasts'!$E$2535&amp;Podcasts!$D$10:'Podcasts'!$D$2535,0)))</f>
        <v>Abfahrt</v>
      </c>
      <c r="AA49" s="134">
        <f t="array" ref="AA49">IF(COUNTIF(Podcasts!$D$10:'Podcasts'!$D$2535,$B49)&lt;COLUMN(H6),"",SMALL(IF(Podcasts!$D$10:'Podcasts'!$D$2535=$B49,Podcasts!$E$10:'Podcasts'!$E$2535),COLUMN(H6)))</f>
        <v>44120</v>
      </c>
      <c r="AB49" s="404">
        <f t="array" ref="AB49">IF(AA49="","",INDEX(Podcasts!$F$10:'Podcasts'!$F$2535,MATCH(AA49&amp;$B49,Podcasts!$E$10:'Podcasts'!$E$2535&amp;Podcasts!$D$10:'Podcasts'!$D$2535,0)))</f>
        <v>5.2928240740740741E-2</v>
      </c>
      <c r="AC49" s="406" t="str">
        <f t="array" ref="AC49">IF(AD49="","",INDEX(Podcasts!$J$10:'Podcasts'!$J$2535,MATCH(AD49&amp;$B49,Podcasts!$E$10:'Podcasts'!$E$2535&amp;Podcasts!$D$10:'Podcasts'!$D$2535,0)))</f>
        <v>Kuchen</v>
      </c>
      <c r="AD49" s="400">
        <f t="array" ref="AD49">IF(COUNTIF(Podcasts!$D$10:'Podcasts'!$D$2535,$B49)&lt;COLUMN(I6),"",SMALL(IF(Podcasts!$D$10:'Podcasts'!$D$2535=$B49,Podcasts!$E$10:'Podcasts'!$E$2535),COLUMN(I6)))</f>
        <v>44374</v>
      </c>
      <c r="AE49" s="401">
        <f t="array" ref="AE49">IF(AD49="","",INDEX(Podcasts!$F$10:'Podcasts'!$F$2535,MATCH(AD49&amp;$B49,Podcasts!$E$10:'Podcasts'!$E$2535&amp;Podcasts!$D$10:'Podcasts'!$D$2535,0)))</f>
        <v>5.9293981481481482E-2</v>
      </c>
      <c r="AF49" s="406" t="str">
        <f t="array" ref="AF49">IF(AG49="","",INDEX(Podcasts!$J$10:'Podcasts'!$J$2535,MATCH(AG49&amp;$B49,Podcasts!$E$10:'Podcasts'!$E$2535&amp;Podcasts!$D$10:'Podcasts'!$D$2535,0)))</f>
        <v>Verstärker</v>
      </c>
      <c r="AG49" s="400">
        <f t="array" ref="AG49">IF(COUNTIF(Podcasts!$D$10:'Podcasts'!$D$2535,$B49)&lt;COLUMN(J6),"",SMALL(IF(Podcasts!$D$10:'Podcasts'!$D$2535=$B49,Podcasts!$E$10:'Podcasts'!$E$2535),COLUMN(J6)))</f>
        <v>44411</v>
      </c>
      <c r="AH49" s="401">
        <f t="array" ref="AH49">IF(AG49="","",INDEX(Podcasts!$F$10:'Podcasts'!$F$2535,MATCH(AG49&amp;$B49,Podcasts!$E$10:'Podcasts'!$E$2535&amp;Podcasts!$D$10:'Podcasts'!$D$2535,0)))</f>
        <v>2.3715277777777776E-2</v>
      </c>
      <c r="AI49" s="406" t="str">
        <f t="array" ref="AI49">IF(AJ49="","",INDEX(Podcasts!$J$10:'Podcasts'!$J$2535,MATCH(AJ49&amp;$B49,Podcasts!$E$10:'Podcasts'!$E$2535&amp;Podcasts!$D$10:'Podcasts'!$D$2535,0)))</f>
        <v>Bobcast</v>
      </c>
      <c r="AJ49" s="400">
        <f t="array" ref="AJ49">IF(COUNTIF(Podcasts!$D$10:'Podcasts'!$D$2535,$B49)&lt;COLUMN(K6),"",SMALL(IF(Podcasts!$D$10:'Podcasts'!$D$2535=$B49,Podcasts!$E$10:'Podcasts'!$E$2535),COLUMN(K6)))</f>
        <v>44676.001273148147</v>
      </c>
      <c r="AK49" s="401">
        <f t="array" ref="AK49">IF(AJ49="","",INDEX(Podcasts!$F$10:'Podcasts'!$F$2535,MATCH(AJ49&amp;$B49,Podcasts!$E$10:'Podcasts'!$E$2535&amp;Podcasts!$D$10:'Podcasts'!$D$2535,0)))</f>
        <v>2.4525462962962968E-2</v>
      </c>
      <c r="AL49" s="406" t="str">
        <f t="array" ref="AL49">IF(AM49="","",INDEX(Podcasts!$J$10:'Podcasts'!$J$2535,MATCH(AM49&amp;$B49,Podcasts!$E$10:'Podcasts'!$E$2535&amp;Podcasts!$D$10:'Podcasts'!$D$2535,0)))</f>
        <v>RBW</v>
      </c>
      <c r="AM49" s="400">
        <f t="array" ref="AM49">IF(COUNTIF(Podcasts!$D$10:'Podcasts'!$D$2535,$B49)&lt;COLUMN(L6),"",SMALL(IF(Podcasts!$D$10:'Podcasts'!$D$2535=$B49,Podcasts!$E$10:'Podcasts'!$E$2535),COLUMN(L6)))</f>
        <v>44854</v>
      </c>
      <c r="AN49" s="401">
        <f t="array" ref="AN49">IF(AM49="","",INDEX(Podcasts!$F$10:'Podcasts'!$F$2535,MATCH(AM49&amp;$B49,Podcasts!$E$10:'Podcasts'!$E$2535&amp;Podcasts!$D$10:'Podcasts'!$D$2535,0)))</f>
        <v>3.2384259259259258E-2</v>
      </c>
      <c r="AO49" s="402"/>
      <c r="AP49" s="119" t="str">
        <f t="array" aca="1" ref="AP49" ca="1">IFERROR(SMALL(IF(COUNTIF(Podcasts!$D$1:'Podcasts'!$D$2565,ROW(INDIRECT("1:"&amp;K$2)))=0,ROW(INDIRECT("1:"&amp;K$2))),ROW($A6)),"")</f>
        <v/>
      </c>
      <c r="AQ49" s="117">
        <f t="array" aca="1" ref="AQ49" ca="1">IFERROR(SMALL(IF(COUNTIF(Podcasts!$D$10:'Podcasts'!$D$107,ROW(INDIRECT("1:"&amp;K$2)))=0,ROW(INDIRECT("1:"&amp;K$2))),ROW($A6)),"")</f>
        <v>14</v>
      </c>
      <c r="AR49" s="117">
        <f t="array" aca="1" ref="AR49" ca="1">IFERROR(SMALL(IF(COUNTIF(Podcasts!$D$113:'Podcasts'!$D$238,ROW(INDIRECT("1:"&amp;K$2)))=0,ROW(INDIRECT("1:"&amp;K$2))),ROW($A6)),"")</f>
        <v>6</v>
      </c>
      <c r="AS49" s="117">
        <f t="array" aca="1" ref="AS49" ca="1">IFERROR(SMALL(IF(COUNTIF(Podcasts!$D$244:'Podcasts'!$D$299,ROW(INDIRECT("1:"&amp;K$2)))=0,ROW(INDIRECT("1:"&amp;K$2))),ROW($A6)),"")</f>
        <v>22</v>
      </c>
      <c r="AT49" s="117">
        <f t="array" aca="1" ref="AT49" ca="1">IFERROR(SMALL(IF(COUNTIF(Podcasts!$D$305:'Podcasts'!$D$473,ROW(INDIRECT("1:"&amp;K$2)))=0,ROW(INDIRECT("1:"&amp;K$2))),ROW($A6)),"")</f>
        <v>117</v>
      </c>
      <c r="AU49" s="117">
        <f t="array" aca="1" ref="AU49" ca="1">IFERROR(SMALL(IF(COUNTIF(Podcasts!$D$479:'Podcasts'!$D$488,ROW(INDIRECT("1:"&amp;K$2)))=0,ROW(INDIRECT("1:"&amp;K$2))),ROW($A6)),"")</f>
        <v>6</v>
      </c>
      <c r="AV49" s="117">
        <f t="array" aca="1" ref="AV49" ca="1">IFERROR(SMALL(IF(COUNTIF(Podcasts!$D$494:'Podcasts'!$D$518,ROW(INDIRECT("1:"&amp;K$2)))=0,ROW(INDIRECT("1:"&amp;K$2))),ROW($A6)),"")</f>
        <v>20</v>
      </c>
      <c r="AW49" s="117">
        <f t="array" aca="1" ref="AW49" ca="1">IFERROR(SMALL(IF(COUNTIF(Podcasts!$D$524:'Podcasts'!$D$532,ROW(INDIRECT("1:"&amp;K$2)))=0,ROW(INDIRECT("1:"&amp;K$2))),ROW($A6)),"")</f>
        <v>6</v>
      </c>
      <c r="AX49" s="117">
        <f t="array" aca="1" ref="AX49" ca="1">IFERROR(SMALL(IF(COUNTIF(Podcasts!$D$538:'Podcasts'!$D$909,ROW(INDIRECT("1:"&amp;K$2)))=0,ROW(INDIRECT("1:"&amp;K$2))),ROW($A6)),"")</f>
        <v>15</v>
      </c>
      <c r="AY49" s="117">
        <f t="array" aca="1" ref="AY49" ca="1">IFERROR(SMALL(IF(COUNTIF(Podcasts!$D$915:'Podcasts'!$D$981,ROW(INDIRECT("1:"&amp;K$2)))=0,ROW(INDIRECT("1:"&amp;K$2))),ROW($A6)),"")</f>
        <v>12</v>
      </c>
      <c r="AZ49" s="445"/>
      <c r="BA49" s="117">
        <f t="array" aca="1" ref="BA49" ca="1">IFERROR(SMALL(IF(COUNTIF(Podcasts!$D$1001:'Podcasts'!$D$1251,ROW(INDIRECT("1:"&amp;K$2)))=0,ROW(INDIRECT("1:"&amp;K$2))),ROW($A6)),"")</f>
        <v>17</v>
      </c>
      <c r="BB49" s="117">
        <f t="array" aca="1" ref="BB49" ca="1">IFERROR(SMALL(IF(COUNTIF(Podcasts!$D$1257:'Podcasts'!$D$1267,ROW(INDIRECT("1:"&amp;K$2)))=0,ROW(INDIRECT("1:"&amp;K$2))),ROW($A6)),"")</f>
        <v>6</v>
      </c>
      <c r="BC49" s="117">
        <f t="array" aca="1" ref="BC49" ca="1">IFERROR(SMALL(IF(COUNTIF(Podcasts!$D$1273:'Podcasts'!$D$1283,ROW(INDIRECT("1:"&amp;K$2)))=0,ROW(INDIRECT("1:"&amp;K$2))),ROW($A6)),"")</f>
        <v>8</v>
      </c>
      <c r="BD49" s="117">
        <f t="array" aca="1" ref="BD49" ca="1">IFERROR(SMALL(IF(COUNTIF(Podcasts!$D$1289:'Podcasts'!$D$1295,ROW(INDIRECT("1:"&amp;K$2)))=0,ROW(INDIRECT("1:"&amp;K$2))),ROW($A6)),"")</f>
        <v>7</v>
      </c>
      <c r="BE49" s="117">
        <f t="array" aca="1" ref="BE49" ca="1">IFERROR(SMALL(IF(COUNTIF(Podcasts!$D$1301:'Podcasts'!$D$1356,ROW(INDIRECT("1:"&amp;K$2)))=0,ROW(INDIRECT("1:"&amp;K$2))),ROW($A6)),"")</f>
        <v>53</v>
      </c>
      <c r="BF49" s="117">
        <f t="array" aca="1" ref="BF49" ca="1">IFERROR(SMALL(IF(COUNTIF(Podcasts!$D$1362:'Podcasts'!$D$1364,ROW(INDIRECT("1:"&amp;K$2)))=0,ROW(INDIRECT("1:"&amp;K$2))),ROW($A6)),"")</f>
        <v>9</v>
      </c>
      <c r="BG49" s="202">
        <f t="array" aca="1" ref="BG49" ca="1">IFERROR(SMALL(IF(COUNTIF(Podcasts!$D$1370:'Podcasts'!$D$1419,ROW(INDIRECT("1:"&amp;K$2)))=0,ROW(INDIRECT("1:"&amp;K$2))),ROW($A6)),"")</f>
        <v>7</v>
      </c>
      <c r="BH49" s="202">
        <f t="array" aca="1" ref="BH49" ca="1">IFERROR(SMALL(IF(COUNTIF(Podcasts!$D$1425:'Podcasts'!$D$1446,ROW(INDIRECT("1:"&amp;K$2)))=0,ROW(INDIRECT("1:"&amp;K$2))),ROW($A6)),"")</f>
        <v>7</v>
      </c>
      <c r="BI49" s="202">
        <f t="array" aca="1" ref="BI49" ca="1">IFERROR(SMALL(IF(COUNTIF(Podcasts!$D$1452:'Podcasts'!$D$1574,ROW(INDIRECT("1:"&amp;K$2)))=0,ROW(INDIRECT("1:"&amp;K$2))),ROW($A6)),"")</f>
        <v>20</v>
      </c>
      <c r="BJ49" s="202">
        <f t="array" aca="1" ref="BJ49" ca="1">IFERROR(SMALL(IF(COUNTIF(Podcasts!$D$1580:'Podcasts'!$D$1705,ROW(INDIRECT("1:"&amp;K$2)))=0,ROW(INDIRECT("1:"&amp;K$2))),ROW($A6)),"")</f>
        <v>13</v>
      </c>
      <c r="BK49" s="202">
        <f t="array" aca="1" ref="BK49" ca="1">IFERROR(SMALL(IF(COUNTIF(Podcasts!$D$1711:'Podcasts'!$D$1833,ROW(INDIRECT("1:"&amp;K$2)))=0,ROW(INDIRECT("1:"&amp;K$2))),ROW($A6)),"")</f>
        <v>46</v>
      </c>
      <c r="BL49" s="202">
        <f t="array" aca="1" ref="BL49" ca="1">IFERROR(SMALL(IF(COUNTIF(Podcasts!$D$1839:'Podcasts'!$D$1855,ROW(INDIRECT("1:"&amp;K$2)))=0,ROW(INDIRECT("1:"&amp;K$2))),ROW($A6)),"")</f>
        <v>6</v>
      </c>
      <c r="BM49" s="567">
        <f t="array" aca="1" ref="BM49" ca="1">IFERROR(SMALL(IF(COUNTIF(Podcasts!$D$1861:'Podcasts'!$D$1994,ROW(INDIRECT("1:"&amp;K$2)))=0,ROW(INDIRECT("1:"&amp;K$2))),ROW($A6)),"")</f>
        <v>6</v>
      </c>
      <c r="BN49" s="567">
        <f t="array" aca="1" ref="BN49" ca="1">IFERROR(SMALL(IF(COUNTIF(Podcasts!$D$2000:'Podcasts'!$D$2057,ROW(INDIRECT("1:"&amp;K$2)))=0,ROW(INDIRECT("1:"&amp;K$2))),ROW($A6)),"")</f>
        <v>61</v>
      </c>
      <c r="BO49" s="567">
        <f t="array" aca="1" ref="BO49" ca="1">IFERROR(SMALL(IF(COUNTIF(Podcasts!$D$2063:'Podcasts'!$D$2071,ROW(INDIRECT("1:"&amp;K$2)))=0,ROW(INDIRECT("1:"&amp;K$2))),ROW($A6)),"")</f>
        <v>6</v>
      </c>
      <c r="BP49" s="202">
        <f t="array" aca="1" ref="BP49" ca="1">IFERROR(SMALL(IF(COUNTIF(Podcasts!$D$2077:'Podcasts'!$D$2092,ROW(INDIRECT("1:"&amp;K$2)))=0,ROW(INDIRECT("1:"&amp;K$2))),ROW($A6)),"")</f>
        <v>8</v>
      </c>
      <c r="BQ49" s="741">
        <f t="array" aca="1" ref="BQ49" ca="1">IFERROR(SMALL(IF(COUNTIF(Podcasts!$D$2098:'Podcasts'!$D$2114,ROW(INDIRECT("1:"&amp;K$2)))=0,ROW(INDIRECT("1:"&amp;K$2))),ROW($A6)),"")</f>
        <v>6</v>
      </c>
      <c r="BR49" s="744">
        <f t="array" aca="1" ref="BR49" ca="1">IFERROR(SMALL(IF(COUNTIF(Podcasts!$D$2120:'Podcasts'!$D$2124,ROW(INDIRECT("1:"&amp;K$2)))=0,ROW(INDIRECT("1:"&amp;K$2))),ROW($A6)),"")</f>
        <v>7</v>
      </c>
      <c r="BS49" s="28"/>
    </row>
    <row r="50" spans="1:71" outlineLevel="1">
      <c r="A50" s="28"/>
      <c r="B50" s="161">
        <v>7</v>
      </c>
      <c r="C50" s="161">
        <f>COUNTIF(Podcasts!$D$10:'Podcasts'!$D$2535,B50)</f>
        <v>10</v>
      </c>
      <c r="D50" s="158" t="s">
        <v>1035</v>
      </c>
      <c r="E50" s="156" t="str">
        <f t="array" ref="E50">IF(F50="","",INDEX(Podcasts!$J$10:'Podcasts'!$J$2535,MATCH(F50&amp;$B50,Podcasts!$E$10:'Podcasts'!$E$2535&amp;Podcasts!$D$10:'Podcasts'!$D$2535,0)))</f>
        <v>Fürst</v>
      </c>
      <c r="F50" s="131">
        <f t="array" ref="F50">IF(COUNTIF(Podcasts!$D$10:'Podcasts'!$D$2535,$B50)&lt;COLUMN(A7),"",SMALL(IF(Podcasts!$D$10:'Podcasts'!$D$2535=$B50,Podcasts!$E$10:'Podcasts'!$E$2535),COLUMN(A7)))</f>
        <v>42092</v>
      </c>
      <c r="G50" s="132">
        <f t="array" ref="G50">IF(F50="","",INDEX(Podcasts!$F$10:'Podcasts'!$F$2535,MATCH(F50&amp;$B50,Podcasts!$E$10:'Podcasts'!$E$2535&amp;Podcasts!$D$10:'Podcasts'!$D$2535,0)))</f>
        <v>1.1458333333333334E-2</v>
      </c>
      <c r="H50" s="136" t="str">
        <f t="array" ref="H50">IF(I50="","",INDEX(Podcasts!$J$10:'Podcasts'!$J$2535,MATCH(I50&amp;$B50,Podcasts!$E$10:'Podcasts'!$E$2535&amp;Podcasts!$D$10:'Podcasts'!$D$2535,0)))</f>
        <v>Talker</v>
      </c>
      <c r="I50" s="133">
        <f t="array" ref="I50">IF(COUNTIF(Podcasts!$D$10:'Podcasts'!$D$2535,$B50)&lt;COLUMN(B7),"",SMALL(IF(Podcasts!$D$10:'Podcasts'!$D$2535=$B50,Podcasts!$E$10:'Podcasts'!$E$2535),COLUMN(B7)))</f>
        <v>42258</v>
      </c>
      <c r="J50" s="132">
        <f t="array" ref="J50">IF(I50="","",INDEX(Podcasts!$F$10:'Podcasts'!$F$2535,MATCH(I50&amp;$B50,Podcasts!$E$10:'Podcasts'!$E$2535&amp;Podcasts!$D$10:'Podcasts'!$D$2535,0)))</f>
        <v>1.8842592592592591E-2</v>
      </c>
      <c r="K50" s="136" t="str">
        <f t="array" ref="K50">IF(L50="","",INDEX(Podcasts!$J$10:'Podcasts'!$J$2535,MATCH(L50&amp;$B50,Podcasts!$E$10:'Podcasts'!$E$2535&amp;Podcasts!$D$10:'Podcasts'!$D$2535,0)))</f>
        <v>Zentrale</v>
      </c>
      <c r="L50" s="133">
        <f t="array" ref="L50">IF(COUNTIF(Podcasts!$D$10:'Podcasts'!$D$2535,$B50)&lt;COLUMN(C7),"",SMALL(IF(Podcasts!$D$10:'Podcasts'!$D$2535=$B50,Podcasts!$E$10:'Podcasts'!$E$2535),COLUMN(C7)))</f>
        <v>43595.539560185185</v>
      </c>
      <c r="M50" s="132">
        <f t="array" ref="M50">IF(L50="","",INDEX(Podcasts!$F$10:'Podcasts'!$F$2535,MATCH(L50&amp;$B50,Podcasts!$E$10:'Podcasts'!$E$2535&amp;Podcasts!$D$10:'Podcasts'!$D$2535,0)))</f>
        <v>0.10392361111111111</v>
      </c>
      <c r="N50" s="136" t="str">
        <f t="array" ref="N50">IF(O50="","",INDEX(Podcasts!$J$10:'Podcasts'!$J$2535,MATCH(O50&amp;$B50,Podcasts!$E$10:'Podcasts'!$E$2535&amp;Podcasts!$D$10:'Podcasts'!$D$2535,0)))</f>
        <v>Schrott</v>
      </c>
      <c r="O50" s="133">
        <f t="array" ref="O50">IF(COUNTIF(Podcasts!$D$10:'Podcasts'!$D$2535,$B50)&lt;COLUMN(D7),"",SMALL(IF(Podcasts!$D$10:'Podcasts'!$D$2535=$B50,Podcasts!$E$10:'Podcasts'!$E$2535),COLUMN(D7)))</f>
        <v>43616</v>
      </c>
      <c r="P50" s="132">
        <f t="array" ref="P50">IF(O50="","",INDEX(Podcasts!$F$10:'Podcasts'!$F$2535,MATCH(O50&amp;$B50,Podcasts!$E$10:'Podcasts'!$E$2535&amp;Podcasts!$D$10:'Podcasts'!$D$2535,0)))</f>
        <v>5.9780092592592593E-2</v>
      </c>
      <c r="Q50" s="136" t="str">
        <f t="array" ref="Q50">IF(R50="","",INDEX(Podcasts!$J$10:'Podcasts'!$J$2535,MATCH(R50&amp;$B50,Podcasts!$E$10:'Podcasts'!$E$2535&amp;Podcasts!$D$10:'Podcasts'!$D$2535,0)))</f>
        <v>Abfahrt</v>
      </c>
      <c r="R50" s="133">
        <f t="array" ref="R50">IF(COUNTIF(Podcasts!$D$10:'Podcasts'!$D$2535,$B50)&lt;COLUMN(E7),"",SMALL(IF(Podcasts!$D$10:'Podcasts'!$D$2535=$B50,Podcasts!$E$10:'Podcasts'!$E$2535),COLUMN(E7)))</f>
        <v>44155</v>
      </c>
      <c r="S50" s="132">
        <f t="array" ref="S50">IF(R50="","",INDEX(Podcasts!$F$10:'Podcasts'!$F$2535,MATCH(R50&amp;$B50,Podcasts!$E$10:'Podcasts'!$E$2535&amp;Podcasts!$D$10:'Podcasts'!$D$2535,0)))</f>
        <v>5.9513888888888887E-2</v>
      </c>
      <c r="T50" s="136" t="str">
        <f t="array" ref="T50">IF(U50="","",INDEX(Podcasts!$J$10:'Podcasts'!$J$2535,MATCH(U50&amp;$B50,Podcasts!$E$10:'Podcasts'!$E$2535&amp;Podcasts!$D$10:'Podcasts'!$D$2535,0)))</f>
        <v>R&amp;A</v>
      </c>
      <c r="U50" s="133">
        <f t="array" ref="U50">IF(COUNTIF(Podcasts!$D$10:'Podcasts'!$D$2535,$B50)&lt;COLUMN(F7),"",SMALL(IF(Podcasts!$D$10:'Podcasts'!$D$2535=$B50,Podcasts!$E$10:'Podcasts'!$E$2535),COLUMN(F7)))</f>
        <v>44255.003472222219</v>
      </c>
      <c r="V50" s="132">
        <f t="array" ref="V50">IF(U50="","",INDEX(Podcasts!$F$10:'Podcasts'!$F$2535,MATCH(U50&amp;$B50,Podcasts!$E$10:'Podcasts'!$E$2535&amp;Podcasts!$D$10:'Podcasts'!$D$2535,0)))</f>
        <v>9.2303240740740741E-2</v>
      </c>
      <c r="W50" s="136" t="str">
        <f t="array" ref="W50">IF(X50="","",INDEX(Podcasts!$J$10:'Podcasts'!$J$2535,MATCH(X50&amp;$B50,Podcasts!$E$10:'Podcasts'!$E$2535&amp;Podcasts!$D$10:'Podcasts'!$D$2535,0)))</f>
        <v>Verstärker</v>
      </c>
      <c r="X50" s="133">
        <f t="array" ref="X50">IF(COUNTIF(Podcasts!$D$10:'Podcasts'!$D$2535,$B50)&lt;COLUMN(G7),"",SMALL(IF(Podcasts!$D$10:'Podcasts'!$D$2535=$B50,Podcasts!$E$10:'Podcasts'!$E$2535),COLUMN(G7)))</f>
        <v>44442</v>
      </c>
      <c r="Y50" s="132">
        <f t="array" ref="Y50">IF(X50="","",INDEX(Podcasts!$F$10:'Podcasts'!$F$2535,MATCH(X50&amp;$B50,Podcasts!$E$10:'Podcasts'!$E$2535&amp;Podcasts!$D$10:'Podcasts'!$D$2535,0)))</f>
        <v>2.326388888888889E-2</v>
      </c>
      <c r="Z50" s="136" t="str">
        <f t="array" ref="Z50">IF(AA50="","",INDEX(Podcasts!$J$10:'Podcasts'!$J$2535,MATCH(AA50&amp;$B50,Podcasts!$E$10:'Podcasts'!$E$2535&amp;Podcasts!$D$10:'Podcasts'!$D$2535,0)))</f>
        <v>Bobcast</v>
      </c>
      <c r="AA50" s="134">
        <f t="array" ref="AA50">IF(COUNTIF(Podcasts!$D$10:'Podcasts'!$D$2535,$B50)&lt;COLUMN(H7),"",SMALL(IF(Podcasts!$D$10:'Podcasts'!$D$2535=$B50,Podcasts!$E$10:'Podcasts'!$E$2535),COLUMN(H7)))</f>
        <v>44690.001331018517</v>
      </c>
      <c r="AB50" s="404">
        <f t="array" ref="AB50">IF(AA50="","",INDEX(Podcasts!$F$10:'Podcasts'!$F$2535,MATCH(AA50&amp;$B50,Podcasts!$E$10:'Podcasts'!$E$2535&amp;Podcasts!$D$10:'Podcasts'!$D$2535,0)))</f>
        <v>3.0185185185185186E-2</v>
      </c>
      <c r="AC50" s="406" t="str">
        <f t="array" ref="AC50">IF(AD50="","",INDEX(Podcasts!$J$10:'Podcasts'!$J$2535,MATCH(AD50&amp;$B50,Podcasts!$E$10:'Podcasts'!$E$2535&amp;Podcasts!$D$10:'Podcasts'!$D$2535,0)))</f>
        <v>RBW</v>
      </c>
      <c r="AD50" s="400">
        <f t="array" ref="AD50">IF(COUNTIF(Podcasts!$D$10:'Podcasts'!$D$2535,$B50)&lt;COLUMN(I7),"",SMALL(IF(Podcasts!$D$10:'Podcasts'!$D$2535=$B50,Podcasts!$E$10:'Podcasts'!$E$2535),COLUMN(I7)))</f>
        <v>44861</v>
      </c>
      <c r="AE50" s="401">
        <f t="array" ref="AE50">IF(AD50="","",INDEX(Podcasts!$F$10:'Podcasts'!$F$2535,MATCH(AD50&amp;$B50,Podcasts!$E$10:'Podcasts'!$E$2535&amp;Podcasts!$D$10:'Podcasts'!$D$2535,0)))</f>
        <v>3.3657407407407407E-2</v>
      </c>
      <c r="AF50" s="406" t="str">
        <f t="array" ref="AF50">IF(AG50="","",INDEX(Podcasts!$J$10:'Podcasts'!$J$2535,MATCH(AG50&amp;$B50,Podcasts!$E$10:'Podcasts'!$E$2535&amp;Podcasts!$D$10:'Podcasts'!$D$2535,0)))</f>
        <v>Kaffee</v>
      </c>
      <c r="AG50" s="400">
        <f t="array" ref="AG50">IF(COUNTIF(Podcasts!$D$10:'Podcasts'!$D$2535,$B50)&lt;COLUMN(J7),"",SMALL(IF(Podcasts!$D$10:'Podcasts'!$D$2535=$B50,Podcasts!$E$10:'Podcasts'!$E$2535),COLUMN(J7)))</f>
        <v>45009</v>
      </c>
      <c r="AH50" s="401">
        <f t="array" ref="AH50">IF(AG50="","",INDEX(Podcasts!$F$10:'Podcasts'!$F$2535,MATCH(AG50&amp;$B50,Podcasts!$E$10:'Podcasts'!$E$2535&amp;Podcasts!$D$10:'Podcasts'!$D$2535,0)))</f>
        <v>4.628472222222222E-2</v>
      </c>
      <c r="AI50" s="406" t="str">
        <f t="array" ref="AI50">IF(AJ50="","",INDEX(Podcasts!$J$10:'Podcasts'!$J$2535,MATCH(AJ50&amp;$B50,Podcasts!$E$10:'Podcasts'!$E$2535&amp;Podcasts!$D$10:'Podcasts'!$D$2535,0)))</f>
        <v/>
      </c>
      <c r="AJ50" s="400" t="str">
        <f t="array" ref="AJ50">IF(COUNTIF(Podcasts!$D$10:'Podcasts'!$D$2535,$B50)&lt;COLUMN(K7),"",SMALL(IF(Podcasts!$D$10:'Podcasts'!$D$2535=$B50,Podcasts!$E$10:'Podcasts'!$E$2535),COLUMN(K7)))</f>
        <v/>
      </c>
      <c r="AK50" s="401" t="str">
        <f t="array" ref="AK50">IF(AJ50="","",INDEX(Podcasts!$F$10:'Podcasts'!$F$2535,MATCH(AJ50&amp;$B50,Podcasts!$E$10:'Podcasts'!$E$2535&amp;Podcasts!$D$10:'Podcasts'!$D$2535,0)))</f>
        <v/>
      </c>
      <c r="AL50" s="406" t="str">
        <f t="array" ref="AL50">IF(AM50="","",INDEX(Podcasts!$J$10:'Podcasts'!$J$2535,MATCH(AM50&amp;$B50,Podcasts!$E$10:'Podcasts'!$E$2535&amp;Podcasts!$D$10:'Podcasts'!$D$2535,0)))</f>
        <v/>
      </c>
      <c r="AM50" s="400" t="str">
        <f t="array" ref="AM50">IF(COUNTIF(Podcasts!$D$10:'Podcasts'!$D$2535,$B50)&lt;COLUMN(L7),"",SMALL(IF(Podcasts!$D$10:'Podcasts'!$D$2535=$B50,Podcasts!$E$10:'Podcasts'!$E$2535),COLUMN(L7)))</f>
        <v/>
      </c>
      <c r="AN50" s="401" t="str">
        <f t="array" ref="AN50">IF(AM50="","",INDEX(Podcasts!$F$10:'Podcasts'!$F$2535,MATCH(AM50&amp;$B50,Podcasts!$E$10:'Podcasts'!$E$2535&amp;Podcasts!$D$10:'Podcasts'!$D$2535,0)))</f>
        <v/>
      </c>
      <c r="AO50" s="402"/>
      <c r="AP50" s="119" t="str">
        <f t="array" aca="1" ref="AP50" ca="1">IFERROR(SMALL(IF(COUNTIF(Podcasts!$D$1:'Podcasts'!$D$2565,ROW(INDIRECT("1:"&amp;K$2)))=0,ROW(INDIRECT("1:"&amp;K$2))),ROW($A7)),"")</f>
        <v/>
      </c>
      <c r="AQ50" s="117">
        <f t="array" aca="1" ref="AQ50" ca="1">IFERROR(SMALL(IF(COUNTIF(Podcasts!$D$10:'Podcasts'!$D$107,ROW(INDIRECT("1:"&amp;K$2)))=0,ROW(INDIRECT("1:"&amp;K$2))),ROW($A7)),"")</f>
        <v>15</v>
      </c>
      <c r="AR50" s="117">
        <f t="array" aca="1" ref="AR50" ca="1">IFERROR(SMALL(IF(COUNTIF(Podcasts!$D$113:'Podcasts'!$D$238,ROW(INDIRECT("1:"&amp;K$2)))=0,ROW(INDIRECT("1:"&amp;K$2))),ROW($A7)),"")</f>
        <v>7</v>
      </c>
      <c r="AS50" s="117">
        <f t="array" aca="1" ref="AS50" ca="1">IFERROR(SMALL(IF(COUNTIF(Podcasts!$D$244:'Podcasts'!$D$299,ROW(INDIRECT("1:"&amp;K$2)))=0,ROW(INDIRECT("1:"&amp;K$2))),ROW($A7)),"")</f>
        <v>23</v>
      </c>
      <c r="AT50" s="117">
        <f t="array" aca="1" ref="AT50" ca="1">IFERROR(SMALL(IF(COUNTIF(Podcasts!$D$305:'Podcasts'!$D$473,ROW(INDIRECT("1:"&amp;K$2)))=0,ROW(INDIRECT("1:"&amp;K$2))),ROW($A7)),"")</f>
        <v>118</v>
      </c>
      <c r="AU50" s="117">
        <f t="array" aca="1" ref="AU50" ca="1">IFERROR(SMALL(IF(COUNTIF(Podcasts!$D$479:'Podcasts'!$D$488,ROW(INDIRECT("1:"&amp;K$2)))=0,ROW(INDIRECT("1:"&amp;K$2))),ROW($A7)),"")</f>
        <v>7</v>
      </c>
      <c r="AV50" s="117">
        <f t="array" aca="1" ref="AV50" ca="1">IFERROR(SMALL(IF(COUNTIF(Podcasts!$D$494:'Podcasts'!$D$518,ROW(INDIRECT("1:"&amp;K$2)))=0,ROW(INDIRECT("1:"&amp;K$2))),ROW($A7)),"")</f>
        <v>21</v>
      </c>
      <c r="AW50" s="117">
        <f t="array" aca="1" ref="AW50" ca="1">IFERROR(SMALL(IF(COUNTIF(Podcasts!$D$524:'Podcasts'!$D$532,ROW(INDIRECT("1:"&amp;K$2)))=0,ROW(INDIRECT("1:"&amp;K$2))),ROW($A7)),"")</f>
        <v>7</v>
      </c>
      <c r="AX50" s="117">
        <f t="array" aca="1" ref="AX50" ca="1">IFERROR(SMALL(IF(COUNTIF(Podcasts!$D$538:'Podcasts'!$D$909,ROW(INDIRECT("1:"&amp;K$2)))=0,ROW(INDIRECT("1:"&amp;K$2))),ROW($A7)),"")</f>
        <v>18</v>
      </c>
      <c r="AY50" s="117">
        <f t="array" aca="1" ref="AY50" ca="1">IFERROR(SMALL(IF(COUNTIF(Podcasts!$D$915:'Podcasts'!$D$981,ROW(INDIRECT("1:"&amp;K$2)))=0,ROW(INDIRECT("1:"&amp;K$2))),ROW($A7)),"")</f>
        <v>13</v>
      </c>
      <c r="AZ50" s="445"/>
      <c r="BA50" s="117">
        <f t="array" aca="1" ref="BA50" ca="1">IFERROR(SMALL(IF(COUNTIF(Podcasts!$D$1001:'Podcasts'!$D$1251,ROW(INDIRECT("1:"&amp;K$2)))=0,ROW(INDIRECT("1:"&amp;K$2))),ROW($A7)),"")</f>
        <v>19</v>
      </c>
      <c r="BB50" s="117">
        <f t="array" aca="1" ref="BB50" ca="1">IFERROR(SMALL(IF(COUNTIF(Podcasts!$D$1257:'Podcasts'!$D$1267,ROW(INDIRECT("1:"&amp;K$2)))=0,ROW(INDIRECT("1:"&amp;K$2))),ROW($A7)),"")</f>
        <v>7</v>
      </c>
      <c r="BC50" s="117">
        <f t="array" aca="1" ref="BC50" ca="1">IFERROR(SMALL(IF(COUNTIF(Podcasts!$D$1273:'Podcasts'!$D$1283,ROW(INDIRECT("1:"&amp;K$2)))=0,ROW(INDIRECT("1:"&amp;K$2))),ROW($A7)),"")</f>
        <v>9</v>
      </c>
      <c r="BD50" s="117">
        <f t="array" aca="1" ref="BD50" ca="1">IFERROR(SMALL(IF(COUNTIF(Podcasts!$D$1289:'Podcasts'!$D$1295,ROW(INDIRECT("1:"&amp;K$2)))=0,ROW(INDIRECT("1:"&amp;K$2))),ROW($A7)),"")</f>
        <v>8</v>
      </c>
      <c r="BE50" s="117">
        <f t="array" aca="1" ref="BE50" ca="1">IFERROR(SMALL(IF(COUNTIF(Podcasts!$D$1301:'Podcasts'!$D$1356,ROW(INDIRECT("1:"&amp;K$2)))=0,ROW(INDIRECT("1:"&amp;K$2))),ROW($A7)),"")</f>
        <v>54</v>
      </c>
      <c r="BF50" s="117">
        <f t="array" aca="1" ref="BF50" ca="1">IFERROR(SMALL(IF(COUNTIF(Podcasts!$D$1362:'Podcasts'!$D$1364,ROW(INDIRECT("1:"&amp;K$2)))=0,ROW(INDIRECT("1:"&amp;K$2))),ROW($A7)),"")</f>
        <v>10</v>
      </c>
      <c r="BG50" s="202">
        <f t="array" aca="1" ref="BG50" ca="1">IFERROR(SMALL(IF(COUNTIF(Podcasts!$D$1370:'Podcasts'!$D$1419,ROW(INDIRECT("1:"&amp;K$2)))=0,ROW(INDIRECT("1:"&amp;K$2))),ROW($A7)),"")</f>
        <v>8</v>
      </c>
      <c r="BH50" s="202">
        <f t="array" aca="1" ref="BH50" ca="1">IFERROR(SMALL(IF(COUNTIF(Podcasts!$D$1425:'Podcasts'!$D$1446,ROW(INDIRECT("1:"&amp;K$2)))=0,ROW(INDIRECT("1:"&amp;K$2))),ROW($A7)),"")</f>
        <v>8</v>
      </c>
      <c r="BI50" s="202">
        <f t="array" aca="1" ref="BI50" ca="1">IFERROR(SMALL(IF(COUNTIF(Podcasts!$D$1452:'Podcasts'!$D$1574,ROW(INDIRECT("1:"&amp;K$2)))=0,ROW(INDIRECT("1:"&amp;K$2))),ROW($A7)),"")</f>
        <v>21</v>
      </c>
      <c r="BJ50" s="202">
        <f t="array" aca="1" ref="BJ50" ca="1">IFERROR(SMALL(IF(COUNTIF(Podcasts!$D$1580:'Podcasts'!$D$1705,ROW(INDIRECT("1:"&amp;K$2)))=0,ROW(INDIRECT("1:"&amp;K$2))),ROW($A7)),"")</f>
        <v>15</v>
      </c>
      <c r="BK50" s="202">
        <f t="array" aca="1" ref="BK50" ca="1">IFERROR(SMALL(IF(COUNTIF(Podcasts!$D$1711:'Podcasts'!$D$1833,ROW(INDIRECT("1:"&amp;K$2)))=0,ROW(INDIRECT("1:"&amp;K$2))),ROW($A7)),"")</f>
        <v>47</v>
      </c>
      <c r="BL50" s="202">
        <f t="array" aca="1" ref="BL50" ca="1">IFERROR(SMALL(IF(COUNTIF(Podcasts!$D$1839:'Podcasts'!$D$1855,ROW(INDIRECT("1:"&amp;K$2)))=0,ROW(INDIRECT("1:"&amp;K$2))),ROW($A7)),"")</f>
        <v>7</v>
      </c>
      <c r="BM50" s="567">
        <f t="array" aca="1" ref="BM50" ca="1">IFERROR(SMALL(IF(COUNTIF(Podcasts!$D$1861:'Podcasts'!$D$1994,ROW(INDIRECT("1:"&amp;K$2)))=0,ROW(INDIRECT("1:"&amp;K$2))),ROW($A7)),"")</f>
        <v>7</v>
      </c>
      <c r="BN50" s="567">
        <f t="array" aca="1" ref="BN50" ca="1">IFERROR(SMALL(IF(COUNTIF(Podcasts!$D$2000:'Podcasts'!$D$2057,ROW(INDIRECT("1:"&amp;K$2)))=0,ROW(INDIRECT("1:"&amp;K$2))),ROW($A7)),"")</f>
        <v>62</v>
      </c>
      <c r="BO50" s="567">
        <f t="array" aca="1" ref="BO50" ca="1">IFERROR(SMALL(IF(COUNTIF(Podcasts!$D$2063:'Podcasts'!$D$2071,ROW(INDIRECT("1:"&amp;K$2)))=0,ROW(INDIRECT("1:"&amp;K$2))),ROW($A7)),"")</f>
        <v>7</v>
      </c>
      <c r="BP50" s="202">
        <f t="array" aca="1" ref="BP50" ca="1">IFERROR(SMALL(IF(COUNTIF(Podcasts!$D$2077:'Podcasts'!$D$2092,ROW(INDIRECT("1:"&amp;K$2)))=0,ROW(INDIRECT("1:"&amp;K$2))),ROW($A7)),"")</f>
        <v>9</v>
      </c>
      <c r="BQ50" s="741">
        <f t="array" aca="1" ref="BQ50" ca="1">IFERROR(SMALL(IF(COUNTIF(Podcasts!$D$2098:'Podcasts'!$D$2114,ROW(INDIRECT("1:"&amp;K$2)))=0,ROW(INDIRECT("1:"&amp;K$2))),ROW($A7)),"")</f>
        <v>7</v>
      </c>
      <c r="BR50" s="744">
        <f t="array" aca="1" ref="BR50" ca="1">IFERROR(SMALL(IF(COUNTIF(Podcasts!$D$2120:'Podcasts'!$D$2124,ROW(INDIRECT("1:"&amp;K$2)))=0,ROW(INDIRECT("1:"&amp;K$2))),ROW($A7)),"")</f>
        <v>8</v>
      </c>
      <c r="BS50" s="28"/>
    </row>
    <row r="51" spans="1:71" outlineLevel="1">
      <c r="A51" s="28"/>
      <c r="B51" s="161">
        <v>8</v>
      </c>
      <c r="C51" s="161">
        <f>COUNTIF(Podcasts!$D$10:'Podcasts'!$D$2535,B51)</f>
        <v>10</v>
      </c>
      <c r="D51" s="158" t="s">
        <v>1036</v>
      </c>
      <c r="E51" s="156" t="str">
        <f t="array" ref="E51">IF(F51="","",INDEX(Podcasts!$J$10:'Podcasts'!$J$2535,MATCH(F51&amp;$B51,Podcasts!$E$10:'Podcasts'!$E$2535&amp;Podcasts!$D$10:'Podcasts'!$D$2535,0)))</f>
        <v>???od</v>
      </c>
      <c r="F51" s="131">
        <f t="array" ref="F51">IF(COUNTIF(Podcasts!$D$10:'Podcasts'!$D$2535,$B51)&lt;COLUMN(A8),"",SMALL(IF(Podcasts!$D$10:'Podcasts'!$D$2535=$B51,Podcasts!$E$10:'Podcasts'!$E$2535),COLUMN(A8)))</f>
        <v>41077</v>
      </c>
      <c r="G51" s="132">
        <f t="array" ref="G51">IF(F51="","",INDEX(Podcasts!$F$10:'Podcasts'!$F$2535,MATCH(F51&amp;$B51,Podcasts!$E$10:'Podcasts'!$E$2535&amp;Podcasts!$D$10:'Podcasts'!$D$2535,0)))</f>
        <v>3.7986111111111116E-2</v>
      </c>
      <c r="H51" s="136" t="str">
        <f t="array" ref="H51">IF(I51="","",INDEX(Podcasts!$J$10:'Podcasts'!$J$2535,MATCH(I51&amp;$B51,Podcasts!$E$10:'Podcasts'!$E$2535&amp;Podcasts!$D$10:'Podcasts'!$D$2535,0)))</f>
        <v>Fürst</v>
      </c>
      <c r="I51" s="133">
        <f t="array" ref="I51">IF(COUNTIF(Podcasts!$D$10:'Podcasts'!$D$2535,$B51)&lt;COLUMN(B8),"",SMALL(IF(Podcasts!$D$10:'Podcasts'!$D$2535=$B51,Podcasts!$E$10:'Podcasts'!$E$2535),COLUMN(B8)))</f>
        <v>42106</v>
      </c>
      <c r="J51" s="132">
        <f t="array" ref="J51">IF(I51="","",INDEX(Podcasts!$F$10:'Podcasts'!$F$2535,MATCH(I51&amp;$B51,Podcasts!$E$10:'Podcasts'!$E$2535&amp;Podcasts!$D$10:'Podcasts'!$D$2535,0)))</f>
        <v>1.5509259259259257E-2</v>
      </c>
      <c r="K51" s="136" t="str">
        <f t="array" ref="K51">IF(L51="","",INDEX(Podcasts!$J$10:'Podcasts'!$J$2535,MATCH(L51&amp;$B51,Podcasts!$E$10:'Podcasts'!$E$2535&amp;Podcasts!$D$10:'Podcasts'!$D$2535,0)))</f>
        <v>Talker</v>
      </c>
      <c r="L51" s="133">
        <f t="array" ref="L51">IF(COUNTIF(Podcasts!$D$10:'Podcasts'!$D$2535,$B51)&lt;COLUMN(C8),"",SMALL(IF(Podcasts!$D$10:'Podcasts'!$D$2535=$B51,Podcasts!$E$10:'Podcasts'!$E$2535),COLUMN(C8)))</f>
        <v>42419</v>
      </c>
      <c r="M51" s="132">
        <f t="array" ref="M51">IF(L51="","",INDEX(Podcasts!$F$10:'Podcasts'!$F$2535,MATCH(L51&amp;$B51,Podcasts!$E$10:'Podcasts'!$E$2535&amp;Podcasts!$D$10:'Podcasts'!$D$2535,0)))</f>
        <v>1.5405092592592593E-2</v>
      </c>
      <c r="N51" s="136" t="str">
        <f t="array" ref="N51">IF(O51="","",INDEX(Podcasts!$J$10:'Podcasts'!$J$2535,MATCH(O51&amp;$B51,Podcasts!$E$10:'Podcasts'!$E$2535&amp;Podcasts!$D$10:'Podcasts'!$D$2535,0)))</f>
        <v>SSP</v>
      </c>
      <c r="O51" s="133">
        <f t="array" ref="O51">IF(COUNTIF(Podcasts!$D$10:'Podcasts'!$D$2535,$B51)&lt;COLUMN(D8),"",SMALL(IF(Podcasts!$D$10:'Podcasts'!$D$2535=$B51,Podcasts!$E$10:'Podcasts'!$E$2535),COLUMN(D8)))</f>
        <v>42964</v>
      </c>
      <c r="P51" s="132">
        <f t="array" ref="P51">IF(O51="","",INDEX(Podcasts!$F$10:'Podcasts'!$F$2535,MATCH(O51&amp;$B51,Podcasts!$E$10:'Podcasts'!$E$2535&amp;Podcasts!$D$10:'Podcasts'!$D$2535,0)))</f>
        <v>8.7083333333333332E-2</v>
      </c>
      <c r="Q51" s="136" t="str">
        <f t="array" ref="Q51">IF(R51="","",INDEX(Podcasts!$J$10:'Podcasts'!$J$2535,MATCH(R51&amp;$B51,Podcasts!$E$10:'Podcasts'!$E$2535&amp;Podcasts!$D$10:'Podcasts'!$D$2535,0)))</f>
        <v>Schrott</v>
      </c>
      <c r="R51" s="133">
        <f t="array" ref="R51">IF(COUNTIF(Podcasts!$D$10:'Podcasts'!$D$2535,$B51)&lt;COLUMN(E8),"",SMALL(IF(Podcasts!$D$10:'Podcasts'!$D$2535=$B51,Podcasts!$E$10:'Podcasts'!$E$2535),COLUMN(E8)))</f>
        <v>43913</v>
      </c>
      <c r="S51" s="132">
        <f t="array" ref="S51">IF(R51="","",INDEX(Podcasts!$F$10:'Podcasts'!$F$2535,MATCH(R51&amp;$B51,Podcasts!$E$10:'Podcasts'!$E$2535&amp;Podcasts!$D$10:'Podcasts'!$D$2535,0)))</f>
        <v>6.7106481481481475E-2</v>
      </c>
      <c r="T51" s="136" t="str">
        <f t="array" ref="T51">IF(U51="","",INDEX(Podcasts!$J$10:'Podcasts'!$J$2535,MATCH(U51&amp;$B51,Podcasts!$E$10:'Podcasts'!$E$2535&amp;Podcasts!$D$10:'Podcasts'!$D$2535,0)))</f>
        <v>Abfahrt</v>
      </c>
      <c r="U51" s="133">
        <f t="array" ref="U51">IF(COUNTIF(Podcasts!$D$10:'Podcasts'!$D$2535,$B51)&lt;COLUMN(F8),"",SMALL(IF(Podcasts!$D$10:'Podcasts'!$D$2535=$B51,Podcasts!$E$10:'Podcasts'!$E$2535),COLUMN(F8)))</f>
        <v>44183</v>
      </c>
      <c r="V51" s="132">
        <f t="array" ref="V51">IF(U51="","",INDEX(Podcasts!$F$10:'Podcasts'!$F$2535,MATCH(U51&amp;$B51,Podcasts!$E$10:'Podcasts'!$E$2535&amp;Podcasts!$D$10:'Podcasts'!$D$2535,0)))</f>
        <v>5.5023148148148147E-2</v>
      </c>
      <c r="W51" s="136" t="str">
        <f t="array" ref="W51">IF(X51="","",INDEX(Podcasts!$J$10:'Podcasts'!$J$2535,MATCH(X51&amp;$B51,Podcasts!$E$10:'Podcasts'!$E$2535&amp;Podcasts!$D$10:'Podcasts'!$D$2535,0)))</f>
        <v>Kaffee</v>
      </c>
      <c r="X51" s="133">
        <f t="array" ref="X51">IF(COUNTIF(Podcasts!$D$10:'Podcasts'!$D$2535,$B51)&lt;COLUMN(G8),"",SMALL(IF(Podcasts!$D$10:'Podcasts'!$D$2535=$B51,Podcasts!$E$10:'Podcasts'!$E$2535),COLUMN(G8)))</f>
        <v>44253</v>
      </c>
      <c r="Y51" s="132">
        <f t="array" ref="Y51">IF(X51="","",INDEX(Podcasts!$F$10:'Podcasts'!$F$2535,MATCH(X51&amp;$B51,Podcasts!$E$10:'Podcasts'!$E$2535&amp;Podcasts!$D$10:'Podcasts'!$D$2535,0)))</f>
        <v>2.3715277777777776E-2</v>
      </c>
      <c r="Z51" s="136" t="str">
        <f t="array" ref="Z51">IF(AA51="","",INDEX(Podcasts!$J$10:'Podcasts'!$J$2535,MATCH(AA51&amp;$B51,Podcasts!$E$10:'Podcasts'!$E$2535&amp;Podcasts!$D$10:'Podcasts'!$D$2535,0)))</f>
        <v>Verstärker</v>
      </c>
      <c r="AA51" s="134">
        <f t="array" ref="AA51">IF(COUNTIF(Podcasts!$D$10:'Podcasts'!$D$2535,$B51)&lt;COLUMN(H8),"",SMALL(IF(Podcasts!$D$10:'Podcasts'!$D$2535=$B51,Podcasts!$E$10:'Podcasts'!$E$2535),COLUMN(H8)))</f>
        <v>44472</v>
      </c>
      <c r="AB51" s="404">
        <f t="array" ref="AB51">IF(AA51="","",INDEX(Podcasts!$F$10:'Podcasts'!$F$2535,MATCH(AA51&amp;$B51,Podcasts!$E$10:'Podcasts'!$E$2535&amp;Podcasts!$D$10:'Podcasts'!$D$2535,0)))</f>
        <v>2.8460648148148148E-2</v>
      </c>
      <c r="AC51" s="406" t="str">
        <f t="array" ref="AC51">IF(AD51="","",INDEX(Podcasts!$J$10:'Podcasts'!$J$2535,MATCH(AD51&amp;$B51,Podcasts!$E$10:'Podcasts'!$E$2535&amp;Podcasts!$D$10:'Podcasts'!$D$2535,0)))</f>
        <v>Bobcast</v>
      </c>
      <c r="AD51" s="400">
        <f t="array" ref="AD51">IF(COUNTIF(Podcasts!$D$10:'Podcasts'!$D$2535,$B51)&lt;COLUMN(I8),"",SMALL(IF(Podcasts!$D$10:'Podcasts'!$D$2535=$B51,Podcasts!$E$10:'Podcasts'!$E$2535),COLUMN(I8)))</f>
        <v>44704.000902777778</v>
      </c>
      <c r="AE51" s="401">
        <f t="array" ref="AE51">IF(AD51="","",INDEX(Podcasts!$F$10:'Podcasts'!$F$2535,MATCH(AD51&amp;$B51,Podcasts!$E$10:'Podcasts'!$E$2535&amp;Podcasts!$D$10:'Podcasts'!$D$2535,0)))</f>
        <v>2.9594907407407407E-2</v>
      </c>
      <c r="AF51" s="406" t="str">
        <f t="array" ref="AF51">IF(AG51="","",INDEX(Podcasts!$J$10:'Podcasts'!$J$2535,MATCH(AG51&amp;$B51,Podcasts!$E$10:'Podcasts'!$E$2535&amp;Podcasts!$D$10:'Podcasts'!$D$2535,0)))</f>
        <v>RBW</v>
      </c>
      <c r="AG51" s="400">
        <f t="array" ref="AG51">IF(COUNTIF(Podcasts!$D$10:'Podcasts'!$D$2535,$B51)&lt;COLUMN(J8),"",SMALL(IF(Podcasts!$D$10:'Podcasts'!$D$2535=$B51,Podcasts!$E$10:'Podcasts'!$E$2535),COLUMN(J8)))</f>
        <v>44868</v>
      </c>
      <c r="AH51" s="401">
        <f t="array" ref="AH51">IF(AG51="","",INDEX(Podcasts!$F$10:'Podcasts'!$F$2535,MATCH(AG51&amp;$B51,Podcasts!$E$10:'Podcasts'!$E$2535&amp;Podcasts!$D$10:'Podcasts'!$D$2535,0)))</f>
        <v>4.6238425925925926E-2</v>
      </c>
      <c r="AI51" s="406" t="str">
        <f t="array" ref="AI51">IF(AJ51="","",INDEX(Podcasts!$J$10:'Podcasts'!$J$2535,MATCH(AJ51&amp;$B51,Podcasts!$E$10:'Podcasts'!$E$2535&amp;Podcasts!$D$10:'Podcasts'!$D$2535,0)))</f>
        <v/>
      </c>
      <c r="AJ51" s="400" t="str">
        <f t="array" ref="AJ51">IF(COUNTIF(Podcasts!$D$10:'Podcasts'!$D$2535,$B51)&lt;COLUMN(K8),"",SMALL(IF(Podcasts!$D$10:'Podcasts'!$D$2535=$B51,Podcasts!$E$10:'Podcasts'!$E$2535),COLUMN(K8)))</f>
        <v/>
      </c>
      <c r="AK51" s="401" t="str">
        <f t="array" ref="AK51">IF(AJ51="","",INDEX(Podcasts!$F$10:'Podcasts'!$F$2535,MATCH(AJ51&amp;$B51,Podcasts!$E$10:'Podcasts'!$E$2535&amp;Podcasts!$D$10:'Podcasts'!$D$2535,0)))</f>
        <v/>
      </c>
      <c r="AL51" s="406" t="str">
        <f t="array" ref="AL51">IF(AM51="","",INDEX(Podcasts!$J$10:'Podcasts'!$J$2535,MATCH(AM51&amp;$B51,Podcasts!$E$10:'Podcasts'!$E$2535&amp;Podcasts!$D$10:'Podcasts'!$D$2535,0)))</f>
        <v/>
      </c>
      <c r="AM51" s="400" t="str">
        <f t="array" ref="AM51">IF(COUNTIF(Podcasts!$D$10:'Podcasts'!$D$2535,$B51)&lt;COLUMN(L8),"",SMALL(IF(Podcasts!$D$10:'Podcasts'!$D$2535=$B51,Podcasts!$E$10:'Podcasts'!$E$2535),COLUMN(L8)))</f>
        <v/>
      </c>
      <c r="AN51" s="401" t="str">
        <f t="array" ref="AN51">IF(AM51="","",INDEX(Podcasts!$F$10:'Podcasts'!$F$2535,MATCH(AM51&amp;$B51,Podcasts!$E$10:'Podcasts'!$E$2535&amp;Podcasts!$D$10:'Podcasts'!$D$2535,0)))</f>
        <v/>
      </c>
      <c r="AO51" s="402"/>
      <c r="AP51" s="119" t="str">
        <f t="array" aca="1" ref="AP51" ca="1">IFERROR(SMALL(IF(COUNTIF(Podcasts!$D$1:'Podcasts'!$D$2565,ROW(INDIRECT("1:"&amp;K$2)))=0,ROW(INDIRECT("1:"&amp;K$2))),ROW($A8)),"")</f>
        <v/>
      </c>
      <c r="AQ51" s="117">
        <f t="array" aca="1" ref="AQ51" ca="1">IFERROR(SMALL(IF(COUNTIF(Podcasts!$D$10:'Podcasts'!$D$107,ROW(INDIRECT("1:"&amp;K$2)))=0,ROW(INDIRECT("1:"&amp;K$2))),ROW($A8)),"")</f>
        <v>16</v>
      </c>
      <c r="AR51" s="117">
        <f t="array" aca="1" ref="AR51" ca="1">IFERROR(SMALL(IF(COUNTIF(Podcasts!$D$113:'Podcasts'!$D$238,ROW(INDIRECT("1:"&amp;K$2)))=0,ROW(INDIRECT("1:"&amp;K$2))),ROW($A8)),"")</f>
        <v>8</v>
      </c>
      <c r="AS51" s="117">
        <f t="array" aca="1" ref="AS51" ca="1">IFERROR(SMALL(IF(COUNTIF(Podcasts!$D$244:'Podcasts'!$D$299,ROW(INDIRECT("1:"&amp;K$2)))=0,ROW(INDIRECT("1:"&amp;K$2))),ROW($A8)),"")</f>
        <v>24</v>
      </c>
      <c r="AT51" s="117">
        <f t="array" aca="1" ref="AT51" ca="1">IFERROR(SMALL(IF(COUNTIF(Podcasts!$D$305:'Podcasts'!$D$473,ROW(INDIRECT("1:"&amp;K$2)))=0,ROW(INDIRECT("1:"&amp;K$2))),ROW($A8)),"")</f>
        <v>120</v>
      </c>
      <c r="AU51" s="117">
        <f t="array" aca="1" ref="AU51" ca="1">IFERROR(SMALL(IF(COUNTIF(Podcasts!$D$479:'Podcasts'!$D$488,ROW(INDIRECT("1:"&amp;K$2)))=0,ROW(INDIRECT("1:"&amp;K$2))),ROW($A8)),"")</f>
        <v>8</v>
      </c>
      <c r="AV51" s="117">
        <f t="array" aca="1" ref="AV51" ca="1">IFERROR(SMALL(IF(COUNTIF(Podcasts!$D$494:'Podcasts'!$D$518,ROW(INDIRECT("1:"&amp;K$2)))=0,ROW(INDIRECT("1:"&amp;K$2))),ROW($A8)),"")</f>
        <v>22</v>
      </c>
      <c r="AW51" s="117">
        <f t="array" aca="1" ref="AW51" ca="1">IFERROR(SMALL(IF(COUNTIF(Podcasts!$D$524:'Podcasts'!$D$532,ROW(INDIRECT("1:"&amp;K$2)))=0,ROW(INDIRECT("1:"&amp;K$2))),ROW($A8)),"")</f>
        <v>8</v>
      </c>
      <c r="AX51" s="117">
        <f t="array" aca="1" ref="AX51" ca="1">IFERROR(SMALL(IF(COUNTIF(Podcasts!$D$538:'Podcasts'!$D$909,ROW(INDIRECT("1:"&amp;K$2)))=0,ROW(INDIRECT("1:"&amp;K$2))),ROW($A8)),"")</f>
        <v>19</v>
      </c>
      <c r="AY51" s="117">
        <f t="array" aca="1" ref="AY51" ca="1">IFERROR(SMALL(IF(COUNTIF(Podcasts!$D$915:'Podcasts'!$D$981,ROW(INDIRECT("1:"&amp;K$2)))=0,ROW(INDIRECT("1:"&amp;K$2))),ROW($A8)),"")</f>
        <v>15</v>
      </c>
      <c r="AZ51" s="445"/>
      <c r="BA51" s="117">
        <f t="array" aca="1" ref="BA51" ca="1">IFERROR(SMALL(IF(COUNTIF(Podcasts!$D$1001:'Podcasts'!$D$1251,ROW(INDIRECT("1:"&amp;K$2)))=0,ROW(INDIRECT("1:"&amp;K$2))),ROW($A8)),"")</f>
        <v>21</v>
      </c>
      <c r="BB51" s="117">
        <f t="array" aca="1" ref="BB51" ca="1">IFERROR(SMALL(IF(COUNTIF(Podcasts!$D$1257:'Podcasts'!$D$1267,ROW(INDIRECT("1:"&amp;K$2)))=0,ROW(INDIRECT("1:"&amp;K$2))),ROW($A8)),"")</f>
        <v>8</v>
      </c>
      <c r="BC51" s="117">
        <f t="array" aca="1" ref="BC51" ca="1">IFERROR(SMALL(IF(COUNTIF(Podcasts!$D$1273:'Podcasts'!$D$1283,ROW(INDIRECT("1:"&amp;K$2)))=0,ROW(INDIRECT("1:"&amp;K$2))),ROW($A8)),"")</f>
        <v>10</v>
      </c>
      <c r="BD51" s="117">
        <f t="array" aca="1" ref="BD51" ca="1">IFERROR(SMALL(IF(COUNTIF(Podcasts!$D$1289:'Podcasts'!$D$1295,ROW(INDIRECT("1:"&amp;K$2)))=0,ROW(INDIRECT("1:"&amp;K$2))),ROW($A8)),"")</f>
        <v>9</v>
      </c>
      <c r="BE51" s="117">
        <f t="array" aca="1" ref="BE51" ca="1">IFERROR(SMALL(IF(COUNTIF(Podcasts!$D$1301:'Podcasts'!$D$1356,ROW(INDIRECT("1:"&amp;K$2)))=0,ROW(INDIRECT("1:"&amp;K$2))),ROW($A8)),"")</f>
        <v>55</v>
      </c>
      <c r="BF51" s="117">
        <f t="array" aca="1" ref="BF51" ca="1">IFERROR(SMALL(IF(COUNTIF(Podcasts!$D$1362:'Podcasts'!$D$1364,ROW(INDIRECT("1:"&amp;K$2)))=0,ROW(INDIRECT("1:"&amp;K$2))),ROW($A8)),"")</f>
        <v>11</v>
      </c>
      <c r="BG51" s="202">
        <f t="array" aca="1" ref="BG51" ca="1">IFERROR(SMALL(IF(COUNTIF(Podcasts!$D$1370:'Podcasts'!$D$1419,ROW(INDIRECT("1:"&amp;K$2)))=0,ROW(INDIRECT("1:"&amp;K$2))),ROW($A8)),"")</f>
        <v>9</v>
      </c>
      <c r="BH51" s="202">
        <f t="array" aca="1" ref="BH51" ca="1">IFERROR(SMALL(IF(COUNTIF(Podcasts!$D$1425:'Podcasts'!$D$1446,ROW(INDIRECT("1:"&amp;K$2)))=0,ROW(INDIRECT("1:"&amp;K$2))),ROW($A8)),"")</f>
        <v>9</v>
      </c>
      <c r="BI51" s="202">
        <f t="array" aca="1" ref="BI51" ca="1">IFERROR(SMALL(IF(COUNTIF(Podcasts!$D$1452:'Podcasts'!$D$1574,ROW(INDIRECT("1:"&amp;K$2)))=0,ROW(INDIRECT("1:"&amp;K$2))),ROW($A8)),"")</f>
        <v>24</v>
      </c>
      <c r="BJ51" s="202">
        <f t="array" aca="1" ref="BJ51" ca="1">IFERROR(SMALL(IF(COUNTIF(Podcasts!$D$1580:'Podcasts'!$D$1705,ROW(INDIRECT("1:"&amp;K$2)))=0,ROW(INDIRECT("1:"&amp;K$2))),ROW($A8)),"")</f>
        <v>16</v>
      </c>
      <c r="BK51" s="202">
        <f t="array" aca="1" ref="BK51" ca="1">IFERROR(SMALL(IF(COUNTIF(Podcasts!$D$1711:'Podcasts'!$D$1833,ROW(INDIRECT("1:"&amp;K$2)))=0,ROW(INDIRECT("1:"&amp;K$2))),ROW($A8)),"")</f>
        <v>48</v>
      </c>
      <c r="BL51" s="202">
        <f t="array" aca="1" ref="BL51" ca="1">IFERROR(SMALL(IF(COUNTIF(Podcasts!$D$1839:'Podcasts'!$D$1855,ROW(INDIRECT("1:"&amp;K$2)))=0,ROW(INDIRECT("1:"&amp;K$2))),ROW($A8)),"")</f>
        <v>8</v>
      </c>
      <c r="BM51" s="567">
        <f t="array" aca="1" ref="BM51" ca="1">IFERROR(SMALL(IF(COUNTIF(Podcasts!$D$1861:'Podcasts'!$D$1994,ROW(INDIRECT("1:"&amp;K$2)))=0,ROW(INDIRECT("1:"&amp;K$2))),ROW($A8)),"")</f>
        <v>8</v>
      </c>
      <c r="BN51" s="567">
        <f t="array" aca="1" ref="BN51" ca="1">IFERROR(SMALL(IF(COUNTIF(Podcasts!$D$2000:'Podcasts'!$D$2057,ROW(INDIRECT("1:"&amp;K$2)))=0,ROW(INDIRECT("1:"&amp;K$2))),ROW($A8)),"")</f>
        <v>63</v>
      </c>
      <c r="BO51" s="567">
        <f t="array" aca="1" ref="BO51" ca="1">IFERROR(SMALL(IF(COUNTIF(Podcasts!$D$2063:'Podcasts'!$D$2071,ROW(INDIRECT("1:"&amp;K$2)))=0,ROW(INDIRECT("1:"&amp;K$2))),ROW($A8)),"")</f>
        <v>8</v>
      </c>
      <c r="BP51" s="202">
        <f t="array" aca="1" ref="BP51" ca="1">IFERROR(SMALL(IF(COUNTIF(Podcasts!$D$2077:'Podcasts'!$D$2092,ROW(INDIRECT("1:"&amp;K$2)))=0,ROW(INDIRECT("1:"&amp;K$2))),ROW($A8)),"")</f>
        <v>10</v>
      </c>
      <c r="BQ51" s="741">
        <f t="array" aca="1" ref="BQ51" ca="1">IFERROR(SMALL(IF(COUNTIF(Podcasts!$D$2098:'Podcasts'!$D$2114,ROW(INDIRECT("1:"&amp;K$2)))=0,ROW(INDIRECT("1:"&amp;K$2))),ROW($A8)),"")</f>
        <v>8</v>
      </c>
      <c r="BR51" s="744">
        <f t="array" aca="1" ref="BR51" ca="1">IFERROR(SMALL(IF(COUNTIF(Podcasts!$D$2120:'Podcasts'!$D$2124,ROW(INDIRECT("1:"&amp;K$2)))=0,ROW(INDIRECT("1:"&amp;K$2))),ROW($A8)),"")</f>
        <v>9</v>
      </c>
      <c r="BS51" s="28"/>
    </row>
    <row r="52" spans="1:71" outlineLevel="1">
      <c r="A52" s="28"/>
      <c r="B52" s="161">
        <v>9</v>
      </c>
      <c r="C52" s="161">
        <f>COUNTIF(Podcasts!$D$10:'Podcasts'!$D$2535,B52)</f>
        <v>9</v>
      </c>
      <c r="D52" s="158" t="s">
        <v>1037</v>
      </c>
      <c r="E52" s="156" t="str">
        <f t="array" ref="E52">IF(F52="","",INDEX(Podcasts!$J$10:'Podcasts'!$J$2535,MATCH(F52&amp;$B52,Podcasts!$E$10:'Podcasts'!$E$2535&amp;Podcasts!$D$10:'Podcasts'!$D$2535,0)))</f>
        <v>Fürst</v>
      </c>
      <c r="F52" s="131">
        <f t="array" ref="F52">IF(COUNTIF(Podcasts!$D$10:'Podcasts'!$D$2535,$B52)&lt;COLUMN(A9),"",SMALL(IF(Podcasts!$D$10:'Podcasts'!$D$2535=$B52,Podcasts!$E$10:'Podcasts'!$E$2535),COLUMN(A9)))</f>
        <v>41803</v>
      </c>
      <c r="G52" s="132">
        <f t="array" ref="G52">IF(F52="","",INDEX(Podcasts!$F$10:'Podcasts'!$F$2535,MATCH(F52&amp;$B52,Podcasts!$E$10:'Podcasts'!$E$2535&amp;Podcasts!$D$10:'Podcasts'!$D$2535,0)))</f>
        <v>3.5879629629629629E-3</v>
      </c>
      <c r="H52" s="136" t="str">
        <f t="array" ref="H52">IF(I52="","",INDEX(Podcasts!$J$10:'Podcasts'!$J$2535,MATCH(I52&amp;$B52,Podcasts!$E$10:'Podcasts'!$E$2535&amp;Podcasts!$D$10:'Podcasts'!$D$2535,0)))</f>
        <v>Talker</v>
      </c>
      <c r="I52" s="133">
        <f t="array" ref="I52">IF(COUNTIF(Podcasts!$D$10:'Podcasts'!$D$2535,$B52)&lt;COLUMN(B9),"",SMALL(IF(Podcasts!$D$10:'Podcasts'!$D$2535=$B52,Podcasts!$E$10:'Podcasts'!$E$2535),COLUMN(B9)))</f>
        <v>42618</v>
      </c>
      <c r="J52" s="132">
        <f t="array" ref="J52">IF(I52="","",INDEX(Podcasts!$F$10:'Podcasts'!$F$2535,MATCH(I52&amp;$B52,Podcasts!$E$10:'Podcasts'!$E$2535&amp;Podcasts!$D$10:'Podcasts'!$D$2535,0)))</f>
        <v>1.6585648148148148E-2</v>
      </c>
      <c r="K52" s="136" t="str">
        <f t="array" ref="K52">IF(L52="","",INDEX(Podcasts!$J$10:'Podcasts'!$J$2535,MATCH(L52&amp;$B52,Podcasts!$E$10:'Podcasts'!$E$2535&amp;Podcasts!$D$10:'Podcasts'!$D$2535,0)))</f>
        <v>R&amp;A</v>
      </c>
      <c r="L52" s="133">
        <f t="array" ref="L52">IF(COUNTIF(Podcasts!$D$10:'Podcasts'!$D$2535,$B52)&lt;COLUMN(C9),"",SMALL(IF(Podcasts!$D$10:'Podcasts'!$D$2535=$B52,Podcasts!$E$10:'Podcasts'!$E$2535),COLUMN(C9)))</f>
        <v>43861.291666666664</v>
      </c>
      <c r="M52" s="132">
        <f t="array" ref="M52">IF(L52="","",INDEX(Podcasts!$F$10:'Podcasts'!$F$2535,MATCH(L52&amp;$B52,Podcasts!$E$10:'Podcasts'!$E$2535&amp;Podcasts!$D$10:'Podcasts'!$D$2535,0)))</f>
        <v>7.3460648148148136E-2</v>
      </c>
      <c r="N52" s="136" t="str">
        <f t="array" ref="N52">IF(O52="","",INDEX(Podcasts!$J$10:'Podcasts'!$J$2535,MATCH(O52&amp;$B52,Podcasts!$E$10:'Podcasts'!$E$2535&amp;Podcasts!$D$10:'Podcasts'!$D$2535,0)))</f>
        <v>Abfahrt</v>
      </c>
      <c r="O52" s="133">
        <f t="array" ref="O52">IF(COUNTIF(Podcasts!$D$10:'Podcasts'!$D$2535,$B52)&lt;COLUMN(D9),"",SMALL(IF(Podcasts!$D$10:'Podcasts'!$D$2535=$B52,Podcasts!$E$10:'Podcasts'!$E$2535),COLUMN(D9)))</f>
        <v>44211</v>
      </c>
      <c r="P52" s="132">
        <f t="array" ref="P52">IF(O52="","",INDEX(Podcasts!$F$10:'Podcasts'!$F$2535,MATCH(O52&amp;$B52,Podcasts!$E$10:'Podcasts'!$E$2535&amp;Podcasts!$D$10:'Podcasts'!$D$2535,0)))</f>
        <v>5.6527777777777781E-2</v>
      </c>
      <c r="Q52" s="136" t="str">
        <f t="array" ref="Q52">IF(R52="","",INDEX(Podcasts!$J$10:'Podcasts'!$J$2535,MATCH(R52&amp;$B52,Podcasts!$E$10:'Podcasts'!$E$2535&amp;Podcasts!$D$10:'Podcasts'!$D$2535,0)))</f>
        <v>Verstärker</v>
      </c>
      <c r="R52" s="133">
        <f t="array" ref="R52">IF(COUNTIF(Podcasts!$D$10:'Podcasts'!$D$2535,$B52)&lt;COLUMN(E9),"",SMALL(IF(Podcasts!$D$10:'Podcasts'!$D$2535=$B52,Podcasts!$E$10:'Podcasts'!$E$2535),COLUMN(E9)))</f>
        <v>44503</v>
      </c>
      <c r="S52" s="132">
        <f t="array" ref="S52">IF(R52="","",INDEX(Podcasts!$F$10:'Podcasts'!$F$2535,MATCH(R52&amp;$B52,Podcasts!$E$10:'Podcasts'!$E$2535&amp;Podcasts!$D$10:'Podcasts'!$D$2535,0)))</f>
        <v>2.6724537037037036E-2</v>
      </c>
      <c r="T52" s="136" t="str">
        <f t="array" ref="T52">IF(U52="","",INDEX(Podcasts!$J$10:'Podcasts'!$J$2535,MATCH(U52&amp;$B52,Podcasts!$E$10:'Podcasts'!$E$2535&amp;Podcasts!$D$10:'Podcasts'!$D$2535,0)))</f>
        <v>Schrott</v>
      </c>
      <c r="U52" s="133">
        <f t="array" ref="U52">IF(COUNTIF(Podcasts!$D$10:'Podcasts'!$D$2535,$B52)&lt;COLUMN(F9),"",SMALL(IF(Podcasts!$D$10:'Podcasts'!$D$2535=$B52,Podcasts!$E$10:'Podcasts'!$E$2535),COLUMN(F9)))</f>
        <v>44507</v>
      </c>
      <c r="V52" s="132">
        <f t="array" ref="V52">IF(U52="","",INDEX(Podcasts!$F$10:'Podcasts'!$F$2535,MATCH(U52&amp;$B52,Podcasts!$E$10:'Podcasts'!$E$2535&amp;Podcasts!$D$10:'Podcasts'!$D$2535,0)))</f>
        <v>6.293981481481481E-2</v>
      </c>
      <c r="W52" s="136" t="str">
        <f t="array" ref="W52">IF(X52="","",INDEX(Podcasts!$J$10:'Podcasts'!$J$2535,MATCH(X52&amp;$B52,Podcasts!$E$10:'Podcasts'!$E$2535&amp;Podcasts!$D$10:'Podcasts'!$D$2535,0)))</f>
        <v>Bobcast</v>
      </c>
      <c r="X52" s="133">
        <f t="array" ref="X52">IF(COUNTIF(Podcasts!$D$10:'Podcasts'!$D$2535,$B52)&lt;COLUMN(G9),"",SMALL(IF(Podcasts!$D$10:'Podcasts'!$D$2535=$B52,Podcasts!$E$10:'Podcasts'!$E$2535),COLUMN(G9)))</f>
        <v>44718.000925925924</v>
      </c>
      <c r="Y52" s="132">
        <f t="array" ref="Y52">IF(X52="","",INDEX(Podcasts!$F$10:'Podcasts'!$F$2535,MATCH(X52&amp;$B52,Podcasts!$E$10:'Podcasts'!$E$2535&amp;Podcasts!$D$10:'Podcasts'!$D$2535,0)))</f>
        <v>3.2951388888888891E-2</v>
      </c>
      <c r="Z52" s="136" t="str">
        <f t="array" ref="Z52">IF(AA52="","",INDEX(Podcasts!$J$10:'Podcasts'!$J$2535,MATCH(AA52&amp;$B52,Podcasts!$E$10:'Podcasts'!$E$2535&amp;Podcasts!$D$10:'Podcasts'!$D$2535,0)))</f>
        <v>RBW</v>
      </c>
      <c r="AA52" s="134">
        <f t="array" ref="AA52">IF(COUNTIF(Podcasts!$D$10:'Podcasts'!$D$2535,$B52)&lt;COLUMN(H9),"",SMALL(IF(Podcasts!$D$10:'Podcasts'!$D$2535=$B52,Podcasts!$E$10:'Podcasts'!$E$2535),COLUMN(H9)))</f>
        <v>44875</v>
      </c>
      <c r="AB52" s="404">
        <f t="array" ref="AB52">IF(AA52="","",INDEX(Podcasts!$F$10:'Podcasts'!$F$2535,MATCH(AA52&amp;$B52,Podcasts!$E$10:'Podcasts'!$E$2535&amp;Podcasts!$D$10:'Podcasts'!$D$2535,0)))</f>
        <v>4.6030092592592588E-2</v>
      </c>
      <c r="AC52" s="406" t="str">
        <f t="array" ref="AC52">IF(AD52="","",INDEX(Podcasts!$J$10:'Podcasts'!$J$2535,MATCH(AD52&amp;$B52,Podcasts!$E$10:'Podcasts'!$E$2535&amp;Podcasts!$D$10:'Podcasts'!$D$2535,0)))</f>
        <v>Kaffee</v>
      </c>
      <c r="AD52" s="400">
        <f t="array" ref="AD52">IF(COUNTIF(Podcasts!$D$10:'Podcasts'!$D$2535,$B52)&lt;COLUMN(I9),"",SMALL(IF(Podcasts!$D$10:'Podcasts'!$D$2535=$B52,Podcasts!$E$10:'Podcasts'!$E$2535),COLUMN(I9)))</f>
        <v>45177</v>
      </c>
      <c r="AE52" s="401">
        <f t="array" ref="AE52">IF(AD52="","",INDEX(Podcasts!$F$10:'Podcasts'!$F$2535,MATCH(AD52&amp;$B52,Podcasts!$E$10:'Podcasts'!$E$2535&amp;Podcasts!$D$10:'Podcasts'!$D$2535,0)))</f>
        <v>3.9004629629629632E-2</v>
      </c>
      <c r="AF52" s="406" t="str">
        <f t="array" ref="AF52">IF(AG52="","",INDEX(Podcasts!$J$10:'Podcasts'!$J$2535,MATCH(AG52&amp;$B52,Podcasts!$E$10:'Podcasts'!$E$2535&amp;Podcasts!$D$10:'Podcasts'!$D$2535,0)))</f>
        <v/>
      </c>
      <c r="AG52" s="400" t="str">
        <f t="array" ref="AG52">IF(COUNTIF(Podcasts!$D$10:'Podcasts'!$D$2535,$B52)&lt;COLUMN(J9),"",SMALL(IF(Podcasts!$D$10:'Podcasts'!$D$2535=$B52,Podcasts!$E$10:'Podcasts'!$E$2535),COLUMN(J9)))</f>
        <v/>
      </c>
      <c r="AH52" s="401" t="str">
        <f t="array" ref="AH52">IF(AG52="","",INDEX(Podcasts!$F$10:'Podcasts'!$F$2535,MATCH(AG52&amp;$B52,Podcasts!$E$10:'Podcasts'!$E$2535&amp;Podcasts!$D$10:'Podcasts'!$D$2535,0)))</f>
        <v/>
      </c>
      <c r="AI52" s="406" t="str">
        <f t="array" ref="AI52">IF(AJ52="","",INDEX(Podcasts!$J$10:'Podcasts'!$J$2535,MATCH(AJ52&amp;$B52,Podcasts!$E$10:'Podcasts'!$E$2535&amp;Podcasts!$D$10:'Podcasts'!$D$2535,0)))</f>
        <v/>
      </c>
      <c r="AJ52" s="400" t="str">
        <f t="array" ref="AJ52">IF(COUNTIF(Podcasts!$D$10:'Podcasts'!$D$2535,$B52)&lt;COLUMN(K9),"",SMALL(IF(Podcasts!$D$10:'Podcasts'!$D$2535=$B52,Podcasts!$E$10:'Podcasts'!$E$2535),COLUMN(K9)))</f>
        <v/>
      </c>
      <c r="AK52" s="401" t="str">
        <f t="array" ref="AK52">IF(AJ52="","",INDEX(Podcasts!$F$10:'Podcasts'!$F$2535,MATCH(AJ52&amp;$B52,Podcasts!$E$10:'Podcasts'!$E$2535&amp;Podcasts!$D$10:'Podcasts'!$D$2535,0)))</f>
        <v/>
      </c>
      <c r="AL52" s="406" t="str">
        <f t="array" ref="AL52">IF(AM52="","",INDEX(Podcasts!$J$10:'Podcasts'!$J$2535,MATCH(AM52&amp;$B52,Podcasts!$E$10:'Podcasts'!$E$2535&amp;Podcasts!$D$10:'Podcasts'!$D$2535,0)))</f>
        <v/>
      </c>
      <c r="AM52" s="400" t="str">
        <f t="array" ref="AM52">IF(COUNTIF(Podcasts!$D$10:'Podcasts'!$D$2535,$B52)&lt;COLUMN(L9),"",SMALL(IF(Podcasts!$D$10:'Podcasts'!$D$2535=$B52,Podcasts!$E$10:'Podcasts'!$E$2535),COLUMN(L9)))</f>
        <v/>
      </c>
      <c r="AN52" s="401" t="str">
        <f t="array" ref="AN52">IF(AM52="","",INDEX(Podcasts!$F$10:'Podcasts'!$F$2535,MATCH(AM52&amp;$B52,Podcasts!$E$10:'Podcasts'!$E$2535&amp;Podcasts!$D$10:'Podcasts'!$D$2535,0)))</f>
        <v/>
      </c>
      <c r="AO52" s="402"/>
      <c r="AP52" s="119" t="str">
        <f t="array" aca="1" ref="AP52" ca="1">IFERROR(SMALL(IF(COUNTIF(Podcasts!$D$1:'Podcasts'!$D$2565,ROW(INDIRECT("1:"&amp;K$2)))=0,ROW(INDIRECT("1:"&amp;K$2))),ROW($A9)),"")</f>
        <v/>
      </c>
      <c r="AQ52" s="117">
        <f t="array" aca="1" ref="AQ52" ca="1">IFERROR(SMALL(IF(COUNTIF(Podcasts!$D$10:'Podcasts'!$D$107,ROW(INDIRECT("1:"&amp;K$2)))=0,ROW(INDIRECT("1:"&amp;K$2))),ROW($A9)),"")</f>
        <v>18</v>
      </c>
      <c r="AR52" s="117">
        <f t="array" aca="1" ref="AR52" ca="1">IFERROR(SMALL(IF(COUNTIF(Podcasts!$D$113:'Podcasts'!$D$238,ROW(INDIRECT("1:"&amp;K$2)))=0,ROW(INDIRECT("1:"&amp;K$2))),ROW($A9)),"")</f>
        <v>9</v>
      </c>
      <c r="AS52" s="117">
        <f t="array" aca="1" ref="AS52" ca="1">IFERROR(SMALL(IF(COUNTIF(Podcasts!$D$244:'Podcasts'!$D$299,ROW(INDIRECT("1:"&amp;K$2)))=0,ROW(INDIRECT("1:"&amp;K$2))),ROW($A9)),"")</f>
        <v>25</v>
      </c>
      <c r="AT52" s="117">
        <f t="array" aca="1" ref="AT52" ca="1">IFERROR(SMALL(IF(COUNTIF(Podcasts!$D$305:'Podcasts'!$D$473,ROW(INDIRECT("1:"&amp;K$2)))=0,ROW(INDIRECT("1:"&amp;K$2))),ROW($A9)),"")</f>
        <v>127</v>
      </c>
      <c r="AU52" s="117">
        <f t="array" aca="1" ref="AU52" ca="1">IFERROR(SMALL(IF(COUNTIF(Podcasts!$D$479:'Podcasts'!$D$488,ROW(INDIRECT("1:"&amp;K$2)))=0,ROW(INDIRECT("1:"&amp;K$2))),ROW($A9)),"")</f>
        <v>9</v>
      </c>
      <c r="AV52" s="117">
        <f t="array" aca="1" ref="AV52" ca="1">IFERROR(SMALL(IF(COUNTIF(Podcasts!$D$494:'Podcasts'!$D$518,ROW(INDIRECT("1:"&amp;K$2)))=0,ROW(INDIRECT("1:"&amp;K$2))),ROW($A9)),"")</f>
        <v>23</v>
      </c>
      <c r="AW52" s="117">
        <f t="array" aca="1" ref="AW52" ca="1">IFERROR(SMALL(IF(COUNTIF(Podcasts!$D$524:'Podcasts'!$D$532,ROW(INDIRECT("1:"&amp;K$2)))=0,ROW(INDIRECT("1:"&amp;K$2))),ROW($A9)),"")</f>
        <v>9</v>
      </c>
      <c r="AX52" s="117">
        <f t="array" aca="1" ref="AX52" ca="1">IFERROR(SMALL(IF(COUNTIF(Podcasts!$D$538:'Podcasts'!$D$909,ROW(INDIRECT("1:"&amp;K$2)))=0,ROW(INDIRECT("1:"&amp;K$2))),ROW($A9)),"")</f>
        <v>22</v>
      </c>
      <c r="AY52" s="117">
        <f t="array" aca="1" ref="AY52" ca="1">IFERROR(SMALL(IF(COUNTIF(Podcasts!$D$915:'Podcasts'!$D$981,ROW(INDIRECT("1:"&amp;K$2)))=0,ROW(INDIRECT("1:"&amp;K$2))),ROW($A9)),"")</f>
        <v>16</v>
      </c>
      <c r="AZ52" s="445"/>
      <c r="BA52" s="117">
        <f t="array" aca="1" ref="BA52" ca="1">IFERROR(SMALL(IF(COUNTIF(Podcasts!$D$1001:'Podcasts'!$D$1251,ROW(INDIRECT("1:"&amp;K$2)))=0,ROW(INDIRECT("1:"&amp;K$2))),ROW($A9)),"")</f>
        <v>22</v>
      </c>
      <c r="BB52" s="117">
        <f t="array" aca="1" ref="BB52" ca="1">IFERROR(SMALL(IF(COUNTIF(Podcasts!$D$1257:'Podcasts'!$D$1267,ROW(INDIRECT("1:"&amp;K$2)))=0,ROW(INDIRECT("1:"&amp;K$2))),ROW($A9)),"")</f>
        <v>9</v>
      </c>
      <c r="BC52" s="117">
        <f t="array" aca="1" ref="BC52" ca="1">IFERROR(SMALL(IF(COUNTIF(Podcasts!$D$1273:'Podcasts'!$D$1283,ROW(INDIRECT("1:"&amp;K$2)))=0,ROW(INDIRECT("1:"&amp;K$2))),ROW($A9)),"")</f>
        <v>11</v>
      </c>
      <c r="BD52" s="117">
        <f t="array" aca="1" ref="BD52" ca="1">IFERROR(SMALL(IF(COUNTIF(Podcasts!$D$1289:'Podcasts'!$D$1295,ROW(INDIRECT("1:"&amp;K$2)))=0,ROW(INDIRECT("1:"&amp;K$2))),ROW($A9)),"")</f>
        <v>10</v>
      </c>
      <c r="BE52" s="117">
        <f t="array" aca="1" ref="BE52" ca="1">IFERROR(SMALL(IF(COUNTIF(Podcasts!$D$1301:'Podcasts'!$D$1356,ROW(INDIRECT("1:"&amp;K$2)))=0,ROW(INDIRECT("1:"&amp;K$2))),ROW($A9)),"")</f>
        <v>56</v>
      </c>
      <c r="BF52" s="117">
        <f t="array" aca="1" ref="BF52" ca="1">IFERROR(SMALL(IF(COUNTIF(Podcasts!$D$1362:'Podcasts'!$D$1364,ROW(INDIRECT("1:"&amp;K$2)))=0,ROW(INDIRECT("1:"&amp;K$2))),ROW($A9)),"")</f>
        <v>12</v>
      </c>
      <c r="BG52" s="202">
        <f t="array" aca="1" ref="BG52" ca="1">IFERROR(SMALL(IF(COUNTIF(Podcasts!$D$1370:'Podcasts'!$D$1419,ROW(INDIRECT("1:"&amp;K$2)))=0,ROW(INDIRECT("1:"&amp;K$2))),ROW($A9)),"")</f>
        <v>10</v>
      </c>
      <c r="BH52" s="202">
        <f t="array" aca="1" ref="BH52" ca="1">IFERROR(SMALL(IF(COUNTIF(Podcasts!$D$1425:'Podcasts'!$D$1446,ROW(INDIRECT("1:"&amp;K$2)))=0,ROW(INDIRECT("1:"&amp;K$2))),ROW($A9)),"")</f>
        <v>12</v>
      </c>
      <c r="BI52" s="202">
        <f t="array" aca="1" ref="BI52" ca="1">IFERROR(SMALL(IF(COUNTIF(Podcasts!$D$1452:'Podcasts'!$D$1574,ROW(INDIRECT("1:"&amp;K$2)))=0,ROW(INDIRECT("1:"&amp;K$2))),ROW($A9)),"")</f>
        <v>28</v>
      </c>
      <c r="BJ52" s="202">
        <f t="array" aca="1" ref="BJ52" ca="1">IFERROR(SMALL(IF(COUNTIF(Podcasts!$D$1580:'Podcasts'!$D$1705,ROW(INDIRECT("1:"&amp;K$2)))=0,ROW(INDIRECT("1:"&amp;K$2))),ROW($A9)),"")</f>
        <v>17</v>
      </c>
      <c r="BK52" s="202">
        <f t="array" aca="1" ref="BK52" ca="1">IFERROR(SMALL(IF(COUNTIF(Podcasts!$D$1711:'Podcasts'!$D$1833,ROW(INDIRECT("1:"&amp;K$2)))=0,ROW(INDIRECT("1:"&amp;K$2))),ROW($A9)),"")</f>
        <v>49</v>
      </c>
      <c r="BL52" s="202">
        <f t="array" aca="1" ref="BL52" ca="1">IFERROR(SMALL(IF(COUNTIF(Podcasts!$D$1839:'Podcasts'!$D$1855,ROW(INDIRECT("1:"&amp;K$2)))=0,ROW(INDIRECT("1:"&amp;K$2))),ROW($A9)),"")</f>
        <v>9</v>
      </c>
      <c r="BM52" s="567">
        <f t="array" aca="1" ref="BM52" ca="1">IFERROR(SMALL(IF(COUNTIF(Podcasts!$D$1861:'Podcasts'!$D$1994,ROW(INDIRECT("1:"&amp;K$2)))=0,ROW(INDIRECT("1:"&amp;K$2))),ROW($A9)),"")</f>
        <v>9</v>
      </c>
      <c r="BN52" s="567">
        <f t="array" aca="1" ref="BN52" ca="1">IFERROR(SMALL(IF(COUNTIF(Podcasts!$D$2000:'Podcasts'!$D$2057,ROW(INDIRECT("1:"&amp;K$2)))=0,ROW(INDIRECT("1:"&amp;K$2))),ROW($A9)),"")</f>
        <v>64</v>
      </c>
      <c r="BO52" s="567">
        <f t="array" aca="1" ref="BO52" ca="1">IFERROR(SMALL(IF(COUNTIF(Podcasts!$D$2063:'Podcasts'!$D$2071,ROW(INDIRECT("1:"&amp;K$2)))=0,ROW(INDIRECT("1:"&amp;K$2))),ROW($A9)),"")</f>
        <v>9</v>
      </c>
      <c r="BP52" s="202">
        <f t="array" aca="1" ref="BP52" ca="1">IFERROR(SMALL(IF(COUNTIF(Podcasts!$D$2077:'Podcasts'!$D$2092,ROW(INDIRECT("1:"&amp;K$2)))=0,ROW(INDIRECT("1:"&amp;K$2))),ROW($A9)),"")</f>
        <v>11</v>
      </c>
      <c r="BQ52" s="741">
        <f t="array" aca="1" ref="BQ52" ca="1">IFERROR(SMALL(IF(COUNTIF(Podcasts!$D$2098:'Podcasts'!$D$2114,ROW(INDIRECT("1:"&amp;K$2)))=0,ROW(INDIRECT("1:"&amp;K$2))),ROW($A9)),"")</f>
        <v>9</v>
      </c>
      <c r="BR52" s="744">
        <f t="array" aca="1" ref="BR52" ca="1">IFERROR(SMALL(IF(COUNTIF(Podcasts!$D$2120:'Podcasts'!$D$2124,ROW(INDIRECT("1:"&amp;K$2)))=0,ROW(INDIRECT("1:"&amp;K$2))),ROW($A9)),"")</f>
        <v>10</v>
      </c>
      <c r="BS52" s="28"/>
    </row>
    <row r="53" spans="1:71" outlineLevel="1">
      <c r="A53" s="28"/>
      <c r="B53" s="161">
        <v>10</v>
      </c>
      <c r="C53" s="161">
        <f>COUNTIF(Podcasts!$D$10:'Podcasts'!$D$2535,B53)</f>
        <v>13</v>
      </c>
      <c r="D53" s="158" t="s">
        <v>1038</v>
      </c>
      <c r="E53" s="156" t="str">
        <f t="array" ref="E53">IF(F53="","",INDEX(Podcasts!$J$10:'Podcasts'!$J$2535,MATCH(F53&amp;$B53,Podcasts!$E$10:'Podcasts'!$E$2535&amp;Podcasts!$D$10:'Podcasts'!$D$2535,0)))</f>
        <v>???od</v>
      </c>
      <c r="F53" s="131">
        <f t="array" ref="F53">IF(COUNTIF(Podcasts!$D$10:'Podcasts'!$D$2535,$B53)&lt;COLUMN(A10),"",SMALL(IF(Podcasts!$D$10:'Podcasts'!$D$2535=$B53,Podcasts!$E$10:'Podcasts'!$E$2535),COLUMN(A10)))</f>
        <v>41458</v>
      </c>
      <c r="G53" s="132">
        <f t="array" ref="G53">IF(F53="","",INDEX(Podcasts!$F$10:'Podcasts'!$F$2535,MATCH(F53&amp;$B53,Podcasts!$E$10:'Podcasts'!$E$2535&amp;Podcasts!$D$10:'Podcasts'!$D$2535,0)))</f>
        <v>4.8923611111111105E-2</v>
      </c>
      <c r="H53" s="136" t="str">
        <f t="array" ref="H53">IF(I53="","",INDEX(Podcasts!$J$10:'Podcasts'!$J$2535,MATCH(I53&amp;$B53,Podcasts!$E$10:'Podcasts'!$E$2535&amp;Podcasts!$D$10:'Podcasts'!$D$2535,0)))</f>
        <v>Fürst</v>
      </c>
      <c r="I53" s="133">
        <f t="array" ref="I53">IF(COUNTIF(Podcasts!$D$10:'Podcasts'!$D$2535,$B53)&lt;COLUMN(B10),"",SMALL(IF(Podcasts!$D$10:'Podcasts'!$D$2535=$B53,Podcasts!$E$10:'Podcasts'!$E$2535),COLUMN(B10)))</f>
        <v>41980</v>
      </c>
      <c r="J53" s="132">
        <f t="array" ref="J53">IF(I53="","",INDEX(Podcasts!$F$10:'Podcasts'!$F$2535,MATCH(I53&amp;$B53,Podcasts!$E$10:'Podcasts'!$E$2535&amp;Podcasts!$D$10:'Podcasts'!$D$2535,0)))</f>
        <v>6.6550925925925935E-3</v>
      </c>
      <c r="K53" s="136" t="str">
        <f t="array" ref="K53">IF(L53="","",INDEX(Podcasts!$J$10:'Podcasts'!$J$2535,MATCH(L53&amp;$B53,Podcasts!$E$10:'Podcasts'!$E$2535&amp;Podcasts!$D$10:'Podcasts'!$D$2535,0)))</f>
        <v>Talker</v>
      </c>
      <c r="L53" s="133">
        <f t="array" ref="L53">IF(COUNTIF(Podcasts!$D$10:'Podcasts'!$D$2535,$B53)&lt;COLUMN(C10),"",SMALL(IF(Podcasts!$D$10:'Podcasts'!$D$2535=$B53,Podcasts!$E$10:'Podcasts'!$E$2535),COLUMN(C10)))</f>
        <v>42756</v>
      </c>
      <c r="M53" s="132">
        <f t="array" ref="M53">IF(L53="","",INDEX(Podcasts!$F$10:'Podcasts'!$F$2535,MATCH(L53&amp;$B53,Podcasts!$E$10:'Podcasts'!$E$2535&amp;Podcasts!$D$10:'Podcasts'!$D$2535,0)))</f>
        <v>1.5081018518518516E-2</v>
      </c>
      <c r="N53" s="136" t="str">
        <f t="array" ref="N53">IF(O53="","",INDEX(Podcasts!$J$10:'Podcasts'!$J$2535,MATCH(O53&amp;$B53,Podcasts!$E$10:'Podcasts'!$E$2535&amp;Podcasts!$D$10:'Podcasts'!$D$2535,0)))</f>
        <v>SSP</v>
      </c>
      <c r="O53" s="133">
        <f t="array" ref="O53">IF(COUNTIF(Podcasts!$D$10:'Podcasts'!$D$2535,$B53)&lt;COLUMN(D10),"",SMALL(IF(Podcasts!$D$10:'Podcasts'!$D$2535=$B53,Podcasts!$E$10:'Podcasts'!$E$2535),COLUMN(D10)))</f>
        <v>42855</v>
      </c>
      <c r="P53" s="132">
        <f t="array" ref="P53">IF(O53="","",INDEX(Podcasts!$F$10:'Podcasts'!$F$2535,MATCH(O53&amp;$B53,Podcasts!$E$10:'Podcasts'!$E$2535&amp;Podcasts!$D$10:'Podcasts'!$D$2535,0)))</f>
        <v>7.0462962962962963E-2</v>
      </c>
      <c r="Q53" s="136" t="str">
        <f t="array" ref="Q53">IF(R53="","",INDEX(Podcasts!$J$10:'Podcasts'!$J$2535,MATCH(R53&amp;$B53,Podcasts!$E$10:'Podcasts'!$E$2535&amp;Podcasts!$D$10:'Podcasts'!$D$2535,0)))</f>
        <v>Kanal</v>
      </c>
      <c r="R53" s="133">
        <f t="array" ref="R53">IF(COUNTIF(Podcasts!$D$10:'Podcasts'!$D$2535,$B53)&lt;COLUMN(E10),"",SMALL(IF(Podcasts!$D$10:'Podcasts'!$D$2535=$B53,Podcasts!$E$10:'Podcasts'!$E$2535),COLUMN(E10)))</f>
        <v>44022</v>
      </c>
      <c r="S53" s="132">
        <f t="array" ref="S53">IF(R53="","",INDEX(Podcasts!$F$10:'Podcasts'!$F$2535,MATCH(R53&amp;$B53,Podcasts!$E$10:'Podcasts'!$E$2535&amp;Podcasts!$D$10:'Podcasts'!$D$2535,0)))</f>
        <v>1.9305555555555555E-2</v>
      </c>
      <c r="T53" s="136" t="str">
        <f t="array" ref="T53">IF(U53="","",INDEX(Podcasts!$J$10:'Podcasts'!$J$2535,MATCH(U53&amp;$B53,Podcasts!$E$10:'Podcasts'!$E$2535&amp;Podcasts!$D$10:'Podcasts'!$D$2535,0)))</f>
        <v>Fan</v>
      </c>
      <c r="U53" s="133">
        <f t="array" ref="U53">IF(COUNTIF(Podcasts!$D$10:'Podcasts'!$D$2535,$B53)&lt;COLUMN(F10),"",SMALL(IF(Podcasts!$D$10:'Podcasts'!$D$2535=$B53,Podcasts!$E$10:'Podcasts'!$E$2535),COLUMN(F10)))</f>
        <v>44170</v>
      </c>
      <c r="V53" s="132">
        <f t="array" ref="V53">IF(U53="","",INDEX(Podcasts!$F$10:'Podcasts'!$F$2535,MATCH(U53&amp;$B53,Podcasts!$E$10:'Podcasts'!$E$2535&amp;Podcasts!$D$10:'Podcasts'!$D$2535,0)))</f>
        <v>8.9803240740740739E-2</v>
      </c>
      <c r="W53" s="136" t="str">
        <f t="array" ref="W53">IF(X53="","",INDEX(Podcasts!$J$10:'Podcasts'!$J$2535,MATCH(X53&amp;$B53,Podcasts!$E$10:'Podcasts'!$E$2535&amp;Podcasts!$D$10:'Podcasts'!$D$2535,0)))</f>
        <v>Abfahrt</v>
      </c>
      <c r="X53" s="133">
        <f t="array" ref="X53">IF(COUNTIF(Podcasts!$D$10:'Podcasts'!$D$2535,$B53)&lt;COLUMN(G10),"",SMALL(IF(Podcasts!$D$10:'Podcasts'!$D$2535=$B53,Podcasts!$E$10:'Podcasts'!$E$2535),COLUMN(G10)))</f>
        <v>44246</v>
      </c>
      <c r="Y53" s="132">
        <f t="array" ref="Y53">IF(X53="","",INDEX(Podcasts!$F$10:'Podcasts'!$F$2535,MATCH(X53&amp;$B53,Podcasts!$E$10:'Podcasts'!$E$2535&amp;Podcasts!$D$10:'Podcasts'!$D$2535,0)))</f>
        <v>5.3564814814814815E-2</v>
      </c>
      <c r="Z53" s="136" t="str">
        <f t="array" ref="Z53">IF(AA53="","",INDEX(Podcasts!$J$10:'Podcasts'!$J$2535,MATCH(AA53&amp;$B53,Podcasts!$E$10:'Podcasts'!$E$2535&amp;Podcasts!$D$10:'Podcasts'!$D$2535,0)))</f>
        <v>Kaffee</v>
      </c>
      <c r="AA53" s="134">
        <f t="array" ref="AA53">IF(COUNTIF(Podcasts!$D$10:'Podcasts'!$D$2535,$B53)&lt;COLUMN(H10),"",SMALL(IF(Podcasts!$D$10:'Podcasts'!$D$2535=$B53,Podcasts!$E$10:'Podcasts'!$E$2535),COLUMN(H10)))</f>
        <v>44526</v>
      </c>
      <c r="AB53" s="404">
        <f t="array" ref="AB53">IF(AA53="","",INDEX(Podcasts!$F$10:'Podcasts'!$F$2535,MATCH(AA53&amp;$B53,Podcasts!$E$10:'Podcasts'!$E$2535&amp;Podcasts!$D$10:'Podcasts'!$D$2535,0)))</f>
        <v>1.2499999999999999E-2</v>
      </c>
      <c r="AC53" s="406" t="str">
        <f t="array" ref="AC53">IF(AD53="","",INDEX(Podcasts!$J$10:'Podcasts'!$J$2535,MATCH(AD53&amp;$B53,Podcasts!$E$10:'Podcasts'!$E$2535&amp;Podcasts!$D$10:'Podcasts'!$D$2535,0)))</f>
        <v>Verstärker</v>
      </c>
      <c r="AD53" s="400">
        <f t="array" ref="AD53">IF(COUNTIF(Podcasts!$D$10:'Podcasts'!$D$2535,$B53)&lt;COLUMN(I10),"",SMALL(IF(Podcasts!$D$10:'Podcasts'!$D$2535=$B53,Podcasts!$E$10:'Podcasts'!$E$2535),COLUMN(I10)))</f>
        <v>44533</v>
      </c>
      <c r="AE53" s="401">
        <f t="array" ref="AE53">IF(AD53="","",INDEX(Podcasts!$F$10:'Podcasts'!$F$2535,MATCH(AD53&amp;$B53,Podcasts!$E$10:'Podcasts'!$E$2535&amp;Podcasts!$D$10:'Podcasts'!$D$2535,0)))</f>
        <v>2.5624999999999998E-2</v>
      </c>
      <c r="AF53" s="406" t="str">
        <f t="array" ref="AF53">IF(AG53="","",INDEX(Podcasts!$J$10:'Podcasts'!$J$2535,MATCH(AG53&amp;$B53,Podcasts!$E$10:'Podcasts'!$E$2535&amp;Podcasts!$D$10:'Podcasts'!$D$2535,0)))</f>
        <v>Bobcast</v>
      </c>
      <c r="AG53" s="400">
        <f t="array" ref="AG53">IF(COUNTIF(Podcasts!$D$10:'Podcasts'!$D$2535,$B53)&lt;COLUMN(J10),"",SMALL(IF(Podcasts!$D$10:'Podcasts'!$D$2535=$B53,Podcasts!$E$10:'Podcasts'!$E$2535),COLUMN(J10)))</f>
        <v>44732.000856481478</v>
      </c>
      <c r="AH53" s="401">
        <f t="array" ref="AH53">IF(AG53="","",INDEX(Podcasts!$F$10:'Podcasts'!$F$2535,MATCH(AG53&amp;$B53,Podcasts!$E$10:'Podcasts'!$E$2535&amp;Podcasts!$D$10:'Podcasts'!$D$2535,0)))</f>
        <v>2.7800925925925923E-2</v>
      </c>
      <c r="AI53" s="406" t="str">
        <f t="array" ref="AI53">IF(AJ53="","",INDEX(Podcasts!$J$10:'Podcasts'!$J$2535,MATCH(AJ53&amp;$B53,Podcasts!$E$10:'Podcasts'!$E$2535&amp;Podcasts!$D$10:'Podcasts'!$D$2535,0)))</f>
        <v>RBW</v>
      </c>
      <c r="AJ53" s="400">
        <f t="array" ref="AJ53">IF(COUNTIF(Podcasts!$D$10:'Podcasts'!$D$2535,$B53)&lt;COLUMN(K10),"",SMALL(IF(Podcasts!$D$10:'Podcasts'!$D$2535=$B53,Podcasts!$E$10:'Podcasts'!$E$2535),COLUMN(K10)))</f>
        <v>44882</v>
      </c>
      <c r="AK53" s="401">
        <f t="array" ref="AK53">IF(AJ53="","",INDEX(Podcasts!$F$10:'Podcasts'!$F$2535,MATCH(AJ53&amp;$B53,Podcasts!$E$10:'Podcasts'!$E$2535&amp;Podcasts!$D$10:'Podcasts'!$D$2535,0)))</f>
        <v>4.6307870370370374E-2</v>
      </c>
      <c r="AL53" s="406" t="str">
        <f t="array" ref="AL53">IF(AM53="","",INDEX(Podcasts!$J$10:'Podcasts'!$J$2535,MATCH(AM53&amp;$B53,Podcasts!$E$10:'Podcasts'!$E$2535&amp;Podcasts!$D$10:'Podcasts'!$D$2535,0)))</f>
        <v>Schrott</v>
      </c>
      <c r="AM53" s="400">
        <f t="array" ref="AM53">IF(COUNTIF(Podcasts!$D$10:'Podcasts'!$D$2535,$B53)&lt;COLUMN(L10),"",SMALL(IF(Podcasts!$D$10:'Podcasts'!$D$2535=$B53,Podcasts!$E$10:'Podcasts'!$E$2535),COLUMN(L10)))</f>
        <v>45139</v>
      </c>
      <c r="AN53" s="401">
        <f t="array" ref="AN53">IF(AM53="","",INDEX(Podcasts!$F$10:'Podcasts'!$F$2535,MATCH(AM53&amp;$B53,Podcasts!$E$10:'Podcasts'!$E$2535&amp;Podcasts!$D$10:'Podcasts'!$D$2535,0)))</f>
        <v>7.6655092592592594E-2</v>
      </c>
      <c r="AO53" s="402"/>
      <c r="AP53" s="119" t="str">
        <f t="array" aca="1" ref="AP53" ca="1">IFERROR(SMALL(IF(COUNTIF(Podcasts!$D$1:'Podcasts'!$D$2565,ROW(INDIRECT("1:"&amp;K$2)))=0,ROW(INDIRECT("1:"&amp;K$2))),ROW($A10)),"")</f>
        <v/>
      </c>
      <c r="AQ53" s="117">
        <f t="array" aca="1" ref="AQ53" ca="1">IFERROR(SMALL(IF(COUNTIF(Podcasts!$D$10:'Podcasts'!$D$107,ROW(INDIRECT("1:"&amp;K$2)))=0,ROW(INDIRECT("1:"&amp;K$2))),ROW($A10)),"")</f>
        <v>19</v>
      </c>
      <c r="AR53" s="117">
        <f t="array" aca="1" ref="AR53" ca="1">IFERROR(SMALL(IF(COUNTIF(Podcasts!$D$113:'Podcasts'!$D$238,ROW(INDIRECT("1:"&amp;K$2)))=0,ROW(INDIRECT("1:"&amp;K$2))),ROW($A10)),"")</f>
        <v>10</v>
      </c>
      <c r="AS53" s="117">
        <f t="array" aca="1" ref="AS53" ca="1">IFERROR(SMALL(IF(COUNTIF(Podcasts!$D$244:'Podcasts'!$D$299,ROW(INDIRECT("1:"&amp;K$2)))=0,ROW(INDIRECT("1:"&amp;K$2))),ROW($A10)),"")</f>
        <v>26</v>
      </c>
      <c r="AT53" s="117">
        <f t="array" aca="1" ref="AT53" ca="1">IFERROR(SMALL(IF(COUNTIF(Podcasts!$D$305:'Podcasts'!$D$473,ROW(INDIRECT("1:"&amp;K$2)))=0,ROW(INDIRECT("1:"&amp;K$2))),ROW($A10)),"")</f>
        <v>128</v>
      </c>
      <c r="AU53" s="117">
        <f t="array" aca="1" ref="AU53" ca="1">IFERROR(SMALL(IF(COUNTIF(Podcasts!$D$479:'Podcasts'!$D$488,ROW(INDIRECT("1:"&amp;K$2)))=0,ROW(INDIRECT("1:"&amp;K$2))),ROW($A10)),"")</f>
        <v>10</v>
      </c>
      <c r="AV53" s="117">
        <f t="array" aca="1" ref="AV53" ca="1">IFERROR(SMALL(IF(COUNTIF(Podcasts!$D$494:'Podcasts'!$D$518,ROW(INDIRECT("1:"&amp;K$2)))=0,ROW(INDIRECT("1:"&amp;K$2))),ROW($A10)),"")</f>
        <v>24</v>
      </c>
      <c r="AW53" s="117">
        <f t="array" aca="1" ref="AW53" ca="1">IFERROR(SMALL(IF(COUNTIF(Podcasts!$D$524:'Podcasts'!$D$532,ROW(INDIRECT("1:"&amp;K$2)))=0,ROW(INDIRECT("1:"&amp;K$2))),ROW($A10)),"")</f>
        <v>10</v>
      </c>
      <c r="AX53" s="117">
        <f t="array" aca="1" ref="AX53" ca="1">IFERROR(SMALL(IF(COUNTIF(Podcasts!$D$538:'Podcasts'!$D$909,ROW(INDIRECT("1:"&amp;K$2)))=0,ROW(INDIRECT("1:"&amp;K$2))),ROW($A10)),"")</f>
        <v>23</v>
      </c>
      <c r="AY53" s="117">
        <f t="array" aca="1" ref="AY53" ca="1">IFERROR(SMALL(IF(COUNTIF(Podcasts!$D$915:'Podcasts'!$D$981,ROW(INDIRECT("1:"&amp;K$2)))=0,ROW(INDIRECT("1:"&amp;K$2))),ROW($A10)),"")</f>
        <v>17</v>
      </c>
      <c r="AZ53" s="445"/>
      <c r="BA53" s="117">
        <f t="array" aca="1" ref="BA53" ca="1">IFERROR(SMALL(IF(COUNTIF(Podcasts!$D$1001:'Podcasts'!$D$1251,ROW(INDIRECT("1:"&amp;K$2)))=0,ROW(INDIRECT("1:"&amp;K$2))),ROW($A10)),"")</f>
        <v>23</v>
      </c>
      <c r="BB53" s="117">
        <f t="array" aca="1" ref="BB53" ca="1">IFERROR(SMALL(IF(COUNTIF(Podcasts!$D$1257:'Podcasts'!$D$1267,ROW(INDIRECT("1:"&amp;K$2)))=0,ROW(INDIRECT("1:"&amp;K$2))),ROW($A10)),"")</f>
        <v>10</v>
      </c>
      <c r="BC53" s="117">
        <f t="array" aca="1" ref="BC53" ca="1">IFERROR(SMALL(IF(COUNTIF(Podcasts!$D$1273:'Podcasts'!$D$1283,ROW(INDIRECT("1:"&amp;K$2)))=0,ROW(INDIRECT("1:"&amp;K$2))),ROW($A10)),"")</f>
        <v>12</v>
      </c>
      <c r="BD53" s="117">
        <f t="array" aca="1" ref="BD53" ca="1">IFERROR(SMALL(IF(COUNTIF(Podcasts!$D$1289:'Podcasts'!$D$1295,ROW(INDIRECT("1:"&amp;K$2)))=0,ROW(INDIRECT("1:"&amp;K$2))),ROW($A10)),"")</f>
        <v>12</v>
      </c>
      <c r="BE53" s="117">
        <f t="array" aca="1" ref="BE53" ca="1">IFERROR(SMALL(IF(COUNTIF(Podcasts!$D$1301:'Podcasts'!$D$1356,ROW(INDIRECT("1:"&amp;K$2)))=0,ROW(INDIRECT("1:"&amp;K$2))),ROW($A10)),"")</f>
        <v>57</v>
      </c>
      <c r="BF53" s="117">
        <f t="array" aca="1" ref="BF53" ca="1">IFERROR(SMALL(IF(COUNTIF(Podcasts!$D$1362:'Podcasts'!$D$1364,ROW(INDIRECT("1:"&amp;K$2)))=0,ROW(INDIRECT("1:"&amp;K$2))),ROW($A10)),"")</f>
        <v>13</v>
      </c>
      <c r="BG53" s="202">
        <f t="array" aca="1" ref="BG53" ca="1">IFERROR(SMALL(IF(COUNTIF(Podcasts!$D$1370:'Podcasts'!$D$1419,ROW(INDIRECT("1:"&amp;K$2)))=0,ROW(INDIRECT("1:"&amp;K$2))),ROW($A10)),"")</f>
        <v>12</v>
      </c>
      <c r="BH53" s="202">
        <f t="array" aca="1" ref="BH53" ca="1">IFERROR(SMALL(IF(COUNTIF(Podcasts!$D$1425:'Podcasts'!$D$1446,ROW(INDIRECT("1:"&amp;K$2)))=0,ROW(INDIRECT("1:"&amp;K$2))),ROW($A10)),"")</f>
        <v>13</v>
      </c>
      <c r="BI53" s="202">
        <f t="array" aca="1" ref="BI53" ca="1">IFERROR(SMALL(IF(COUNTIF(Podcasts!$D$1452:'Podcasts'!$D$1574,ROW(INDIRECT("1:"&amp;K$2)))=0,ROW(INDIRECT("1:"&amp;K$2))),ROW($A10)),"")</f>
        <v>29</v>
      </c>
      <c r="BJ53" s="202">
        <f t="array" aca="1" ref="BJ53" ca="1">IFERROR(SMALL(IF(COUNTIF(Podcasts!$D$1580:'Podcasts'!$D$1705,ROW(INDIRECT("1:"&amp;K$2)))=0,ROW(INDIRECT("1:"&amp;K$2))),ROW($A10)),"")</f>
        <v>18</v>
      </c>
      <c r="BK53" s="202">
        <f t="array" aca="1" ref="BK53" ca="1">IFERROR(SMALL(IF(COUNTIF(Podcasts!$D$1711:'Podcasts'!$D$1833,ROW(INDIRECT("1:"&amp;K$2)))=0,ROW(INDIRECT("1:"&amp;K$2))),ROW($A10)),"")</f>
        <v>50</v>
      </c>
      <c r="BL53" s="202">
        <f t="array" aca="1" ref="BL53" ca="1">IFERROR(SMALL(IF(COUNTIF(Podcasts!$D$1839:'Podcasts'!$D$1855,ROW(INDIRECT("1:"&amp;K$2)))=0,ROW(INDIRECT("1:"&amp;K$2))),ROW($A10)),"")</f>
        <v>10</v>
      </c>
      <c r="BM53" s="567">
        <f t="array" aca="1" ref="BM53" ca="1">IFERROR(SMALL(IF(COUNTIF(Podcasts!$D$1861:'Podcasts'!$D$1994,ROW(INDIRECT("1:"&amp;K$2)))=0,ROW(INDIRECT("1:"&amp;K$2))),ROW($A10)),"")</f>
        <v>10</v>
      </c>
      <c r="BN53" s="567">
        <f t="array" aca="1" ref="BN53" ca="1">IFERROR(SMALL(IF(COUNTIF(Podcasts!$D$2000:'Podcasts'!$D$2057,ROW(INDIRECT("1:"&amp;K$2)))=0,ROW(INDIRECT("1:"&amp;K$2))),ROW($A10)),"")</f>
        <v>65</v>
      </c>
      <c r="BO53" s="567">
        <f t="array" aca="1" ref="BO53" ca="1">IFERROR(SMALL(IF(COUNTIF(Podcasts!$D$2063:'Podcasts'!$D$2071,ROW(INDIRECT("1:"&amp;K$2)))=0,ROW(INDIRECT("1:"&amp;K$2))),ROW($A10)),"")</f>
        <v>10</v>
      </c>
      <c r="BP53" s="202">
        <f t="array" aca="1" ref="BP53" ca="1">IFERROR(SMALL(IF(COUNTIF(Podcasts!$D$2077:'Podcasts'!$D$2092,ROW(INDIRECT("1:"&amp;K$2)))=0,ROW(INDIRECT("1:"&amp;K$2))),ROW($A10)),"")</f>
        <v>12</v>
      </c>
      <c r="BQ53" s="741">
        <f t="array" aca="1" ref="BQ53" ca="1">IFERROR(SMALL(IF(COUNTIF(Podcasts!$D$2098:'Podcasts'!$D$2114,ROW(INDIRECT("1:"&amp;K$2)))=0,ROW(INDIRECT("1:"&amp;K$2))),ROW($A10)),"")</f>
        <v>12</v>
      </c>
      <c r="BR53" s="744">
        <f t="array" aca="1" ref="BR53" ca="1">IFERROR(SMALL(IF(COUNTIF(Podcasts!$D$2120:'Podcasts'!$D$2124,ROW(INDIRECT("1:"&amp;K$2)))=0,ROW(INDIRECT("1:"&amp;K$2))),ROW($A10)),"")</f>
        <v>12</v>
      </c>
      <c r="BS53" s="28"/>
    </row>
    <row r="54" spans="1:71" outlineLevel="1">
      <c r="A54" s="28"/>
      <c r="B54" s="161">
        <v>11</v>
      </c>
      <c r="C54" s="161">
        <f>COUNTIF(Podcasts!$D$10:'Podcasts'!$D$2535,B54)-2</f>
        <v>15</v>
      </c>
      <c r="D54" s="158" t="s">
        <v>1039</v>
      </c>
      <c r="E54" s="156" t="str">
        <f t="array" ref="E54">IF(F54="","",INDEX(Podcasts!$J$10:'Podcasts'!$J$2535,MATCH(F54&amp;$B54,Podcasts!$E$10:'Podcasts'!$E$2535&amp;Podcasts!$D$10:'Podcasts'!$D$2535,0)))</f>
        <v>???od</v>
      </c>
      <c r="F54" s="131">
        <f t="array" ref="F54">IF(COUNTIF(Podcasts!$D$10:'Podcasts'!$D$2535,$B54)&lt;COLUMN(A11),"",SMALL(IF(Podcasts!$D$10:'Podcasts'!$D$2535=$B54,Podcasts!$E$10:'Podcasts'!$E$2535),COLUMN(A11)))</f>
        <v>41632</v>
      </c>
      <c r="G54" s="132">
        <f t="array" ref="G54">IF(F54="","",INDEX(Podcasts!$F$10:'Podcasts'!$F$2535,MATCH(F54&amp;$B54,Podcasts!$E$10:'Podcasts'!$E$2535&amp;Podcasts!$D$10:'Podcasts'!$D$2535,0)))</f>
        <v>3.6435185185185189E-2</v>
      </c>
      <c r="H54" s="136" t="str">
        <f t="array" ref="H54">IF(I54="","",INDEX(Podcasts!$J$10:'Podcasts'!$J$2535,MATCH(I54&amp;$B54,Podcasts!$E$10:'Podcasts'!$E$2535&amp;Podcasts!$D$10:'Podcasts'!$D$2535,0)))</f>
        <v>???od</v>
      </c>
      <c r="I54" s="133">
        <f t="array" ref="I54">IF(COUNTIF(Podcasts!$D$10:'Podcasts'!$D$2535,$B54)&lt;COLUMN(B11),"",SMALL(IF(Podcasts!$D$10:'Podcasts'!$D$2535=$B54,Podcasts!$E$10:'Podcasts'!$E$2535),COLUMN(B11)))</f>
        <v>41896</v>
      </c>
      <c r="J54" s="132">
        <f t="array" ref="J54">IF(I54="","",INDEX(Podcasts!$F$10:'Podcasts'!$F$2535,MATCH(I54&amp;$B54,Podcasts!$E$10:'Podcasts'!$E$2535&amp;Podcasts!$D$10:'Podcasts'!$D$2535,0)))</f>
        <v>3.532407407407407E-2</v>
      </c>
      <c r="K54" s="136" t="str">
        <f t="array" ref="K54">IF(L54="","",INDEX(Podcasts!$J$10:'Podcasts'!$J$2535,MATCH(L54&amp;$B54,Podcasts!$E$10:'Podcasts'!$E$2535&amp;Podcasts!$D$10:'Podcasts'!$D$2535,0)))</f>
        <v>Fürst</v>
      </c>
      <c r="L54" s="133">
        <f t="array" ref="L54">IF(COUNTIF(Podcasts!$D$10:'Podcasts'!$D$2535,$B54)&lt;COLUMN(C11),"",SMALL(IF(Podcasts!$D$10:'Podcasts'!$D$2535=$B54,Podcasts!$E$10:'Podcasts'!$E$2535),COLUMN(C11)))</f>
        <v>41936</v>
      </c>
      <c r="M54" s="132">
        <f t="array" ref="M54">IF(L54="","",INDEX(Podcasts!$F$10:'Podcasts'!$F$2535,MATCH(L54&amp;$B54,Podcasts!$E$10:'Podcasts'!$E$2535&amp;Podcasts!$D$10:'Podcasts'!$D$2535,0)))</f>
        <v>5.1504629629629609E-3</v>
      </c>
      <c r="N54" s="136" t="str">
        <f t="array" ref="N54">IF(O54="","",INDEX(Podcasts!$J$10:'Podcasts'!$J$2535,MATCH(O54&amp;$B54,Podcasts!$E$10:'Podcasts'!$E$2535&amp;Podcasts!$D$10:'Podcasts'!$D$2535,0)))</f>
        <v>Zentrale</v>
      </c>
      <c r="O54" s="133">
        <f t="array" ref="O54">IF(COUNTIF(Podcasts!$D$10:'Podcasts'!$D$2535,$B54)&lt;COLUMN(D11),"",SMALL(IF(Podcasts!$D$10:'Podcasts'!$D$2535=$B54,Podcasts!$E$10:'Podcasts'!$E$2535),COLUMN(D11)))</f>
        <v>43472.710543981484</v>
      </c>
      <c r="P54" s="132">
        <f t="array" ref="P54">IF(O54="","",INDEX(Podcasts!$F$10:'Podcasts'!$F$2535,MATCH(O54&amp;$B54,Podcasts!$E$10:'Podcasts'!$E$2535&amp;Podcasts!$D$10:'Podcasts'!$D$2535,0)))</f>
        <v>9.0069444444444438E-2</v>
      </c>
      <c r="Q54" s="136" t="str">
        <f t="array" ref="Q54">IF(R54="","",INDEX(Podcasts!$J$10:'Podcasts'!$J$2535,MATCH(R54&amp;$B54,Podcasts!$E$10:'Podcasts'!$E$2535&amp;Podcasts!$D$10:'Podcasts'!$D$2535,0)))</f>
        <v>Platz</v>
      </c>
      <c r="R54" s="133">
        <f t="array" ref="R54">IF(COUNTIF(Podcasts!$D$10:'Podcasts'!$D$2535,$B54)&lt;COLUMN(E11),"",SMALL(IF(Podcasts!$D$10:'Podcasts'!$D$2535=$B54,Podcasts!$E$10:'Podcasts'!$E$2535),COLUMN(E11)))</f>
        <v>43943</v>
      </c>
      <c r="S54" s="132">
        <f t="array" ref="S54">IF(R54="","",INDEX(Podcasts!$F$10:'Podcasts'!$F$2535,MATCH(R54&amp;$B54,Podcasts!$E$10:'Podcasts'!$E$2535&amp;Podcasts!$D$10:'Podcasts'!$D$2535,0)))</f>
        <v>5.8437499999999996E-2</v>
      </c>
      <c r="T54" s="136" t="str">
        <f t="array" ref="T54">IF(U54="","",INDEX(Podcasts!$J$10:'Podcasts'!$J$2535,MATCH(U54&amp;$B54,Podcasts!$E$10:'Podcasts'!$E$2535&amp;Podcasts!$D$10:'Podcasts'!$D$2535,0)))</f>
        <v>Fan</v>
      </c>
      <c r="U54" s="133">
        <f t="array" ref="U54">IF(COUNTIF(Podcasts!$D$10:'Podcasts'!$D$2535,$B54)&lt;COLUMN(F11),"",SMALL(IF(Podcasts!$D$10:'Podcasts'!$D$2535=$B54,Podcasts!$E$10:'Podcasts'!$E$2535),COLUMN(F11)))</f>
        <v>44178</v>
      </c>
      <c r="V54" s="132">
        <f t="array" ref="V54">IF(U54="","",INDEX(Podcasts!$F$10:'Podcasts'!$F$2535,MATCH(U54&amp;$B54,Podcasts!$E$10:'Podcasts'!$E$2535&amp;Podcasts!$D$10:'Podcasts'!$D$2535,0)))</f>
        <v>6.8761574074074072E-2</v>
      </c>
      <c r="W54" s="136" t="str">
        <f t="array" ref="W54">IF(X54="","",INDEX(Podcasts!$J$10:'Podcasts'!$J$2535,MATCH(X54&amp;$B54,Podcasts!$E$10:'Podcasts'!$E$2535&amp;Podcasts!$D$10:'Podcasts'!$D$2535,0)))</f>
        <v>Zeichen</v>
      </c>
      <c r="X54" s="133">
        <f t="array" ref="X54">IF(COUNTIF(Podcasts!$D$10:'Podcasts'!$D$2535,$B54)&lt;COLUMN(G11),"",SMALL(IF(Podcasts!$D$10:'Podcasts'!$D$2535=$B54,Podcasts!$E$10:'Podcasts'!$E$2535),COLUMN(G11)))</f>
        <v>44191</v>
      </c>
      <c r="Y54" s="132">
        <f t="array" ref="Y54">IF(X54="","",INDEX(Podcasts!$F$10:'Podcasts'!$F$2535,MATCH(X54&amp;$B54,Podcasts!$E$10:'Podcasts'!$E$2535&amp;Podcasts!$D$10:'Podcasts'!$D$2535,0)))</f>
        <v>7.6631944444444447E-2</v>
      </c>
      <c r="Z54" s="136" t="str">
        <f t="array" ref="Z54">IF(AA54="","",INDEX(Podcasts!$J$10:'Podcasts'!$J$2535,MATCH(AA54&amp;$B54,Podcasts!$E$10:'Podcasts'!$E$2535&amp;Podcasts!$D$10:'Podcasts'!$D$2535,0)))</f>
        <v>Abfahrt</v>
      </c>
      <c r="AA54" s="134">
        <f t="array" ref="AA54">IF(COUNTIF(Podcasts!$D$10:'Podcasts'!$D$2535,$B54)&lt;COLUMN(H11),"",SMALL(IF(Podcasts!$D$10:'Podcasts'!$D$2535=$B54,Podcasts!$E$10:'Podcasts'!$E$2535),COLUMN(H11)))</f>
        <v>44274</v>
      </c>
      <c r="AB54" s="404">
        <f t="array" ref="AB54">IF(AA54="","",INDEX(Podcasts!$F$10:'Podcasts'!$F$2535,MATCH(AA54&amp;$B54,Podcasts!$E$10:'Podcasts'!$E$2535&amp;Podcasts!$D$10:'Podcasts'!$D$2535,0)))</f>
        <v>7.2928240740740738E-2</v>
      </c>
      <c r="AC54" s="406" t="str">
        <f t="array" ref="AC54">IF(AD54="","",INDEX(Podcasts!$J$10:'Podcasts'!$J$2535,MATCH(AD54&amp;$B54,Podcasts!$E$10:'Podcasts'!$E$2535&amp;Podcasts!$D$10:'Podcasts'!$D$2535,0)))</f>
        <v>Rose</v>
      </c>
      <c r="AD54" s="400">
        <f t="array" ref="AD54">IF(COUNTIF(Podcasts!$D$10:'Podcasts'!$D$2535,$B54)&lt;COLUMN(I11),"",SMALL(IF(Podcasts!$D$10:'Podcasts'!$D$2535=$B54,Podcasts!$E$10:'Podcasts'!$E$2535),COLUMN(I11)))</f>
        <v>44289</v>
      </c>
      <c r="AE54" s="401">
        <f t="array" ref="AE54">IF(AD54="","",INDEX(Podcasts!$F$10:'Podcasts'!$F$2535,MATCH(AD54&amp;$B54,Podcasts!$E$10:'Podcasts'!$E$2535&amp;Podcasts!$D$10:'Podcasts'!$D$2535,0)))</f>
        <v>2.8703703703703703E-2</v>
      </c>
      <c r="AF54" s="406" t="str">
        <f t="array" ref="AF54">IF(AG54="","",INDEX(Podcasts!$J$10:'Podcasts'!$J$2535,MATCH(AG54&amp;$B54,Podcasts!$E$10:'Podcasts'!$E$2535&amp;Podcasts!$D$10:'Podcasts'!$D$2535,0)))</f>
        <v>Verstärker</v>
      </c>
      <c r="AG54" s="400">
        <f t="array" ref="AG54">IF(COUNTIF(Podcasts!$D$10:'Podcasts'!$D$2535,$B54)&lt;COLUMN(J11),"",SMALL(IF(Podcasts!$D$10:'Podcasts'!$D$2535=$B54,Podcasts!$E$10:'Podcasts'!$E$2535),COLUMN(J11)))</f>
        <v>44564</v>
      </c>
      <c r="AH54" s="401">
        <f t="array" ref="AH54">IF(AG54="","",INDEX(Podcasts!$F$10:'Podcasts'!$F$2535,MATCH(AG54&amp;$B54,Podcasts!$E$10:'Podcasts'!$E$2535&amp;Podcasts!$D$10:'Podcasts'!$D$2535,0)))</f>
        <v>2.4120370370370372E-2</v>
      </c>
      <c r="AI54" s="406" t="str">
        <f t="array" ref="AI54">IF(AJ54="","",INDEX(Podcasts!$J$10:'Podcasts'!$J$2535,MATCH(AJ54&amp;$B54,Podcasts!$E$10:'Podcasts'!$E$2535&amp;Podcasts!$D$10:'Podcasts'!$D$2535,0)))</f>
        <v>Kaffee</v>
      </c>
      <c r="AJ54" s="400">
        <f t="array" ref="AJ54">IF(COUNTIF(Podcasts!$D$10:'Podcasts'!$D$2535,$B54)&lt;COLUMN(K11),"",SMALL(IF(Podcasts!$D$10:'Podcasts'!$D$2535=$B54,Podcasts!$E$10:'Podcasts'!$E$2535),COLUMN(K11)))</f>
        <v>44638</v>
      </c>
      <c r="AK54" s="401">
        <f t="array" ref="AK54">IF(AJ54="","",INDEX(Podcasts!$F$10:'Podcasts'!$F$2535,MATCH(AJ54&amp;$B54,Podcasts!$E$10:'Podcasts'!$E$2535&amp;Podcasts!$D$10:'Podcasts'!$D$2535,0)))</f>
        <v>3.0300925925925926E-2</v>
      </c>
      <c r="AL54" s="406" t="str">
        <f t="array" ref="AL54">IF(AM54="","",INDEX(Podcasts!$J$10:'Podcasts'!$J$2535,MATCH(AM54&amp;$B54,Podcasts!$E$10:'Podcasts'!$E$2535&amp;Podcasts!$D$10:'Podcasts'!$D$2535,0)))</f>
        <v>Kuchen</v>
      </c>
      <c r="AM54" s="400">
        <f t="array" ref="AM54">IF(COUNTIF(Podcasts!$D$10:'Podcasts'!$D$2535,$B54)&lt;COLUMN(L11),"",SMALL(IF(Podcasts!$D$10:'Podcasts'!$D$2535=$B54,Podcasts!$E$10:'Podcasts'!$E$2535),COLUMN(L11)))</f>
        <v>44696.000706018516</v>
      </c>
      <c r="AN54" s="401">
        <f t="array" ref="AN54">IF(AM54="","",INDEX(Podcasts!$F$10:'Podcasts'!$F$2535,MATCH(AM54&amp;$B54,Podcasts!$E$10:'Podcasts'!$E$2535&amp;Podcasts!$D$10:'Podcasts'!$D$2535,0)))</f>
        <v>8.2789351851851864E-2</v>
      </c>
      <c r="AO54" s="402"/>
      <c r="AP54" s="119" t="str">
        <f t="array" aca="1" ref="AP54" ca="1">IFERROR(SMALL(IF(COUNTIF(Podcasts!$D$1:'Podcasts'!$D$2565,ROW(INDIRECT("1:"&amp;K$2)))=0,ROW(INDIRECT("1:"&amp;K$2))),ROW($A11)),"")</f>
        <v/>
      </c>
      <c r="AQ54" s="117">
        <f t="array" aca="1" ref="AQ54" ca="1">IFERROR(SMALL(IF(COUNTIF(Podcasts!$D$10:'Podcasts'!$D$107,ROW(INDIRECT("1:"&amp;K$2)))=0,ROW(INDIRECT("1:"&amp;K$2))),ROW($A11)),"")</f>
        <v>20</v>
      </c>
      <c r="AR54" s="117">
        <f t="array" aca="1" ref="AR54" ca="1">IFERROR(SMALL(IF(COUNTIF(Podcasts!$D$113:'Podcasts'!$D$238,ROW(INDIRECT("1:"&amp;K$2)))=0,ROW(INDIRECT("1:"&amp;K$2))),ROW($A11)),"")</f>
        <v>11</v>
      </c>
      <c r="AS54" s="117">
        <f t="array" aca="1" ref="AS54" ca="1">IFERROR(SMALL(IF(COUNTIF(Podcasts!$D$244:'Podcasts'!$D$299,ROW(INDIRECT("1:"&amp;K$2)))=0,ROW(INDIRECT("1:"&amp;K$2))),ROW($A11)),"")</f>
        <v>27</v>
      </c>
      <c r="AT54" s="117">
        <f t="array" aca="1" ref="AT54" ca="1">IFERROR(SMALL(IF(COUNTIF(Podcasts!$D$305:'Podcasts'!$D$473,ROW(INDIRECT("1:"&amp;K$2)))=0,ROW(INDIRECT("1:"&amp;K$2))),ROW($A11)),"")</f>
        <v>130</v>
      </c>
      <c r="AU54" s="117">
        <f t="array" aca="1" ref="AU54" ca="1">IFERROR(SMALL(IF(COUNTIF(Podcasts!$D$479:'Podcasts'!$D$488,ROW(INDIRECT("1:"&amp;K$2)))=0,ROW(INDIRECT("1:"&amp;K$2))),ROW($A11)),"")</f>
        <v>11</v>
      </c>
      <c r="AV54" s="117">
        <f t="array" aca="1" ref="AV54" ca="1">IFERROR(SMALL(IF(COUNTIF(Podcasts!$D$494:'Podcasts'!$D$518,ROW(INDIRECT("1:"&amp;K$2)))=0,ROW(INDIRECT("1:"&amp;K$2))),ROW($A11)),"")</f>
        <v>25</v>
      </c>
      <c r="AW54" s="117">
        <f t="array" aca="1" ref="AW54" ca="1">IFERROR(SMALL(IF(COUNTIF(Podcasts!$D$524:'Podcasts'!$D$532,ROW(INDIRECT("1:"&amp;K$2)))=0,ROW(INDIRECT("1:"&amp;K$2))),ROW($A11)),"")</f>
        <v>11</v>
      </c>
      <c r="AX54" s="117">
        <f t="array" aca="1" ref="AX54" ca="1">IFERROR(SMALL(IF(COUNTIF(Podcasts!$D$538:'Podcasts'!$D$909,ROW(INDIRECT("1:"&amp;K$2)))=0,ROW(INDIRECT("1:"&amp;K$2))),ROW($A11)),"")</f>
        <v>26</v>
      </c>
      <c r="AY54" s="117">
        <f t="array" aca="1" ref="AY54" ca="1">IFERROR(SMALL(IF(COUNTIF(Podcasts!$D$915:'Podcasts'!$D$981,ROW(INDIRECT("1:"&amp;K$2)))=0,ROW(INDIRECT("1:"&amp;K$2))),ROW($A11)),"")</f>
        <v>20</v>
      </c>
      <c r="AZ54" s="445"/>
      <c r="BA54" s="117">
        <f t="array" aca="1" ref="BA54" ca="1">IFERROR(SMALL(IF(COUNTIF(Podcasts!$D$1001:'Podcasts'!$D$1251,ROW(INDIRECT("1:"&amp;K$2)))=0,ROW(INDIRECT("1:"&amp;K$2))),ROW($A11)),"")</f>
        <v>24</v>
      </c>
      <c r="BB54" s="117">
        <f t="array" aca="1" ref="BB54" ca="1">IFERROR(SMALL(IF(COUNTIF(Podcasts!$D$1257:'Podcasts'!$D$1267,ROW(INDIRECT("1:"&amp;K$2)))=0,ROW(INDIRECT("1:"&amp;K$2))),ROW($A11)),"")</f>
        <v>11</v>
      </c>
      <c r="BC54" s="117">
        <f t="array" aca="1" ref="BC54" ca="1">IFERROR(SMALL(IF(COUNTIF(Podcasts!$D$1273:'Podcasts'!$D$1283,ROW(INDIRECT("1:"&amp;K$2)))=0,ROW(INDIRECT("1:"&amp;K$2))),ROW($A11)),"")</f>
        <v>13</v>
      </c>
      <c r="BD54" s="117">
        <f t="array" aca="1" ref="BD54" ca="1">IFERROR(SMALL(IF(COUNTIF(Podcasts!$D$1289:'Podcasts'!$D$1295,ROW(INDIRECT("1:"&amp;K$2)))=0,ROW(INDIRECT("1:"&amp;K$2))),ROW($A11)),"")</f>
        <v>13</v>
      </c>
      <c r="BE54" s="117">
        <f t="array" aca="1" ref="BE54" ca="1">IFERROR(SMALL(IF(COUNTIF(Podcasts!$D$1301:'Podcasts'!$D$1356,ROW(INDIRECT("1:"&amp;K$2)))=0,ROW(INDIRECT("1:"&amp;K$2))),ROW($A11)),"")</f>
        <v>58</v>
      </c>
      <c r="BF54" s="117">
        <f t="array" aca="1" ref="BF54" ca="1">IFERROR(SMALL(IF(COUNTIF(Podcasts!$D$1362:'Podcasts'!$D$1364,ROW(INDIRECT("1:"&amp;K$2)))=0,ROW(INDIRECT("1:"&amp;K$2))),ROW($A11)),"")</f>
        <v>14</v>
      </c>
      <c r="BG54" s="202">
        <f t="array" aca="1" ref="BG54" ca="1">IFERROR(SMALL(IF(COUNTIF(Podcasts!$D$1370:'Podcasts'!$D$1419,ROW(INDIRECT("1:"&amp;K$2)))=0,ROW(INDIRECT("1:"&amp;K$2))),ROW($A11)),"")</f>
        <v>13</v>
      </c>
      <c r="BH54" s="202">
        <f t="array" aca="1" ref="BH54" ca="1">IFERROR(SMALL(IF(COUNTIF(Podcasts!$D$1425:'Podcasts'!$D$1446,ROW(INDIRECT("1:"&amp;K$2)))=0,ROW(INDIRECT("1:"&amp;K$2))),ROW($A11)),"")</f>
        <v>14</v>
      </c>
      <c r="BI54" s="202">
        <f t="array" aca="1" ref="BI54" ca="1">IFERROR(SMALL(IF(COUNTIF(Podcasts!$D$1452:'Podcasts'!$D$1574,ROW(INDIRECT("1:"&amp;K$2)))=0,ROW(INDIRECT("1:"&amp;K$2))),ROW($A11)),"")</f>
        <v>30</v>
      </c>
      <c r="BJ54" s="202">
        <f t="array" aca="1" ref="BJ54" ca="1">IFERROR(SMALL(IF(COUNTIF(Podcasts!$D$1580:'Podcasts'!$D$1705,ROW(INDIRECT("1:"&amp;K$2)))=0,ROW(INDIRECT("1:"&amp;K$2))),ROW($A11)),"")</f>
        <v>19</v>
      </c>
      <c r="BK54" s="202">
        <f t="array" aca="1" ref="BK54" ca="1">IFERROR(SMALL(IF(COUNTIF(Podcasts!$D$1711:'Podcasts'!$D$1833,ROW(INDIRECT("1:"&amp;K$2)))=0,ROW(INDIRECT("1:"&amp;K$2))),ROW($A11)),"")</f>
        <v>51</v>
      </c>
      <c r="BL54" s="202">
        <f t="array" aca="1" ref="BL54" ca="1">IFERROR(SMALL(IF(COUNTIF(Podcasts!$D$1839:'Podcasts'!$D$1855,ROW(INDIRECT("1:"&amp;K$2)))=0,ROW(INDIRECT("1:"&amp;K$2))),ROW($A11)),"")</f>
        <v>12</v>
      </c>
      <c r="BM54" s="567">
        <f t="array" aca="1" ref="BM54" ca="1">IFERROR(SMALL(IF(COUNTIF(Podcasts!$D$1861:'Podcasts'!$D$1994,ROW(INDIRECT("1:"&amp;K$2)))=0,ROW(INDIRECT("1:"&amp;K$2))),ROW($A11)),"")</f>
        <v>11</v>
      </c>
      <c r="BN54" s="567">
        <f t="array" aca="1" ref="BN54" ca="1">IFERROR(SMALL(IF(COUNTIF(Podcasts!$D$2000:'Podcasts'!$D$2057,ROW(INDIRECT("1:"&amp;K$2)))=0,ROW(INDIRECT("1:"&amp;K$2))),ROW($A11)),"")</f>
        <v>66</v>
      </c>
      <c r="BO54" s="567">
        <f t="array" aca="1" ref="BO54" ca="1">IFERROR(SMALL(IF(COUNTIF(Podcasts!$D$2063:'Podcasts'!$D$2071,ROW(INDIRECT("1:"&amp;K$2)))=0,ROW(INDIRECT("1:"&amp;K$2))),ROW($A11)),"")</f>
        <v>11</v>
      </c>
      <c r="BP54" s="202">
        <f t="array" aca="1" ref="BP54" ca="1">IFERROR(SMALL(IF(COUNTIF(Podcasts!$D$2077:'Podcasts'!$D$2092,ROW(INDIRECT("1:"&amp;K$2)))=0,ROW(INDIRECT("1:"&amp;K$2))),ROW($A11)),"")</f>
        <v>13</v>
      </c>
      <c r="BQ54" s="741">
        <f t="array" aca="1" ref="BQ54" ca="1">IFERROR(SMALL(IF(COUNTIF(Podcasts!$D$2098:'Podcasts'!$D$2114,ROW(INDIRECT("1:"&amp;K$2)))=0,ROW(INDIRECT("1:"&amp;K$2))),ROW($A11)),"")</f>
        <v>13</v>
      </c>
      <c r="BR54" s="744">
        <f t="array" aca="1" ref="BR54" ca="1">IFERROR(SMALL(IF(COUNTIF(Podcasts!$D$2120:'Podcasts'!$D$2124,ROW(INDIRECT("1:"&amp;K$2)))=0,ROW(INDIRECT("1:"&amp;K$2))),ROW($A11)),"")</f>
        <v>13</v>
      </c>
      <c r="BS54" s="28"/>
    </row>
    <row r="55" spans="1:71" outlineLevel="1">
      <c r="A55" s="28"/>
      <c r="B55" s="161">
        <v>12</v>
      </c>
      <c r="C55" s="161">
        <f>COUNTIF(Podcasts!$D$10:'Podcasts'!$D$2535,B55)-1</f>
        <v>11</v>
      </c>
      <c r="D55" s="158" t="s">
        <v>1040</v>
      </c>
      <c r="E55" s="156" t="str">
        <f t="array" ref="E55">IF(F55="","",INDEX(Podcasts!$J$10:'Podcasts'!$J$2535,MATCH(F55&amp;$B55,Podcasts!$E$10:'Podcasts'!$E$2535&amp;Podcasts!$D$10:'Podcasts'!$D$2535,0)))</f>
        <v>???od</v>
      </c>
      <c r="F55" s="131">
        <f t="array" ref="F55">IF(COUNTIF(Podcasts!$D$10:'Podcasts'!$D$2535,$B55)&lt;COLUMN(A12),"",SMALL(IF(Podcasts!$D$10:'Podcasts'!$D$2535=$B55,Podcasts!$E$10:'Podcasts'!$E$2535),COLUMN(A12)))</f>
        <v>40905</v>
      </c>
      <c r="G55" s="132">
        <f t="array" ref="G55">IF(F55="","",INDEX(Podcasts!$F$10:'Podcasts'!$F$2535,MATCH(F55&amp;$B55,Podcasts!$E$10:'Podcasts'!$E$2535&amp;Podcasts!$D$10:'Podcasts'!$D$2535,0)))</f>
        <v>3.2812500000000001E-2</v>
      </c>
      <c r="H55" s="136" t="str">
        <f t="array" ref="H55">IF(I55="","",INDEX(Podcasts!$J$10:'Podcasts'!$J$2535,MATCH(I55&amp;$B55,Podcasts!$E$10:'Podcasts'!$E$2535&amp;Podcasts!$D$10:'Podcasts'!$D$2535,0)))</f>
        <v>Fürst</v>
      </c>
      <c r="I55" s="133">
        <f t="array" ref="I55">IF(COUNTIF(Podcasts!$D$10:'Podcasts'!$D$2535,$B55)&lt;COLUMN(B12),"",SMALL(IF(Podcasts!$D$10:'Podcasts'!$D$2535=$B55,Podcasts!$E$10:'Podcasts'!$E$2535),COLUMN(B12)))</f>
        <v>41980</v>
      </c>
      <c r="J55" s="132">
        <f t="array" ref="J55">IF(I55="","",INDEX(Podcasts!$F$10:'Podcasts'!$F$2535,MATCH(I55&amp;$B55,Podcasts!$E$10:'Podcasts'!$E$2535&amp;Podcasts!$D$10:'Podcasts'!$D$2535,0)))</f>
        <v>7.4074074074074068E-3</v>
      </c>
      <c r="K55" s="136" t="str">
        <f t="array" ref="K55">IF(L55="","",INDEX(Podcasts!$J$10:'Podcasts'!$J$2535,MATCH(L55&amp;$B55,Podcasts!$E$10:'Podcasts'!$E$2535&amp;Podcasts!$D$10:'Podcasts'!$D$2535,0)))</f>
        <v>Talker</v>
      </c>
      <c r="L55" s="133">
        <f t="array" ref="L55">IF(COUNTIF(Podcasts!$D$10:'Podcasts'!$D$2535,$B55)&lt;COLUMN(C12),"",SMALL(IF(Podcasts!$D$10:'Podcasts'!$D$2535=$B55,Podcasts!$E$10:'Podcasts'!$E$2535),COLUMN(C12)))</f>
        <v>43211</v>
      </c>
      <c r="M55" s="132">
        <f t="array" ref="M55">IF(L55="","",INDEX(Podcasts!$F$10:'Podcasts'!$F$2535,MATCH(L55&amp;$B55,Podcasts!$E$10:'Podcasts'!$E$2535&amp;Podcasts!$D$10:'Podcasts'!$D$2535,0)))</f>
        <v>2.4502314814814814E-2</v>
      </c>
      <c r="N55" s="136" t="str">
        <f t="array" ref="N55">IF(O55="","",INDEX(Podcasts!$J$10:'Podcasts'!$J$2535,MATCH(O55&amp;$B55,Podcasts!$E$10:'Podcasts'!$E$2535&amp;Podcasts!$D$10:'Podcasts'!$D$2535,0)))</f>
        <v>Kaffee</v>
      </c>
      <c r="O55" s="133">
        <f t="array" ref="O55">IF(COUNTIF(Podcasts!$D$10:'Podcasts'!$D$2535,$B55)&lt;COLUMN(D12),"",SMALL(IF(Podcasts!$D$10:'Podcasts'!$D$2535=$B55,Podcasts!$E$10:'Podcasts'!$E$2535),COLUMN(D12)))</f>
        <v>44196</v>
      </c>
      <c r="P55" s="132">
        <f t="array" ref="P55">IF(O55="","",INDEX(Podcasts!$F$10:'Podcasts'!$F$2535,MATCH(O55&amp;$B55,Podcasts!$E$10:'Podcasts'!$E$2535&amp;Podcasts!$D$10:'Podcasts'!$D$2535,0)))</f>
        <v>2.359953703703704E-2</v>
      </c>
      <c r="Q55" s="136" t="str">
        <f t="array" ref="Q55">IF(R55="","",INDEX(Podcasts!$J$10:'Podcasts'!$J$2535,MATCH(R55&amp;$B55,Podcasts!$E$10:'Podcasts'!$E$2535&amp;Podcasts!$D$10:'Podcasts'!$D$2535,0)))</f>
        <v>Abfahrt</v>
      </c>
      <c r="R55" s="133">
        <f t="array" ref="R55">IF(COUNTIF(Podcasts!$D$10:'Podcasts'!$D$2535,$B55)&lt;COLUMN(E12),"",SMALL(IF(Podcasts!$D$10:'Podcasts'!$D$2535=$B55,Podcasts!$E$10:'Podcasts'!$E$2535),COLUMN(E12)))</f>
        <v>44302</v>
      </c>
      <c r="S55" s="132">
        <f t="array" ref="S55">IF(R55="","",INDEX(Podcasts!$F$10:'Podcasts'!$F$2535,MATCH(R55&amp;$B55,Podcasts!$E$10:'Podcasts'!$E$2535&amp;Podcasts!$D$10:'Podcasts'!$D$2535,0)))</f>
        <v>6.0925925925925932E-2</v>
      </c>
      <c r="T55" s="136" t="str">
        <f t="array" ref="T55">IF(U55="","",INDEX(Podcasts!$J$10:'Podcasts'!$J$2535,MATCH(U55&amp;$B55,Podcasts!$E$10:'Podcasts'!$E$2535&amp;Podcasts!$D$10:'Podcasts'!$D$2535,0)))</f>
        <v>Verstärker</v>
      </c>
      <c r="U55" s="133">
        <f t="array" ref="U55">IF(COUNTIF(Podcasts!$D$10:'Podcasts'!$D$2535,$B55)&lt;COLUMN(F12),"",SMALL(IF(Podcasts!$D$10:'Podcasts'!$D$2535=$B55,Podcasts!$E$10:'Podcasts'!$E$2535),COLUMN(F12)))</f>
        <v>44564</v>
      </c>
      <c r="V55" s="132">
        <f t="array" ref="V55">IF(U55="","",INDEX(Podcasts!$F$10:'Podcasts'!$F$2535,MATCH(U55&amp;$B55,Podcasts!$E$10:'Podcasts'!$E$2535&amp;Podcasts!$D$10:'Podcasts'!$D$2535,0)))</f>
        <v>2.1921296296296296E-2</v>
      </c>
      <c r="W55" s="136" t="str">
        <f t="array" ref="W55">IF(X55="","",INDEX(Podcasts!$J$10:'Podcasts'!$J$2535,MATCH(X55&amp;$B55,Podcasts!$E$10:'Podcasts'!$E$2535&amp;Podcasts!$D$10:'Podcasts'!$D$2535,0)))</f>
        <v>Bobcast</v>
      </c>
      <c r="X55" s="133">
        <f t="array" ref="X55">IF(COUNTIF(Podcasts!$D$10:'Podcasts'!$D$2535,$B55)&lt;COLUMN(G12),"",SMALL(IF(Podcasts!$D$10:'Podcasts'!$D$2535=$B55,Podcasts!$E$10:'Podcasts'!$E$2535),COLUMN(G12)))</f>
        <v>44760.001030092593</v>
      </c>
      <c r="Y55" s="132">
        <f t="array" ref="Y55">IF(X55="","",INDEX(Podcasts!$F$10:'Podcasts'!$F$2535,MATCH(X55&amp;$B55,Podcasts!$E$10:'Podcasts'!$E$2535&amp;Podcasts!$D$10:'Podcasts'!$D$2535,0)))</f>
        <v>2.4872685185185189E-2</v>
      </c>
      <c r="Z55" s="136" t="str">
        <f t="array" ref="Z55">IF(AA55="","",INDEX(Podcasts!$J$10:'Podcasts'!$J$2535,MATCH(AA55&amp;$B55,Podcasts!$E$10:'Podcasts'!$E$2535&amp;Podcasts!$D$10:'Podcasts'!$D$2535,0)))</f>
        <v>Zentrale</v>
      </c>
      <c r="AA55" s="134">
        <f t="array" ref="AA55">IF(COUNTIF(Podcasts!$D$10:'Podcasts'!$D$2535,$B55)&lt;COLUMN(H12),"",SMALL(IF(Podcasts!$D$10:'Podcasts'!$D$2535=$B55,Podcasts!$E$10:'Podcasts'!$E$2535),COLUMN(H12)))</f>
        <v>44820</v>
      </c>
      <c r="AB55" s="404">
        <f t="array" ref="AB55">IF(AA55="","",INDEX(Podcasts!$F$10:'Podcasts'!$F$2535,MATCH(AA55&amp;$B55,Podcasts!$E$10:'Podcasts'!$E$2535&amp;Podcasts!$D$10:'Podcasts'!$D$2535,0)))</f>
        <v>0.1386111111111111</v>
      </c>
      <c r="AC55" s="406" t="str">
        <f t="array" ref="AC55">IF(AD55="","",INDEX(Podcasts!$J$10:'Podcasts'!$J$2535,MATCH(AD55&amp;$B55,Podcasts!$E$10:'Podcasts'!$E$2535&amp;Podcasts!$D$10:'Podcasts'!$D$2535,0)))</f>
        <v>Kuchen</v>
      </c>
      <c r="AD55" s="400">
        <f t="array" ref="AD55">IF(COUNTIF(Podcasts!$D$10:'Podcasts'!$D$2535,$B55)&lt;COLUMN(I12),"",SMALL(IF(Podcasts!$D$10:'Podcasts'!$D$2535=$B55,Podcasts!$E$10:'Podcasts'!$E$2535),COLUMN(I12)))</f>
        <v>44836</v>
      </c>
      <c r="AE55" s="401">
        <f t="array" ref="AE55">IF(AD55="","",INDEX(Podcasts!$F$10:'Podcasts'!$F$2535,MATCH(AD55&amp;$B55,Podcasts!$E$10:'Podcasts'!$E$2535&amp;Podcasts!$D$10:'Podcasts'!$D$2535,0)))</f>
        <v>6.9490740740740742E-2</v>
      </c>
      <c r="AF55" s="406" t="str">
        <f t="array" ref="AF55">IF(AG55="","",INDEX(Podcasts!$J$10:'Podcasts'!$J$2535,MATCH(AG55&amp;$B55,Podcasts!$E$10:'Podcasts'!$E$2535&amp;Podcasts!$D$10:'Podcasts'!$D$2535,0)))</f>
        <v>RBW</v>
      </c>
      <c r="AG55" s="400">
        <f t="array" ref="AG55">IF(COUNTIF(Podcasts!$D$10:'Podcasts'!$D$2535,$B55)&lt;COLUMN(J12),"",SMALL(IF(Podcasts!$D$10:'Podcasts'!$D$2535=$B55,Podcasts!$E$10:'Podcasts'!$E$2535),COLUMN(J12)))</f>
        <v>44896</v>
      </c>
      <c r="AH55" s="401">
        <f t="array" ref="AH55">IF(AG55="","",INDEX(Podcasts!$F$10:'Podcasts'!$F$2535,MATCH(AG55&amp;$B55,Podcasts!$E$10:'Podcasts'!$E$2535&amp;Podcasts!$D$10:'Podcasts'!$D$2535,0)))</f>
        <v>4.8182870370370369E-2</v>
      </c>
      <c r="AI55" s="406" t="str">
        <f t="array" ref="AI55">IF(AJ55="","",INDEX(Podcasts!$J$10:'Podcasts'!$J$2535,MATCH(AJ55&amp;$B55,Podcasts!$E$10:'Podcasts'!$E$2535&amp;Podcasts!$D$10:'Podcasts'!$D$2535,0)))</f>
        <v>SSP</v>
      </c>
      <c r="AJ55" s="400">
        <f t="array" ref="AJ55">IF(COUNTIF(Podcasts!$D$10:'Podcasts'!$D$2535,$B55)&lt;COLUMN(K12),"",SMALL(IF(Podcasts!$D$10:'Podcasts'!$D$2535=$B55,Podcasts!$E$10:'Podcasts'!$E$2535),COLUMN(K12)))</f>
        <v>45229</v>
      </c>
      <c r="AK55" s="401">
        <f t="array" ref="AK55">IF(AJ55="","",INDEX(Podcasts!$F$10:'Podcasts'!$F$2535,MATCH(AJ55&amp;$B55,Podcasts!$E$10:'Podcasts'!$E$2535&amp;Podcasts!$D$10:'Podcasts'!$D$2535,0)))</f>
        <v>0.1153125</v>
      </c>
      <c r="AL55" s="406" t="str">
        <f t="array" ref="AL55">IF(AM55="","",INDEX(Podcasts!$J$10:'Podcasts'!$J$2535,MATCH(AM55&amp;$B55,Podcasts!$E$10:'Podcasts'!$E$2535&amp;Podcasts!$D$10:'Podcasts'!$D$2535,0)))</f>
        <v>Schrott</v>
      </c>
      <c r="AM55" s="400">
        <f t="array" ref="AM55">IF(COUNTIF(Podcasts!$D$10:'Podcasts'!$D$2535,$B55)&lt;COLUMN(L12),"",SMALL(IF(Podcasts!$D$10:'Podcasts'!$D$2535=$B55,Podcasts!$E$10:'Podcasts'!$E$2535),COLUMN(L12)))</f>
        <v>46022</v>
      </c>
      <c r="AN55" s="401">
        <f t="array" ref="AN55">IF(AM55="","",INDEX(Podcasts!$F$10:'Podcasts'!$F$2535,MATCH(AM55&amp;$B55,Podcasts!$E$10:'Podcasts'!$E$2535&amp;Podcasts!$D$10:'Podcasts'!$D$2535,0)))</f>
        <v>0</v>
      </c>
      <c r="AO55" s="402"/>
      <c r="AP55" s="119" t="str">
        <f t="array" aca="1" ref="AP55" ca="1">IFERROR(SMALL(IF(COUNTIF(Podcasts!$D$1:'Podcasts'!$D$2565,ROW(INDIRECT("1:"&amp;K$2)))=0,ROW(INDIRECT("1:"&amp;K$2))),ROW($A12)),"")</f>
        <v/>
      </c>
      <c r="AQ55" s="117">
        <f t="array" aca="1" ref="AQ55" ca="1">IFERROR(SMALL(IF(COUNTIF(Podcasts!$D$10:'Podcasts'!$D$107,ROW(INDIRECT("1:"&amp;K$2)))=0,ROW(INDIRECT("1:"&amp;K$2))),ROW($A12)),"")</f>
        <v>22</v>
      </c>
      <c r="AR55" s="117">
        <f t="array" aca="1" ref="AR55" ca="1">IFERROR(SMALL(IF(COUNTIF(Podcasts!$D$113:'Podcasts'!$D$238,ROW(INDIRECT("1:"&amp;K$2)))=0,ROW(INDIRECT("1:"&amp;K$2))),ROW($A12)),"")</f>
        <v>12</v>
      </c>
      <c r="AS55" s="117">
        <f t="array" aca="1" ref="AS55" ca="1">IFERROR(SMALL(IF(COUNTIF(Podcasts!$D$244:'Podcasts'!$D$299,ROW(INDIRECT("1:"&amp;K$2)))=0,ROW(INDIRECT("1:"&amp;K$2))),ROW($A12)),"")</f>
        <v>28</v>
      </c>
      <c r="AT55" s="117">
        <f t="array" aca="1" ref="AT55" ca="1">IFERROR(SMALL(IF(COUNTIF(Podcasts!$D$305:'Podcasts'!$D$473,ROW(INDIRECT("1:"&amp;K$2)))=0,ROW(INDIRECT("1:"&amp;K$2))),ROW($A12)),"")</f>
        <v>132</v>
      </c>
      <c r="AU55" s="117">
        <f t="array" aca="1" ref="AU55" ca="1">IFERROR(SMALL(IF(COUNTIF(Podcasts!$D$479:'Podcasts'!$D$488,ROW(INDIRECT("1:"&amp;K$2)))=0,ROW(INDIRECT("1:"&amp;K$2))),ROW($A12)),"")</f>
        <v>12</v>
      </c>
      <c r="AV55" s="117">
        <f t="array" aca="1" ref="AV55" ca="1">IFERROR(SMALL(IF(COUNTIF(Podcasts!$D$494:'Podcasts'!$D$518,ROW(INDIRECT("1:"&amp;K$2)))=0,ROW(INDIRECT("1:"&amp;K$2))),ROW($A12)),"")</f>
        <v>26</v>
      </c>
      <c r="AW55" s="117">
        <f t="array" aca="1" ref="AW55" ca="1">IFERROR(SMALL(IF(COUNTIF(Podcasts!$D$524:'Podcasts'!$D$532,ROW(INDIRECT("1:"&amp;K$2)))=0,ROW(INDIRECT("1:"&amp;K$2))),ROW($A12)),"")</f>
        <v>12</v>
      </c>
      <c r="AX55" s="117">
        <f t="array" aca="1" ref="AX55" ca="1">IFERROR(SMALL(IF(COUNTIF(Podcasts!$D$538:'Podcasts'!$D$909,ROW(INDIRECT("1:"&amp;K$2)))=0,ROW(INDIRECT("1:"&amp;K$2))),ROW($A12)),"")</f>
        <v>28</v>
      </c>
      <c r="AY55" s="117">
        <f t="array" aca="1" ref="AY55" ca="1">IFERROR(SMALL(IF(COUNTIF(Podcasts!$D$915:'Podcasts'!$D$981,ROW(INDIRECT("1:"&amp;K$2)))=0,ROW(INDIRECT("1:"&amp;K$2))),ROW($A12)),"")</f>
        <v>23</v>
      </c>
      <c r="AZ55" s="445"/>
      <c r="BA55" s="117">
        <f t="array" aca="1" ref="BA55" ca="1">IFERROR(SMALL(IF(COUNTIF(Podcasts!$D$1001:'Podcasts'!$D$1251,ROW(INDIRECT("1:"&amp;K$2)))=0,ROW(INDIRECT("1:"&amp;K$2))),ROW($A12)),"")</f>
        <v>25</v>
      </c>
      <c r="BB55" s="117">
        <f t="array" aca="1" ref="BB55" ca="1">IFERROR(SMALL(IF(COUNTIF(Podcasts!$D$1257:'Podcasts'!$D$1267,ROW(INDIRECT("1:"&amp;K$2)))=0,ROW(INDIRECT("1:"&amp;K$2))),ROW($A12)),"")</f>
        <v>12</v>
      </c>
      <c r="BC55" s="117">
        <f t="array" aca="1" ref="BC55" ca="1">IFERROR(SMALL(IF(COUNTIF(Podcasts!$D$1273:'Podcasts'!$D$1283,ROW(INDIRECT("1:"&amp;K$2)))=0,ROW(INDIRECT("1:"&amp;K$2))),ROW($A12)),"")</f>
        <v>14</v>
      </c>
      <c r="BD55" s="117">
        <f t="array" aca="1" ref="BD55" ca="1">IFERROR(SMALL(IF(COUNTIF(Podcasts!$D$1289:'Podcasts'!$D$1295,ROW(INDIRECT("1:"&amp;K$2)))=0,ROW(INDIRECT("1:"&amp;K$2))),ROW($A12)),"")</f>
        <v>14</v>
      </c>
      <c r="BE55" s="117">
        <f t="array" aca="1" ref="BE55" ca="1">IFERROR(SMALL(IF(COUNTIF(Podcasts!$D$1301:'Podcasts'!$D$1356,ROW(INDIRECT("1:"&amp;K$2)))=0,ROW(INDIRECT("1:"&amp;K$2))),ROW($A12)),"")</f>
        <v>59</v>
      </c>
      <c r="BF55" s="117">
        <f t="array" aca="1" ref="BF55" ca="1">IFERROR(SMALL(IF(COUNTIF(Podcasts!$D$1362:'Podcasts'!$D$1364,ROW(INDIRECT("1:"&amp;K$2)))=0,ROW(INDIRECT("1:"&amp;K$2))),ROW($A12)),"")</f>
        <v>15</v>
      </c>
      <c r="BG55" s="202">
        <f t="array" aca="1" ref="BG55" ca="1">IFERROR(SMALL(IF(COUNTIF(Podcasts!$D$1370:'Podcasts'!$D$1419,ROW(INDIRECT("1:"&amp;K$2)))=0,ROW(INDIRECT("1:"&amp;K$2))),ROW($A12)),"")</f>
        <v>15</v>
      </c>
      <c r="BH55" s="202">
        <f t="array" aca="1" ref="BH55" ca="1">IFERROR(SMALL(IF(COUNTIF(Podcasts!$D$1425:'Podcasts'!$D$1446,ROW(INDIRECT("1:"&amp;K$2)))=0,ROW(INDIRECT("1:"&amp;K$2))),ROW($A12)),"")</f>
        <v>15</v>
      </c>
      <c r="BI55" s="202">
        <f t="array" aca="1" ref="BI55" ca="1">IFERROR(SMALL(IF(COUNTIF(Podcasts!$D$1452:'Podcasts'!$D$1574,ROW(INDIRECT("1:"&amp;K$2)))=0,ROW(INDIRECT("1:"&amp;K$2))),ROW($A12)),"")</f>
        <v>31</v>
      </c>
      <c r="BJ55" s="202">
        <f t="array" aca="1" ref="BJ55" ca="1">IFERROR(SMALL(IF(COUNTIF(Podcasts!$D$1580:'Podcasts'!$D$1705,ROW(INDIRECT("1:"&amp;K$2)))=0,ROW(INDIRECT("1:"&amp;K$2))),ROW($A12)),"")</f>
        <v>20</v>
      </c>
      <c r="BK55" s="202">
        <f t="array" aca="1" ref="BK55" ca="1">IFERROR(SMALL(IF(COUNTIF(Podcasts!$D$1711:'Podcasts'!$D$1833,ROW(INDIRECT("1:"&amp;K$2)))=0,ROW(INDIRECT("1:"&amp;K$2))),ROW($A12)),"")</f>
        <v>52</v>
      </c>
      <c r="BL55" s="202">
        <f t="array" aca="1" ref="BL55" ca="1">IFERROR(SMALL(IF(COUNTIF(Podcasts!$D$1839:'Podcasts'!$D$1855,ROW(INDIRECT("1:"&amp;K$2)))=0,ROW(INDIRECT("1:"&amp;K$2))),ROW($A12)),"")</f>
        <v>13</v>
      </c>
      <c r="BM55" s="567">
        <f t="array" aca="1" ref="BM55" ca="1">IFERROR(SMALL(IF(COUNTIF(Podcasts!$D$1861:'Podcasts'!$D$1994,ROW(INDIRECT("1:"&amp;K$2)))=0,ROW(INDIRECT("1:"&amp;K$2))),ROW($A12)),"")</f>
        <v>12</v>
      </c>
      <c r="BN55" s="567">
        <f t="array" aca="1" ref="BN55" ca="1">IFERROR(SMALL(IF(COUNTIF(Podcasts!$D$2000:'Podcasts'!$D$2057,ROW(INDIRECT("1:"&amp;K$2)))=0,ROW(INDIRECT("1:"&amp;K$2))),ROW($A12)),"")</f>
        <v>67</v>
      </c>
      <c r="BO55" s="567">
        <f t="array" aca="1" ref="BO55" ca="1">IFERROR(SMALL(IF(COUNTIF(Podcasts!$D$2063:'Podcasts'!$D$2071,ROW(INDIRECT("1:"&amp;K$2)))=0,ROW(INDIRECT("1:"&amp;K$2))),ROW($A12)),"")</f>
        <v>12</v>
      </c>
      <c r="BP55" s="202">
        <f t="array" aca="1" ref="BP55" ca="1">IFERROR(SMALL(IF(COUNTIF(Podcasts!$D$2077:'Podcasts'!$D$2092,ROW(INDIRECT("1:"&amp;K$2)))=0,ROW(INDIRECT("1:"&amp;K$2))),ROW($A12)),"")</f>
        <v>15</v>
      </c>
      <c r="BQ55" s="741">
        <f t="array" aca="1" ref="BQ55" ca="1">IFERROR(SMALL(IF(COUNTIF(Podcasts!$D$2098:'Podcasts'!$D$2114,ROW(INDIRECT("1:"&amp;K$2)))=0,ROW(INDIRECT("1:"&amp;K$2))),ROW($A12)),"")</f>
        <v>14</v>
      </c>
      <c r="BR55" s="744">
        <f t="array" aca="1" ref="BR55" ca="1">IFERROR(SMALL(IF(COUNTIF(Podcasts!$D$2120:'Podcasts'!$D$2124,ROW(INDIRECT("1:"&amp;K$2)))=0,ROW(INDIRECT("1:"&amp;K$2))),ROW($A12)),"")</f>
        <v>14</v>
      </c>
      <c r="BS55" s="28"/>
    </row>
    <row r="56" spans="1:71" outlineLevel="1">
      <c r="A56" s="28"/>
      <c r="B56" s="161">
        <v>13</v>
      </c>
      <c r="C56" s="161">
        <f>COUNTIF(Podcasts!$D$10:'Podcasts'!$D$2535,B56)-1</f>
        <v>7</v>
      </c>
      <c r="D56" s="158" t="s">
        <v>1041</v>
      </c>
      <c r="E56" s="156" t="str">
        <f t="array" ref="E56">IF(F56="","",INDEX(Podcasts!$J$10:'Podcasts'!$J$2535,MATCH(F56&amp;$B56,Podcasts!$E$10:'Podcasts'!$E$2535&amp;Podcasts!$D$10:'Podcasts'!$D$2535,0)))</f>
        <v>Fürst</v>
      </c>
      <c r="F56" s="131">
        <f t="array" ref="F56">IF(COUNTIF(Podcasts!$D$10:'Podcasts'!$D$2535,$B56)&lt;COLUMN(A13),"",SMALL(IF(Podcasts!$D$10:'Podcasts'!$D$2535=$B56,Podcasts!$E$10:'Podcasts'!$E$2535),COLUMN(A13)))</f>
        <v>41839</v>
      </c>
      <c r="G56" s="132">
        <f t="array" ref="G56">IF(F56="","",INDEX(Podcasts!$F$10:'Podcasts'!$F$2535,MATCH(F56&amp;$B56,Podcasts!$E$10:'Podcasts'!$E$2535&amp;Podcasts!$D$10:'Podcasts'!$D$2535,0)))</f>
        <v>3.8773148148148195E-3</v>
      </c>
      <c r="H56" s="136" t="str">
        <f t="array" ref="H56">IF(I56="","",INDEX(Podcasts!$J$10:'Podcasts'!$J$2535,MATCH(I56&amp;$B56,Podcasts!$E$10:'Podcasts'!$E$2535&amp;Podcasts!$D$10:'Podcasts'!$D$2535,0)))</f>
        <v>Talker</v>
      </c>
      <c r="I56" s="133">
        <f t="array" ref="I56">IF(COUNTIF(Podcasts!$D$10:'Podcasts'!$D$2535,$B56)&lt;COLUMN(B13),"",SMALL(IF(Podcasts!$D$10:'Podcasts'!$D$2535=$B56,Podcasts!$E$10:'Podcasts'!$E$2535),COLUMN(B13)))</f>
        <v>43693</v>
      </c>
      <c r="J56" s="132">
        <f t="array" ref="J56">IF(I56="","",INDEX(Podcasts!$F$10:'Podcasts'!$F$2535,MATCH(I56&amp;$B56,Podcasts!$E$10:'Podcasts'!$E$2535&amp;Podcasts!$D$10:'Podcasts'!$D$2535,0)))</f>
        <v>3.5034722222222224E-2</v>
      </c>
      <c r="K56" s="136" t="str">
        <f t="array" ref="K56">IF(L56="","",INDEX(Podcasts!$J$10:'Podcasts'!$J$2535,MATCH(L56&amp;$B56,Podcasts!$E$10:'Podcasts'!$E$2535&amp;Podcasts!$D$10:'Podcasts'!$D$2535,0)))</f>
        <v>Abfahrt</v>
      </c>
      <c r="L56" s="133">
        <f t="array" ref="L56">IF(COUNTIF(Podcasts!$D$10:'Podcasts'!$D$2535,$B56)&lt;COLUMN(C13),"",SMALL(IF(Podcasts!$D$10:'Podcasts'!$D$2535=$B56,Podcasts!$E$10:'Podcasts'!$E$2535),COLUMN(C13)))</f>
        <v>44337</v>
      </c>
      <c r="M56" s="132">
        <f t="array" ref="M56">IF(L56="","",INDEX(Podcasts!$F$10:'Podcasts'!$F$2535,MATCH(L56&amp;$B56,Podcasts!$E$10:'Podcasts'!$E$2535&amp;Podcasts!$D$10:'Podcasts'!$D$2535,0)))</f>
        <v>4.8692129629629627E-2</v>
      </c>
      <c r="N56" s="136" t="str">
        <f t="array" ref="N56">IF(O56="","",INDEX(Podcasts!$J$10:'Podcasts'!$J$2535,MATCH(O56&amp;$B56,Podcasts!$E$10:'Podcasts'!$E$2535&amp;Podcasts!$D$10:'Podcasts'!$D$2535,0)))</f>
        <v>Verstärker</v>
      </c>
      <c r="O56" s="133">
        <f t="array" ref="O56">IF(COUNTIF(Podcasts!$D$10:'Podcasts'!$D$2535,$B56)&lt;COLUMN(D13),"",SMALL(IF(Podcasts!$D$10:'Podcasts'!$D$2535=$B56,Podcasts!$E$10:'Podcasts'!$E$2535),COLUMN(D13)))</f>
        <v>44595</v>
      </c>
      <c r="P56" s="132">
        <f t="array" ref="P56">IF(O56="","",INDEX(Podcasts!$F$10:'Podcasts'!$F$2535,MATCH(O56&amp;$B56,Podcasts!$E$10:'Podcasts'!$E$2535&amp;Podcasts!$D$10:'Podcasts'!$D$2535,0)))</f>
        <v>2.5069444444444446E-2</v>
      </c>
      <c r="Q56" s="136" t="str">
        <f t="array" ref="Q56">IF(R56="","",INDEX(Podcasts!$J$10:'Podcasts'!$J$2535,MATCH(R56&amp;$B56,Podcasts!$E$10:'Podcasts'!$E$2535&amp;Podcasts!$D$10:'Podcasts'!$D$2535,0)))</f>
        <v>Bobcast</v>
      </c>
      <c r="R56" s="133">
        <f t="array" ref="R56">IF(COUNTIF(Podcasts!$D$10:'Podcasts'!$D$2535,$B56)&lt;COLUMN(E13),"",SMALL(IF(Podcasts!$D$10:'Podcasts'!$D$2535=$B56,Podcasts!$E$10:'Podcasts'!$E$2535),COLUMN(E13)))</f>
        <v>44830.001122685186</v>
      </c>
      <c r="S56" s="132">
        <f t="array" ref="S56">IF(R56="","",INDEX(Podcasts!$F$10:'Podcasts'!$F$2535,MATCH(R56&amp;$B56,Podcasts!$E$10:'Podcasts'!$E$2535&amp;Podcasts!$D$10:'Podcasts'!$D$2535,0)))</f>
        <v>3.5925925925925924E-2</v>
      </c>
      <c r="T56" s="136" t="str">
        <f t="array" ref="T56">IF(U56="","",INDEX(Podcasts!$J$10:'Podcasts'!$J$2535,MATCH(U56&amp;$B56,Podcasts!$E$10:'Podcasts'!$E$2535&amp;Podcasts!$D$10:'Podcasts'!$D$2535,0)))</f>
        <v>Zentrale</v>
      </c>
      <c r="U56" s="133">
        <f t="array" ref="U56">IF(COUNTIF(Podcasts!$D$10:'Podcasts'!$D$2535,$B56)&lt;COLUMN(F13),"",SMALL(IF(Podcasts!$D$10:'Podcasts'!$D$2535=$B56,Podcasts!$E$10:'Podcasts'!$E$2535),COLUMN(F13)))</f>
        <v>44848.001388888886</v>
      </c>
      <c r="V56" s="132">
        <f t="array" ref="V56">IF(U56="","",INDEX(Podcasts!$F$10:'Podcasts'!$F$2535,MATCH(U56&amp;$B56,Podcasts!$E$10:'Podcasts'!$E$2535&amp;Podcasts!$D$10:'Podcasts'!$D$2535,0)))</f>
        <v>0.18269675925925924</v>
      </c>
      <c r="W56" s="136" t="str">
        <f t="array" ref="W56">IF(X56="","",INDEX(Podcasts!$J$10:'Podcasts'!$J$2535,MATCH(X56&amp;$B56,Podcasts!$E$10:'Podcasts'!$E$2535&amp;Podcasts!$D$10:'Podcasts'!$D$2535,0)))</f>
        <v>RBW</v>
      </c>
      <c r="X56" s="133">
        <f t="array" ref="X56">IF(COUNTIF(Podcasts!$D$10:'Podcasts'!$D$2535,$B56)&lt;COLUMN(G13),"",SMALL(IF(Podcasts!$D$10:'Podcasts'!$D$2535=$B56,Podcasts!$E$10:'Podcasts'!$E$2535),COLUMN(G13)))</f>
        <v>44910</v>
      </c>
      <c r="Y56" s="132">
        <f t="array" ref="Y56">IF(X56="","",INDEX(Podcasts!$F$10:'Podcasts'!$F$2535,MATCH(X56&amp;$B56,Podcasts!$E$10:'Podcasts'!$E$2535&amp;Podcasts!$D$10:'Podcasts'!$D$2535,0)))</f>
        <v>4.3541666666666666E-2</v>
      </c>
      <c r="Z56" s="136" t="str">
        <f t="array" ref="Z56">IF(AA56="","",INDEX(Podcasts!$J$10:'Podcasts'!$J$2535,MATCH(AA56&amp;$B56,Podcasts!$E$10:'Podcasts'!$E$2535&amp;Podcasts!$D$10:'Podcasts'!$D$2535,0)))</f>
        <v>Schrott</v>
      </c>
      <c r="AA56" s="134">
        <f t="array" ref="AA56">IF(COUNTIF(Podcasts!$D$10:'Podcasts'!$D$2535,$B56)&lt;COLUMN(H13),"",SMALL(IF(Podcasts!$D$10:'Podcasts'!$D$2535=$B56,Podcasts!$E$10:'Podcasts'!$E$2535),COLUMN(H13)))</f>
        <v>46387</v>
      </c>
      <c r="AB56" s="404">
        <f t="array" ref="AB56">IF(AA56="","",INDEX(Podcasts!$F$10:'Podcasts'!$F$2535,MATCH(AA56&amp;$B56,Podcasts!$E$10:'Podcasts'!$E$2535&amp;Podcasts!$D$10:'Podcasts'!$D$2535,0)))</f>
        <v>0</v>
      </c>
      <c r="AC56" s="406" t="str">
        <f t="array" ref="AC56">IF(AD56="","",INDEX(Podcasts!$J$10:'Podcasts'!$J$2535,MATCH(AD56&amp;$B56,Podcasts!$E$10:'Podcasts'!$E$2535&amp;Podcasts!$D$10:'Podcasts'!$D$2535,0)))</f>
        <v/>
      </c>
      <c r="AD56" s="400" t="str">
        <f t="array" ref="AD56">IF(COUNTIF(Podcasts!$D$10:'Podcasts'!$D$2535,$B56)&lt;COLUMN(I13),"",SMALL(IF(Podcasts!$D$10:'Podcasts'!$D$2535=$B56,Podcasts!$E$10:'Podcasts'!$E$2535),COLUMN(I13)))</f>
        <v/>
      </c>
      <c r="AE56" s="401" t="str">
        <f t="array" ref="AE56">IF(AD56="","",INDEX(Podcasts!$F$10:'Podcasts'!$F$2535,MATCH(AD56&amp;$B56,Podcasts!$E$10:'Podcasts'!$E$2535&amp;Podcasts!$D$10:'Podcasts'!$D$2535,0)))</f>
        <v/>
      </c>
      <c r="AF56" s="406" t="str">
        <f t="array" ref="AF56">IF(AG56="","",INDEX(Podcasts!$J$10:'Podcasts'!$J$2535,MATCH(AG56&amp;$B56,Podcasts!$E$10:'Podcasts'!$E$2535&amp;Podcasts!$D$10:'Podcasts'!$D$2535,0)))</f>
        <v/>
      </c>
      <c r="AG56" s="400" t="str">
        <f t="array" ref="AG56">IF(COUNTIF(Podcasts!$D$10:'Podcasts'!$D$2535,$B56)&lt;COLUMN(J13),"",SMALL(IF(Podcasts!$D$10:'Podcasts'!$D$2535=$B56,Podcasts!$E$10:'Podcasts'!$E$2535),COLUMN(J13)))</f>
        <v/>
      </c>
      <c r="AH56" s="401" t="str">
        <f t="array" ref="AH56">IF(AG56="","",INDEX(Podcasts!$F$10:'Podcasts'!$F$2535,MATCH(AG56&amp;$B56,Podcasts!$E$10:'Podcasts'!$E$2535&amp;Podcasts!$D$10:'Podcasts'!$D$2535,0)))</f>
        <v/>
      </c>
      <c r="AI56" s="406" t="str">
        <f t="array" ref="AI56">IF(AJ56="","",INDEX(Podcasts!$J$10:'Podcasts'!$J$2535,MATCH(AJ56&amp;$B56,Podcasts!$E$10:'Podcasts'!$E$2535&amp;Podcasts!$D$10:'Podcasts'!$D$2535,0)))</f>
        <v/>
      </c>
      <c r="AJ56" s="400" t="str">
        <f t="array" ref="AJ56">IF(COUNTIF(Podcasts!$D$10:'Podcasts'!$D$2535,$B56)&lt;COLUMN(K13),"",SMALL(IF(Podcasts!$D$10:'Podcasts'!$D$2535=$B56,Podcasts!$E$10:'Podcasts'!$E$2535),COLUMN(K13)))</f>
        <v/>
      </c>
      <c r="AK56" s="401" t="str">
        <f t="array" ref="AK56">IF(AJ56="","",INDEX(Podcasts!$F$10:'Podcasts'!$F$2535,MATCH(AJ56&amp;$B56,Podcasts!$E$10:'Podcasts'!$E$2535&amp;Podcasts!$D$10:'Podcasts'!$D$2535,0)))</f>
        <v/>
      </c>
      <c r="AL56" s="406" t="str">
        <f t="array" ref="AL56">IF(AM56="","",INDEX(Podcasts!$J$10:'Podcasts'!$J$2535,MATCH(AM56&amp;$B56,Podcasts!$E$10:'Podcasts'!$E$2535&amp;Podcasts!$D$10:'Podcasts'!$D$2535,0)))</f>
        <v/>
      </c>
      <c r="AM56" s="400" t="str">
        <f t="array" ref="AM56">IF(COUNTIF(Podcasts!$D$10:'Podcasts'!$D$2535,$B56)&lt;COLUMN(L13),"",SMALL(IF(Podcasts!$D$10:'Podcasts'!$D$2535=$B56,Podcasts!$E$10:'Podcasts'!$E$2535),COLUMN(L13)))</f>
        <v/>
      </c>
      <c r="AN56" s="401" t="str">
        <f t="array" ref="AN56">IF(AM56="","",INDEX(Podcasts!$F$10:'Podcasts'!$F$2535,MATCH(AM56&amp;$B56,Podcasts!$E$10:'Podcasts'!$E$2535&amp;Podcasts!$D$10:'Podcasts'!$D$2535,0)))</f>
        <v/>
      </c>
      <c r="AO56" s="402"/>
      <c r="AP56" s="119" t="str">
        <f t="array" aca="1" ref="AP56" ca="1">IFERROR(SMALL(IF(COUNTIF(Podcasts!$D$1:'Podcasts'!$D$2565,ROW(INDIRECT("1:"&amp;K$2)))=0,ROW(INDIRECT("1:"&amp;K$2))),ROW($A13)),"")</f>
        <v/>
      </c>
      <c r="AQ56" s="117">
        <f t="array" aca="1" ref="AQ56" ca="1">IFERROR(SMALL(IF(COUNTIF(Podcasts!$D$10:'Podcasts'!$D$107,ROW(INDIRECT("1:"&amp;K$2)))=0,ROW(INDIRECT("1:"&amp;K$2))),ROW($A13)),"")</f>
        <v>23</v>
      </c>
      <c r="AR56" s="117">
        <f t="array" aca="1" ref="AR56" ca="1">IFERROR(SMALL(IF(COUNTIF(Podcasts!$D$113:'Podcasts'!$D$238,ROW(INDIRECT("1:"&amp;K$2)))=0,ROW(INDIRECT("1:"&amp;K$2))),ROW($A13)),"")</f>
        <v>13</v>
      </c>
      <c r="AS56" s="117">
        <f t="array" aca="1" ref="AS56" ca="1">IFERROR(SMALL(IF(COUNTIF(Podcasts!$D$244:'Podcasts'!$D$299,ROW(INDIRECT("1:"&amp;K$2)))=0,ROW(INDIRECT("1:"&amp;K$2))),ROW($A13)),"")</f>
        <v>29</v>
      </c>
      <c r="AT56" s="117">
        <f t="array" aca="1" ref="AT56" ca="1">IFERROR(SMALL(IF(COUNTIF(Podcasts!$D$305:'Podcasts'!$D$473,ROW(INDIRECT("1:"&amp;K$2)))=0,ROW(INDIRECT("1:"&amp;K$2))),ROW($A13)),"")</f>
        <v>133</v>
      </c>
      <c r="AU56" s="117">
        <f t="array" aca="1" ref="AU56" ca="1">IFERROR(SMALL(IF(COUNTIF(Podcasts!$D$479:'Podcasts'!$D$488,ROW(INDIRECT("1:"&amp;K$2)))=0,ROW(INDIRECT("1:"&amp;K$2))),ROW($A13)),"")</f>
        <v>13</v>
      </c>
      <c r="AV56" s="117">
        <f t="array" aca="1" ref="AV56" ca="1">IFERROR(SMALL(IF(COUNTIF(Podcasts!$D$494:'Podcasts'!$D$518,ROW(INDIRECT("1:"&amp;K$2)))=0,ROW(INDIRECT("1:"&amp;K$2))),ROW($A13)),"")</f>
        <v>27</v>
      </c>
      <c r="AW56" s="117">
        <f t="array" aca="1" ref="AW56" ca="1">IFERROR(SMALL(IF(COUNTIF(Podcasts!$D$524:'Podcasts'!$D$532,ROW(INDIRECT("1:"&amp;K$2)))=0,ROW(INDIRECT("1:"&amp;K$2))),ROW($A13)),"")</f>
        <v>13</v>
      </c>
      <c r="AX56" s="117">
        <f t="array" aca="1" ref="AX56" ca="1">IFERROR(SMALL(IF(COUNTIF(Podcasts!$D$538:'Podcasts'!$D$909,ROW(INDIRECT("1:"&amp;K$2)))=0,ROW(INDIRECT("1:"&amp;K$2))),ROW($A13)),"")</f>
        <v>29</v>
      </c>
      <c r="AY56" s="117">
        <f t="array" aca="1" ref="AY56" ca="1">IFERROR(SMALL(IF(COUNTIF(Podcasts!$D$915:'Podcasts'!$D$981,ROW(INDIRECT("1:"&amp;K$2)))=0,ROW(INDIRECT("1:"&amp;K$2))),ROW($A13)),"")</f>
        <v>25</v>
      </c>
      <c r="AZ56" s="445"/>
      <c r="BA56" s="117">
        <f t="array" aca="1" ref="BA56" ca="1">IFERROR(SMALL(IF(COUNTIF(Podcasts!$D$1001:'Podcasts'!$D$1251,ROW(INDIRECT("1:"&amp;K$2)))=0,ROW(INDIRECT("1:"&amp;K$2))),ROW($A13)),"")</f>
        <v>26</v>
      </c>
      <c r="BB56" s="117">
        <f t="array" aca="1" ref="BB56" ca="1">IFERROR(SMALL(IF(COUNTIF(Podcasts!$D$1257:'Podcasts'!$D$1267,ROW(INDIRECT("1:"&amp;K$2)))=0,ROW(INDIRECT("1:"&amp;K$2))),ROW($A13)),"")</f>
        <v>13</v>
      </c>
      <c r="BC56" s="117">
        <f t="array" aca="1" ref="BC56" ca="1">IFERROR(SMALL(IF(COUNTIF(Podcasts!$D$1273:'Podcasts'!$D$1283,ROW(INDIRECT("1:"&amp;K$2)))=0,ROW(INDIRECT("1:"&amp;K$2))),ROW($A13)),"")</f>
        <v>15</v>
      </c>
      <c r="BD56" s="117">
        <f t="array" aca="1" ref="BD56" ca="1">IFERROR(SMALL(IF(COUNTIF(Podcasts!$D$1289:'Podcasts'!$D$1295,ROW(INDIRECT("1:"&amp;K$2)))=0,ROW(INDIRECT("1:"&amp;K$2))),ROW($A13)),"")</f>
        <v>15</v>
      </c>
      <c r="BE56" s="117">
        <f t="array" aca="1" ref="BE56" ca="1">IFERROR(SMALL(IF(COUNTIF(Podcasts!$D$1301:'Podcasts'!$D$1356,ROW(INDIRECT("1:"&amp;K$2)))=0,ROW(INDIRECT("1:"&amp;K$2))),ROW($A13)),"")</f>
        <v>60</v>
      </c>
      <c r="BF56" s="117">
        <f t="array" aca="1" ref="BF56" ca="1">IFERROR(SMALL(IF(COUNTIF(Podcasts!$D$1362:'Podcasts'!$D$1364,ROW(INDIRECT("1:"&amp;K$2)))=0,ROW(INDIRECT("1:"&amp;K$2))),ROW($A13)),"")</f>
        <v>16</v>
      </c>
      <c r="BG56" s="202">
        <f t="array" aca="1" ref="BG56" ca="1">IFERROR(SMALL(IF(COUNTIF(Podcasts!$D$1370:'Podcasts'!$D$1419,ROW(INDIRECT("1:"&amp;K$2)))=0,ROW(INDIRECT("1:"&amp;K$2))),ROW($A13)),"")</f>
        <v>17</v>
      </c>
      <c r="BH56" s="202">
        <f t="array" aca="1" ref="BH56" ca="1">IFERROR(SMALL(IF(COUNTIF(Podcasts!$D$1425:'Podcasts'!$D$1446,ROW(INDIRECT("1:"&amp;K$2)))=0,ROW(INDIRECT("1:"&amp;K$2))),ROW($A13)),"")</f>
        <v>16</v>
      </c>
      <c r="BI56" s="202">
        <f t="array" aca="1" ref="BI56" ca="1">IFERROR(SMALL(IF(COUNTIF(Podcasts!$D$1452:'Podcasts'!$D$1574,ROW(INDIRECT("1:"&amp;K$2)))=0,ROW(INDIRECT("1:"&amp;K$2))),ROW($A13)),"")</f>
        <v>33</v>
      </c>
      <c r="BJ56" s="202">
        <f t="array" aca="1" ref="BJ56" ca="1">IFERROR(SMALL(IF(COUNTIF(Podcasts!$D$1580:'Podcasts'!$D$1705,ROW(INDIRECT("1:"&amp;K$2)))=0,ROW(INDIRECT("1:"&amp;K$2))),ROW($A13)),"")</f>
        <v>22</v>
      </c>
      <c r="BK56" s="202">
        <f t="array" aca="1" ref="BK56" ca="1">IFERROR(SMALL(IF(COUNTIF(Podcasts!$D$1711:'Podcasts'!$D$1833,ROW(INDIRECT("1:"&amp;K$2)))=0,ROW(INDIRECT("1:"&amp;K$2))),ROW($A13)),"")</f>
        <v>53</v>
      </c>
      <c r="BL56" s="202">
        <f t="array" aca="1" ref="BL56" ca="1">IFERROR(SMALL(IF(COUNTIF(Podcasts!$D$1839:'Podcasts'!$D$1855,ROW(INDIRECT("1:"&amp;K$2)))=0,ROW(INDIRECT("1:"&amp;K$2))),ROW($A13)),"")</f>
        <v>14</v>
      </c>
      <c r="BM56" s="567">
        <f t="array" aca="1" ref="BM56" ca="1">IFERROR(SMALL(IF(COUNTIF(Podcasts!$D$1861:'Podcasts'!$D$1994,ROW(INDIRECT("1:"&amp;K$2)))=0,ROW(INDIRECT("1:"&amp;K$2))),ROW($A13)),"")</f>
        <v>13</v>
      </c>
      <c r="BN56" s="567">
        <f t="array" aca="1" ref="BN56" ca="1">IFERROR(SMALL(IF(COUNTIF(Podcasts!$D$2000:'Podcasts'!$D$2057,ROW(INDIRECT("1:"&amp;K$2)))=0,ROW(INDIRECT("1:"&amp;K$2))),ROW($A13)),"")</f>
        <v>68</v>
      </c>
      <c r="BO56" s="567">
        <f t="array" aca="1" ref="BO56" ca="1">IFERROR(SMALL(IF(COUNTIF(Podcasts!$D$2063:'Podcasts'!$D$2071,ROW(INDIRECT("1:"&amp;K$2)))=0,ROW(INDIRECT("1:"&amp;K$2))),ROW($A13)),"")</f>
        <v>13</v>
      </c>
      <c r="BP56" s="202">
        <f t="array" aca="1" ref="BP56" ca="1">IFERROR(SMALL(IF(COUNTIF(Podcasts!$D$2077:'Podcasts'!$D$2092,ROW(INDIRECT("1:"&amp;K$2)))=0,ROW(INDIRECT("1:"&amp;K$2))),ROW($A13)),"")</f>
        <v>16</v>
      </c>
      <c r="BQ56" s="741">
        <f t="array" aca="1" ref="BQ56" ca="1">IFERROR(SMALL(IF(COUNTIF(Podcasts!$D$2098:'Podcasts'!$D$2114,ROW(INDIRECT("1:"&amp;K$2)))=0,ROW(INDIRECT("1:"&amp;K$2))),ROW($A13)),"")</f>
        <v>15</v>
      </c>
      <c r="BR56" s="744">
        <f t="array" aca="1" ref="BR56" ca="1">IFERROR(SMALL(IF(COUNTIF(Podcasts!$D$2120:'Podcasts'!$D$2124,ROW(INDIRECT("1:"&amp;K$2)))=0,ROW(INDIRECT("1:"&amp;K$2))),ROW($A13)),"")</f>
        <v>15</v>
      </c>
      <c r="BS56" s="28"/>
    </row>
    <row r="57" spans="1:71" outlineLevel="1">
      <c r="A57" s="28"/>
      <c r="B57" s="161">
        <v>14</v>
      </c>
      <c r="C57" s="161">
        <f>COUNTIF(Podcasts!$D$10:'Podcasts'!$D$2535,B57)</f>
        <v>13</v>
      </c>
      <c r="D57" s="158" t="s">
        <v>1042</v>
      </c>
      <c r="E57" s="156" t="str">
        <f t="array" ref="E57">IF(F57="","",INDEX(Podcasts!$J$10:'Podcasts'!$J$2535,MATCH(F57&amp;$B57,Podcasts!$E$10:'Podcasts'!$E$2535&amp;Podcasts!$D$10:'Podcasts'!$D$2535,0)))</f>
        <v>Fürst</v>
      </c>
      <c r="F57" s="131">
        <f t="array" ref="F57">IF(COUNTIF(Podcasts!$D$10:'Podcasts'!$D$2535,$B57)&lt;COLUMN(A14),"",SMALL(IF(Podcasts!$D$10:'Podcasts'!$D$2535=$B57,Podcasts!$E$10:'Podcasts'!$E$2535),COLUMN(A14)))</f>
        <v>41936</v>
      </c>
      <c r="G57" s="132">
        <f t="array" ref="G57">IF(F57="","",INDEX(Podcasts!$F$10:'Podcasts'!$F$2535,MATCH(F57&amp;$B57,Podcasts!$E$10:'Podcasts'!$E$2535&amp;Podcasts!$D$10:'Podcasts'!$D$2535,0)))</f>
        <v>7.5810185185185147E-3</v>
      </c>
      <c r="H57" s="136" t="str">
        <f t="array" ref="H57">IF(I57="","",INDEX(Podcasts!$J$10:'Podcasts'!$J$2535,MATCH(I57&amp;$B57,Podcasts!$E$10:'Podcasts'!$E$2535&amp;Podcasts!$D$10:'Podcasts'!$D$2535,0)))</f>
        <v>Schrott</v>
      </c>
      <c r="I57" s="133">
        <f t="array" ref="I57">IF(COUNTIF(Podcasts!$D$10:'Podcasts'!$D$2535,$B57)&lt;COLUMN(B14),"",SMALL(IF(Podcasts!$D$10:'Podcasts'!$D$2535=$B57,Podcasts!$E$10:'Podcasts'!$E$2535),COLUMN(B14)))</f>
        <v>42709</v>
      </c>
      <c r="J57" s="132">
        <f t="array" ref="J57">IF(I57="","",INDEX(Podcasts!$F$10:'Podcasts'!$F$2535,MATCH(I57&amp;$B57,Podcasts!$E$10:'Podcasts'!$E$2535&amp;Podcasts!$D$10:'Podcasts'!$D$2535,0)))</f>
        <v>4.6342592592592595E-2</v>
      </c>
      <c r="K57" s="136" t="str">
        <f t="array" ref="K57">IF(L57="","",INDEX(Podcasts!$J$10:'Podcasts'!$J$2535,MATCH(L57&amp;$B57,Podcasts!$E$10:'Podcasts'!$E$2535&amp;Podcasts!$D$10:'Podcasts'!$D$2535,0)))</f>
        <v>Talker</v>
      </c>
      <c r="L57" s="133">
        <f t="array" ref="L57">IF(COUNTIF(Podcasts!$D$10:'Podcasts'!$D$2535,$B57)&lt;COLUMN(C14),"",SMALL(IF(Podcasts!$D$10:'Podcasts'!$D$2535=$B57,Podcasts!$E$10:'Podcasts'!$E$2535),COLUMN(C14)))</f>
        <v>43385</v>
      </c>
      <c r="M57" s="132">
        <f t="array" ref="M57">IF(L57="","",INDEX(Podcasts!$F$10:'Podcasts'!$F$2535,MATCH(L57&amp;$B57,Podcasts!$E$10:'Podcasts'!$E$2535&amp;Podcasts!$D$10:'Podcasts'!$D$2535,0)))</f>
        <v>1.9259259259259261E-2</v>
      </c>
      <c r="N57" s="136" t="str">
        <f t="array" ref="N57">IF(O57="","",INDEX(Podcasts!$J$10:'Podcasts'!$J$2535,MATCH(O57&amp;$B57,Podcasts!$E$10:'Podcasts'!$E$2535&amp;Podcasts!$D$10:'Podcasts'!$D$2535,0)))</f>
        <v>R&amp;A</v>
      </c>
      <c r="O57" s="133">
        <f t="array" ref="O57">IF(COUNTIF(Podcasts!$D$10:'Podcasts'!$D$2535,$B57)&lt;COLUMN(D14),"",SMALL(IF(Podcasts!$D$10:'Podcasts'!$D$2535=$B57,Podcasts!$E$10:'Podcasts'!$E$2535),COLUMN(D14)))</f>
        <v>43480.333333333336</v>
      </c>
      <c r="P57" s="132">
        <f t="array" ref="P57">IF(O57="","",INDEX(Podcasts!$F$10:'Podcasts'!$F$2535,MATCH(O57&amp;$B57,Podcasts!$E$10:'Podcasts'!$E$2535&amp;Podcasts!$D$10:'Podcasts'!$D$2535,0)))</f>
        <v>7.6365740740740748E-2</v>
      </c>
      <c r="Q57" s="136" t="str">
        <f t="array" ref="Q57">IF(R57="","",INDEX(Podcasts!$J$10:'Podcasts'!$J$2535,MATCH(R57&amp;$B57,Podcasts!$E$10:'Podcasts'!$E$2535&amp;Podcasts!$D$10:'Podcasts'!$D$2535,0)))</f>
        <v>Zentrale</v>
      </c>
      <c r="R57" s="133">
        <f t="array" ref="R57">IF(COUNTIF(Podcasts!$D$10:'Podcasts'!$D$2535,$B57)&lt;COLUMN(E14),"",SMALL(IF(Podcasts!$D$10:'Podcasts'!$D$2535=$B57,Podcasts!$E$10:'Podcasts'!$E$2535),COLUMN(E14)))</f>
        <v>44016</v>
      </c>
      <c r="S57" s="132">
        <f t="array" ref="S57">IF(R57="","",INDEX(Podcasts!$F$10:'Podcasts'!$F$2535,MATCH(R57&amp;$B57,Podcasts!$E$10:'Podcasts'!$E$2535&amp;Podcasts!$D$10:'Podcasts'!$D$2535,0)))</f>
        <v>0.13697916666666668</v>
      </c>
      <c r="T57" s="136" t="str">
        <f t="array" ref="T57">IF(U57="","",INDEX(Podcasts!$J$10:'Podcasts'!$J$2535,MATCH(U57&amp;$B57,Podcasts!$E$10:'Podcasts'!$E$2535&amp;Podcasts!$D$10:'Podcasts'!$D$2535,0)))</f>
        <v>Kuchen</v>
      </c>
      <c r="U57" s="133">
        <f t="array" ref="U57">IF(COUNTIF(Podcasts!$D$10:'Podcasts'!$D$2535,$B57)&lt;COLUMN(F14),"",SMALL(IF(Podcasts!$D$10:'Podcasts'!$D$2535=$B57,Podcasts!$E$10:'Podcasts'!$E$2535),COLUMN(F14)))</f>
        <v>44311</v>
      </c>
      <c r="V57" s="132">
        <f t="array" ref="V57">IF(U57="","",INDEX(Podcasts!$F$10:'Podcasts'!$F$2535,MATCH(U57&amp;$B57,Podcasts!$E$10:'Podcasts'!$E$2535&amp;Podcasts!$D$10:'Podcasts'!$D$2535,0)))</f>
        <v>6.2581018518518508E-2</v>
      </c>
      <c r="W57" s="136" t="str">
        <f t="array" ref="W57">IF(X57="","",INDEX(Podcasts!$J$10:'Podcasts'!$J$2535,MATCH(X57&amp;$B57,Podcasts!$E$10:'Podcasts'!$E$2535&amp;Podcasts!$D$10:'Podcasts'!$D$2535,0)))</f>
        <v>Abfahrt</v>
      </c>
      <c r="X57" s="133">
        <f t="array" ref="X57">IF(COUNTIF(Podcasts!$D$10:'Podcasts'!$D$2535,$B57)&lt;COLUMN(G14),"",SMALL(IF(Podcasts!$D$10:'Podcasts'!$D$2535=$B57,Podcasts!$E$10:'Podcasts'!$E$2535),COLUMN(G14)))</f>
        <v>44365</v>
      </c>
      <c r="Y57" s="132">
        <f t="array" ref="Y57">IF(X57="","",INDEX(Podcasts!$F$10:'Podcasts'!$F$2535,MATCH(X57&amp;$B57,Podcasts!$E$10:'Podcasts'!$E$2535&amp;Podcasts!$D$10:'Podcasts'!$D$2535,0)))</f>
        <v>5.3553240740740742E-2</v>
      </c>
      <c r="Z57" s="136" t="str">
        <f t="array" ref="Z57">IF(AA57="","",INDEX(Podcasts!$J$10:'Podcasts'!$J$2535,MATCH(AA57&amp;$B57,Podcasts!$E$10:'Podcasts'!$E$2535&amp;Podcasts!$D$10:'Podcasts'!$D$2535,0)))</f>
        <v>Zeichen</v>
      </c>
      <c r="AA57" s="134">
        <f t="array" ref="AA57">IF(COUNTIF(Podcasts!$D$10:'Podcasts'!$D$2535,$B57)&lt;COLUMN(H14),"",SMALL(IF(Podcasts!$D$10:'Podcasts'!$D$2535=$B57,Podcasts!$E$10:'Podcasts'!$E$2535),COLUMN(H14)))</f>
        <v>44554</v>
      </c>
      <c r="AB57" s="404">
        <f t="array" ref="AB57">IF(AA57="","",INDEX(Podcasts!$F$10:'Podcasts'!$F$2535,MATCH(AA57&amp;$B57,Podcasts!$E$10:'Podcasts'!$E$2535&amp;Podcasts!$D$10:'Podcasts'!$D$2535,0)))</f>
        <v>6.9791666666666669E-2</v>
      </c>
      <c r="AC57" s="406" t="str">
        <f t="array" ref="AC57">IF(AD57="","",INDEX(Podcasts!$J$10:'Podcasts'!$J$2535,MATCH(AD57&amp;$B57,Podcasts!$E$10:'Podcasts'!$E$2535&amp;Podcasts!$D$10:'Podcasts'!$D$2535,0)))</f>
        <v>Verstärker</v>
      </c>
      <c r="AD57" s="400">
        <f t="array" ref="AD57">IF(COUNTIF(Podcasts!$D$10:'Podcasts'!$D$2535,$B57)&lt;COLUMN(I14),"",SMALL(IF(Podcasts!$D$10:'Podcasts'!$D$2535=$B57,Podcasts!$E$10:'Podcasts'!$E$2535),COLUMN(I14)))</f>
        <v>44623</v>
      </c>
      <c r="AE57" s="401">
        <f t="array" ref="AE57">IF(AD57="","",INDEX(Podcasts!$F$10:'Podcasts'!$F$2535,MATCH(AD57&amp;$B57,Podcasts!$E$10:'Podcasts'!$E$2535&amp;Podcasts!$D$10:'Podcasts'!$D$2535,0)))</f>
        <v>3.0127314814814815E-2</v>
      </c>
      <c r="AF57" s="406" t="str">
        <f t="array" ref="AF57">IF(AG57="","",INDEX(Podcasts!$J$10:'Podcasts'!$J$2535,MATCH(AG57&amp;$B57,Podcasts!$E$10:'Podcasts'!$E$2535&amp;Podcasts!$D$10:'Podcasts'!$D$2535,0)))</f>
        <v>SSP</v>
      </c>
      <c r="AG57" s="400">
        <f t="array" ref="AG57">IF(COUNTIF(Podcasts!$D$10:'Podcasts'!$D$2535,$B57)&lt;COLUMN(J14),"",SMALL(IF(Podcasts!$D$10:'Podcasts'!$D$2535=$B57,Podcasts!$E$10:'Podcasts'!$E$2535),COLUMN(J14)))</f>
        <v>44685</v>
      </c>
      <c r="AH57" s="401">
        <f t="array" ref="AH57">IF(AG57="","",INDEX(Podcasts!$F$10:'Podcasts'!$F$2535,MATCH(AG57&amp;$B57,Podcasts!$E$10:'Podcasts'!$E$2535&amp;Podcasts!$D$10:'Podcasts'!$D$2535,0)))</f>
        <v>0.12387731481481483</v>
      </c>
      <c r="AI57" s="406" t="str">
        <f t="array" ref="AI57">IF(AJ57="","",INDEX(Podcasts!$J$10:'Podcasts'!$J$2535,MATCH(AJ57&amp;$B57,Podcasts!$E$10:'Podcasts'!$E$2535&amp;Podcasts!$D$10:'Podcasts'!$D$2535,0)))</f>
        <v>Bobcast</v>
      </c>
      <c r="AJ57" s="400">
        <f t="array" ref="AJ57">IF(COUNTIF(Podcasts!$D$10:'Podcasts'!$D$2535,$B57)&lt;COLUMN(K14),"",SMALL(IF(Podcasts!$D$10:'Podcasts'!$D$2535=$B57,Podcasts!$E$10:'Podcasts'!$E$2535),COLUMN(K14)))</f>
        <v>44844.000798611109</v>
      </c>
      <c r="AK57" s="401">
        <f t="array" ref="AK57">IF(AJ57="","",INDEX(Podcasts!$F$10:'Podcasts'!$F$2535,MATCH(AJ57&amp;$B57,Podcasts!$E$10:'Podcasts'!$E$2535&amp;Podcasts!$D$10:'Podcasts'!$D$2535,0)))</f>
        <v>3.471064814814815E-2</v>
      </c>
      <c r="AL57" s="406" t="str">
        <f t="array" ref="AL57">IF(AM57="","",INDEX(Podcasts!$J$10:'Podcasts'!$J$2535,MATCH(AM57&amp;$B57,Podcasts!$E$10:'Podcasts'!$E$2535&amp;Podcasts!$D$10:'Podcasts'!$D$2535,0)))</f>
        <v>RBW</v>
      </c>
      <c r="AM57" s="400">
        <f t="array" ref="AM57">IF(COUNTIF(Podcasts!$D$10:'Podcasts'!$D$2535,$B57)&lt;COLUMN(L14),"",SMALL(IF(Podcasts!$D$10:'Podcasts'!$D$2535=$B57,Podcasts!$E$10:'Podcasts'!$E$2535),COLUMN(L14)))</f>
        <v>44945</v>
      </c>
      <c r="AN57" s="401">
        <f t="array" ref="AN57">IF(AM57="","",INDEX(Podcasts!$F$10:'Podcasts'!$F$2535,MATCH(AM57&amp;$B57,Podcasts!$E$10:'Podcasts'!$E$2535&amp;Podcasts!$D$10:'Podcasts'!$D$2535,0)))</f>
        <v>3.5671296296296298E-2</v>
      </c>
      <c r="AO57" s="402"/>
      <c r="AP57" s="119"/>
      <c r="AQ57" s="117">
        <f t="array" aca="1" ref="AQ57" ca="1">IFERROR(SMALL(IF(COUNTIF(Podcasts!$D$10:'Podcasts'!$D$107,ROW(INDIRECT("1:"&amp;K$2)))=0,ROW(INDIRECT("1:"&amp;K$2))),ROW($A14)),"")</f>
        <v>25</v>
      </c>
      <c r="AR57" s="117">
        <f t="array" aca="1" ref="AR57" ca="1">IFERROR(SMALL(IF(COUNTIF(Podcasts!$D$113:'Podcasts'!$D$238,ROW(INDIRECT("1:"&amp;K$2)))=0,ROW(INDIRECT("1:"&amp;K$2))),ROW($A14)),"")</f>
        <v>14</v>
      </c>
      <c r="AS57" s="117">
        <f t="array" aca="1" ref="AS57" ca="1">IFERROR(SMALL(IF(COUNTIF(Podcasts!$D$244:'Podcasts'!$D$299,ROW(INDIRECT("1:"&amp;K$2)))=0,ROW(INDIRECT("1:"&amp;K$2))),ROW($A14)),"")</f>
        <v>30</v>
      </c>
      <c r="AT57" s="117">
        <f t="array" aca="1" ref="AT57" ca="1">IFERROR(SMALL(IF(COUNTIF(Podcasts!$D$305:'Podcasts'!$D$473,ROW(INDIRECT("1:"&amp;K$2)))=0,ROW(INDIRECT("1:"&amp;K$2))),ROW($A14)),"")</f>
        <v>134</v>
      </c>
      <c r="AU57" s="117">
        <f t="array" aca="1" ref="AU57" ca="1">IFERROR(SMALL(IF(COUNTIF(Podcasts!$D$479:'Podcasts'!$D$488,ROW(INDIRECT("1:"&amp;K$2)))=0,ROW(INDIRECT("1:"&amp;K$2))),ROW($A14)),"")</f>
        <v>14</v>
      </c>
      <c r="AV57" s="117">
        <f t="array" aca="1" ref="AV57" ca="1">IFERROR(SMALL(IF(COUNTIF(Podcasts!$D$494:'Podcasts'!$D$518,ROW(INDIRECT("1:"&amp;K$2)))=0,ROW(INDIRECT("1:"&amp;K$2))),ROW($A14)),"")</f>
        <v>28</v>
      </c>
      <c r="AW57" s="117">
        <f t="array" aca="1" ref="AW57" ca="1">IFERROR(SMALL(IF(COUNTIF(Podcasts!$D$524:'Podcasts'!$D$532,ROW(INDIRECT("1:"&amp;K$2)))=0,ROW(INDIRECT("1:"&amp;K$2))),ROW($A14)),"")</f>
        <v>14</v>
      </c>
      <c r="AX57" s="117">
        <f t="array" aca="1" ref="AX57" ca="1">IFERROR(SMALL(IF(COUNTIF(Podcasts!$D$538:'Podcasts'!$D$909,ROW(INDIRECT("1:"&amp;K$2)))=0,ROW(INDIRECT("1:"&amp;K$2))),ROW($A14)),"")</f>
        <v>30</v>
      </c>
      <c r="AY57" s="117">
        <f t="array" aca="1" ref="AY57" ca="1">IFERROR(SMALL(IF(COUNTIF(Podcasts!$D$915:'Podcasts'!$D$981,ROW(INDIRECT("1:"&amp;K$2)))=0,ROW(INDIRECT("1:"&amp;K$2))),ROW($A14)),"")</f>
        <v>28</v>
      </c>
      <c r="AZ57" s="445"/>
      <c r="BA57" s="117">
        <f t="array" aca="1" ref="BA57" ca="1">IFERROR(SMALL(IF(COUNTIF(Podcasts!$D$1001:'Podcasts'!$D$1251,ROW(INDIRECT("1:"&amp;K$2)))=0,ROW(INDIRECT("1:"&amp;K$2))),ROW($A14)),"")</f>
        <v>27</v>
      </c>
      <c r="BB57" s="117">
        <f t="array" aca="1" ref="BB57" ca="1">IFERROR(SMALL(IF(COUNTIF(Podcasts!$D$1257:'Podcasts'!$D$1267,ROW(INDIRECT("1:"&amp;K$2)))=0,ROW(INDIRECT("1:"&amp;K$2))),ROW($A14)),"")</f>
        <v>14</v>
      </c>
      <c r="BC57" s="117">
        <f t="array" aca="1" ref="BC57" ca="1">IFERROR(SMALL(IF(COUNTIF(Podcasts!$D$1273:'Podcasts'!$D$1283,ROW(INDIRECT("1:"&amp;K$2)))=0,ROW(INDIRECT("1:"&amp;K$2))),ROW($A14)),"")</f>
        <v>16</v>
      </c>
      <c r="BD57" s="117">
        <f t="array" aca="1" ref="BD57" ca="1">IFERROR(SMALL(IF(COUNTIF(Podcasts!$D$1289:'Podcasts'!$D$1295,ROW(INDIRECT("1:"&amp;K$2)))=0,ROW(INDIRECT("1:"&amp;K$2))),ROW($A14)),"")</f>
        <v>16</v>
      </c>
      <c r="BE57" s="117">
        <f t="array" aca="1" ref="BE57" ca="1">IFERROR(SMALL(IF(COUNTIF(Podcasts!$D$1301:'Podcasts'!$D$1356,ROW(INDIRECT("1:"&amp;K$2)))=0,ROW(INDIRECT("1:"&amp;K$2))),ROW($A14)),"")</f>
        <v>61</v>
      </c>
      <c r="BF57" s="117">
        <f t="array" aca="1" ref="BF57" ca="1">IFERROR(SMALL(IF(COUNTIF(Podcasts!$D$1362:'Podcasts'!$D$1364,ROW(INDIRECT("1:"&amp;K$2)))=0,ROW(INDIRECT("1:"&amp;K$2))),ROW($A14)),"")</f>
        <v>17</v>
      </c>
      <c r="BG57" s="202">
        <f t="array" aca="1" ref="BG57" ca="1">IFERROR(SMALL(IF(COUNTIF(Podcasts!$D$1370:'Podcasts'!$D$1419,ROW(INDIRECT("1:"&amp;K$2)))=0,ROW(INDIRECT("1:"&amp;K$2))),ROW($A14)),"")</f>
        <v>18</v>
      </c>
      <c r="BH57" s="202">
        <f t="array" aca="1" ref="BH57" ca="1">IFERROR(SMALL(IF(COUNTIF(Podcasts!$D$1425:'Podcasts'!$D$1446,ROW(INDIRECT("1:"&amp;K$2)))=0,ROW(INDIRECT("1:"&amp;K$2))),ROW($A14)),"")</f>
        <v>18</v>
      </c>
      <c r="BI57" s="202">
        <f t="array" aca="1" ref="BI57" ca="1">IFERROR(SMALL(IF(COUNTIF(Podcasts!$D$1452:'Podcasts'!$D$1574,ROW(INDIRECT("1:"&amp;K$2)))=0,ROW(INDIRECT("1:"&amp;K$2))),ROW($A14)),"")</f>
        <v>34</v>
      </c>
      <c r="BJ57" s="202">
        <f t="array" aca="1" ref="BJ57" ca="1">IFERROR(SMALL(IF(COUNTIF(Podcasts!$D$1580:'Podcasts'!$D$1705,ROW(INDIRECT("1:"&amp;K$2)))=0,ROW(INDIRECT("1:"&amp;K$2))),ROW($A14)),"")</f>
        <v>23</v>
      </c>
      <c r="BK57" s="202">
        <f t="array" aca="1" ref="BK57" ca="1">IFERROR(SMALL(IF(COUNTIF(Podcasts!$D$1711:'Podcasts'!$D$1833,ROW(INDIRECT("1:"&amp;K$2)))=0,ROW(INDIRECT("1:"&amp;K$2))),ROW($A14)),"")</f>
        <v>54</v>
      </c>
      <c r="BL57" s="202">
        <f t="array" aca="1" ref="BL57" ca="1">IFERROR(SMALL(IF(COUNTIF(Podcasts!$D$1839:'Podcasts'!$D$1855,ROW(INDIRECT("1:"&amp;K$2)))=0,ROW(INDIRECT("1:"&amp;K$2))),ROW($A14)),"")</f>
        <v>15</v>
      </c>
      <c r="BM57" s="567">
        <f t="array" aca="1" ref="BM57" ca="1">IFERROR(SMALL(IF(COUNTIF(Podcasts!$D$1861:'Podcasts'!$D$1994,ROW(INDIRECT("1:"&amp;K$2)))=0,ROW(INDIRECT("1:"&amp;K$2))),ROW($A14)),"")</f>
        <v>14</v>
      </c>
      <c r="BN57" s="567">
        <f t="array" aca="1" ref="BN57" ca="1">IFERROR(SMALL(IF(COUNTIF(Podcasts!$D$2000:'Podcasts'!$D$2057,ROW(INDIRECT("1:"&amp;K$2)))=0,ROW(INDIRECT("1:"&amp;K$2))),ROW($A14)),"")</f>
        <v>69</v>
      </c>
      <c r="BO57" s="567">
        <f t="array" aca="1" ref="BO57" ca="1">IFERROR(SMALL(IF(COUNTIF(Podcasts!$D$2063:'Podcasts'!$D$2071,ROW(INDIRECT("1:"&amp;K$2)))=0,ROW(INDIRECT("1:"&amp;K$2))),ROW($A14)),"")</f>
        <v>14</v>
      </c>
      <c r="BP57" s="202">
        <f t="array" aca="1" ref="BP57" ca="1">IFERROR(SMALL(IF(COUNTIF(Podcasts!$D$2077:'Podcasts'!$D$2092,ROW(INDIRECT("1:"&amp;K$2)))=0,ROW(INDIRECT("1:"&amp;K$2))),ROW($A14)),"")</f>
        <v>17</v>
      </c>
      <c r="BQ57" s="741">
        <f t="array" aca="1" ref="BQ57" ca="1">IFERROR(SMALL(IF(COUNTIF(Podcasts!$D$2098:'Podcasts'!$D$2114,ROW(INDIRECT("1:"&amp;K$2)))=0,ROW(INDIRECT("1:"&amp;K$2))),ROW($A14)),"")</f>
        <v>16</v>
      </c>
      <c r="BR57" s="744">
        <f t="array" aca="1" ref="BR57" ca="1">IFERROR(SMALL(IF(COUNTIF(Podcasts!$D$2120:'Podcasts'!$D$2124,ROW(INDIRECT("1:"&amp;K$2)))=0,ROW(INDIRECT("1:"&amp;K$2))),ROW($A14)),"")</f>
        <v>16</v>
      </c>
      <c r="BS57" s="28"/>
    </row>
    <row r="58" spans="1:71" outlineLevel="1">
      <c r="A58" s="28"/>
      <c r="B58" s="161">
        <v>15</v>
      </c>
      <c r="C58" s="161">
        <f>COUNTIF(Podcasts!$D$10:'Podcasts'!$D$2535,B58)</f>
        <v>7</v>
      </c>
      <c r="D58" s="158" t="s">
        <v>1043</v>
      </c>
      <c r="E58" s="156" t="str">
        <f t="array" ref="E58">IF(F58="","",INDEX(Podcasts!$J$10:'Podcasts'!$J$2535,MATCH(F58&amp;$B58,Podcasts!$E$10:'Podcasts'!$E$2535&amp;Podcasts!$D$10:'Podcasts'!$D$2535,0)))</f>
        <v>Talker</v>
      </c>
      <c r="F58" s="131">
        <f t="array" ref="F58">IF(COUNTIF(Podcasts!$D$10:'Podcasts'!$D$2535,$B58)&lt;COLUMN(A15),"",SMALL(IF(Podcasts!$D$10:'Podcasts'!$D$2535=$B58,Podcasts!$E$10:'Podcasts'!$E$2535),COLUMN(A15)))</f>
        <v>41210</v>
      </c>
      <c r="G58" s="132">
        <f t="array" ref="G58">IF(F58="","",INDEX(Podcasts!$F$10:'Podcasts'!$F$2535,MATCH(F58&amp;$B58,Podcasts!$E$10:'Podcasts'!$E$2535&amp;Podcasts!$D$10:'Podcasts'!$D$2535,0)))</f>
        <v>1.7858796296296296E-2</v>
      </c>
      <c r="H58" s="136" t="str">
        <f t="array" ref="H58">IF(I58="","",INDEX(Podcasts!$J$10:'Podcasts'!$J$2535,MATCH(I58&amp;$B58,Podcasts!$E$10:'Podcasts'!$E$2535&amp;Podcasts!$D$10:'Podcasts'!$D$2535,0)))</f>
        <v>Fürst</v>
      </c>
      <c r="I58" s="133">
        <f t="array" ref="I58">IF(COUNTIF(Podcasts!$D$10:'Podcasts'!$D$2535,$B58)&lt;COLUMN(B15),"",SMALL(IF(Podcasts!$D$10:'Podcasts'!$D$2535=$B58,Podcasts!$E$10:'Podcasts'!$E$2535),COLUMN(B15)))</f>
        <v>42022</v>
      </c>
      <c r="J58" s="132">
        <f t="array" ref="J58">IF(I58="","",INDEX(Podcasts!$F$10:'Podcasts'!$F$2535,MATCH(I58&amp;$B58,Podcasts!$E$10:'Podcasts'!$E$2535&amp;Podcasts!$D$10:'Podcasts'!$D$2535,0)))</f>
        <v>8.1018518518518514E-3</v>
      </c>
      <c r="K58" s="136" t="str">
        <f t="array" ref="K58">IF(L58="","",INDEX(Podcasts!$J$10:'Podcasts'!$J$2535,MATCH(L58&amp;$B58,Podcasts!$E$10:'Podcasts'!$E$2535&amp;Podcasts!$D$10:'Podcasts'!$D$2535,0)))</f>
        <v>Abfahrt</v>
      </c>
      <c r="L58" s="133">
        <f t="array" ref="L58">IF(COUNTIF(Podcasts!$D$10:'Podcasts'!$D$2535,$B58)&lt;COLUMN(C15),"",SMALL(IF(Podcasts!$D$10:'Podcasts'!$D$2535=$B58,Podcasts!$E$10:'Podcasts'!$E$2535),COLUMN(C15)))</f>
        <v>44393</v>
      </c>
      <c r="M58" s="132">
        <f t="array" ref="M58">IF(L58="","",INDEX(Podcasts!$F$10:'Podcasts'!$F$2535,MATCH(L58&amp;$B58,Podcasts!$E$10:'Podcasts'!$E$2535&amp;Podcasts!$D$10:'Podcasts'!$D$2535,0)))</f>
        <v>4.628472222222222E-2</v>
      </c>
      <c r="N58" s="136" t="str">
        <f t="array" ref="N58">IF(O58="","",INDEX(Podcasts!$J$10:'Podcasts'!$J$2535,MATCH(O58&amp;$B58,Podcasts!$E$10:'Podcasts'!$E$2535&amp;Podcasts!$D$10:'Podcasts'!$D$2535,0)))</f>
        <v>Zentrale</v>
      </c>
      <c r="O58" s="133">
        <f t="array" ref="O58">IF(COUNTIF(Podcasts!$D$10:'Podcasts'!$D$2535,$B58)&lt;COLUMN(D15),"",SMALL(IF(Podcasts!$D$10:'Podcasts'!$D$2535=$B58,Podcasts!$E$10:'Podcasts'!$E$2535),COLUMN(D15)))</f>
        <v>44603</v>
      </c>
      <c r="P58" s="132">
        <f t="array" ref="P58">IF(O58="","",INDEX(Podcasts!$F$10:'Podcasts'!$F$2535,MATCH(O58&amp;$B58,Podcasts!$E$10:'Podcasts'!$E$2535&amp;Podcasts!$D$10:'Podcasts'!$D$2535,0)))</f>
        <v>0.10282407407407407</v>
      </c>
      <c r="Q58" s="136" t="str">
        <f t="array" ref="Q58">IF(R58="","",INDEX(Podcasts!$J$10:'Podcasts'!$J$2535,MATCH(R58&amp;$B58,Podcasts!$E$10:'Podcasts'!$E$2535&amp;Podcasts!$D$10:'Podcasts'!$D$2535,0)))</f>
        <v>Verstärker</v>
      </c>
      <c r="R58" s="133">
        <f t="array" ref="R58">IF(COUNTIF(Podcasts!$D$10:'Podcasts'!$D$2535,$B58)&lt;COLUMN(E15),"",SMALL(IF(Podcasts!$D$10:'Podcasts'!$D$2535=$B58,Podcasts!$E$10:'Podcasts'!$E$2535),COLUMN(E15)))</f>
        <v>44654</v>
      </c>
      <c r="S58" s="132">
        <f t="array" ref="S58">IF(R58="","",INDEX(Podcasts!$F$10:'Podcasts'!$F$2535,MATCH(R58&amp;$B58,Podcasts!$E$10:'Podcasts'!$E$2535&amp;Podcasts!$D$10:'Podcasts'!$D$2535,0)))</f>
        <v>2.5358796296296296E-2</v>
      </c>
      <c r="T58" s="136" t="str">
        <f t="array" ref="T58">IF(U58="","",INDEX(Podcasts!$J$10:'Podcasts'!$J$2535,MATCH(U58&amp;$B58,Podcasts!$E$10:'Podcasts'!$E$2535&amp;Podcasts!$D$10:'Podcasts'!$D$2535,0)))</f>
        <v>Bobcast</v>
      </c>
      <c r="U58" s="133">
        <f t="array" ref="U58">IF(COUNTIF(Podcasts!$D$10:'Podcasts'!$D$2535,$B58)&lt;COLUMN(F15),"",SMALL(IF(Podcasts!$D$10:'Podcasts'!$D$2535=$B58,Podcasts!$E$10:'Podcasts'!$E$2535),COLUMN(F15)))</f>
        <v>44858.001168981478</v>
      </c>
      <c r="V58" s="132">
        <f t="array" ref="V58">IF(U58="","",INDEX(Podcasts!$F$10:'Podcasts'!$F$2535,MATCH(U58&amp;$B58,Podcasts!$E$10:'Podcasts'!$E$2535&amp;Podcasts!$D$10:'Podcasts'!$D$2535,0)))</f>
        <v>3.3437500000000002E-2</v>
      </c>
      <c r="W58" s="136" t="str">
        <f t="array" ref="W58">IF(X58="","",INDEX(Podcasts!$J$10:'Podcasts'!$J$2535,MATCH(X58&amp;$B58,Podcasts!$E$10:'Podcasts'!$E$2535&amp;Podcasts!$D$10:'Podcasts'!$D$2535,0)))</f>
        <v>RBW</v>
      </c>
      <c r="X58" s="133">
        <f t="array" ref="X58">IF(COUNTIF(Podcasts!$D$10:'Podcasts'!$D$2535,$B58)&lt;COLUMN(G15),"",SMALL(IF(Podcasts!$D$10:'Podcasts'!$D$2535=$B58,Podcasts!$E$10:'Podcasts'!$E$2535),COLUMN(G15)))</f>
        <v>44952</v>
      </c>
      <c r="Y58" s="132">
        <f t="array" ref="Y58">IF(X58="","",INDEX(Podcasts!$F$10:'Podcasts'!$F$2535,MATCH(X58&amp;$B58,Podcasts!$E$10:'Podcasts'!$E$2535&amp;Podcasts!$D$10:'Podcasts'!$D$2535,0)))</f>
        <v>4.0231481481481479E-2</v>
      </c>
      <c r="Z58" s="136" t="str">
        <f t="array" ref="Z58">IF(AA58="","",INDEX(Podcasts!$J$10:'Podcasts'!$J$2535,MATCH(AA58&amp;$B58,Podcasts!$E$10:'Podcasts'!$E$2535&amp;Podcasts!$D$10:'Podcasts'!$D$2535,0)))</f>
        <v/>
      </c>
      <c r="AA58" s="134" t="str">
        <f t="array" ref="AA58">IF(COUNTIF(Podcasts!$D$10:'Podcasts'!$D$2535,$B58)&lt;COLUMN(H15),"",SMALL(IF(Podcasts!$D$10:'Podcasts'!$D$2535=$B58,Podcasts!$E$10:'Podcasts'!$E$2535),COLUMN(H15)))</f>
        <v/>
      </c>
      <c r="AB58" s="404" t="str">
        <f t="array" ref="AB58">IF(AA58="","",INDEX(Podcasts!$F$10:'Podcasts'!$F$2535,MATCH(AA58&amp;$B58,Podcasts!$E$10:'Podcasts'!$E$2535&amp;Podcasts!$D$10:'Podcasts'!$D$2535,0)))</f>
        <v/>
      </c>
      <c r="AC58" s="406" t="str">
        <f t="array" ref="AC58">IF(AD58="","",INDEX(Podcasts!$J$10:'Podcasts'!$J$2535,MATCH(AD58&amp;$B58,Podcasts!$E$10:'Podcasts'!$E$2535&amp;Podcasts!$D$10:'Podcasts'!$D$2535,0)))</f>
        <v/>
      </c>
      <c r="AD58" s="400" t="str">
        <f t="array" ref="AD58">IF(COUNTIF(Podcasts!$D$10:'Podcasts'!$D$2535,$B58)&lt;COLUMN(I15),"",SMALL(IF(Podcasts!$D$10:'Podcasts'!$D$2535=$B58,Podcasts!$E$10:'Podcasts'!$E$2535),COLUMN(I15)))</f>
        <v/>
      </c>
      <c r="AE58" s="401" t="str">
        <f t="array" ref="AE58">IF(AD58="","",INDEX(Podcasts!$F$10:'Podcasts'!$F$2535,MATCH(AD58&amp;$B58,Podcasts!$E$10:'Podcasts'!$E$2535&amp;Podcasts!$D$10:'Podcasts'!$D$2535,0)))</f>
        <v/>
      </c>
      <c r="AF58" s="406" t="str">
        <f t="array" ref="AF58">IF(AG58="","",INDEX(Podcasts!$J$10:'Podcasts'!$J$2535,MATCH(AG58&amp;$B58,Podcasts!$E$10:'Podcasts'!$E$2535&amp;Podcasts!$D$10:'Podcasts'!$D$2535,0)))</f>
        <v/>
      </c>
      <c r="AG58" s="400" t="str">
        <f t="array" ref="AG58">IF(COUNTIF(Podcasts!$D$10:'Podcasts'!$D$2535,$B58)&lt;COLUMN(J15),"",SMALL(IF(Podcasts!$D$10:'Podcasts'!$D$2535=$B58,Podcasts!$E$10:'Podcasts'!$E$2535),COLUMN(J15)))</f>
        <v/>
      </c>
      <c r="AH58" s="401" t="str">
        <f t="array" ref="AH58">IF(AG58="","",INDEX(Podcasts!$F$10:'Podcasts'!$F$2535,MATCH(AG58&amp;$B58,Podcasts!$E$10:'Podcasts'!$E$2535&amp;Podcasts!$D$10:'Podcasts'!$D$2535,0)))</f>
        <v/>
      </c>
      <c r="AI58" s="406" t="str">
        <f t="array" ref="AI58">IF(AJ58="","",INDEX(Podcasts!$J$10:'Podcasts'!$J$2535,MATCH(AJ58&amp;$B58,Podcasts!$E$10:'Podcasts'!$E$2535&amp;Podcasts!$D$10:'Podcasts'!$D$2535,0)))</f>
        <v/>
      </c>
      <c r="AJ58" s="400" t="str">
        <f t="array" ref="AJ58">IF(COUNTIF(Podcasts!$D$10:'Podcasts'!$D$2535,$B58)&lt;COLUMN(K15),"",SMALL(IF(Podcasts!$D$10:'Podcasts'!$D$2535=$B58,Podcasts!$E$10:'Podcasts'!$E$2535),COLUMN(K15)))</f>
        <v/>
      </c>
      <c r="AK58" s="401" t="str">
        <f t="array" ref="AK58">IF(AJ58="","",INDEX(Podcasts!$F$10:'Podcasts'!$F$2535,MATCH(AJ58&amp;$B58,Podcasts!$E$10:'Podcasts'!$E$2535&amp;Podcasts!$D$10:'Podcasts'!$D$2535,0)))</f>
        <v/>
      </c>
      <c r="AL58" s="406" t="str">
        <f t="array" ref="AL58">IF(AM58="","",INDEX(Podcasts!$J$10:'Podcasts'!$J$2535,MATCH(AM58&amp;$B58,Podcasts!$E$10:'Podcasts'!$E$2535&amp;Podcasts!$D$10:'Podcasts'!$D$2535,0)))</f>
        <v/>
      </c>
      <c r="AM58" s="400" t="str">
        <f t="array" ref="AM58">IF(COUNTIF(Podcasts!$D$10:'Podcasts'!$D$2535,$B58)&lt;COLUMN(L15),"",SMALL(IF(Podcasts!$D$10:'Podcasts'!$D$2535=$B58,Podcasts!$E$10:'Podcasts'!$E$2535),COLUMN(L15)))</f>
        <v/>
      </c>
      <c r="AN58" s="401" t="str">
        <f t="array" ref="AN58">IF(AM58="","",INDEX(Podcasts!$F$10:'Podcasts'!$F$2535,MATCH(AM58&amp;$B58,Podcasts!$E$10:'Podcasts'!$E$2535&amp;Podcasts!$D$10:'Podcasts'!$D$2535,0)))</f>
        <v/>
      </c>
      <c r="AO58" s="402"/>
      <c r="AP58" s="119"/>
      <c r="AQ58" s="117">
        <f t="array" aca="1" ref="AQ58" ca="1">IFERROR(SMALL(IF(COUNTIF(Podcasts!$D$10:'Podcasts'!$D$107,ROW(INDIRECT("1:"&amp;K$2)))=0,ROW(INDIRECT("1:"&amp;K$2))),ROW($A15)),"")</f>
        <v>26</v>
      </c>
      <c r="AR58" s="117">
        <f t="array" aca="1" ref="AR58" ca="1">IFERROR(SMALL(IF(COUNTIF(Podcasts!$D$113:'Podcasts'!$D$238,ROW(INDIRECT("1:"&amp;K$2)))=0,ROW(INDIRECT("1:"&amp;K$2))),ROW($A15)),"")</f>
        <v>15</v>
      </c>
      <c r="AS58" s="117">
        <f t="array" aca="1" ref="AS58" ca="1">IFERROR(SMALL(IF(COUNTIF(Podcasts!$D$244:'Podcasts'!$D$299,ROW(INDIRECT("1:"&amp;K$2)))=0,ROW(INDIRECT("1:"&amp;K$2))),ROW($A15)),"")</f>
        <v>31</v>
      </c>
      <c r="AT58" s="117">
        <f t="array" aca="1" ref="AT58" ca="1">IFERROR(SMALL(IF(COUNTIF(Podcasts!$D$305:'Podcasts'!$D$473,ROW(INDIRECT("1:"&amp;K$2)))=0,ROW(INDIRECT("1:"&amp;K$2))),ROW($A15)),"")</f>
        <v>135</v>
      </c>
      <c r="AU58" s="117">
        <f t="array" aca="1" ref="AU58" ca="1">IFERROR(SMALL(IF(COUNTIF(Podcasts!$D$479:'Podcasts'!$D$488,ROW(INDIRECT("1:"&amp;K$2)))=0,ROW(INDIRECT("1:"&amp;K$2))),ROW($A15)),"")</f>
        <v>15</v>
      </c>
      <c r="AV58" s="117">
        <f t="array" aca="1" ref="AV58" ca="1">IFERROR(SMALL(IF(COUNTIF(Podcasts!$D$494:'Podcasts'!$D$518,ROW(INDIRECT("1:"&amp;K$2)))=0,ROW(INDIRECT("1:"&amp;K$2))),ROW($A15)),"")</f>
        <v>29</v>
      </c>
      <c r="AW58" s="117">
        <f t="array" aca="1" ref="AW58" ca="1">IFERROR(SMALL(IF(COUNTIF(Podcasts!$D$524:'Podcasts'!$D$532,ROW(INDIRECT("1:"&amp;K$2)))=0,ROW(INDIRECT("1:"&amp;K$2))),ROW($A15)),"")</f>
        <v>15</v>
      </c>
      <c r="AX58" s="117">
        <f t="array" aca="1" ref="AX58" ca="1">IFERROR(SMALL(IF(COUNTIF(Podcasts!$D$538:'Podcasts'!$D$909,ROW(INDIRECT("1:"&amp;K$2)))=0,ROW(INDIRECT("1:"&amp;K$2))),ROW($A15)),"")</f>
        <v>34</v>
      </c>
      <c r="AY58" s="117">
        <f t="array" aca="1" ref="AY58" ca="1">IFERROR(SMALL(IF(COUNTIF(Podcasts!$D$915:'Podcasts'!$D$981,ROW(INDIRECT("1:"&amp;K$2)))=0,ROW(INDIRECT("1:"&amp;K$2))),ROW($A15)),"")</f>
        <v>29</v>
      </c>
      <c r="AZ58" s="445"/>
      <c r="BA58" s="117">
        <f t="array" aca="1" ref="BA58" ca="1">IFERROR(SMALL(IF(COUNTIF(Podcasts!$D$1001:'Podcasts'!$D$1251,ROW(INDIRECT("1:"&amp;K$2)))=0,ROW(INDIRECT("1:"&amp;K$2))),ROW($A15)),"")</f>
        <v>31</v>
      </c>
      <c r="BB58" s="117">
        <f t="array" aca="1" ref="BB58" ca="1">IFERROR(SMALL(IF(COUNTIF(Podcasts!$D$1257:'Podcasts'!$D$1267,ROW(INDIRECT("1:"&amp;K$2)))=0,ROW(INDIRECT("1:"&amp;K$2))),ROW($A15)),"")</f>
        <v>15</v>
      </c>
      <c r="BC58" s="117">
        <f t="array" aca="1" ref="BC58" ca="1">IFERROR(SMALL(IF(COUNTIF(Podcasts!$D$1273:'Podcasts'!$D$1283,ROW(INDIRECT("1:"&amp;K$2)))=0,ROW(INDIRECT("1:"&amp;K$2))),ROW($A15)),"")</f>
        <v>17</v>
      </c>
      <c r="BD58" s="117">
        <f t="array" aca="1" ref="BD58" ca="1">IFERROR(SMALL(IF(COUNTIF(Podcasts!$D$1289:'Podcasts'!$D$1295,ROW(INDIRECT("1:"&amp;K$2)))=0,ROW(INDIRECT("1:"&amp;K$2))),ROW($A15)),"")</f>
        <v>17</v>
      </c>
      <c r="BE58" s="117">
        <f t="array" aca="1" ref="BE58" ca="1">IFERROR(SMALL(IF(COUNTIF(Podcasts!$D$1301:'Podcasts'!$D$1356,ROW(INDIRECT("1:"&amp;K$2)))=0,ROW(INDIRECT("1:"&amp;K$2))),ROW($A15)),"")</f>
        <v>62</v>
      </c>
      <c r="BF58" s="117">
        <f t="array" aca="1" ref="BF58" ca="1">IFERROR(SMALL(IF(COUNTIF(Podcasts!$D$1362:'Podcasts'!$D$1364,ROW(INDIRECT("1:"&amp;K$2)))=0,ROW(INDIRECT("1:"&amp;K$2))),ROW($A15)),"")</f>
        <v>18</v>
      </c>
      <c r="BG58" s="202">
        <f t="array" aca="1" ref="BG58" ca="1">IFERROR(SMALL(IF(COUNTIF(Podcasts!$D$1370:'Podcasts'!$D$1419,ROW(INDIRECT("1:"&amp;K$2)))=0,ROW(INDIRECT("1:"&amp;K$2))),ROW($A15)),"")</f>
        <v>19</v>
      </c>
      <c r="BH58" s="202">
        <f t="array" aca="1" ref="BH58" ca="1">IFERROR(SMALL(IF(COUNTIF(Podcasts!$D$1425:'Podcasts'!$D$1446,ROW(INDIRECT("1:"&amp;K$2)))=0,ROW(INDIRECT("1:"&amp;K$2))),ROW($A15)),"")</f>
        <v>19</v>
      </c>
      <c r="BI58" s="202">
        <f t="array" aca="1" ref="BI58" ca="1">IFERROR(SMALL(IF(COUNTIF(Podcasts!$D$1452:'Podcasts'!$D$1574,ROW(INDIRECT("1:"&amp;K$2)))=0,ROW(INDIRECT("1:"&amp;K$2))),ROW($A15)),"")</f>
        <v>37</v>
      </c>
      <c r="BJ58" s="202">
        <f t="array" aca="1" ref="BJ58" ca="1">IFERROR(SMALL(IF(COUNTIF(Podcasts!$D$1580:'Podcasts'!$D$1705,ROW(INDIRECT("1:"&amp;K$2)))=0,ROW(INDIRECT("1:"&amp;K$2))),ROW($A15)),"")</f>
        <v>24</v>
      </c>
      <c r="BK58" s="202">
        <f t="array" aca="1" ref="BK58" ca="1">IFERROR(SMALL(IF(COUNTIF(Podcasts!$D$1711:'Podcasts'!$D$1833,ROW(INDIRECT("1:"&amp;K$2)))=0,ROW(INDIRECT("1:"&amp;K$2))),ROW($A15)),"")</f>
        <v>55</v>
      </c>
      <c r="BL58" s="202">
        <f t="array" aca="1" ref="BL58" ca="1">IFERROR(SMALL(IF(COUNTIF(Podcasts!$D$1839:'Podcasts'!$D$1855,ROW(INDIRECT("1:"&amp;K$2)))=0,ROW(INDIRECT("1:"&amp;K$2))),ROW($A15)),"")</f>
        <v>16</v>
      </c>
      <c r="BM58" s="567">
        <f t="array" aca="1" ref="BM58" ca="1">IFERROR(SMALL(IF(COUNTIF(Podcasts!$D$1861:'Podcasts'!$D$1994,ROW(INDIRECT("1:"&amp;K$2)))=0,ROW(INDIRECT("1:"&amp;K$2))),ROW($A15)),"")</f>
        <v>15</v>
      </c>
      <c r="BN58" s="567">
        <f t="array" aca="1" ref="BN58" ca="1">IFERROR(SMALL(IF(COUNTIF(Podcasts!$D$2000:'Podcasts'!$D$2057,ROW(INDIRECT("1:"&amp;K$2)))=0,ROW(INDIRECT("1:"&amp;K$2))),ROW($A15)),"")</f>
        <v>70</v>
      </c>
      <c r="BO58" s="567">
        <f t="array" aca="1" ref="BO58" ca="1">IFERROR(SMALL(IF(COUNTIF(Podcasts!$D$2063:'Podcasts'!$D$2071,ROW(INDIRECT("1:"&amp;K$2)))=0,ROW(INDIRECT("1:"&amp;K$2))),ROW($A15)),"")</f>
        <v>15</v>
      </c>
      <c r="BP58" s="202">
        <f t="array" aca="1" ref="BP58" ca="1">IFERROR(SMALL(IF(COUNTIF(Podcasts!$D$2077:'Podcasts'!$D$2092,ROW(INDIRECT("1:"&amp;K$2)))=0,ROW(INDIRECT("1:"&amp;K$2))),ROW($A15)),"")</f>
        <v>19</v>
      </c>
      <c r="BQ58" s="741">
        <f t="array" aca="1" ref="BQ58" ca="1">IFERROR(SMALL(IF(COUNTIF(Podcasts!$D$2098:'Podcasts'!$D$2114,ROW(INDIRECT("1:"&amp;K$2)))=0,ROW(INDIRECT("1:"&amp;K$2))),ROW($A15)),"")</f>
        <v>17</v>
      </c>
      <c r="BR58" s="744">
        <f t="array" aca="1" ref="BR58" ca="1">IFERROR(SMALL(IF(COUNTIF(Podcasts!$D$2120:'Podcasts'!$D$2124,ROW(INDIRECT("1:"&amp;K$2)))=0,ROW(INDIRECT("1:"&amp;K$2))),ROW($A15)),"")</f>
        <v>17</v>
      </c>
      <c r="BS58" s="28"/>
    </row>
    <row r="59" spans="1:71" outlineLevel="1">
      <c r="A59" s="28"/>
      <c r="B59" s="161">
        <v>16</v>
      </c>
      <c r="C59" s="161">
        <f>COUNTIF(Podcasts!$D$10:'Podcasts'!$D$2535,B59)</f>
        <v>11</v>
      </c>
      <c r="D59" s="158" t="s">
        <v>1044</v>
      </c>
      <c r="E59" s="156" t="str">
        <f t="array" ref="E59">IF(F59="","",INDEX(Podcasts!$J$10:'Podcasts'!$J$2535,MATCH(F59&amp;$B59,Podcasts!$E$10:'Podcasts'!$E$2535&amp;Podcasts!$D$10:'Podcasts'!$D$2535,0)))</f>
        <v>Fürst</v>
      </c>
      <c r="F59" s="131">
        <f t="array" ref="F59">IF(COUNTIF(Podcasts!$D$10:'Podcasts'!$D$2535,$B59)&lt;COLUMN(A16),"",SMALL(IF(Podcasts!$D$10:'Podcasts'!$D$2535=$B59,Podcasts!$E$10:'Podcasts'!$E$2535),COLUMN(A16)))</f>
        <v>41896</v>
      </c>
      <c r="G59" s="132">
        <f t="array" ref="G59">IF(F59="","",INDEX(Podcasts!$F$10:'Podcasts'!$F$2535,MATCH(F59&amp;$B59,Podcasts!$E$10:'Podcasts'!$E$2535&amp;Podcasts!$D$10:'Podcasts'!$D$2535,0)))</f>
        <v>6.9444444444444337E-3</v>
      </c>
      <c r="H59" s="136" t="str">
        <f t="array" ref="H59">IF(I59="","",INDEX(Podcasts!$J$10:'Podcasts'!$J$2535,MATCH(I59&amp;$B59,Podcasts!$E$10:'Podcasts'!$E$2535&amp;Podcasts!$D$10:'Podcasts'!$D$2535,0)))</f>
        <v>SSP</v>
      </c>
      <c r="I59" s="133">
        <f t="array" ref="I59">IF(COUNTIF(Podcasts!$D$10:'Podcasts'!$D$2535,$B59)&lt;COLUMN(B16),"",SMALL(IF(Podcasts!$D$10:'Podcasts'!$D$2535=$B59,Podcasts!$E$10:'Podcasts'!$E$2535),COLUMN(B16)))</f>
        <v>44006</v>
      </c>
      <c r="J59" s="132">
        <f t="array" ref="J59">IF(I59="","",INDEX(Podcasts!$F$10:'Podcasts'!$F$2535,MATCH(I59&amp;$B59,Podcasts!$E$10:'Podcasts'!$E$2535&amp;Podcasts!$D$10:'Podcasts'!$D$2535,0)))</f>
        <v>8.2500000000000004E-2</v>
      </c>
      <c r="K59" s="136" t="str">
        <f t="array" ref="K59">IF(L59="","",INDEX(Podcasts!$J$10:'Podcasts'!$J$2535,MATCH(L59&amp;$B59,Podcasts!$E$10:'Podcasts'!$E$2535&amp;Podcasts!$D$10:'Podcasts'!$D$2535,0)))</f>
        <v>Talker</v>
      </c>
      <c r="L59" s="133">
        <f t="array" ref="L59">IF(COUNTIF(Podcasts!$D$10:'Podcasts'!$D$2535,$B59)&lt;COLUMN(C16),"",SMALL(IF(Podcasts!$D$10:'Podcasts'!$D$2535=$B59,Podcasts!$E$10:'Podcasts'!$E$2535),COLUMN(C16)))</f>
        <v>44148</v>
      </c>
      <c r="M59" s="132">
        <f t="array" ref="M59">IF(L59="","",INDEX(Podcasts!$F$10:'Podcasts'!$F$2535,MATCH(L59&amp;$B59,Podcasts!$E$10:'Podcasts'!$E$2535&amp;Podcasts!$D$10:'Podcasts'!$D$2535,0)))</f>
        <v>1.9756944444444445E-2</v>
      </c>
      <c r="N59" s="136" t="str">
        <f t="array" ref="N59">IF(O59="","",INDEX(Podcasts!$J$10:'Podcasts'!$J$2535,MATCH(O59&amp;$B59,Podcasts!$E$10:'Podcasts'!$E$2535&amp;Podcasts!$D$10:'Podcasts'!$D$2535,0)))</f>
        <v>Abfahrt</v>
      </c>
      <c r="O59" s="133">
        <f t="array" ref="O59">IF(COUNTIF(Podcasts!$D$10:'Podcasts'!$D$2535,$B59)&lt;COLUMN(D16),"",SMALL(IF(Podcasts!$D$10:'Podcasts'!$D$2535=$B59,Podcasts!$E$10:'Podcasts'!$E$2535),COLUMN(D16)))</f>
        <v>44428</v>
      </c>
      <c r="P59" s="132">
        <f t="array" ref="P59">IF(O59="","",INDEX(Podcasts!$F$10:'Podcasts'!$F$2535,MATCH(O59&amp;$B59,Podcasts!$E$10:'Podcasts'!$E$2535&amp;Podcasts!$D$10:'Podcasts'!$D$2535,0)))</f>
        <v>5.8981481481481489E-2</v>
      </c>
      <c r="Q59" s="136" t="str">
        <f t="array" ref="Q59">IF(R59="","",INDEX(Podcasts!$J$10:'Podcasts'!$J$2535,MATCH(R59&amp;$B59,Podcasts!$E$10:'Podcasts'!$E$2535&amp;Podcasts!$D$10:'Podcasts'!$D$2535,0)))</f>
        <v>Kaffee</v>
      </c>
      <c r="R59" s="133">
        <f t="array" ref="R59">IF(COUNTIF(Podcasts!$D$10:'Podcasts'!$D$2535,$B59)&lt;COLUMN(E16),"",SMALL(IF(Podcasts!$D$10:'Podcasts'!$D$2535=$B59,Podcasts!$E$10:'Podcasts'!$E$2535),COLUMN(E16)))</f>
        <v>44666</v>
      </c>
      <c r="S59" s="132">
        <f t="array" ref="S59">IF(R59="","",INDEX(Podcasts!$F$10:'Podcasts'!$F$2535,MATCH(R59&amp;$B59,Podcasts!$E$10:'Podcasts'!$E$2535&amp;Podcasts!$D$10:'Podcasts'!$D$2535,0)))</f>
        <v>3.3969907407407407E-2</v>
      </c>
      <c r="T59" s="136" t="str">
        <f t="array" ref="T59">IF(U59="","",INDEX(Podcasts!$J$10:'Podcasts'!$J$2535,MATCH(U59&amp;$B59,Podcasts!$E$10:'Podcasts'!$E$2535&amp;Podcasts!$D$10:'Podcasts'!$D$2535,0)))</f>
        <v>Verstärker</v>
      </c>
      <c r="U59" s="133">
        <f t="array" ref="U59">IF(COUNTIF(Podcasts!$D$10:'Podcasts'!$D$2535,$B59)&lt;COLUMN(F16),"",SMALL(IF(Podcasts!$D$10:'Podcasts'!$D$2535=$B59,Podcasts!$E$10:'Podcasts'!$E$2535),COLUMN(F16)))</f>
        <v>44684</v>
      </c>
      <c r="V59" s="132">
        <f t="array" ref="V59">IF(U59="","",INDEX(Podcasts!$F$10:'Podcasts'!$F$2535,MATCH(U59&amp;$B59,Podcasts!$E$10:'Podcasts'!$E$2535&amp;Podcasts!$D$10:'Podcasts'!$D$2535,0)))</f>
        <v>2.6655092592592591E-2</v>
      </c>
      <c r="W59" s="136" t="str">
        <f t="array" ref="W59">IF(X59="","",INDEX(Podcasts!$J$10:'Podcasts'!$J$2535,MATCH(X59&amp;$B59,Podcasts!$E$10:'Podcasts'!$E$2535&amp;Podcasts!$D$10:'Podcasts'!$D$2535,0)))</f>
        <v>Zw3i</v>
      </c>
      <c r="X59" s="133">
        <f t="array" ref="X59">IF(COUNTIF(Podcasts!$D$10:'Podcasts'!$D$2535,$B59)&lt;COLUMN(G16),"",SMALL(IF(Podcasts!$D$10:'Podcasts'!$D$2535=$B59,Podcasts!$E$10:'Podcasts'!$E$2535),COLUMN(G16)))</f>
        <v>44715</v>
      </c>
      <c r="Y59" s="132">
        <f t="array" ref="Y59">IF(X59="","",INDEX(Podcasts!$F$10:'Podcasts'!$F$2535,MATCH(X59&amp;$B59,Podcasts!$E$10:'Podcasts'!$E$2535&amp;Podcasts!$D$10:'Podcasts'!$D$2535,0)))</f>
        <v>5.7222222222222223E-2</v>
      </c>
      <c r="Z59" s="136" t="str">
        <f t="array" ref="Z59">IF(AA59="","",INDEX(Podcasts!$J$10:'Podcasts'!$J$2535,MATCH(AA59&amp;$B59,Podcasts!$E$10:'Podcasts'!$E$2535&amp;Podcasts!$D$10:'Podcasts'!$D$2535,0)))</f>
        <v>Zentrale</v>
      </c>
      <c r="AA59" s="134">
        <f t="array" ref="AA59">IF(COUNTIF(Podcasts!$D$10:'Podcasts'!$D$2535,$B59)&lt;COLUMN(H16),"",SMALL(IF(Podcasts!$D$10:'Podcasts'!$D$2535=$B59,Podcasts!$E$10:'Podcasts'!$E$2535),COLUMN(H16)))</f>
        <v>44736</v>
      </c>
      <c r="AB59" s="404">
        <f t="array" ref="AB59">IF(AA59="","",INDEX(Podcasts!$F$10:'Podcasts'!$F$2535,MATCH(AA59&amp;$B59,Podcasts!$E$10:'Podcasts'!$E$2535&amp;Podcasts!$D$10:'Podcasts'!$D$2535,0)))</f>
        <v>0.11033564814814815</v>
      </c>
      <c r="AC59" s="406" t="str">
        <f t="array" ref="AC59">IF(AD59="","",INDEX(Podcasts!$J$10:'Podcasts'!$J$2535,MATCH(AD59&amp;$B59,Podcasts!$E$10:'Podcasts'!$E$2535&amp;Podcasts!$D$10:'Podcasts'!$D$2535,0)))</f>
        <v>Zeichen</v>
      </c>
      <c r="AD59" s="400">
        <f t="array" ref="AD59">IF(COUNTIF(Podcasts!$D$10:'Podcasts'!$D$2535,$B59)&lt;COLUMN(I16),"",SMALL(IF(Podcasts!$D$10:'Podcasts'!$D$2535=$B59,Podcasts!$E$10:'Podcasts'!$E$2535),COLUMN(I16)))</f>
        <v>44804</v>
      </c>
      <c r="AE59" s="401">
        <f t="array" ref="AE59">IF(AD59="","",INDEX(Podcasts!$F$10:'Podcasts'!$F$2535,MATCH(AD59&amp;$B59,Podcasts!$E$10:'Podcasts'!$E$2535&amp;Podcasts!$D$10:'Podcasts'!$D$2535,0)))</f>
        <v>7.9247685185185185E-2</v>
      </c>
      <c r="AF59" s="406" t="str">
        <f t="array" ref="AF59">IF(AG59="","",INDEX(Podcasts!$J$10:'Podcasts'!$J$2535,MATCH(AG59&amp;$B59,Podcasts!$E$10:'Podcasts'!$E$2535&amp;Podcasts!$D$10:'Podcasts'!$D$2535,0)))</f>
        <v>Bobcast</v>
      </c>
      <c r="AG59" s="400">
        <f t="array" ref="AG59">IF(COUNTIF(Podcasts!$D$10:'Podcasts'!$D$2535,$B59)&lt;COLUMN(J16),"",SMALL(IF(Podcasts!$D$10:'Podcasts'!$D$2535=$B59,Podcasts!$E$10:'Podcasts'!$E$2535),COLUMN(J16)))</f>
        <v>44872.000763888886</v>
      </c>
      <c r="AH59" s="401">
        <f t="array" ref="AH59">IF(AG59="","",INDEX(Podcasts!$F$10:'Podcasts'!$F$2535,MATCH(AG59&amp;$B59,Podcasts!$E$10:'Podcasts'!$E$2535&amp;Podcasts!$D$10:'Podcasts'!$D$2535,0)))</f>
        <v>4.2187499999999996E-2</v>
      </c>
      <c r="AI59" s="406" t="str">
        <f t="array" ref="AI59">IF(AJ59="","",INDEX(Podcasts!$J$10:'Podcasts'!$J$2535,MATCH(AJ59&amp;$B59,Podcasts!$E$10:'Podcasts'!$E$2535&amp;Podcasts!$D$10:'Podcasts'!$D$2535,0)))</f>
        <v>RBW</v>
      </c>
      <c r="AJ59" s="400">
        <f t="array" ref="AJ59">IF(COUNTIF(Podcasts!$D$10:'Podcasts'!$D$2535,$B59)&lt;COLUMN(K16),"",SMALL(IF(Podcasts!$D$10:'Podcasts'!$D$2535=$B59,Podcasts!$E$10:'Podcasts'!$E$2535),COLUMN(K16)))</f>
        <v>44959</v>
      </c>
      <c r="AK59" s="401">
        <f t="array" ref="AK59">IF(AJ59="","",INDEX(Podcasts!$F$10:'Podcasts'!$F$2535,MATCH(AJ59&amp;$B59,Podcasts!$E$10:'Podcasts'!$E$2535&amp;Podcasts!$D$10:'Podcasts'!$D$2535,0)))</f>
        <v>3.3379629629629634E-2</v>
      </c>
      <c r="AL59" s="406" t="str">
        <f t="array" ref="AL59">IF(AM59="","",INDEX(Podcasts!$J$10:'Podcasts'!$J$2535,MATCH(AM59&amp;$B59,Podcasts!$E$10:'Podcasts'!$E$2535&amp;Podcasts!$D$10:'Podcasts'!$D$2535,0)))</f>
        <v/>
      </c>
      <c r="AM59" s="400" t="str">
        <f t="array" ref="AM59">IF(COUNTIF(Podcasts!$D$10:'Podcasts'!$D$2535,$B59)&lt;COLUMN(L16),"",SMALL(IF(Podcasts!$D$10:'Podcasts'!$D$2535=$B59,Podcasts!$E$10:'Podcasts'!$E$2535),COLUMN(L16)))</f>
        <v/>
      </c>
      <c r="AN59" s="401" t="str">
        <f t="array" ref="AN59">IF(AM59="","",INDEX(Podcasts!$F$10:'Podcasts'!$F$2535,MATCH(AM59&amp;$B59,Podcasts!$E$10:'Podcasts'!$E$2535&amp;Podcasts!$D$10:'Podcasts'!$D$2535,0)))</f>
        <v/>
      </c>
      <c r="AO59" s="402"/>
      <c r="AP59" s="119"/>
      <c r="AQ59" s="117">
        <f t="array" aca="1" ref="AQ59" ca="1">IFERROR(SMALL(IF(COUNTIF(Podcasts!$D$10:'Podcasts'!$D$107,ROW(INDIRECT("1:"&amp;K$2)))=0,ROW(INDIRECT("1:"&amp;K$2))),ROW($A16)),"")</f>
        <v>27</v>
      </c>
      <c r="AR59" s="117">
        <f t="array" aca="1" ref="AR59" ca="1">IFERROR(SMALL(IF(COUNTIF(Podcasts!$D$113:'Podcasts'!$D$238,ROW(INDIRECT("1:"&amp;K$2)))=0,ROW(INDIRECT("1:"&amp;K$2))),ROW($A16)),"")</f>
        <v>16</v>
      </c>
      <c r="AS59" s="117">
        <f t="array" aca="1" ref="AS59" ca="1">IFERROR(SMALL(IF(COUNTIF(Podcasts!$D$244:'Podcasts'!$D$299,ROW(INDIRECT("1:"&amp;K$2)))=0,ROW(INDIRECT("1:"&amp;K$2))),ROW($A16)),"")</f>
        <v>32</v>
      </c>
      <c r="AT59" s="117">
        <f t="array" aca="1" ref="AT59" ca="1">IFERROR(SMALL(IF(COUNTIF(Podcasts!$D$305:'Podcasts'!$D$473,ROW(INDIRECT("1:"&amp;K$2)))=0,ROW(INDIRECT("1:"&amp;K$2))),ROW($A16)),"")</f>
        <v>139</v>
      </c>
      <c r="AU59" s="117">
        <f t="array" aca="1" ref="AU59" ca="1">IFERROR(SMALL(IF(COUNTIF(Podcasts!$D$479:'Podcasts'!$D$488,ROW(INDIRECT("1:"&amp;K$2)))=0,ROW(INDIRECT("1:"&amp;K$2))),ROW($A16)),"")</f>
        <v>16</v>
      </c>
      <c r="AV59" s="117">
        <f t="array" aca="1" ref="AV59" ca="1">IFERROR(SMALL(IF(COUNTIF(Podcasts!$D$494:'Podcasts'!$D$518,ROW(INDIRECT("1:"&amp;K$2)))=0,ROW(INDIRECT("1:"&amp;K$2))),ROW($A16)),"")</f>
        <v>30</v>
      </c>
      <c r="AW59" s="117">
        <f t="array" aca="1" ref="AW59" ca="1">IFERROR(SMALL(IF(COUNTIF(Podcasts!$D$524:'Podcasts'!$D$532,ROW(INDIRECT("1:"&amp;K$2)))=0,ROW(INDIRECT("1:"&amp;K$2))),ROW($A16)),"")</f>
        <v>16</v>
      </c>
      <c r="AX59" s="117">
        <f t="array" aca="1" ref="AX59" ca="1">IFERROR(SMALL(IF(COUNTIF(Podcasts!$D$538:'Podcasts'!$D$909,ROW(INDIRECT("1:"&amp;K$2)))=0,ROW(INDIRECT("1:"&amp;K$2))),ROW($A16)),"")</f>
        <v>36</v>
      </c>
      <c r="AY59" s="117">
        <f t="array" aca="1" ref="AY59" ca="1">IFERROR(SMALL(IF(COUNTIF(Podcasts!$D$915:'Podcasts'!$D$981,ROW(INDIRECT("1:"&amp;K$2)))=0,ROW(INDIRECT("1:"&amp;K$2))),ROW($A16)),"")</f>
        <v>32</v>
      </c>
      <c r="AZ59" s="445"/>
      <c r="BA59" s="117">
        <f t="array" aca="1" ref="BA59" ca="1">IFERROR(SMALL(IF(COUNTIF(Podcasts!$D$1001:'Podcasts'!$D$1251,ROW(INDIRECT("1:"&amp;K$2)))=0,ROW(INDIRECT("1:"&amp;K$2))),ROW($A16)),"")</f>
        <v>33</v>
      </c>
      <c r="BB59" s="117">
        <f t="array" aca="1" ref="BB59" ca="1">IFERROR(SMALL(IF(COUNTIF(Podcasts!$D$1257:'Podcasts'!$D$1267,ROW(INDIRECT("1:"&amp;K$2)))=0,ROW(INDIRECT("1:"&amp;K$2))),ROW($A16)),"")</f>
        <v>16</v>
      </c>
      <c r="BC59" s="117">
        <f t="array" aca="1" ref="BC59" ca="1">IFERROR(SMALL(IF(COUNTIF(Podcasts!$D$1273:'Podcasts'!$D$1283,ROW(INDIRECT("1:"&amp;K$2)))=0,ROW(INDIRECT("1:"&amp;K$2))),ROW($A16)),"")</f>
        <v>18</v>
      </c>
      <c r="BD59" s="117">
        <f t="array" aca="1" ref="BD59" ca="1">IFERROR(SMALL(IF(COUNTIF(Podcasts!$D$1289:'Podcasts'!$D$1295,ROW(INDIRECT("1:"&amp;K$2)))=0,ROW(INDIRECT("1:"&amp;K$2))),ROW($A16)),"")</f>
        <v>18</v>
      </c>
      <c r="BE59" s="117">
        <f t="array" aca="1" ref="BE59" ca="1">IFERROR(SMALL(IF(COUNTIF(Podcasts!$D$1301:'Podcasts'!$D$1356,ROW(INDIRECT("1:"&amp;K$2)))=0,ROW(INDIRECT("1:"&amp;K$2))),ROW($A16)),"")</f>
        <v>63</v>
      </c>
      <c r="BF59" s="117">
        <f t="array" aca="1" ref="BF59" ca="1">IFERROR(SMALL(IF(COUNTIF(Podcasts!$D$1362:'Podcasts'!$D$1364,ROW(INDIRECT("1:"&amp;K$2)))=0,ROW(INDIRECT("1:"&amp;K$2))),ROW($A16)),"")</f>
        <v>19</v>
      </c>
      <c r="BG59" s="202">
        <f t="array" aca="1" ref="BG59" ca="1">IFERROR(SMALL(IF(COUNTIF(Podcasts!$D$1370:'Podcasts'!$D$1419,ROW(INDIRECT("1:"&amp;K$2)))=0,ROW(INDIRECT("1:"&amp;K$2))),ROW($A16)),"")</f>
        <v>20</v>
      </c>
      <c r="BH59" s="202">
        <f t="array" aca="1" ref="BH59" ca="1">IFERROR(SMALL(IF(COUNTIF(Podcasts!$D$1425:'Podcasts'!$D$1446,ROW(INDIRECT("1:"&amp;K$2)))=0,ROW(INDIRECT("1:"&amp;K$2))),ROW($A16)),"")</f>
        <v>20</v>
      </c>
      <c r="BI59" s="202">
        <f t="array" aca="1" ref="BI59" ca="1">IFERROR(SMALL(IF(COUNTIF(Podcasts!$D$1452:'Podcasts'!$D$1574,ROW(INDIRECT("1:"&amp;K$2)))=0,ROW(INDIRECT("1:"&amp;K$2))),ROW($A16)),"")</f>
        <v>40</v>
      </c>
      <c r="BJ59" s="202">
        <f t="array" aca="1" ref="BJ59" ca="1">IFERROR(SMALL(IF(COUNTIF(Podcasts!$D$1580:'Podcasts'!$D$1705,ROW(INDIRECT("1:"&amp;K$2)))=0,ROW(INDIRECT("1:"&amp;K$2))),ROW($A16)),"")</f>
        <v>26</v>
      </c>
      <c r="BK59" s="202">
        <f t="array" aca="1" ref="BK59" ca="1">IFERROR(SMALL(IF(COUNTIF(Podcasts!$D$1711:'Podcasts'!$D$1833,ROW(INDIRECT("1:"&amp;K$2)))=0,ROW(INDIRECT("1:"&amp;K$2))),ROW($A16)),"")</f>
        <v>56</v>
      </c>
      <c r="BL59" s="202">
        <f t="array" aca="1" ref="BL59" ca="1">IFERROR(SMALL(IF(COUNTIF(Podcasts!$D$1839:'Podcasts'!$D$1855,ROW(INDIRECT("1:"&amp;K$2)))=0,ROW(INDIRECT("1:"&amp;K$2))),ROW($A16)),"")</f>
        <v>17</v>
      </c>
      <c r="BM59" s="567">
        <f t="array" aca="1" ref="BM59" ca="1">IFERROR(SMALL(IF(COUNTIF(Podcasts!$D$1861:'Podcasts'!$D$1994,ROW(INDIRECT("1:"&amp;K$2)))=0,ROW(INDIRECT("1:"&amp;K$2))),ROW($A16)),"")</f>
        <v>19</v>
      </c>
      <c r="BN59" s="567">
        <f t="array" aca="1" ref="BN59" ca="1">IFERROR(SMALL(IF(COUNTIF(Podcasts!$D$2000:'Podcasts'!$D$2057,ROW(INDIRECT("1:"&amp;K$2)))=0,ROW(INDIRECT("1:"&amp;K$2))),ROW($A16)),"")</f>
        <v>71</v>
      </c>
      <c r="BO59" s="567">
        <f t="array" aca="1" ref="BO59" ca="1">IFERROR(SMALL(IF(COUNTIF(Podcasts!$D$2063:'Podcasts'!$D$2071,ROW(INDIRECT("1:"&amp;K$2)))=0,ROW(INDIRECT("1:"&amp;K$2))),ROW($A16)),"")</f>
        <v>16</v>
      </c>
      <c r="BP59" s="202">
        <f t="array" aca="1" ref="BP59" ca="1">IFERROR(SMALL(IF(COUNTIF(Podcasts!$D$2077:'Podcasts'!$D$2092,ROW(INDIRECT("1:"&amp;K$2)))=0,ROW(INDIRECT("1:"&amp;K$2))),ROW($A16)),"")</f>
        <v>21</v>
      </c>
      <c r="BQ59" s="741">
        <f t="array" aca="1" ref="BQ59" ca="1">IFERROR(SMALL(IF(COUNTIF(Podcasts!$D$2098:'Podcasts'!$D$2114,ROW(INDIRECT("1:"&amp;K$2)))=0,ROW(INDIRECT("1:"&amp;K$2))),ROW($A16)),"")</f>
        <v>18</v>
      </c>
      <c r="BR59" s="744">
        <f t="array" aca="1" ref="BR59" ca="1">IFERROR(SMALL(IF(COUNTIF(Podcasts!$D$2120:'Podcasts'!$D$2124,ROW(INDIRECT("1:"&amp;K$2)))=0,ROW(INDIRECT("1:"&amp;K$2))),ROW($A16)),"")</f>
        <v>18</v>
      </c>
      <c r="BS59" s="28"/>
    </row>
    <row r="60" spans="1:71" outlineLevel="1">
      <c r="A60" s="28"/>
      <c r="B60" s="161">
        <v>17</v>
      </c>
      <c r="C60" s="161">
        <f>COUNTIF(Podcasts!$D$10:'Podcasts'!$D$2535,B60)</f>
        <v>11</v>
      </c>
      <c r="D60" s="158" t="s">
        <v>1045</v>
      </c>
      <c r="E60" s="156" t="str">
        <f t="array" ref="E60">IF(F60="","",INDEX(Podcasts!$J$10:'Podcasts'!$J$2535,MATCH(F60&amp;$B60,Podcasts!$E$10:'Podcasts'!$E$2535&amp;Podcasts!$D$10:'Podcasts'!$D$2535,0)))</f>
        <v>???od</v>
      </c>
      <c r="F60" s="131">
        <f t="array" ref="F60">IF(COUNTIF(Podcasts!$D$10:'Podcasts'!$D$2535,$B60)&lt;COLUMN(A17),"",SMALL(IF(Podcasts!$D$10:'Podcasts'!$D$2535=$B60,Podcasts!$E$10:'Podcasts'!$E$2535),COLUMN(A17)))</f>
        <v>40881</v>
      </c>
      <c r="G60" s="132">
        <f t="array" ref="G60">IF(F60="","",INDEX(Podcasts!$F$10:'Podcasts'!$F$2535,MATCH(F60&amp;$B60,Podcasts!$E$10:'Podcasts'!$E$2535&amp;Podcasts!$D$10:'Podcasts'!$D$2535,0)))</f>
        <v>2.5428240740740741E-2</v>
      </c>
      <c r="H60" s="136" t="str">
        <f t="array" ref="H60">IF(I60="","",INDEX(Podcasts!$J$10:'Podcasts'!$J$2535,MATCH(I60&amp;$B60,Podcasts!$E$10:'Podcasts'!$E$2535&amp;Podcasts!$D$10:'Podcasts'!$D$2535,0)))</f>
        <v>Fürst</v>
      </c>
      <c r="I60" s="133">
        <f t="array" ref="I60">IF(COUNTIF(Podcasts!$D$10:'Podcasts'!$D$2535,$B60)&lt;COLUMN(B17),"",SMALL(IF(Podcasts!$D$10:'Podcasts'!$D$2535=$B60,Podcasts!$E$10:'Podcasts'!$E$2535),COLUMN(B17)))</f>
        <v>42064</v>
      </c>
      <c r="J60" s="132">
        <f t="array" ref="J60">IF(I60="","",INDEX(Podcasts!$F$10:'Podcasts'!$F$2535,MATCH(I60&amp;$B60,Podcasts!$E$10:'Podcasts'!$E$2535&amp;Podcasts!$D$10:'Podcasts'!$D$2535,0)))</f>
        <v>1.4293981481481482E-2</v>
      </c>
      <c r="K60" s="136" t="str">
        <f t="array" ref="K60">IF(L60="","",INDEX(Podcasts!$J$10:'Podcasts'!$J$2535,MATCH(L60&amp;$B60,Podcasts!$E$10:'Podcasts'!$E$2535&amp;Podcasts!$D$10:'Podcasts'!$D$2535,0)))</f>
        <v>SSP</v>
      </c>
      <c r="L60" s="133">
        <f t="array" ref="L60">IF(COUNTIF(Podcasts!$D$10:'Podcasts'!$D$2535,$B60)&lt;COLUMN(C17),"",SMALL(IF(Podcasts!$D$10:'Podcasts'!$D$2535=$B60,Podcasts!$E$10:'Podcasts'!$E$2535),COLUMN(C17)))</f>
        <v>43079</v>
      </c>
      <c r="M60" s="132">
        <f t="array" ref="M60">IF(L60="","",INDEX(Podcasts!$F$10:'Podcasts'!$F$2535,MATCH(L60&amp;$B60,Podcasts!$E$10:'Podcasts'!$E$2535&amp;Podcasts!$D$10:'Podcasts'!$D$2535,0)))</f>
        <v>8.3611111111111122E-2</v>
      </c>
      <c r="N60" s="136" t="str">
        <f t="array" ref="N60">IF(O60="","",INDEX(Podcasts!$J$10:'Podcasts'!$J$2535,MATCH(O60&amp;$B60,Podcasts!$E$10:'Podcasts'!$E$2535&amp;Podcasts!$D$10:'Podcasts'!$D$2535,0)))</f>
        <v>Abfahrt</v>
      </c>
      <c r="O60" s="133">
        <f t="array" ref="O60">IF(COUNTIF(Podcasts!$D$10:'Podcasts'!$D$2535,$B60)&lt;COLUMN(D17),"",SMALL(IF(Podcasts!$D$10:'Podcasts'!$D$2535=$B60,Podcasts!$E$10:'Podcasts'!$E$2535),COLUMN(D17)))</f>
        <v>44456</v>
      </c>
      <c r="P60" s="132">
        <f t="array" ref="P60">IF(O60="","",INDEX(Podcasts!$F$10:'Podcasts'!$F$2535,MATCH(O60&amp;$B60,Podcasts!$E$10:'Podcasts'!$E$2535&amp;Podcasts!$D$10:'Podcasts'!$D$2535,0)))</f>
        <v>6.340277777777778E-2</v>
      </c>
      <c r="Q60" s="136" t="str">
        <f t="array" ref="Q60">IF(R60="","",INDEX(Podcasts!$J$10:'Podcasts'!$J$2535,MATCH(R60&amp;$B60,Podcasts!$E$10:'Podcasts'!$E$2535&amp;Podcasts!$D$10:'Podcasts'!$D$2535,0)))</f>
        <v>Zw3i</v>
      </c>
      <c r="R60" s="133">
        <f t="array" ref="R60">IF(COUNTIF(Podcasts!$D$10:'Podcasts'!$D$2535,$B60)&lt;COLUMN(E17),"",SMALL(IF(Podcasts!$D$10:'Podcasts'!$D$2535=$B60,Podcasts!$E$10:'Podcasts'!$E$2535),COLUMN(E17)))</f>
        <v>44463</v>
      </c>
      <c r="S60" s="132">
        <f t="array" ref="S60">IF(R60="","",INDEX(Podcasts!$F$10:'Podcasts'!$F$2535,MATCH(R60&amp;$B60,Podcasts!$E$10:'Podcasts'!$E$2535&amp;Podcasts!$D$10:'Podcasts'!$D$2535,0)))</f>
        <v>5.2511574074074079E-2</v>
      </c>
      <c r="T60" s="136" t="str">
        <f t="array" ref="T60">IF(U60="","",INDEX(Podcasts!$J$10:'Podcasts'!$J$2535,MATCH(U60&amp;$B60,Podcasts!$E$10:'Podcasts'!$E$2535&amp;Podcasts!$D$10:'Podcasts'!$D$2535,0)))</f>
        <v>Talker</v>
      </c>
      <c r="U60" s="133">
        <f t="array" ref="U60">IF(COUNTIF(Podcasts!$D$10:'Podcasts'!$D$2535,$B60)&lt;COLUMN(F17),"",SMALL(IF(Podcasts!$D$10:'Podcasts'!$D$2535=$B60,Podcasts!$E$10:'Podcasts'!$E$2535),COLUMN(F17)))</f>
        <v>44508</v>
      </c>
      <c r="V60" s="132">
        <f t="array" ref="V60">IF(U60="","",INDEX(Podcasts!$F$10:'Podcasts'!$F$2535,MATCH(U60&amp;$B60,Podcasts!$E$10:'Podcasts'!$E$2535&amp;Podcasts!$D$10:'Podcasts'!$D$2535,0)))</f>
        <v>2.7939814814814817E-2</v>
      </c>
      <c r="W60" s="136" t="str">
        <f t="array" ref="W60">IF(X60="","",INDEX(Podcasts!$J$10:'Podcasts'!$J$2535,MATCH(X60&amp;$B60,Podcasts!$E$10:'Podcasts'!$E$2535&amp;Podcasts!$D$10:'Podcasts'!$D$2535,0)))</f>
        <v>Fan</v>
      </c>
      <c r="X60" s="133">
        <f t="array" ref="X60">IF(COUNTIF(Podcasts!$D$10:'Podcasts'!$D$2535,$B60)&lt;COLUMN(G17),"",SMALL(IF(Podcasts!$D$10:'Podcasts'!$D$2535=$B60,Podcasts!$E$10:'Podcasts'!$E$2535),COLUMN(G17)))</f>
        <v>44623</v>
      </c>
      <c r="Y60" s="132">
        <f t="array" ref="Y60">IF(X60="","",INDEX(Podcasts!$F$10:'Podcasts'!$F$2535,MATCH(X60&amp;$B60,Podcasts!$E$10:'Podcasts'!$E$2535&amp;Podcasts!$D$10:'Podcasts'!$D$2535,0)))</f>
        <v>6.2430555555555552E-2</v>
      </c>
      <c r="Z60" s="136" t="str">
        <f t="array" ref="Z60">IF(AA60="","",INDEX(Podcasts!$J$10:'Podcasts'!$J$2535,MATCH(AA60&amp;$B60,Podcasts!$E$10:'Podcasts'!$E$2535&amp;Podcasts!$D$10:'Podcasts'!$D$2535,0)))</f>
        <v>Verstärker</v>
      </c>
      <c r="AA60" s="134">
        <f t="array" ref="AA60">IF(COUNTIF(Podcasts!$D$10:'Podcasts'!$D$2535,$B60)&lt;COLUMN(H17),"",SMALL(IF(Podcasts!$D$10:'Podcasts'!$D$2535=$B60,Podcasts!$E$10:'Podcasts'!$E$2535),COLUMN(H17)))</f>
        <v>44715</v>
      </c>
      <c r="AB60" s="404">
        <f t="array" ref="AB60">IF(AA60="","",INDEX(Podcasts!$F$10:'Podcasts'!$F$2535,MATCH(AA60&amp;$B60,Podcasts!$E$10:'Podcasts'!$E$2535&amp;Podcasts!$D$10:'Podcasts'!$D$2535,0)))</f>
        <v>2.1828703703703701E-2</v>
      </c>
      <c r="AC60" s="406" t="str">
        <f t="array" ref="AC60">IF(AD60="","",INDEX(Podcasts!$J$10:'Podcasts'!$J$2535,MATCH(AD60&amp;$B60,Podcasts!$E$10:'Podcasts'!$E$2535&amp;Podcasts!$D$10:'Podcasts'!$D$2535,0)))</f>
        <v>Bobcast</v>
      </c>
      <c r="AD60" s="400">
        <f t="array" ref="AD60">IF(COUNTIF(Podcasts!$D$10:'Podcasts'!$D$2535,$B60)&lt;COLUMN(I17),"",SMALL(IF(Podcasts!$D$10:'Podcasts'!$D$2535=$B60,Podcasts!$E$10:'Podcasts'!$E$2535),COLUMN(I17)))</f>
        <v>44886.00072916667</v>
      </c>
      <c r="AE60" s="401">
        <f t="array" ref="AE60">IF(AD60="","",INDEX(Podcasts!$F$10:'Podcasts'!$F$2535,MATCH(AD60&amp;$B60,Podcasts!$E$10:'Podcasts'!$E$2535&amp;Podcasts!$D$10:'Podcasts'!$D$2535,0)))</f>
        <v>2.56712962962963E-2</v>
      </c>
      <c r="AF60" s="406" t="str">
        <f t="array" ref="AF60">IF(AG60="","",INDEX(Podcasts!$J$10:'Podcasts'!$J$2535,MATCH(AG60&amp;$B60,Podcasts!$E$10:'Podcasts'!$E$2535&amp;Podcasts!$D$10:'Podcasts'!$D$2535,0)))</f>
        <v>Gebraucht</v>
      </c>
      <c r="AG60" s="400">
        <f t="array" ref="AG60">IF(COUNTIF(Podcasts!$D$10:'Podcasts'!$D$2535,$B60)&lt;COLUMN(J17),"",SMALL(IF(Podcasts!$D$10:'Podcasts'!$D$2535=$B60,Podcasts!$E$10:'Podcasts'!$E$2535),COLUMN(J17)))</f>
        <v>44954</v>
      </c>
      <c r="AH60" s="401">
        <f t="array" ref="AH60">IF(AG60="","",INDEX(Podcasts!$F$10:'Podcasts'!$F$2535,MATCH(AG60&amp;$B60,Podcasts!$E$10:'Podcasts'!$E$2535&amp;Podcasts!$D$10:'Podcasts'!$D$2535,0)))</f>
        <v>4.0787037037037038E-2</v>
      </c>
      <c r="AI60" s="406" t="str">
        <f t="array" ref="AI60">IF(AJ60="","",INDEX(Podcasts!$J$10:'Podcasts'!$J$2535,MATCH(AJ60&amp;$B60,Podcasts!$E$10:'Podcasts'!$E$2535&amp;Podcasts!$D$10:'Podcasts'!$D$2535,0)))</f>
        <v>RBW</v>
      </c>
      <c r="AJ60" s="400">
        <f t="array" ref="AJ60">IF(COUNTIF(Podcasts!$D$10:'Podcasts'!$D$2535,$B60)&lt;COLUMN(K17),"",SMALL(IF(Podcasts!$D$10:'Podcasts'!$D$2535=$B60,Podcasts!$E$10:'Podcasts'!$E$2535),COLUMN(K17)))</f>
        <v>44966</v>
      </c>
      <c r="AK60" s="401">
        <f t="array" ref="AK60">IF(AJ60="","",INDEX(Podcasts!$F$10:'Podcasts'!$F$2535,MATCH(AJ60&amp;$B60,Podcasts!$E$10:'Podcasts'!$E$2535&amp;Podcasts!$D$10:'Podcasts'!$D$2535,0)))</f>
        <v>4.8784722222222222E-2</v>
      </c>
      <c r="AL60" s="406" t="str">
        <f t="array" ref="AL60">IF(AM60="","",INDEX(Podcasts!$J$10:'Podcasts'!$J$2535,MATCH(AM60&amp;$B60,Podcasts!$E$10:'Podcasts'!$E$2535&amp;Podcasts!$D$10:'Podcasts'!$D$2535,0)))</f>
        <v/>
      </c>
      <c r="AM60" s="400" t="str">
        <f t="array" ref="AM60">IF(COUNTIF(Podcasts!$D$10:'Podcasts'!$D$2535,$B60)&lt;COLUMN(L17),"",SMALL(IF(Podcasts!$D$10:'Podcasts'!$D$2535=$B60,Podcasts!$E$10:'Podcasts'!$E$2535),COLUMN(L17)))</f>
        <v/>
      </c>
      <c r="AN60" s="401" t="str">
        <f t="array" ref="AN60">IF(AM60="","",INDEX(Podcasts!$F$10:'Podcasts'!$F$2535,MATCH(AM60&amp;$B60,Podcasts!$E$10:'Podcasts'!$E$2535&amp;Podcasts!$D$10:'Podcasts'!$D$2535,0)))</f>
        <v/>
      </c>
      <c r="AO60" s="402"/>
      <c r="AP60" s="119"/>
      <c r="AQ60" s="117">
        <f t="array" aca="1" ref="AQ60" ca="1">IFERROR(SMALL(IF(COUNTIF(Podcasts!$D$10:'Podcasts'!$D$107,ROW(INDIRECT("1:"&amp;K$2)))=0,ROW(INDIRECT("1:"&amp;K$2))),ROW($A17)),"")</f>
        <v>29</v>
      </c>
      <c r="AR60" s="117">
        <f t="array" aca="1" ref="AR60" ca="1">IFERROR(SMALL(IF(COUNTIF(Podcasts!$D$113:'Podcasts'!$D$238,ROW(INDIRECT("1:"&amp;K$2)))=0,ROW(INDIRECT("1:"&amp;K$2))),ROW($A17)),"")</f>
        <v>17</v>
      </c>
      <c r="AS60" s="117">
        <f t="array" aca="1" ref="AS60" ca="1">IFERROR(SMALL(IF(COUNTIF(Podcasts!$D$244:'Podcasts'!$D$299,ROW(INDIRECT("1:"&amp;K$2)))=0,ROW(INDIRECT("1:"&amp;K$2))),ROW($A17)),"")</f>
        <v>33</v>
      </c>
      <c r="AT60" s="117">
        <f t="array" aca="1" ref="AT60" ca="1">IFERROR(SMALL(IF(COUNTIF(Podcasts!$D$305:'Podcasts'!$D$473,ROW(INDIRECT("1:"&amp;K$2)))=0,ROW(INDIRECT("1:"&amp;K$2))),ROW($A17)),"")</f>
        <v>141</v>
      </c>
      <c r="AU60" s="117">
        <f t="array" aca="1" ref="AU60" ca="1">IFERROR(SMALL(IF(COUNTIF(Podcasts!$D$479:'Podcasts'!$D$488,ROW(INDIRECT("1:"&amp;K$2)))=0,ROW(INDIRECT("1:"&amp;K$2))),ROW($A17)),"")</f>
        <v>17</v>
      </c>
      <c r="AV60" s="117">
        <f t="array" aca="1" ref="AV60" ca="1">IFERROR(SMALL(IF(COUNTIF(Podcasts!$D$494:'Podcasts'!$D$518,ROW(INDIRECT("1:"&amp;K$2)))=0,ROW(INDIRECT("1:"&amp;K$2))),ROW($A17)),"")</f>
        <v>31</v>
      </c>
      <c r="AW60" s="117">
        <f t="array" aca="1" ref="AW60" ca="1">IFERROR(SMALL(IF(COUNTIF(Podcasts!$D$524:'Podcasts'!$D$532,ROW(INDIRECT("1:"&amp;K$2)))=0,ROW(INDIRECT("1:"&amp;K$2))),ROW($A17)),"")</f>
        <v>17</v>
      </c>
      <c r="AX60" s="117">
        <f t="array" aca="1" ref="AX60" ca="1">IFERROR(SMALL(IF(COUNTIF(Podcasts!$D$538:'Podcasts'!$D$909,ROW(INDIRECT("1:"&amp;K$2)))=0,ROW(INDIRECT("1:"&amp;K$2))),ROW($A17)),"")</f>
        <v>39</v>
      </c>
      <c r="AY60" s="117">
        <f t="array" aca="1" ref="AY60" ca="1">IFERROR(SMALL(IF(COUNTIF(Podcasts!$D$915:'Podcasts'!$D$981,ROW(INDIRECT("1:"&amp;K$2)))=0,ROW(INDIRECT("1:"&amp;K$2))),ROW($A17)),"")</f>
        <v>34</v>
      </c>
      <c r="AZ60" s="445"/>
      <c r="BA60" s="117">
        <f t="array" aca="1" ref="BA60" ca="1">IFERROR(SMALL(IF(COUNTIF(Podcasts!$D$1001:'Podcasts'!$D$1251,ROW(INDIRECT("1:"&amp;K$2)))=0,ROW(INDIRECT("1:"&amp;K$2))),ROW($A17)),"")</f>
        <v>34</v>
      </c>
      <c r="BB60" s="117">
        <f t="array" aca="1" ref="BB60" ca="1">IFERROR(SMALL(IF(COUNTIF(Podcasts!$D$1257:'Podcasts'!$D$1267,ROW(INDIRECT("1:"&amp;K$2)))=0,ROW(INDIRECT("1:"&amp;K$2))),ROW($A17)),"")</f>
        <v>18</v>
      </c>
      <c r="BC60" s="117">
        <f t="array" aca="1" ref="BC60" ca="1">IFERROR(SMALL(IF(COUNTIF(Podcasts!$D$1273:'Podcasts'!$D$1283,ROW(INDIRECT("1:"&amp;K$2)))=0,ROW(INDIRECT("1:"&amp;K$2))),ROW($A17)),"")</f>
        <v>19</v>
      </c>
      <c r="BD60" s="117">
        <f t="array" aca="1" ref="BD60" ca="1">IFERROR(SMALL(IF(COUNTIF(Podcasts!$D$1289:'Podcasts'!$D$1295,ROW(INDIRECT("1:"&amp;K$2)))=0,ROW(INDIRECT("1:"&amp;K$2))),ROW($A17)),"")</f>
        <v>19</v>
      </c>
      <c r="BE60" s="117">
        <f t="array" aca="1" ref="BE60" ca="1">IFERROR(SMALL(IF(COUNTIF(Podcasts!$D$1301:'Podcasts'!$D$1356,ROW(INDIRECT("1:"&amp;K$2)))=0,ROW(INDIRECT("1:"&amp;K$2))),ROW($A17)),"")</f>
        <v>64</v>
      </c>
      <c r="BF60" s="117">
        <f t="array" aca="1" ref="BF60" ca="1">IFERROR(SMALL(IF(COUNTIF(Podcasts!$D$1362:'Podcasts'!$D$1364,ROW(INDIRECT("1:"&amp;K$2)))=0,ROW(INDIRECT("1:"&amp;K$2))),ROW($A17)),"")</f>
        <v>20</v>
      </c>
      <c r="BG60" s="202">
        <f t="array" aca="1" ref="BG60" ca="1">IFERROR(SMALL(IF(COUNTIF(Podcasts!$D$1370:'Podcasts'!$D$1419,ROW(INDIRECT("1:"&amp;K$2)))=0,ROW(INDIRECT("1:"&amp;K$2))),ROW($A17)),"")</f>
        <v>21</v>
      </c>
      <c r="BH60" s="202">
        <f t="array" aca="1" ref="BH60" ca="1">IFERROR(SMALL(IF(COUNTIF(Podcasts!$D$1425:'Podcasts'!$D$1446,ROW(INDIRECT("1:"&amp;K$2)))=0,ROW(INDIRECT("1:"&amp;K$2))),ROW($A17)),"")</f>
        <v>21</v>
      </c>
      <c r="BI60" s="202">
        <f t="array" aca="1" ref="BI60" ca="1">IFERROR(SMALL(IF(COUNTIF(Podcasts!$D$1452:'Podcasts'!$D$1574,ROW(INDIRECT("1:"&amp;K$2)))=0,ROW(INDIRECT("1:"&amp;K$2))),ROW($A17)),"")</f>
        <v>41</v>
      </c>
      <c r="BJ60" s="202">
        <f t="array" aca="1" ref="BJ60" ca="1">IFERROR(SMALL(IF(COUNTIF(Podcasts!$D$1580:'Podcasts'!$D$1705,ROW(INDIRECT("1:"&amp;K$2)))=0,ROW(INDIRECT("1:"&amp;K$2))),ROW($A17)),"")</f>
        <v>27</v>
      </c>
      <c r="BK60" s="202">
        <f t="array" aca="1" ref="BK60" ca="1">IFERROR(SMALL(IF(COUNTIF(Podcasts!$D$1711:'Podcasts'!$D$1833,ROW(INDIRECT("1:"&amp;K$2)))=0,ROW(INDIRECT("1:"&amp;K$2))),ROW($A17)),"")</f>
        <v>57</v>
      </c>
      <c r="BL60" s="202">
        <f t="array" aca="1" ref="BL60" ca="1">IFERROR(SMALL(IF(COUNTIF(Podcasts!$D$1839:'Podcasts'!$D$1855,ROW(INDIRECT("1:"&amp;K$2)))=0,ROW(INDIRECT("1:"&amp;K$2))),ROW($A17)),"")</f>
        <v>18</v>
      </c>
      <c r="BM60" s="567">
        <f t="array" aca="1" ref="BM60" ca="1">IFERROR(SMALL(IF(COUNTIF(Podcasts!$D$1861:'Podcasts'!$D$1994,ROW(INDIRECT("1:"&amp;K$2)))=0,ROW(INDIRECT("1:"&amp;K$2))),ROW($A17)),"")</f>
        <v>20</v>
      </c>
      <c r="BN60" s="567">
        <f t="array" aca="1" ref="BN60" ca="1">IFERROR(SMALL(IF(COUNTIF(Podcasts!$D$2000:'Podcasts'!$D$2057,ROW(INDIRECT("1:"&amp;K$2)))=0,ROW(INDIRECT("1:"&amp;K$2))),ROW($A17)),"")</f>
        <v>72</v>
      </c>
      <c r="BO60" s="567">
        <f t="array" aca="1" ref="BO60" ca="1">IFERROR(SMALL(IF(COUNTIF(Podcasts!$D$2063:'Podcasts'!$D$2071,ROW(INDIRECT("1:"&amp;K$2)))=0,ROW(INDIRECT("1:"&amp;K$2))),ROW($A17)),"")</f>
        <v>17</v>
      </c>
      <c r="BP60" s="202">
        <f t="array" aca="1" ref="BP60" ca="1">IFERROR(SMALL(IF(COUNTIF(Podcasts!$D$2077:'Podcasts'!$D$2092,ROW(INDIRECT("1:"&amp;K$2)))=0,ROW(INDIRECT("1:"&amp;K$2))),ROW($A17)),"")</f>
        <v>22</v>
      </c>
      <c r="BQ60" s="741">
        <f t="array" aca="1" ref="BQ60" ca="1">IFERROR(SMALL(IF(COUNTIF(Podcasts!$D$2098:'Podcasts'!$D$2114,ROW(INDIRECT("1:"&amp;K$2)))=0,ROW(INDIRECT("1:"&amp;K$2))),ROW($A17)),"")</f>
        <v>19</v>
      </c>
      <c r="BR60" s="744">
        <f t="array" aca="1" ref="BR60" ca="1">IFERROR(SMALL(IF(COUNTIF(Podcasts!$D$2120:'Podcasts'!$D$2124,ROW(INDIRECT("1:"&amp;K$2)))=0,ROW(INDIRECT("1:"&amp;K$2))),ROW($A17)),"")</f>
        <v>19</v>
      </c>
      <c r="BS60" s="28"/>
    </row>
    <row r="61" spans="1:71" outlineLevel="1">
      <c r="A61" s="28"/>
      <c r="B61" s="161">
        <v>18</v>
      </c>
      <c r="C61" s="161">
        <f>COUNTIF(Podcasts!$D$10:'Podcasts'!$D$2535,B61)</f>
        <v>11</v>
      </c>
      <c r="D61" s="158" t="s">
        <v>1046</v>
      </c>
      <c r="E61" s="156" t="str">
        <f t="array" ref="E61">IF(F61="","",INDEX(Podcasts!$J$10:'Podcasts'!$J$2535,MATCH(F61&amp;$B61,Podcasts!$E$10:'Podcasts'!$E$2535&amp;Podcasts!$D$10:'Podcasts'!$D$2535,0)))</f>
        <v>Fürst</v>
      </c>
      <c r="F61" s="131">
        <f t="array" ref="F61">IF(COUNTIF(Podcasts!$D$10:'Podcasts'!$D$2535,$B61)&lt;COLUMN(A18),"",SMALL(IF(Podcasts!$D$10:'Podcasts'!$D$2535=$B61,Podcasts!$E$10:'Podcasts'!$E$2535),COLUMN(A18)))</f>
        <v>42050</v>
      </c>
      <c r="G61" s="132">
        <f t="array" ref="G61">IF(F61="","",INDEX(Podcasts!$F$10:'Podcasts'!$F$2535,MATCH(F61&amp;$B61,Podcasts!$E$10:'Podcasts'!$E$2535&amp;Podcasts!$D$10:'Podcasts'!$D$2535,0)))</f>
        <v>1.2094907407407408E-2</v>
      </c>
      <c r="H61" s="136" t="str">
        <f t="array" ref="H61">IF(I61="","",INDEX(Podcasts!$J$10:'Podcasts'!$J$2535,MATCH(I61&amp;$B61,Podcasts!$E$10:'Podcasts'!$E$2535&amp;Podcasts!$D$10:'Podcasts'!$D$2535,0)))</f>
        <v>R&amp;A</v>
      </c>
      <c r="I61" s="133">
        <f t="array" ref="I61">IF(COUNTIF(Podcasts!$D$10:'Podcasts'!$D$2535,$B61)&lt;COLUMN(B18),"",SMALL(IF(Podcasts!$D$10:'Podcasts'!$D$2535=$B61,Podcasts!$E$10:'Podcasts'!$E$2535),COLUMN(B18)))</f>
        <v>43265.588541666664</v>
      </c>
      <c r="J61" s="132">
        <f t="array" ref="J61">IF(I61="","",INDEX(Podcasts!$F$10:'Podcasts'!$F$2535,MATCH(I61&amp;$B61,Podcasts!$E$10:'Podcasts'!$E$2535&amp;Podcasts!$D$10:'Podcasts'!$D$2535,0)))</f>
        <v>7.6111111111111115E-2</v>
      </c>
      <c r="K61" s="136" t="str">
        <f t="array" ref="K61">IF(L61="","",INDEX(Podcasts!$J$10:'Podcasts'!$J$2535,MATCH(L61&amp;$B61,Podcasts!$E$10:'Podcasts'!$E$2535&amp;Podcasts!$D$10:'Podcasts'!$D$2535,0)))</f>
        <v>Zentrale</v>
      </c>
      <c r="L61" s="133">
        <f t="array" ref="L61">IF(COUNTIF(Podcasts!$D$10:'Podcasts'!$D$2535,$B61)&lt;COLUMN(C18),"",SMALL(IF(Podcasts!$D$10:'Podcasts'!$D$2535=$B61,Podcasts!$E$10:'Podcasts'!$E$2535),COLUMN(C18)))</f>
        <v>44113</v>
      </c>
      <c r="M61" s="132">
        <f t="array" ref="M61">IF(L61="","",INDEX(Podcasts!$F$10:'Podcasts'!$F$2535,MATCH(L61&amp;$B61,Podcasts!$E$10:'Podcasts'!$E$2535&amp;Podcasts!$D$10:'Podcasts'!$D$2535,0)))</f>
        <v>0.15649305555555557</v>
      </c>
      <c r="N61" s="136" t="str">
        <f t="array" ref="N61">IF(O61="","",INDEX(Podcasts!$J$10:'Podcasts'!$J$2535,MATCH(O61&amp;$B61,Podcasts!$E$10:'Podcasts'!$E$2535&amp;Podcasts!$D$10:'Podcasts'!$D$2535,0)))</f>
        <v>Kanal</v>
      </c>
      <c r="O61" s="133">
        <f t="array" ref="O61">IF(COUNTIF(Podcasts!$D$10:'Podcasts'!$D$2535,$B61)&lt;COLUMN(D18),"",SMALL(IF(Podcasts!$D$10:'Podcasts'!$D$2535=$B61,Podcasts!$E$10:'Podcasts'!$E$2535),COLUMN(D18)))</f>
        <v>44172</v>
      </c>
      <c r="P61" s="132">
        <f t="array" ref="P61">IF(O61="","",INDEX(Podcasts!$F$10:'Podcasts'!$F$2535,MATCH(O61&amp;$B61,Podcasts!$E$10:'Podcasts'!$E$2535&amp;Podcasts!$D$10:'Podcasts'!$D$2535,0)))</f>
        <v>2.0925925925925928E-2</v>
      </c>
      <c r="Q61" s="136" t="str">
        <f t="array" ref="Q61">IF(R61="","",INDEX(Podcasts!$J$10:'Podcasts'!$J$2535,MATCH(R61&amp;$B61,Podcasts!$E$10:'Podcasts'!$E$2535&amp;Podcasts!$D$10:'Podcasts'!$D$2535,0)))</f>
        <v>Kaffee</v>
      </c>
      <c r="R61" s="133">
        <f t="array" ref="R61">IF(COUNTIF(Podcasts!$D$10:'Podcasts'!$D$2535,$B61)&lt;COLUMN(E18),"",SMALL(IF(Podcasts!$D$10:'Podcasts'!$D$2535=$B61,Podcasts!$E$10:'Podcasts'!$E$2535),COLUMN(E18)))</f>
        <v>44463</v>
      </c>
      <c r="S61" s="132">
        <f t="array" ref="S61">IF(R61="","",INDEX(Podcasts!$F$10:'Podcasts'!$F$2535,MATCH(R61&amp;$B61,Podcasts!$E$10:'Podcasts'!$E$2535&amp;Podcasts!$D$10:'Podcasts'!$D$2535,0)))</f>
        <v>2.2847222222222224E-2</v>
      </c>
      <c r="T61" s="136" t="str">
        <f t="array" ref="T61">IF(U61="","",INDEX(Podcasts!$J$10:'Podcasts'!$J$2535,MATCH(U61&amp;$B61,Podcasts!$E$10:'Podcasts'!$E$2535&amp;Podcasts!$D$10:'Podcasts'!$D$2535,0)))</f>
        <v>Abfahrt</v>
      </c>
      <c r="U61" s="133">
        <f t="array" ref="U61">IF(COUNTIF(Podcasts!$D$10:'Podcasts'!$D$2535,$B61)&lt;COLUMN(F18),"",SMALL(IF(Podcasts!$D$10:'Podcasts'!$D$2535=$B61,Podcasts!$E$10:'Podcasts'!$E$2535),COLUMN(F18)))</f>
        <v>44484</v>
      </c>
      <c r="V61" s="132">
        <f t="array" ref="V61">IF(U61="","",INDEX(Podcasts!$F$10:'Podcasts'!$F$2535,MATCH(U61&amp;$B61,Podcasts!$E$10:'Podcasts'!$E$2535&amp;Podcasts!$D$10:'Podcasts'!$D$2535,0)))</f>
        <v>5.8958333333333335E-2</v>
      </c>
      <c r="W61" s="136" t="str">
        <f t="array" ref="W61">IF(X61="","",INDEX(Podcasts!$J$10:'Podcasts'!$J$2535,MATCH(X61&amp;$B61,Podcasts!$E$10:'Podcasts'!$E$2535&amp;Podcasts!$D$10:'Podcasts'!$D$2535,0)))</f>
        <v>Verstärker</v>
      </c>
      <c r="X61" s="133">
        <f t="array" ref="X61">IF(COUNTIF(Podcasts!$D$10:'Podcasts'!$D$2535,$B61)&lt;COLUMN(G18),"",SMALL(IF(Podcasts!$D$10:'Podcasts'!$D$2535=$B61,Podcasts!$E$10:'Podcasts'!$E$2535),COLUMN(G18)))</f>
        <v>44745</v>
      </c>
      <c r="Y61" s="132">
        <f t="array" ref="Y61">IF(X61="","",INDEX(Podcasts!$F$10:'Podcasts'!$F$2535,MATCH(X61&amp;$B61,Podcasts!$E$10:'Podcasts'!$E$2535&amp;Podcasts!$D$10:'Podcasts'!$D$2535,0)))</f>
        <v>2.1759259259259259E-2</v>
      </c>
      <c r="Z61" s="136" t="str">
        <f t="array" ref="Z61">IF(AA61="","",INDEX(Podcasts!$J$10:'Podcasts'!$J$2535,MATCH(AA61&amp;$B61,Podcasts!$E$10:'Podcasts'!$E$2535&amp;Podcasts!$D$10:'Podcasts'!$D$2535,0)))</f>
        <v>Bobcast</v>
      </c>
      <c r="AA61" s="134">
        <f t="array" ref="AA61">IF(COUNTIF(Podcasts!$D$10:'Podcasts'!$D$2535,$B61)&lt;COLUMN(H18),"",SMALL(IF(Podcasts!$D$10:'Podcasts'!$D$2535=$B61,Podcasts!$E$10:'Podcasts'!$E$2535),COLUMN(H18)))</f>
        <v>44900.413587962961</v>
      </c>
      <c r="AB61" s="404">
        <f t="array" ref="AB61">IF(AA61="","",INDEX(Podcasts!$F$10:'Podcasts'!$F$2535,MATCH(AA61&amp;$B61,Podcasts!$E$10:'Podcasts'!$E$2535&amp;Podcasts!$D$10:'Podcasts'!$D$2535,0)))</f>
        <v>3.7314814814814815E-2</v>
      </c>
      <c r="AC61" s="406" t="str">
        <f t="array" ref="AC61">IF(AD61="","",INDEX(Podcasts!$J$10:'Podcasts'!$J$2535,MATCH(AD61&amp;$B61,Podcasts!$E$10:'Podcasts'!$E$2535&amp;Podcasts!$D$10:'Podcasts'!$D$2535,0)))</f>
        <v>RBW</v>
      </c>
      <c r="AD61" s="400">
        <f t="array" ref="AD61">IF(COUNTIF(Podcasts!$D$10:'Podcasts'!$D$2535,$B61)&lt;COLUMN(I18),"",SMALL(IF(Podcasts!$D$10:'Podcasts'!$D$2535=$B61,Podcasts!$E$10:'Podcasts'!$E$2535),COLUMN(I18)))</f>
        <v>44973</v>
      </c>
      <c r="AE61" s="401">
        <f t="array" ref="AE61">IF(AD61="","",INDEX(Podcasts!$F$10:'Podcasts'!$F$2535,MATCH(AD61&amp;$B61,Podcasts!$E$10:'Podcasts'!$E$2535&amp;Podcasts!$D$10:'Podcasts'!$D$2535,0)))</f>
        <v>4.0775462962962965E-2</v>
      </c>
      <c r="AF61" s="406" t="str">
        <f t="array" ref="AF61">IF(AG61="","",INDEX(Podcasts!$J$10:'Podcasts'!$J$2535,MATCH(AG61&amp;$B61,Podcasts!$E$10:'Podcasts'!$E$2535&amp;Podcasts!$D$10:'Podcasts'!$D$2535,0)))</f>
        <v>Zw3i</v>
      </c>
      <c r="AG61" s="400">
        <f t="array" ref="AG61">IF(COUNTIF(Podcasts!$D$10:'Podcasts'!$D$2535,$B61)&lt;COLUMN(J18),"",SMALL(IF(Podcasts!$D$10:'Podcasts'!$D$2535=$B61,Podcasts!$E$10:'Podcasts'!$E$2535),COLUMN(J18)))</f>
        <v>45226</v>
      </c>
      <c r="AH61" s="401">
        <f t="array" ref="AH61">IF(AG61="","",INDEX(Podcasts!$F$10:'Podcasts'!$F$2535,MATCH(AG61&amp;$B61,Podcasts!$E$10:'Podcasts'!$E$2535&amp;Podcasts!$D$10:'Podcasts'!$D$2535,0)))</f>
        <v>9.1747685185185182E-2</v>
      </c>
      <c r="AI61" s="406" t="str">
        <f t="array" ref="AI61">IF(AJ61="","",INDEX(Podcasts!$J$10:'Podcasts'!$J$2535,MATCH(AJ61&amp;$B61,Podcasts!$E$10:'Podcasts'!$E$2535&amp;Podcasts!$D$10:'Podcasts'!$D$2535,0)))</f>
        <v>beachcast</v>
      </c>
      <c r="AJ61" s="400">
        <f t="array" ref="AJ61">IF(COUNTIF(Podcasts!$D$10:'Podcasts'!$D$2535,$B61)&lt;COLUMN(K18),"",SMALL(IF(Podcasts!$D$10:'Podcasts'!$D$2535=$B61,Podcasts!$E$10:'Podcasts'!$E$2535),COLUMN(K18)))</f>
        <v>45388</v>
      </c>
      <c r="AK61" s="401">
        <f t="array" ref="AK61">IF(AJ61="","",INDEX(Podcasts!$F$10:'Podcasts'!$F$2535,MATCH(AJ61&amp;$B61,Podcasts!$E$10:'Podcasts'!$E$2535&amp;Podcasts!$D$10:'Podcasts'!$D$2535,0)))</f>
        <v>7.8194444444444441E-2</v>
      </c>
      <c r="AL61" s="406" t="str">
        <f t="array" ref="AL61">IF(AM61="","",INDEX(Podcasts!$J$10:'Podcasts'!$J$2535,MATCH(AM61&amp;$B61,Podcasts!$E$10:'Podcasts'!$E$2535&amp;Podcasts!$D$10:'Podcasts'!$D$2535,0)))</f>
        <v/>
      </c>
      <c r="AM61" s="400" t="str">
        <f t="array" ref="AM61">IF(COUNTIF(Podcasts!$D$10:'Podcasts'!$D$2535,$B61)&lt;COLUMN(L18),"",SMALL(IF(Podcasts!$D$10:'Podcasts'!$D$2535=$B61,Podcasts!$E$10:'Podcasts'!$E$2535),COLUMN(L18)))</f>
        <v/>
      </c>
      <c r="AN61" s="401" t="str">
        <f t="array" ref="AN61">IF(AM61="","",INDEX(Podcasts!$F$10:'Podcasts'!$F$2535,MATCH(AM61&amp;$B61,Podcasts!$E$10:'Podcasts'!$E$2535&amp;Podcasts!$D$10:'Podcasts'!$D$2535,0)))</f>
        <v/>
      </c>
      <c r="AO61" s="402"/>
      <c r="AP61" s="119"/>
      <c r="AQ61" s="117">
        <f t="array" aca="1" ref="AQ61" ca="1">IFERROR(SMALL(IF(COUNTIF(Podcasts!$D$10:'Podcasts'!$D$107,ROW(INDIRECT("1:"&amp;K$2)))=0,ROW(INDIRECT("1:"&amp;K$2))),ROW($A18)),"")</f>
        <v>31</v>
      </c>
      <c r="AR61" s="117">
        <f t="array" aca="1" ref="AR61" ca="1">IFERROR(SMALL(IF(COUNTIF(Podcasts!$D$113:'Podcasts'!$D$238,ROW(INDIRECT("1:"&amp;K$2)))=0,ROW(INDIRECT("1:"&amp;K$2))),ROW($A18)),"")</f>
        <v>18</v>
      </c>
      <c r="AS61" s="117">
        <f t="array" aca="1" ref="AS61" ca="1">IFERROR(SMALL(IF(COUNTIF(Podcasts!$D$244:'Podcasts'!$D$299,ROW(INDIRECT("1:"&amp;K$2)))=0,ROW(INDIRECT("1:"&amp;K$2))),ROW($A18)),"")</f>
        <v>34</v>
      </c>
      <c r="AT61" s="117">
        <f t="array" aca="1" ref="AT61" ca="1">IFERROR(SMALL(IF(COUNTIF(Podcasts!$D$305:'Podcasts'!$D$473,ROW(INDIRECT("1:"&amp;K$2)))=0,ROW(INDIRECT("1:"&amp;K$2))),ROW($A18)),"")</f>
        <v>142</v>
      </c>
      <c r="AU61" s="117">
        <f t="array" aca="1" ref="AU61" ca="1">IFERROR(SMALL(IF(COUNTIF(Podcasts!$D$479:'Podcasts'!$D$488,ROW(INDIRECT("1:"&amp;K$2)))=0,ROW(INDIRECT("1:"&amp;K$2))),ROW($A18)),"")</f>
        <v>18</v>
      </c>
      <c r="AV61" s="117">
        <f t="array" aca="1" ref="AV61" ca="1">IFERROR(SMALL(IF(COUNTIF(Podcasts!$D$494:'Podcasts'!$D$518,ROW(INDIRECT("1:"&amp;K$2)))=0,ROW(INDIRECT("1:"&amp;K$2))),ROW($A18)),"")</f>
        <v>33</v>
      </c>
      <c r="AW61" s="117">
        <f t="array" aca="1" ref="AW61" ca="1">IFERROR(SMALL(IF(COUNTIF(Podcasts!$D$524:'Podcasts'!$D$532,ROW(INDIRECT("1:"&amp;K$2)))=0,ROW(INDIRECT("1:"&amp;K$2))),ROW($A18)),"")</f>
        <v>18</v>
      </c>
      <c r="AX61" s="117">
        <f t="array" aca="1" ref="AX61" ca="1">IFERROR(SMALL(IF(COUNTIF(Podcasts!$D$538:'Podcasts'!$D$909,ROW(INDIRECT("1:"&amp;K$2)))=0,ROW(INDIRECT("1:"&amp;K$2))),ROW($A18)),"")</f>
        <v>40</v>
      </c>
      <c r="AY61" s="117">
        <f t="array" aca="1" ref="AY61" ca="1">IFERROR(SMALL(IF(COUNTIF(Podcasts!$D$915:'Podcasts'!$D$981,ROW(INDIRECT("1:"&amp;K$2)))=0,ROW(INDIRECT("1:"&amp;K$2))),ROW($A18)),"")</f>
        <v>36</v>
      </c>
      <c r="AZ61" s="445"/>
      <c r="BA61" s="117">
        <f t="array" aca="1" ref="BA61" ca="1">IFERROR(SMALL(IF(COUNTIF(Podcasts!$D$1001:'Podcasts'!$D$1251,ROW(INDIRECT("1:"&amp;K$2)))=0,ROW(INDIRECT("1:"&amp;K$2))),ROW($A18)),"")</f>
        <v>36</v>
      </c>
      <c r="BB61" s="117">
        <f t="array" aca="1" ref="BB61" ca="1">IFERROR(SMALL(IF(COUNTIF(Podcasts!$D$1257:'Podcasts'!$D$1267,ROW(INDIRECT("1:"&amp;K$2)))=0,ROW(INDIRECT("1:"&amp;K$2))),ROW($A18)),"")</f>
        <v>19</v>
      </c>
      <c r="BC61" s="117">
        <f t="array" aca="1" ref="BC61" ca="1">IFERROR(SMALL(IF(COUNTIF(Podcasts!$D$1273:'Podcasts'!$D$1283,ROW(INDIRECT("1:"&amp;K$2)))=0,ROW(INDIRECT("1:"&amp;K$2))),ROW($A18)),"")</f>
        <v>20</v>
      </c>
      <c r="BD61" s="117">
        <f t="array" aca="1" ref="BD61" ca="1">IFERROR(SMALL(IF(COUNTIF(Podcasts!$D$1289:'Podcasts'!$D$1295,ROW(INDIRECT("1:"&amp;K$2)))=0,ROW(INDIRECT("1:"&amp;K$2))),ROW($A18)),"")</f>
        <v>20</v>
      </c>
      <c r="BE61" s="117">
        <f t="array" aca="1" ref="BE61" ca="1">IFERROR(SMALL(IF(COUNTIF(Podcasts!$D$1301:'Podcasts'!$D$1356,ROW(INDIRECT("1:"&amp;K$2)))=0,ROW(INDIRECT("1:"&amp;K$2))),ROW($A18)),"")</f>
        <v>65</v>
      </c>
      <c r="BF61" s="117">
        <f t="array" aca="1" ref="BF61" ca="1">IFERROR(SMALL(IF(COUNTIF(Podcasts!$D$1362:'Podcasts'!$D$1364,ROW(INDIRECT("1:"&amp;K$2)))=0,ROW(INDIRECT("1:"&amp;K$2))),ROW($A18)),"")</f>
        <v>21</v>
      </c>
      <c r="BG61" s="202">
        <f t="array" aca="1" ref="BG61" ca="1">IFERROR(SMALL(IF(COUNTIF(Podcasts!$D$1370:'Podcasts'!$D$1419,ROW(INDIRECT("1:"&amp;K$2)))=0,ROW(INDIRECT("1:"&amp;K$2))),ROW($A18)),"")</f>
        <v>22</v>
      </c>
      <c r="BH61" s="202">
        <f t="array" aca="1" ref="BH61" ca="1">IFERROR(SMALL(IF(COUNTIF(Podcasts!$D$1425:'Podcasts'!$D$1446,ROW(INDIRECT("1:"&amp;K$2)))=0,ROW(INDIRECT("1:"&amp;K$2))),ROW($A18)),"")</f>
        <v>22</v>
      </c>
      <c r="BI61" s="202">
        <f t="array" aca="1" ref="BI61" ca="1">IFERROR(SMALL(IF(COUNTIF(Podcasts!$D$1452:'Podcasts'!$D$1574,ROW(INDIRECT("1:"&amp;K$2)))=0,ROW(INDIRECT("1:"&amp;K$2))),ROW($A18)),"")</f>
        <v>43</v>
      </c>
      <c r="BJ61" s="202">
        <f t="array" aca="1" ref="BJ61" ca="1">IFERROR(SMALL(IF(COUNTIF(Podcasts!$D$1580:'Podcasts'!$D$1705,ROW(INDIRECT("1:"&amp;K$2)))=0,ROW(INDIRECT("1:"&amp;K$2))),ROW($A18)),"")</f>
        <v>29</v>
      </c>
      <c r="BK61" s="202">
        <f t="array" aca="1" ref="BK61" ca="1">IFERROR(SMALL(IF(COUNTIF(Podcasts!$D$1711:'Podcasts'!$D$1833,ROW(INDIRECT("1:"&amp;K$2)))=0,ROW(INDIRECT("1:"&amp;K$2))),ROW($A18)),"")</f>
        <v>58</v>
      </c>
      <c r="BL61" s="202">
        <f t="array" aca="1" ref="BL61" ca="1">IFERROR(SMALL(IF(COUNTIF(Podcasts!$D$1839:'Podcasts'!$D$1855,ROW(INDIRECT("1:"&amp;K$2)))=0,ROW(INDIRECT("1:"&amp;K$2))),ROW($A18)),"")</f>
        <v>19</v>
      </c>
      <c r="BM61" s="567">
        <f t="array" aca="1" ref="BM61" ca="1">IFERROR(SMALL(IF(COUNTIF(Podcasts!$D$1861:'Podcasts'!$D$1994,ROW(INDIRECT("1:"&amp;K$2)))=0,ROW(INDIRECT("1:"&amp;K$2))),ROW($A18)),"")</f>
        <v>22</v>
      </c>
      <c r="BN61" s="567">
        <f t="array" aca="1" ref="BN61" ca="1">IFERROR(SMALL(IF(COUNTIF(Podcasts!$D$2000:'Podcasts'!$D$2057,ROW(INDIRECT("1:"&amp;K$2)))=0,ROW(INDIRECT("1:"&amp;K$2))),ROW($A18)),"")</f>
        <v>73</v>
      </c>
      <c r="BO61" s="567">
        <f t="array" aca="1" ref="BO61" ca="1">IFERROR(SMALL(IF(COUNTIF(Podcasts!$D$2063:'Podcasts'!$D$2071,ROW(INDIRECT("1:"&amp;K$2)))=0,ROW(INDIRECT("1:"&amp;K$2))),ROW($A18)),"")</f>
        <v>18</v>
      </c>
      <c r="BP61" s="202">
        <f t="array" aca="1" ref="BP61" ca="1">IFERROR(SMALL(IF(COUNTIF(Podcasts!$D$2077:'Podcasts'!$D$2092,ROW(INDIRECT("1:"&amp;K$2)))=0,ROW(INDIRECT("1:"&amp;K$2))),ROW($A18)),"")</f>
        <v>23</v>
      </c>
      <c r="BQ61" s="741">
        <f t="array" aca="1" ref="BQ61" ca="1">IFERROR(SMALL(IF(COUNTIF(Podcasts!$D$2098:'Podcasts'!$D$2114,ROW(INDIRECT("1:"&amp;K$2)))=0,ROW(INDIRECT("1:"&amp;K$2))),ROW($A18)),"")</f>
        <v>20</v>
      </c>
      <c r="BR61" s="744">
        <f t="array" aca="1" ref="BR61" ca="1">IFERROR(SMALL(IF(COUNTIF(Podcasts!$D$2120:'Podcasts'!$D$2124,ROW(INDIRECT("1:"&amp;K$2)))=0,ROW(INDIRECT("1:"&amp;K$2))),ROW($A18)),"")</f>
        <v>20</v>
      </c>
      <c r="BS61" s="28"/>
    </row>
    <row r="62" spans="1:71" outlineLevel="1">
      <c r="A62" s="28"/>
      <c r="B62" s="161">
        <v>19</v>
      </c>
      <c r="C62" s="161">
        <f>COUNTIF(Podcasts!$D$10:'Podcasts'!$D$2535,B62)</f>
        <v>6</v>
      </c>
      <c r="D62" s="158" t="s">
        <v>1047</v>
      </c>
      <c r="E62" s="156" t="str">
        <f t="array" ref="E62">IF(F62="","",INDEX(Podcasts!$J$10:'Podcasts'!$J$2535,MATCH(F62&amp;$B62,Podcasts!$E$10:'Podcasts'!$E$2535&amp;Podcasts!$D$10:'Podcasts'!$D$2535,0)))</f>
        <v>Fürst</v>
      </c>
      <c r="F62" s="131">
        <f t="array" ref="F62">IF(COUNTIF(Podcasts!$D$10:'Podcasts'!$D$2535,$B62)&lt;COLUMN(A19),"",SMALL(IF(Podcasts!$D$10:'Podcasts'!$D$2535=$B62,Podcasts!$E$10:'Podcasts'!$E$2535),COLUMN(A19)))</f>
        <v>41959</v>
      </c>
      <c r="G62" s="132">
        <f t="array" ref="G62">IF(F62="","",INDEX(Podcasts!$F$10:'Podcasts'!$F$2535,MATCH(F62&amp;$B62,Podcasts!$E$10:'Podcasts'!$E$2535&amp;Podcasts!$D$10:'Podcasts'!$D$2535,0)))</f>
        <v>5.5555555555555558E-3</v>
      </c>
      <c r="H62" s="136" t="str">
        <f t="array" ref="H62">IF(I62="","",INDEX(Podcasts!$J$10:'Podcasts'!$J$2535,MATCH(I62&amp;$B62,Podcasts!$E$10:'Podcasts'!$E$2535&amp;Podcasts!$D$10:'Podcasts'!$D$2535,0)))</f>
        <v>R&amp;A</v>
      </c>
      <c r="I62" s="133">
        <f t="array" ref="I62">IF(COUNTIF(Podcasts!$D$10:'Podcasts'!$D$2535,$B62)&lt;COLUMN(B19),"",SMALL(IF(Podcasts!$D$10:'Podcasts'!$D$2535=$B62,Podcasts!$E$10:'Podcasts'!$E$2535),COLUMN(B19)))</f>
        <v>44469.75</v>
      </c>
      <c r="J62" s="132">
        <f t="array" ref="J62">IF(I62="","",INDEX(Podcasts!$F$10:'Podcasts'!$F$2535,MATCH(I62&amp;$B62,Podcasts!$E$10:'Podcasts'!$E$2535&amp;Podcasts!$D$10:'Podcasts'!$D$2535,0)))</f>
        <v>9.4548611111111111E-2</v>
      </c>
      <c r="K62" s="136" t="str">
        <f t="array" ref="K62">IF(L62="","",INDEX(Podcasts!$J$10:'Podcasts'!$J$2535,MATCH(L62&amp;$B62,Podcasts!$E$10:'Podcasts'!$E$2535&amp;Podcasts!$D$10:'Podcasts'!$D$2535,0)))</f>
        <v>Abfahrt</v>
      </c>
      <c r="L62" s="133">
        <f t="array" ref="L62">IF(COUNTIF(Podcasts!$D$10:'Podcasts'!$D$2535,$B62)&lt;COLUMN(C19),"",SMALL(IF(Podcasts!$D$10:'Podcasts'!$D$2535=$B62,Podcasts!$E$10:'Podcasts'!$E$2535),COLUMN(C19)))</f>
        <v>44519</v>
      </c>
      <c r="M62" s="132">
        <f t="array" ref="M62">IF(L62="","",INDEX(Podcasts!$F$10:'Podcasts'!$F$2535,MATCH(L62&amp;$B62,Podcasts!$E$10:'Podcasts'!$E$2535&amp;Podcasts!$D$10:'Podcasts'!$D$2535,0)))</f>
        <v>4.9155092592592597E-2</v>
      </c>
      <c r="N62" s="136" t="str">
        <f t="array" ref="N62">IF(O62="","",INDEX(Podcasts!$J$10:'Podcasts'!$J$2535,MATCH(O62&amp;$B62,Podcasts!$E$10:'Podcasts'!$E$2535&amp;Podcasts!$D$10:'Podcasts'!$D$2535,0)))</f>
        <v>Verstärker</v>
      </c>
      <c r="O62" s="133">
        <f t="array" ref="O62">IF(COUNTIF(Podcasts!$D$10:'Podcasts'!$D$2535,$B62)&lt;COLUMN(D19),"",SMALL(IF(Podcasts!$D$10:'Podcasts'!$D$2535=$B62,Podcasts!$E$10:'Podcasts'!$E$2535),COLUMN(D19)))</f>
        <v>44776</v>
      </c>
      <c r="P62" s="132">
        <f t="array" ref="P62">IF(O62="","",INDEX(Podcasts!$F$10:'Podcasts'!$F$2535,MATCH(O62&amp;$B62,Podcasts!$E$10:'Podcasts'!$E$2535&amp;Podcasts!$D$10:'Podcasts'!$D$2535,0)))</f>
        <v>2.5115740740740741E-2</v>
      </c>
      <c r="Q62" s="136" t="str">
        <f t="array" ref="Q62">IF(R62="","",INDEX(Podcasts!$J$10:'Podcasts'!$J$2535,MATCH(R62&amp;$B62,Podcasts!$E$10:'Podcasts'!$E$2535&amp;Podcasts!$D$10:'Podcasts'!$D$2535,0)))</f>
        <v>Bobcast</v>
      </c>
      <c r="R62" s="133">
        <f t="array" ref="R62">IF(COUNTIF(Podcasts!$D$10:'Podcasts'!$D$2535,$B62)&lt;COLUMN(E19),"",SMALL(IF(Podcasts!$D$10:'Podcasts'!$D$2535=$B62,Podcasts!$E$10:'Podcasts'!$E$2535),COLUMN(E19)))</f>
        <v>44956.000879629632</v>
      </c>
      <c r="S62" s="132">
        <f t="array" ref="S62">IF(R62="","",INDEX(Podcasts!$F$10:'Podcasts'!$F$2535,MATCH(R62&amp;$B62,Podcasts!$E$10:'Podcasts'!$E$2535&amp;Podcasts!$D$10:'Podcasts'!$D$2535,0)))</f>
        <v>3.4270833333333334E-2</v>
      </c>
      <c r="T62" s="136" t="str">
        <f t="array" ref="T62">IF(U62="","",INDEX(Podcasts!$J$10:'Podcasts'!$J$2535,MATCH(U62&amp;$B62,Podcasts!$E$10:'Podcasts'!$E$2535&amp;Podcasts!$D$10:'Podcasts'!$D$2535,0)))</f>
        <v>RBW</v>
      </c>
      <c r="U62" s="133">
        <f t="array" ref="U62">IF(COUNTIF(Podcasts!$D$10:'Podcasts'!$D$2535,$B62)&lt;COLUMN(F19),"",SMALL(IF(Podcasts!$D$10:'Podcasts'!$D$2535=$B62,Podcasts!$E$10:'Podcasts'!$E$2535),COLUMN(F19)))</f>
        <v>44987</v>
      </c>
      <c r="V62" s="132">
        <f t="array" ref="V62">IF(U62="","",INDEX(Podcasts!$F$10:'Podcasts'!$F$2535,MATCH(U62&amp;$B62,Podcasts!$E$10:'Podcasts'!$E$2535&amp;Podcasts!$D$10:'Podcasts'!$D$2535,0)))</f>
        <v>3.394675925925926E-2</v>
      </c>
      <c r="W62" s="136" t="str">
        <f t="array" ref="W62">IF(X62="","",INDEX(Podcasts!$J$10:'Podcasts'!$J$2535,MATCH(X62&amp;$B62,Podcasts!$E$10:'Podcasts'!$E$2535&amp;Podcasts!$D$10:'Podcasts'!$D$2535,0)))</f>
        <v/>
      </c>
      <c r="X62" s="133" t="str">
        <f t="array" ref="X62">IF(COUNTIF(Podcasts!$D$10:'Podcasts'!$D$2535,$B62)&lt;COLUMN(G19),"",SMALL(IF(Podcasts!$D$10:'Podcasts'!$D$2535=$B62,Podcasts!$E$10:'Podcasts'!$E$2535),COLUMN(G19)))</f>
        <v/>
      </c>
      <c r="Y62" s="132" t="str">
        <f t="array" ref="Y62">IF(X62="","",INDEX(Podcasts!$F$10:'Podcasts'!$F$2535,MATCH(X62&amp;$B62,Podcasts!$E$10:'Podcasts'!$E$2535&amp;Podcasts!$D$10:'Podcasts'!$D$2535,0)))</f>
        <v/>
      </c>
      <c r="Z62" s="136" t="str">
        <f t="array" ref="Z62">IF(AA62="","",INDEX(Podcasts!$J$10:'Podcasts'!$J$2535,MATCH(AA62&amp;$B62,Podcasts!$E$10:'Podcasts'!$E$2535&amp;Podcasts!$D$10:'Podcasts'!$D$2535,0)))</f>
        <v/>
      </c>
      <c r="AA62" s="134" t="str">
        <f t="array" ref="AA62">IF(COUNTIF(Podcasts!$D$10:'Podcasts'!$D$2535,$B62)&lt;COLUMN(H19),"",SMALL(IF(Podcasts!$D$10:'Podcasts'!$D$2535=$B62,Podcasts!$E$10:'Podcasts'!$E$2535),COLUMN(H19)))</f>
        <v/>
      </c>
      <c r="AB62" s="404" t="str">
        <f t="array" ref="AB62">IF(AA62="","",INDEX(Podcasts!$F$10:'Podcasts'!$F$2535,MATCH(AA62&amp;$B62,Podcasts!$E$10:'Podcasts'!$E$2535&amp;Podcasts!$D$10:'Podcasts'!$D$2535,0)))</f>
        <v/>
      </c>
      <c r="AC62" s="406" t="str">
        <f t="array" ref="AC62">IF(AD62="","",INDEX(Podcasts!$J$10:'Podcasts'!$J$2535,MATCH(AD62&amp;$B62,Podcasts!$E$10:'Podcasts'!$E$2535&amp;Podcasts!$D$10:'Podcasts'!$D$2535,0)))</f>
        <v/>
      </c>
      <c r="AD62" s="400" t="str">
        <f t="array" ref="AD62">IF(COUNTIF(Podcasts!$D$10:'Podcasts'!$D$2535,$B62)&lt;COLUMN(I19),"",SMALL(IF(Podcasts!$D$10:'Podcasts'!$D$2535=$B62,Podcasts!$E$10:'Podcasts'!$E$2535),COLUMN(I19)))</f>
        <v/>
      </c>
      <c r="AE62" s="401" t="str">
        <f t="array" ref="AE62">IF(AD62="","",INDEX(Podcasts!$F$10:'Podcasts'!$F$2535,MATCH(AD62&amp;$B62,Podcasts!$E$10:'Podcasts'!$E$2535&amp;Podcasts!$D$10:'Podcasts'!$D$2535,0)))</f>
        <v/>
      </c>
      <c r="AF62" s="406" t="str">
        <f t="array" ref="AF62">IF(AG62="","",INDEX(Podcasts!$J$10:'Podcasts'!$J$2535,MATCH(AG62&amp;$B62,Podcasts!$E$10:'Podcasts'!$E$2535&amp;Podcasts!$D$10:'Podcasts'!$D$2535,0)))</f>
        <v/>
      </c>
      <c r="AG62" s="400" t="str">
        <f t="array" ref="AG62">IF(COUNTIF(Podcasts!$D$10:'Podcasts'!$D$2535,$B62)&lt;COLUMN(J19),"",SMALL(IF(Podcasts!$D$10:'Podcasts'!$D$2535=$B62,Podcasts!$E$10:'Podcasts'!$E$2535),COLUMN(J19)))</f>
        <v/>
      </c>
      <c r="AH62" s="401" t="str">
        <f t="array" ref="AH62">IF(AG62="","",INDEX(Podcasts!$F$10:'Podcasts'!$F$2535,MATCH(AG62&amp;$B62,Podcasts!$E$10:'Podcasts'!$E$2535&amp;Podcasts!$D$10:'Podcasts'!$D$2535,0)))</f>
        <v/>
      </c>
      <c r="AI62" s="406" t="str">
        <f t="array" ref="AI62">IF(AJ62="","",INDEX(Podcasts!$J$10:'Podcasts'!$J$2535,MATCH(AJ62&amp;$B62,Podcasts!$E$10:'Podcasts'!$E$2535&amp;Podcasts!$D$10:'Podcasts'!$D$2535,0)))</f>
        <v/>
      </c>
      <c r="AJ62" s="400" t="str">
        <f t="array" ref="AJ62">IF(COUNTIF(Podcasts!$D$10:'Podcasts'!$D$2535,$B62)&lt;COLUMN(K19),"",SMALL(IF(Podcasts!$D$10:'Podcasts'!$D$2535=$B62,Podcasts!$E$10:'Podcasts'!$E$2535),COLUMN(K19)))</f>
        <v/>
      </c>
      <c r="AK62" s="401" t="str">
        <f t="array" ref="AK62">IF(AJ62="","",INDEX(Podcasts!$F$10:'Podcasts'!$F$2535,MATCH(AJ62&amp;$B62,Podcasts!$E$10:'Podcasts'!$E$2535&amp;Podcasts!$D$10:'Podcasts'!$D$2535,0)))</f>
        <v/>
      </c>
      <c r="AL62" s="406" t="str">
        <f t="array" ref="AL62">IF(AM62="","",INDEX(Podcasts!$J$10:'Podcasts'!$J$2535,MATCH(AM62&amp;$B62,Podcasts!$E$10:'Podcasts'!$E$2535&amp;Podcasts!$D$10:'Podcasts'!$D$2535,0)))</f>
        <v/>
      </c>
      <c r="AM62" s="400" t="str">
        <f t="array" ref="AM62">IF(COUNTIF(Podcasts!$D$10:'Podcasts'!$D$2535,$B62)&lt;COLUMN(L19),"",SMALL(IF(Podcasts!$D$10:'Podcasts'!$D$2535=$B62,Podcasts!$E$10:'Podcasts'!$E$2535),COLUMN(L19)))</f>
        <v/>
      </c>
      <c r="AN62" s="401" t="str">
        <f t="array" ref="AN62">IF(AM62="","",INDEX(Podcasts!$F$10:'Podcasts'!$F$2535,MATCH(AM62&amp;$B62,Podcasts!$E$10:'Podcasts'!$E$2535&amp;Podcasts!$D$10:'Podcasts'!$D$2535,0)))</f>
        <v/>
      </c>
      <c r="AO62" s="402"/>
      <c r="AP62" s="119"/>
      <c r="AQ62" s="117">
        <f t="array" aca="1" ref="AQ62" ca="1">IFERROR(SMALL(IF(COUNTIF(Podcasts!$D$10:'Podcasts'!$D$107,ROW(INDIRECT("1:"&amp;K$2)))=0,ROW(INDIRECT("1:"&amp;K$2))),ROW($A19)),"")</f>
        <v>32</v>
      </c>
      <c r="AR62" s="117">
        <f t="array" aca="1" ref="AR62" ca="1">IFERROR(SMALL(IF(COUNTIF(Podcasts!$D$113:'Podcasts'!$D$238,ROW(INDIRECT("1:"&amp;K$2)))=0,ROW(INDIRECT("1:"&amp;K$2))),ROW($A19)),"")</f>
        <v>19</v>
      </c>
      <c r="AS62" s="117">
        <f t="array" aca="1" ref="AS62" ca="1">IFERROR(SMALL(IF(COUNTIF(Podcasts!$D$244:'Podcasts'!$D$299,ROW(INDIRECT("1:"&amp;K$2)))=0,ROW(INDIRECT("1:"&amp;K$2))),ROW($A19)),"")</f>
        <v>35</v>
      </c>
      <c r="AT62" s="117">
        <f t="array" aca="1" ref="AT62" ca="1">IFERROR(SMALL(IF(COUNTIF(Podcasts!$D$305:'Podcasts'!$D$473,ROW(INDIRECT("1:"&amp;K$2)))=0,ROW(INDIRECT("1:"&amp;K$2))),ROW($A19)),"")</f>
        <v>143</v>
      </c>
      <c r="AU62" s="117">
        <f t="array" aca="1" ref="AU62" ca="1">IFERROR(SMALL(IF(COUNTIF(Podcasts!$D$479:'Podcasts'!$D$488,ROW(INDIRECT("1:"&amp;K$2)))=0,ROW(INDIRECT("1:"&amp;K$2))),ROW($A19)),"")</f>
        <v>19</v>
      </c>
      <c r="AV62" s="117">
        <f t="array" aca="1" ref="AV62" ca="1">IFERROR(SMALL(IF(COUNTIF(Podcasts!$D$494:'Podcasts'!$D$518,ROW(INDIRECT("1:"&amp;K$2)))=0,ROW(INDIRECT("1:"&amp;K$2))),ROW($A19)),"")</f>
        <v>34</v>
      </c>
      <c r="AW62" s="117">
        <f t="array" aca="1" ref="AW62" ca="1">IFERROR(SMALL(IF(COUNTIF(Podcasts!$D$524:'Podcasts'!$D$532,ROW(INDIRECT("1:"&amp;K$2)))=0,ROW(INDIRECT("1:"&amp;K$2))),ROW($A19)),"")</f>
        <v>19</v>
      </c>
      <c r="AX62" s="117">
        <f t="array" aca="1" ref="AX62" ca="1">IFERROR(SMALL(IF(COUNTIF(Podcasts!$D$538:'Podcasts'!$D$909,ROW(INDIRECT("1:"&amp;K$2)))=0,ROW(INDIRECT("1:"&amp;K$2))),ROW($A19)),"")</f>
        <v>43</v>
      </c>
      <c r="AY62" s="117">
        <f t="array" aca="1" ref="AY62" ca="1">IFERROR(SMALL(IF(COUNTIF(Podcasts!$D$915:'Podcasts'!$D$981,ROW(INDIRECT("1:"&amp;K$2)))=0,ROW(INDIRECT("1:"&amp;K$2))),ROW($A19)),"")</f>
        <v>37</v>
      </c>
      <c r="AZ62" s="445"/>
      <c r="BA62" s="117">
        <f t="array" aca="1" ref="BA62" ca="1">IFERROR(SMALL(IF(COUNTIF(Podcasts!$D$1001:'Podcasts'!$D$1251,ROW(INDIRECT("1:"&amp;K$2)))=0,ROW(INDIRECT("1:"&amp;K$2))),ROW($A19)),"")</f>
        <v>38</v>
      </c>
      <c r="BB62" s="117">
        <f t="array" aca="1" ref="BB62" ca="1">IFERROR(SMALL(IF(COUNTIF(Podcasts!$D$1257:'Podcasts'!$D$1267,ROW(INDIRECT("1:"&amp;K$2)))=0,ROW(INDIRECT("1:"&amp;K$2))),ROW($A19)),"")</f>
        <v>20</v>
      </c>
      <c r="BC62" s="117">
        <f t="array" aca="1" ref="BC62" ca="1">IFERROR(SMALL(IF(COUNTIF(Podcasts!$D$1273:'Podcasts'!$D$1283,ROW(INDIRECT("1:"&amp;K$2)))=0,ROW(INDIRECT("1:"&amp;K$2))),ROW($A19)),"")</f>
        <v>21</v>
      </c>
      <c r="BD62" s="117">
        <f t="array" aca="1" ref="BD62" ca="1">IFERROR(SMALL(IF(COUNTIF(Podcasts!$D$1289:'Podcasts'!$D$1295,ROW(INDIRECT("1:"&amp;K$2)))=0,ROW(INDIRECT("1:"&amp;K$2))),ROW($A19)),"")</f>
        <v>21</v>
      </c>
      <c r="BE62" s="117">
        <f t="array" aca="1" ref="BE62" ca="1">IFERROR(SMALL(IF(COUNTIF(Podcasts!$D$1301:'Podcasts'!$D$1356,ROW(INDIRECT("1:"&amp;K$2)))=0,ROW(INDIRECT("1:"&amp;K$2))),ROW($A19)),"")</f>
        <v>66</v>
      </c>
      <c r="BF62" s="117">
        <f t="array" aca="1" ref="BF62" ca="1">IFERROR(SMALL(IF(COUNTIF(Podcasts!$D$1362:'Podcasts'!$D$1364,ROW(INDIRECT("1:"&amp;K$2)))=0,ROW(INDIRECT("1:"&amp;K$2))),ROW($A19)),"")</f>
        <v>22</v>
      </c>
      <c r="BG62" s="202">
        <f t="array" aca="1" ref="BG62" ca="1">IFERROR(SMALL(IF(COUNTIF(Podcasts!$D$1370:'Podcasts'!$D$1419,ROW(INDIRECT("1:"&amp;K$2)))=0,ROW(INDIRECT("1:"&amp;K$2))),ROW($A19)),"")</f>
        <v>23</v>
      </c>
      <c r="BH62" s="202">
        <f t="array" aca="1" ref="BH62" ca="1">IFERROR(SMALL(IF(COUNTIF(Podcasts!$D$1425:'Podcasts'!$D$1446,ROW(INDIRECT("1:"&amp;K$2)))=0,ROW(INDIRECT("1:"&amp;K$2))),ROW($A19)),"")</f>
        <v>23</v>
      </c>
      <c r="BI62" s="202">
        <f t="array" aca="1" ref="BI62" ca="1">IFERROR(SMALL(IF(COUNTIF(Podcasts!$D$1452:'Podcasts'!$D$1574,ROW(INDIRECT("1:"&amp;K$2)))=0,ROW(INDIRECT("1:"&amp;K$2))),ROW($A19)),"")</f>
        <v>45</v>
      </c>
      <c r="BJ62" s="202">
        <f t="array" aca="1" ref="BJ62" ca="1">IFERROR(SMALL(IF(COUNTIF(Podcasts!$D$1580:'Podcasts'!$D$1705,ROW(INDIRECT("1:"&amp;K$2)))=0,ROW(INDIRECT("1:"&amp;K$2))),ROW($A19)),"")</f>
        <v>34</v>
      </c>
      <c r="BK62" s="202">
        <f t="array" aca="1" ref="BK62" ca="1">IFERROR(SMALL(IF(COUNTIF(Podcasts!$D$1711:'Podcasts'!$D$1833,ROW(INDIRECT("1:"&amp;K$2)))=0,ROW(INDIRECT("1:"&amp;K$2))),ROW($A19)),"")</f>
        <v>59</v>
      </c>
      <c r="BL62" s="202">
        <f t="array" aca="1" ref="BL62" ca="1">IFERROR(SMALL(IF(COUNTIF(Podcasts!$D$1839:'Podcasts'!$D$1855,ROW(INDIRECT("1:"&amp;K$2)))=0,ROW(INDIRECT("1:"&amp;K$2))),ROW($A19)),"")</f>
        <v>20</v>
      </c>
      <c r="BM62" s="567">
        <f t="array" aca="1" ref="BM62" ca="1">IFERROR(SMALL(IF(COUNTIF(Podcasts!$D$1861:'Podcasts'!$D$1994,ROW(INDIRECT("1:"&amp;K$2)))=0,ROW(INDIRECT("1:"&amp;K$2))),ROW($A19)),"")</f>
        <v>26</v>
      </c>
      <c r="BN62" s="567">
        <f t="array" aca="1" ref="BN62" ca="1">IFERROR(SMALL(IF(COUNTIF(Podcasts!$D$2000:'Podcasts'!$D$2057,ROW(INDIRECT("1:"&amp;K$2)))=0,ROW(INDIRECT("1:"&amp;K$2))),ROW($A19)),"")</f>
        <v>74</v>
      </c>
      <c r="BO62" s="567">
        <f t="array" aca="1" ref="BO62" ca="1">IFERROR(SMALL(IF(COUNTIF(Podcasts!$D$2063:'Podcasts'!$D$2071,ROW(INDIRECT("1:"&amp;K$2)))=0,ROW(INDIRECT("1:"&amp;K$2))),ROW($A19)),"")</f>
        <v>19</v>
      </c>
      <c r="BP62" s="202">
        <f t="array" aca="1" ref="BP62" ca="1">IFERROR(SMALL(IF(COUNTIF(Podcasts!$D$2077:'Podcasts'!$D$2092,ROW(INDIRECT("1:"&amp;K$2)))=0,ROW(INDIRECT("1:"&amp;K$2))),ROW($A19)),"")</f>
        <v>24</v>
      </c>
      <c r="BQ62" s="741">
        <f t="array" aca="1" ref="BQ62" ca="1">IFERROR(SMALL(IF(COUNTIF(Podcasts!$D$2098:'Podcasts'!$D$2114,ROW(INDIRECT("1:"&amp;K$2)))=0,ROW(INDIRECT("1:"&amp;K$2))),ROW($A19)),"")</f>
        <v>21</v>
      </c>
      <c r="BR62" s="744">
        <f t="array" aca="1" ref="BR62" ca="1">IFERROR(SMALL(IF(COUNTIF(Podcasts!$D$2120:'Podcasts'!$D$2124,ROW(INDIRECT("1:"&amp;K$2)))=0,ROW(INDIRECT("1:"&amp;K$2))),ROW($A19)),"")</f>
        <v>21</v>
      </c>
      <c r="BS62" s="28"/>
    </row>
    <row r="63" spans="1:71" outlineLevel="1">
      <c r="A63" s="28"/>
      <c r="B63" s="161">
        <v>20</v>
      </c>
      <c r="C63" s="161">
        <f>COUNTIF(Podcasts!$D$10:'Podcasts'!$D$2535,B63)</f>
        <v>8</v>
      </c>
      <c r="D63" s="158" t="s">
        <v>1048</v>
      </c>
      <c r="E63" s="156" t="str">
        <f t="array" ref="E63">IF(F63="","",INDEX(Podcasts!$J$10:'Podcasts'!$J$2535,MATCH(F63&amp;$B63,Podcasts!$E$10:'Podcasts'!$E$2535&amp;Podcasts!$D$10:'Podcasts'!$D$2535,0)))</f>
        <v>Fürst</v>
      </c>
      <c r="F63" s="131">
        <f t="array" ref="F63">IF(COUNTIF(Podcasts!$D$10:'Podcasts'!$D$2535,$B63)&lt;COLUMN(A20),"",SMALL(IF(Podcasts!$D$10:'Podcasts'!$D$2535=$B63,Podcasts!$E$10:'Podcasts'!$E$2535),COLUMN(A20)))</f>
        <v>41839</v>
      </c>
      <c r="G63" s="132">
        <f t="array" ref="G63">IF(F63="","",INDEX(Podcasts!$F$10:'Podcasts'!$F$2535,MATCH(F63&amp;$B63,Podcasts!$E$10:'Podcasts'!$E$2535&amp;Podcasts!$D$10:'Podcasts'!$D$2535,0)))</f>
        <v>3.7615740740740717E-3</v>
      </c>
      <c r="H63" s="136" t="str">
        <f t="array" ref="H63">IF(I63="","",INDEX(Podcasts!$J$10:'Podcasts'!$J$2535,MATCH(I63&amp;$B63,Podcasts!$E$10:'Podcasts'!$E$2535&amp;Podcasts!$D$10:'Podcasts'!$D$2535,0)))</f>
        <v>Zentrale</v>
      </c>
      <c r="I63" s="133">
        <f t="array" ref="I63">IF(COUNTIF(Podcasts!$D$10:'Podcasts'!$D$2535,$B63)&lt;COLUMN(B20),"",SMALL(IF(Podcasts!$D$10:'Podcasts'!$D$2535=$B63,Podcasts!$E$10:'Podcasts'!$E$2535),COLUMN(B20)))</f>
        <v>44379</v>
      </c>
      <c r="J63" s="132">
        <f t="array" ref="J63">IF(I63="","",INDEX(Podcasts!$F$10:'Podcasts'!$F$2535,MATCH(I63&amp;$B63,Podcasts!$E$10:'Podcasts'!$E$2535&amp;Podcasts!$D$10:'Podcasts'!$D$2535,0)))</f>
        <v>9.0682870370370372E-2</v>
      </c>
      <c r="K63" s="136" t="str">
        <f t="array" ref="K63">IF(L63="","",INDEX(Podcasts!$J$10:'Podcasts'!$J$2535,MATCH(L63&amp;$B63,Podcasts!$E$10:'Podcasts'!$E$2535&amp;Podcasts!$D$10:'Podcasts'!$D$2535,0)))</f>
        <v>SSP</v>
      </c>
      <c r="L63" s="133">
        <f t="array" ref="L63">IF(COUNTIF(Podcasts!$D$10:'Podcasts'!$D$2535,$B63)&lt;COLUMN(C20),"",SMALL(IF(Podcasts!$D$10:'Podcasts'!$D$2535=$B63,Podcasts!$E$10:'Podcasts'!$E$2535),COLUMN(C20)))</f>
        <v>44443</v>
      </c>
      <c r="M63" s="132">
        <f t="array" ref="M63">IF(L63="","",INDEX(Podcasts!$F$10:'Podcasts'!$F$2535,MATCH(L63&amp;$B63,Podcasts!$E$10:'Podcasts'!$E$2535&amp;Podcasts!$D$10:'Podcasts'!$D$2535,0)))</f>
        <v>6.609953703703704E-2</v>
      </c>
      <c r="N63" s="136" t="str">
        <f t="array" ref="N63">IF(O63="","",INDEX(Podcasts!$J$10:'Podcasts'!$J$2535,MATCH(O63&amp;$B63,Podcasts!$E$10:'Podcasts'!$E$2535&amp;Podcasts!$D$10:'Podcasts'!$D$2535,0)))</f>
        <v>Abfahrt</v>
      </c>
      <c r="O63" s="133">
        <f t="array" ref="O63">IF(COUNTIF(Podcasts!$D$10:'Podcasts'!$D$2535,$B63)&lt;COLUMN(D20),"",SMALL(IF(Podcasts!$D$10:'Podcasts'!$D$2535=$B63,Podcasts!$E$10:'Podcasts'!$E$2535),COLUMN(D20)))</f>
        <v>44547</v>
      </c>
      <c r="P63" s="132">
        <f t="array" ref="P63">IF(O63="","",INDEX(Podcasts!$F$10:'Podcasts'!$F$2535,MATCH(O63&amp;$B63,Podcasts!$E$10:'Podcasts'!$E$2535&amp;Podcasts!$D$10:'Podcasts'!$D$2535,0)))</f>
        <v>5.4085648148148147E-2</v>
      </c>
      <c r="Q63" s="136" t="str">
        <f t="array" ref="Q63">IF(R63="","",INDEX(Podcasts!$J$10:'Podcasts'!$J$2535,MATCH(R63&amp;$B63,Podcasts!$E$10:'Podcasts'!$E$2535&amp;Podcasts!$D$10:'Podcasts'!$D$2535,0)))</f>
        <v>Verstärker</v>
      </c>
      <c r="R63" s="133">
        <f t="array" ref="R63">IF(COUNTIF(Podcasts!$D$10:'Podcasts'!$D$2535,$B63)&lt;COLUMN(E20),"",SMALL(IF(Podcasts!$D$10:'Podcasts'!$D$2535=$B63,Podcasts!$E$10:'Podcasts'!$E$2535),COLUMN(E20)))</f>
        <v>44807</v>
      </c>
      <c r="S63" s="132">
        <f t="array" ref="S63">IF(R63="","",INDEX(Podcasts!$F$10:'Podcasts'!$F$2535,MATCH(R63&amp;$B63,Podcasts!$E$10:'Podcasts'!$E$2535&amp;Podcasts!$D$10:'Podcasts'!$D$2535,0)))</f>
        <v>2.6574074074074073E-2</v>
      </c>
      <c r="T63" s="136" t="str">
        <f t="array" ref="T63">IF(U63="","",INDEX(Podcasts!$J$10:'Podcasts'!$J$2535,MATCH(U63&amp;$B63,Podcasts!$E$10:'Podcasts'!$E$2535&amp;Podcasts!$D$10:'Podcasts'!$D$2535,0)))</f>
        <v>Bobcast</v>
      </c>
      <c r="U63" s="133">
        <f t="array" ref="U63">IF(COUNTIF(Podcasts!$D$10:'Podcasts'!$D$2535,$B63)&lt;COLUMN(F20),"",SMALL(IF(Podcasts!$D$10:'Podcasts'!$D$2535=$B63,Podcasts!$E$10:'Podcasts'!$E$2535),COLUMN(F20)))</f>
        <v>44970.001226851855</v>
      </c>
      <c r="V63" s="132">
        <f t="array" ref="V63">IF(U63="","",INDEX(Podcasts!$F$10:'Podcasts'!$F$2535,MATCH(U63&amp;$B63,Podcasts!$E$10:'Podcasts'!$E$2535&amp;Podcasts!$D$10:'Podcasts'!$D$2535,0)))</f>
        <v>3.8530092592592595E-2</v>
      </c>
      <c r="W63" s="136" t="str">
        <f t="array" ref="W63">IF(X63="","",INDEX(Podcasts!$J$10:'Podcasts'!$J$2535,MATCH(X63&amp;$B63,Podcasts!$E$10:'Podcasts'!$E$2535&amp;Podcasts!$D$10:'Podcasts'!$D$2535,0)))</f>
        <v>RBW</v>
      </c>
      <c r="X63" s="133">
        <f t="array" ref="X63">IF(COUNTIF(Podcasts!$D$10:'Podcasts'!$D$2535,$B63)&lt;COLUMN(G20),"",SMALL(IF(Podcasts!$D$10:'Podcasts'!$D$2535=$B63,Podcasts!$E$10:'Podcasts'!$E$2535),COLUMN(G20)))</f>
        <v>44994</v>
      </c>
      <c r="Y63" s="132">
        <f t="array" ref="Y63">IF(X63="","",INDEX(Podcasts!$F$10:'Podcasts'!$F$2535,MATCH(X63&amp;$B63,Podcasts!$E$10:'Podcasts'!$E$2535&amp;Podcasts!$D$10:'Podcasts'!$D$2535,0)))</f>
        <v>4.7719907407407412E-2</v>
      </c>
      <c r="Z63" s="136" t="str">
        <f t="array" ref="Z63">IF(AA63="","",INDEX(Podcasts!$J$10:'Podcasts'!$J$2535,MATCH(AA63&amp;$B63,Podcasts!$E$10:'Podcasts'!$E$2535&amp;Podcasts!$D$10:'Podcasts'!$D$2535,0)))</f>
        <v>beachcast</v>
      </c>
      <c r="AA63" s="134">
        <f t="array" ref="AA63">IF(COUNTIF(Podcasts!$D$10:'Podcasts'!$D$2535,$B63)&lt;COLUMN(H20),"",SMALL(IF(Podcasts!$D$10:'Podcasts'!$D$2535=$B63,Podcasts!$E$10:'Podcasts'!$E$2535),COLUMN(H20)))</f>
        <v>45052</v>
      </c>
      <c r="AB63" s="404">
        <f t="array" ref="AB63">IF(AA63="","",INDEX(Podcasts!$F$10:'Podcasts'!$F$2535,MATCH(AA63&amp;$B63,Podcasts!$E$10:'Podcasts'!$E$2535&amp;Podcasts!$D$10:'Podcasts'!$D$2535,0)))</f>
        <v>9.116898148148149E-2</v>
      </c>
      <c r="AC63" s="406" t="str">
        <f t="array" ref="AC63">IF(AD63="","",INDEX(Podcasts!$J$10:'Podcasts'!$J$2535,MATCH(AD63&amp;$B63,Podcasts!$E$10:'Podcasts'!$E$2535&amp;Podcasts!$D$10:'Podcasts'!$D$2535,0)))</f>
        <v/>
      </c>
      <c r="AD63" s="400" t="str">
        <f t="array" ref="AD63">IF(COUNTIF(Podcasts!$D$10:'Podcasts'!$D$2535,$B63)&lt;COLUMN(I20),"",SMALL(IF(Podcasts!$D$10:'Podcasts'!$D$2535=$B63,Podcasts!$E$10:'Podcasts'!$E$2535),COLUMN(I20)))</f>
        <v/>
      </c>
      <c r="AE63" s="401" t="str">
        <f t="array" ref="AE63">IF(AD63="","",INDEX(Podcasts!$F$10:'Podcasts'!$F$2535,MATCH(AD63&amp;$B63,Podcasts!$E$10:'Podcasts'!$E$2535&amp;Podcasts!$D$10:'Podcasts'!$D$2535,0)))</f>
        <v/>
      </c>
      <c r="AF63" s="406" t="str">
        <f t="array" ref="AF63">IF(AG63="","",INDEX(Podcasts!$J$10:'Podcasts'!$J$2535,MATCH(AG63&amp;$B63,Podcasts!$E$10:'Podcasts'!$E$2535&amp;Podcasts!$D$10:'Podcasts'!$D$2535,0)))</f>
        <v/>
      </c>
      <c r="AG63" s="400" t="str">
        <f t="array" ref="AG63">IF(COUNTIF(Podcasts!$D$10:'Podcasts'!$D$2535,$B63)&lt;COLUMN(J20),"",SMALL(IF(Podcasts!$D$10:'Podcasts'!$D$2535=$B63,Podcasts!$E$10:'Podcasts'!$E$2535),COLUMN(J20)))</f>
        <v/>
      </c>
      <c r="AH63" s="401" t="str">
        <f t="array" ref="AH63">IF(AG63="","",INDEX(Podcasts!$F$10:'Podcasts'!$F$2535,MATCH(AG63&amp;$B63,Podcasts!$E$10:'Podcasts'!$E$2535&amp;Podcasts!$D$10:'Podcasts'!$D$2535,0)))</f>
        <v/>
      </c>
      <c r="AI63" s="406" t="str">
        <f t="array" ref="AI63">IF(AJ63="","",INDEX(Podcasts!$J$10:'Podcasts'!$J$2535,MATCH(AJ63&amp;$B63,Podcasts!$E$10:'Podcasts'!$E$2535&amp;Podcasts!$D$10:'Podcasts'!$D$2535,0)))</f>
        <v/>
      </c>
      <c r="AJ63" s="400" t="str">
        <f t="array" ref="AJ63">IF(COUNTIF(Podcasts!$D$10:'Podcasts'!$D$2535,$B63)&lt;COLUMN(K20),"",SMALL(IF(Podcasts!$D$10:'Podcasts'!$D$2535=$B63,Podcasts!$E$10:'Podcasts'!$E$2535),COLUMN(K20)))</f>
        <v/>
      </c>
      <c r="AK63" s="401" t="str">
        <f t="array" ref="AK63">IF(AJ63="","",INDEX(Podcasts!$F$10:'Podcasts'!$F$2535,MATCH(AJ63&amp;$B63,Podcasts!$E$10:'Podcasts'!$E$2535&amp;Podcasts!$D$10:'Podcasts'!$D$2535,0)))</f>
        <v/>
      </c>
      <c r="AL63" s="406" t="str">
        <f t="array" ref="AL63">IF(AM63="","",INDEX(Podcasts!$J$10:'Podcasts'!$J$2535,MATCH(AM63&amp;$B63,Podcasts!$E$10:'Podcasts'!$E$2535&amp;Podcasts!$D$10:'Podcasts'!$D$2535,0)))</f>
        <v/>
      </c>
      <c r="AM63" s="400" t="str">
        <f t="array" ref="AM63">IF(COUNTIF(Podcasts!$D$10:'Podcasts'!$D$2535,$B63)&lt;COLUMN(L20),"",SMALL(IF(Podcasts!$D$10:'Podcasts'!$D$2535=$B63,Podcasts!$E$10:'Podcasts'!$E$2535),COLUMN(L20)))</f>
        <v/>
      </c>
      <c r="AN63" s="401" t="str">
        <f t="array" ref="AN63">IF(AM63="","",INDEX(Podcasts!$F$10:'Podcasts'!$F$2535,MATCH(AM63&amp;$B63,Podcasts!$E$10:'Podcasts'!$E$2535&amp;Podcasts!$D$10:'Podcasts'!$D$2535,0)))</f>
        <v/>
      </c>
      <c r="AO63" s="402"/>
      <c r="AP63" s="119"/>
      <c r="AQ63" s="117">
        <f t="array" aca="1" ref="AQ63" ca="1">IFERROR(SMALL(IF(COUNTIF(Podcasts!$D$10:'Podcasts'!$D$107,ROW(INDIRECT("1:"&amp;K$2)))=0,ROW(INDIRECT("1:"&amp;K$2))),ROW($A20)),"")</f>
        <v>34</v>
      </c>
      <c r="AR63" s="117">
        <f t="array" aca="1" ref="AR63" ca="1">IFERROR(SMALL(IF(COUNTIF(Podcasts!$D$113:'Podcasts'!$D$238,ROW(INDIRECT("1:"&amp;K$2)))=0,ROW(INDIRECT("1:"&amp;K$2))),ROW($A20)),"")</f>
        <v>20</v>
      </c>
      <c r="AS63" s="117">
        <f t="array" aca="1" ref="AS63" ca="1">IFERROR(SMALL(IF(COUNTIF(Podcasts!$D$244:'Podcasts'!$D$299,ROW(INDIRECT("1:"&amp;K$2)))=0,ROW(INDIRECT("1:"&amp;K$2))),ROW($A20)),"")</f>
        <v>36</v>
      </c>
      <c r="AT63" s="117">
        <f t="array" aca="1" ref="AT63" ca="1">IFERROR(SMALL(IF(COUNTIF(Podcasts!$D$305:'Podcasts'!$D$473,ROW(INDIRECT("1:"&amp;K$2)))=0,ROW(INDIRECT("1:"&amp;K$2))),ROW($A20)),"")</f>
        <v>144</v>
      </c>
      <c r="AU63" s="117">
        <f t="array" aca="1" ref="AU63" ca="1">IFERROR(SMALL(IF(COUNTIF(Podcasts!$D$479:'Podcasts'!$D$488,ROW(INDIRECT("1:"&amp;K$2)))=0,ROW(INDIRECT("1:"&amp;K$2))),ROW($A20)),"")</f>
        <v>20</v>
      </c>
      <c r="AV63" s="117">
        <f t="array" aca="1" ref="AV63" ca="1">IFERROR(SMALL(IF(COUNTIF(Podcasts!$D$494:'Podcasts'!$D$518,ROW(INDIRECT("1:"&amp;K$2)))=0,ROW(INDIRECT("1:"&amp;K$2))),ROW($A20)),"")</f>
        <v>35</v>
      </c>
      <c r="AW63" s="117">
        <f t="array" aca="1" ref="AW63" ca="1">IFERROR(SMALL(IF(COUNTIF(Podcasts!$D$524:'Podcasts'!$D$532,ROW(INDIRECT("1:"&amp;K$2)))=0,ROW(INDIRECT("1:"&amp;K$2))),ROW($A20)),"")</f>
        <v>20</v>
      </c>
      <c r="AX63" s="117">
        <f t="array" aca="1" ref="AX63" ca="1">IFERROR(SMALL(IF(COUNTIF(Podcasts!$D$538:'Podcasts'!$D$909,ROW(INDIRECT("1:"&amp;K$2)))=0,ROW(INDIRECT("1:"&amp;K$2))),ROW($A20)),"")</f>
        <v>48</v>
      </c>
      <c r="AY63" s="117">
        <f t="array" aca="1" ref="AY63" ca="1">IFERROR(SMALL(IF(COUNTIF(Podcasts!$D$915:'Podcasts'!$D$981,ROW(INDIRECT("1:"&amp;K$2)))=0,ROW(INDIRECT("1:"&amp;K$2))),ROW($A20)),"")</f>
        <v>38</v>
      </c>
      <c r="AZ63" s="445"/>
      <c r="BA63" s="117">
        <f t="array" aca="1" ref="BA63" ca="1">IFERROR(SMALL(IF(COUNTIF(Podcasts!$D$1001:'Podcasts'!$D$1251,ROW(INDIRECT("1:"&amp;K$2)))=0,ROW(INDIRECT("1:"&amp;K$2))),ROW($A20)),"")</f>
        <v>39</v>
      </c>
      <c r="BB63" s="117">
        <f t="array" aca="1" ref="BB63" ca="1">IFERROR(SMALL(IF(COUNTIF(Podcasts!$D$1257:'Podcasts'!$D$1267,ROW(INDIRECT("1:"&amp;K$2)))=0,ROW(INDIRECT("1:"&amp;K$2))),ROW($A20)),"")</f>
        <v>21</v>
      </c>
      <c r="BC63" s="117">
        <f t="array" aca="1" ref="BC63" ca="1">IFERROR(SMALL(IF(COUNTIF(Podcasts!$D$1273:'Podcasts'!$D$1283,ROW(INDIRECT("1:"&amp;K$2)))=0,ROW(INDIRECT("1:"&amp;K$2))),ROW($A20)),"")</f>
        <v>22</v>
      </c>
      <c r="BD63" s="117">
        <f t="array" aca="1" ref="BD63" ca="1">IFERROR(SMALL(IF(COUNTIF(Podcasts!$D$1289:'Podcasts'!$D$1295,ROW(INDIRECT("1:"&amp;K$2)))=0,ROW(INDIRECT("1:"&amp;K$2))),ROW($A20)),"")</f>
        <v>22</v>
      </c>
      <c r="BE63" s="117">
        <f t="array" aca="1" ref="BE63" ca="1">IFERROR(SMALL(IF(COUNTIF(Podcasts!$D$1301:'Podcasts'!$D$1356,ROW(INDIRECT("1:"&amp;K$2)))=0,ROW(INDIRECT("1:"&amp;K$2))),ROW($A20)),"")</f>
        <v>67</v>
      </c>
      <c r="BF63" s="117">
        <f t="array" aca="1" ref="BF63" ca="1">IFERROR(SMALL(IF(COUNTIF(Podcasts!$D$1362:'Podcasts'!$D$1364,ROW(INDIRECT("1:"&amp;K$2)))=0,ROW(INDIRECT("1:"&amp;K$2))),ROW($A20)),"")</f>
        <v>23</v>
      </c>
      <c r="BG63" s="202">
        <f t="array" aca="1" ref="BG63" ca="1">IFERROR(SMALL(IF(COUNTIF(Podcasts!$D$1370:'Podcasts'!$D$1419,ROW(INDIRECT("1:"&amp;K$2)))=0,ROW(INDIRECT("1:"&amp;K$2))),ROW($A20)),"")</f>
        <v>24</v>
      </c>
      <c r="BH63" s="202">
        <f t="array" aca="1" ref="BH63" ca="1">IFERROR(SMALL(IF(COUNTIF(Podcasts!$D$1425:'Podcasts'!$D$1446,ROW(INDIRECT("1:"&amp;K$2)))=0,ROW(INDIRECT("1:"&amp;K$2))),ROW($A20)),"")</f>
        <v>24</v>
      </c>
      <c r="BI63" s="202">
        <f t="array" aca="1" ref="BI63" ca="1">IFERROR(SMALL(IF(COUNTIF(Podcasts!$D$1452:'Podcasts'!$D$1574,ROW(INDIRECT("1:"&amp;K$2)))=0,ROW(INDIRECT("1:"&amp;K$2))),ROW($A20)),"")</f>
        <v>46</v>
      </c>
      <c r="BJ63" s="202">
        <f t="array" aca="1" ref="BJ63" ca="1">IFERROR(SMALL(IF(COUNTIF(Podcasts!$D$1580:'Podcasts'!$D$1705,ROW(INDIRECT("1:"&amp;K$2)))=0,ROW(INDIRECT("1:"&amp;K$2))),ROW($A20)),"")</f>
        <v>36</v>
      </c>
      <c r="BK63" s="202">
        <f t="array" aca="1" ref="BK63" ca="1">IFERROR(SMALL(IF(COUNTIF(Podcasts!$D$1711:'Podcasts'!$D$1833,ROW(INDIRECT("1:"&amp;K$2)))=0,ROW(INDIRECT("1:"&amp;K$2))),ROW($A20)),"")</f>
        <v>60</v>
      </c>
      <c r="BL63" s="202">
        <f t="array" aca="1" ref="BL63" ca="1">IFERROR(SMALL(IF(COUNTIF(Podcasts!$D$1839:'Podcasts'!$D$1855,ROW(INDIRECT("1:"&amp;K$2)))=0,ROW(INDIRECT("1:"&amp;K$2))),ROW($A20)),"")</f>
        <v>22</v>
      </c>
      <c r="BM63" s="567">
        <f t="array" aca="1" ref="BM63" ca="1">IFERROR(SMALL(IF(COUNTIF(Podcasts!$D$1861:'Podcasts'!$D$1994,ROW(INDIRECT("1:"&amp;K$2)))=0,ROW(INDIRECT("1:"&amp;K$2))),ROW($A20)),"")</f>
        <v>28</v>
      </c>
      <c r="BN63" s="567">
        <f t="array" aca="1" ref="BN63" ca="1">IFERROR(SMALL(IF(COUNTIF(Podcasts!$D$2000:'Podcasts'!$D$2057,ROW(INDIRECT("1:"&amp;K$2)))=0,ROW(INDIRECT("1:"&amp;K$2))),ROW($A20)),"")</f>
        <v>75</v>
      </c>
      <c r="BO63" s="567">
        <f t="array" aca="1" ref="BO63" ca="1">IFERROR(SMALL(IF(COUNTIF(Podcasts!$D$2063:'Podcasts'!$D$2071,ROW(INDIRECT("1:"&amp;K$2)))=0,ROW(INDIRECT("1:"&amp;K$2))),ROW($A20)),"")</f>
        <v>20</v>
      </c>
      <c r="BP63" s="202">
        <f t="array" aca="1" ref="BP63" ca="1">IFERROR(SMALL(IF(COUNTIF(Podcasts!$D$2077:'Podcasts'!$D$2092,ROW(INDIRECT("1:"&amp;K$2)))=0,ROW(INDIRECT("1:"&amp;K$2))),ROW($A20)),"")</f>
        <v>25</v>
      </c>
      <c r="BQ63" s="741">
        <f t="array" aca="1" ref="BQ63" ca="1">IFERROR(SMALL(IF(COUNTIF(Podcasts!$D$2098:'Podcasts'!$D$2114,ROW(INDIRECT("1:"&amp;K$2)))=0,ROW(INDIRECT("1:"&amp;K$2))),ROW($A20)),"")</f>
        <v>22</v>
      </c>
      <c r="BR63" s="744">
        <f t="array" aca="1" ref="BR63" ca="1">IFERROR(SMALL(IF(COUNTIF(Podcasts!$D$2120:'Podcasts'!$D$2124,ROW(INDIRECT("1:"&amp;K$2)))=0,ROW(INDIRECT("1:"&amp;K$2))),ROW($A20)),"")</f>
        <v>22</v>
      </c>
      <c r="BS63" s="28"/>
    </row>
    <row r="64" spans="1:71" outlineLevel="1">
      <c r="A64" s="28"/>
      <c r="B64" s="161">
        <v>21</v>
      </c>
      <c r="C64" s="161">
        <f>COUNTIF(Podcasts!$D$10:'Podcasts'!$D$2535,B64)</f>
        <v>11</v>
      </c>
      <c r="D64" s="158" t="s">
        <v>1049</v>
      </c>
      <c r="E64" s="156" t="str">
        <f t="array" ref="E64">IF(F64="","",INDEX(Podcasts!$J$10:'Podcasts'!$J$2535,MATCH(F64&amp;$B64,Podcasts!$E$10:'Podcasts'!$E$2535&amp;Podcasts!$D$10:'Podcasts'!$D$2535,0)))</f>
        <v>???od</v>
      </c>
      <c r="F64" s="131">
        <f t="array" ref="F64">IF(COUNTIF(Podcasts!$D$10:'Podcasts'!$D$2535,$B64)&lt;COLUMN(A22),"",SMALL(IF(Podcasts!$D$10:'Podcasts'!$D$2535=$B64,Podcasts!$E$10:'Podcasts'!$E$2535),COLUMN(A22)))</f>
        <v>41233</v>
      </c>
      <c r="G64" s="132">
        <f t="array" ref="G64">IF(F64="","",INDEX(Podcasts!$F$10:'Podcasts'!$F$2535,MATCH(F64&amp;$B64,Podcasts!$E$10:'Podcasts'!$E$2535&amp;Podcasts!$D$10:'Podcasts'!$D$2535,0)))</f>
        <v>4.3750000000000004E-2</v>
      </c>
      <c r="H64" s="136" t="str">
        <f t="array" ref="H64">IF(I64="","",INDEX(Podcasts!$J$10:'Podcasts'!$J$2535,MATCH(I64&amp;$B64,Podcasts!$E$10:'Podcasts'!$E$2535&amp;Podcasts!$D$10:'Podcasts'!$D$2535,0)))</f>
        <v>Fürst</v>
      </c>
      <c r="I64" s="133">
        <f t="array" ref="I64">IF(COUNTIF(Podcasts!$D$10:'Podcasts'!$D$2535,$B64)&lt;COLUMN(B22),"",SMALL(IF(Podcasts!$D$10:'Podcasts'!$D$2535=$B64,Podcasts!$E$10:'Podcasts'!$E$2535),COLUMN(B22)))</f>
        <v>42106</v>
      </c>
      <c r="J64" s="132">
        <f t="array" ref="J64">IF(I64="","",INDEX(Podcasts!$F$10:'Podcasts'!$F$2535,MATCH(I64&amp;$B64,Podcasts!$E$10:'Podcasts'!$E$2535&amp;Podcasts!$D$10:'Podcasts'!$D$2535,0)))</f>
        <v>1.4004629629629631E-2</v>
      </c>
      <c r="K64" s="136" t="str">
        <f t="array" ref="K64">IF(L64="","",INDEX(Podcasts!$J$10:'Podcasts'!$J$2535,MATCH(L64&amp;$B64,Podcasts!$E$10:'Podcasts'!$E$2535&amp;Podcasts!$D$10:'Podcasts'!$D$2535,0)))</f>
        <v>SSP</v>
      </c>
      <c r="L64" s="133">
        <f t="array" ref="L64">IF(COUNTIF(Podcasts!$D$10:'Podcasts'!$D$2535,$B64)&lt;COLUMN(C22),"",SMALL(IF(Podcasts!$D$10:'Podcasts'!$D$2535=$B64,Podcasts!$E$10:'Podcasts'!$E$2535),COLUMN(C22)))</f>
        <v>43403</v>
      </c>
      <c r="M64" s="132">
        <f t="array" ref="M64">IF(L64="","",INDEX(Podcasts!$F$10:'Podcasts'!$F$2535,MATCH(L64&amp;$B64,Podcasts!$E$10:'Podcasts'!$E$2535&amp;Podcasts!$D$10:'Podcasts'!$D$2535,0)))</f>
        <v>6.0312499999999998E-2</v>
      </c>
      <c r="N64" s="136" t="str">
        <f t="array" ref="N64">IF(O64="","",INDEX(Podcasts!$J$10:'Podcasts'!$J$2535,MATCH(O64&amp;$B64,Podcasts!$E$10:'Podcasts'!$E$2535&amp;Podcasts!$D$10:'Podcasts'!$D$2535,0)))</f>
        <v>R&amp;A</v>
      </c>
      <c r="O64" s="133">
        <f t="array" ref="O64">IF(COUNTIF(Podcasts!$D$10:'Podcasts'!$D$2535,$B64)&lt;COLUMN(D22),"",SMALL(IF(Podcasts!$D$10:'Podcasts'!$D$2535=$B64,Podcasts!$E$10:'Podcasts'!$E$2535),COLUMN(D22)))</f>
        <v>43738.622152777774</v>
      </c>
      <c r="P64" s="132">
        <f t="array" ref="P64">IF(O64="","",INDEX(Podcasts!$F$10:'Podcasts'!$F$2535,MATCH(O64&amp;$B64,Podcasts!$E$10:'Podcasts'!$E$2535&amp;Podcasts!$D$10:'Podcasts'!$D$2535,0)))</f>
        <v>8.9745370370370378E-2</v>
      </c>
      <c r="Q64" s="136" t="str">
        <f t="array" ref="Q64">IF(R64="","",INDEX(Podcasts!$J$10:'Podcasts'!$J$2535,MATCH(R64&amp;$B64,Podcasts!$E$10:'Podcasts'!$E$2535&amp;Podcasts!$D$10:'Podcasts'!$D$2535,0)))</f>
        <v>Rose</v>
      </c>
      <c r="R64" s="133">
        <f t="array" ref="R64">IF(COUNTIF(Podcasts!$D$10:'Podcasts'!$D$2535,$B64)&lt;COLUMN(E22),"",SMALL(IF(Podcasts!$D$10:'Podcasts'!$D$2535=$B64,Podcasts!$E$10:'Podcasts'!$E$2535),COLUMN(E22)))</f>
        <v>44486</v>
      </c>
      <c r="S64" s="132">
        <f t="array" ref="S64">IF(R64="","",INDEX(Podcasts!$F$10:'Podcasts'!$F$2535,MATCH(R64&amp;$B64,Podcasts!$E$10:'Podcasts'!$E$2535&amp;Podcasts!$D$10:'Podcasts'!$D$2535,0)))</f>
        <v>4.2731481481481481E-2</v>
      </c>
      <c r="T64" s="136" t="str">
        <f t="array" ref="T64">IF(U64="","",INDEX(Podcasts!$J$10:'Podcasts'!$J$2535,MATCH(U64&amp;$B64,Podcasts!$E$10:'Podcasts'!$E$2535&amp;Podcasts!$D$10:'Podcasts'!$D$2535,0)))</f>
        <v>Kuchen</v>
      </c>
      <c r="U64" s="133">
        <f t="array" ref="U64">IF(COUNTIF(Podcasts!$D$10:'Podcasts'!$D$2535,$B64)&lt;COLUMN(F22),"",SMALL(IF(Podcasts!$D$10:'Podcasts'!$D$2535=$B64,Podcasts!$E$10:'Podcasts'!$E$2535),COLUMN(F22)))</f>
        <v>44549</v>
      </c>
      <c r="V64" s="132">
        <f t="array" ref="V64">IF(U64="","",INDEX(Podcasts!$F$10:'Podcasts'!$F$2535,MATCH(U64&amp;$B64,Podcasts!$E$10:'Podcasts'!$E$2535&amp;Podcasts!$D$10:'Podcasts'!$D$2535,0)))</f>
        <v>5.5891203703703707E-2</v>
      </c>
      <c r="W64" s="136" t="str">
        <f t="array" ref="W64">IF(X64="","",INDEX(Podcasts!$J$10:'Podcasts'!$J$2535,MATCH(X64&amp;$B64,Podcasts!$E$10:'Podcasts'!$E$2535&amp;Podcasts!$D$10:'Podcasts'!$D$2535,0)))</f>
        <v>Abfahrt</v>
      </c>
      <c r="X64" s="133">
        <f t="array" ref="X64">IF(COUNTIF(Podcasts!$D$10:'Podcasts'!$D$2535,$B64)&lt;COLUMN(G22),"",SMALL(IF(Podcasts!$D$10:'Podcasts'!$D$2535=$B64,Podcasts!$E$10:'Podcasts'!$E$2535),COLUMN(G22)))</f>
        <v>44582</v>
      </c>
      <c r="Y64" s="132">
        <f t="array" ref="Y64">IF(X64="","",INDEX(Podcasts!$F$10:'Podcasts'!$F$2535,MATCH(X64&amp;$B64,Podcasts!$E$10:'Podcasts'!$E$2535&amp;Podcasts!$D$10:'Podcasts'!$D$2535,0)))</f>
        <v>5.4502314814814816E-2</v>
      </c>
      <c r="Z64" s="136" t="str">
        <f t="array" ref="Z64">IF(AA64="","",INDEX(Podcasts!$J$10:'Podcasts'!$J$2535,MATCH(AA64&amp;$B64,Podcasts!$E$10:'Podcasts'!$E$2535&amp;Podcasts!$D$10:'Podcasts'!$D$2535,0)))</f>
        <v>Verstärker</v>
      </c>
      <c r="AA64" s="134">
        <f t="array" ref="AA64">IF(COUNTIF(Podcasts!$D$10:'Podcasts'!$D$2535,$B64)&lt;COLUMN(H22),"",SMALL(IF(Podcasts!$D$10:'Podcasts'!$D$2535=$B64,Podcasts!$E$10:'Podcasts'!$E$2535),COLUMN(H22)))</f>
        <v>44837</v>
      </c>
      <c r="AB64" s="404">
        <f t="array" ref="AB64">IF(AA64="","",INDEX(Podcasts!$F$10:'Podcasts'!$F$2535,MATCH(AA64&amp;$B64,Podcasts!$E$10:'Podcasts'!$E$2535&amp;Podcasts!$D$10:'Podcasts'!$D$2535,0)))</f>
        <v>2.3472222222222217E-2</v>
      </c>
      <c r="AC64" s="406" t="str">
        <f t="array" ref="AC64">IF(AD64="","",INDEX(Podcasts!$J$10:'Podcasts'!$J$2535,MATCH(AD64&amp;$B64,Podcasts!$E$10:'Podcasts'!$E$2535&amp;Podcasts!$D$10:'Podcasts'!$D$2535,0)))</f>
        <v>Bobcast</v>
      </c>
      <c r="AD64" s="400">
        <f t="array" ref="AD64">IF(COUNTIF(Podcasts!$D$10:'Podcasts'!$D$2535,$B64)&lt;COLUMN(I22),"",SMALL(IF(Podcasts!$D$10:'Podcasts'!$D$2535=$B64,Podcasts!$E$10:'Podcasts'!$E$2535),COLUMN(I22)))</f>
        <v>44984.388159722221</v>
      </c>
      <c r="AE64" s="401">
        <f t="array" ref="AE64">IF(AD64="","",INDEX(Podcasts!$F$10:'Podcasts'!$F$2535,MATCH(AD64&amp;$B64,Podcasts!$E$10:'Podcasts'!$E$2535&amp;Podcasts!$D$10:'Podcasts'!$D$2535,0)))</f>
        <v>3.8067129629629631E-2</v>
      </c>
      <c r="AF64" s="406" t="str">
        <f t="array" ref="AF64">IF(AG64="","",INDEX(Podcasts!$J$10:'Podcasts'!$J$2535,MATCH(AG64&amp;$B64,Podcasts!$E$10:'Podcasts'!$E$2535&amp;Podcasts!$D$10:'Podcasts'!$D$2535,0)))</f>
        <v>RBW</v>
      </c>
      <c r="AG64" s="400">
        <f t="array" ref="AG64">IF(COUNTIF(Podcasts!$D$10:'Podcasts'!$D$2535,$B64)&lt;COLUMN(J22),"",SMALL(IF(Podcasts!$D$10:'Podcasts'!$D$2535=$B64,Podcasts!$E$10:'Podcasts'!$E$2535),COLUMN(J22)))</f>
        <v>45001</v>
      </c>
      <c r="AH64" s="401">
        <f t="array" ref="AH64">IF(AG64="","",INDEX(Podcasts!$F$10:'Podcasts'!$F$2535,MATCH(AG64&amp;$B64,Podcasts!$E$10:'Podcasts'!$E$2535&amp;Podcasts!$D$10:'Podcasts'!$D$2535,0)))</f>
        <v>4.1469907407407407E-2</v>
      </c>
      <c r="AI64" s="406" t="str">
        <f t="array" ref="AI64">IF(AJ64="","",INDEX(Podcasts!$J$10:'Podcasts'!$J$2535,MATCH(AJ64&amp;$B64,Podcasts!$E$10:'Podcasts'!$E$2535&amp;Podcasts!$D$10:'Podcasts'!$D$2535,0)))</f>
        <v>Zw3i</v>
      </c>
      <c r="AJ64" s="400">
        <f t="array" ref="AJ64">IF(COUNTIF(Podcasts!$D$10:'Podcasts'!$D$2535,$B64)&lt;COLUMN(K22),"",SMALL(IF(Podcasts!$D$10:'Podcasts'!$D$2535=$B64,Podcasts!$E$10:'Podcasts'!$E$2535),COLUMN(K22)))</f>
        <v>45443</v>
      </c>
      <c r="AK64" s="401">
        <f t="array" ref="AK64">IF(AJ64="","",INDEX(Podcasts!$F$10:'Podcasts'!$F$2535,MATCH(AJ64&amp;$B64,Podcasts!$E$10:'Podcasts'!$E$2535&amp;Podcasts!$D$10:'Podcasts'!$D$2535,0)))</f>
        <v>0</v>
      </c>
      <c r="AL64" s="406" t="str">
        <f t="array" ref="AL64">IF(AM64="","",INDEX(Podcasts!$J$10:'Podcasts'!$J$2535,MATCH(AM64&amp;$B64,Podcasts!$E$10:'Podcasts'!$E$2535&amp;Podcasts!$D$10:'Podcasts'!$D$2535,0)))</f>
        <v/>
      </c>
      <c r="AM64" s="400" t="str">
        <f t="array" ref="AM64">IF(COUNTIF(Podcasts!$D$10:'Podcasts'!$D$2535,$B64)&lt;COLUMN(L22),"",SMALL(IF(Podcasts!$D$10:'Podcasts'!$D$2535=$B64,Podcasts!$E$10:'Podcasts'!$E$2535),COLUMN(L22)))</f>
        <v/>
      </c>
      <c r="AN64" s="401" t="str">
        <f t="array" ref="AN64">IF(AM64="","",INDEX(Podcasts!$F$10:'Podcasts'!$F$2535,MATCH(AM64&amp;$B64,Podcasts!$E$10:'Podcasts'!$E$2535&amp;Podcasts!$D$10:'Podcasts'!$D$2535,0)))</f>
        <v/>
      </c>
      <c r="AO64" s="402"/>
      <c r="AP64" s="119"/>
      <c r="AQ64" s="117">
        <f t="array" aca="1" ref="AQ64" ca="1">IFERROR(SMALL(IF(COUNTIF(Podcasts!$D$10:'Podcasts'!$D$107,ROW(INDIRECT("1:"&amp;K$2)))=0,ROW(INDIRECT("1:"&amp;K$2))),ROW($A21)),"")</f>
        <v>35</v>
      </c>
      <c r="AR64" s="117">
        <f t="array" aca="1" ref="AR64" ca="1">IFERROR(SMALL(IF(COUNTIF(Podcasts!$D$113:'Podcasts'!$D$238,ROW(INDIRECT("1:"&amp;K$2)))=0,ROW(INDIRECT("1:"&amp;K$2))),ROW($A21)),"")</f>
        <v>21</v>
      </c>
      <c r="AS64" s="117">
        <f t="array" aca="1" ref="AS64" ca="1">IFERROR(SMALL(IF(COUNTIF(Podcasts!$D$244:'Podcasts'!$D$299,ROW(INDIRECT("1:"&amp;K$2)))=0,ROW(INDIRECT("1:"&amp;K$2))),ROW($A21)),"")</f>
        <v>37</v>
      </c>
      <c r="AT64" s="117">
        <f t="array" aca="1" ref="AT64" ca="1">IFERROR(SMALL(IF(COUNTIF(Podcasts!$D$305:'Podcasts'!$D$473,ROW(INDIRECT("1:"&amp;K$2)))=0,ROW(INDIRECT("1:"&amp;K$2))),ROW($A21)),"")</f>
        <v>147</v>
      </c>
      <c r="AU64" s="117">
        <f t="array" aca="1" ref="AU64" ca="1">IFERROR(SMALL(IF(COUNTIF(Podcasts!$D$479:'Podcasts'!$D$488,ROW(INDIRECT("1:"&amp;K$2)))=0,ROW(INDIRECT("1:"&amp;K$2))),ROW($A21)),"")</f>
        <v>21</v>
      </c>
      <c r="AV64" s="117">
        <f t="array" aca="1" ref="AV64" ca="1">IFERROR(SMALL(IF(COUNTIF(Podcasts!$D$494:'Podcasts'!$D$518,ROW(INDIRECT("1:"&amp;K$2)))=0,ROW(INDIRECT("1:"&amp;K$2))),ROW($A21)),"")</f>
        <v>36</v>
      </c>
      <c r="AW64" s="117">
        <f t="array" aca="1" ref="AW64" ca="1">IFERROR(SMALL(IF(COUNTIF(Podcasts!$D$524:'Podcasts'!$D$532,ROW(INDIRECT("1:"&amp;K$2)))=0,ROW(INDIRECT("1:"&amp;K$2))),ROW($A21)),"")</f>
        <v>21</v>
      </c>
      <c r="AX64" s="117">
        <f t="array" aca="1" ref="AX64" ca="1">IFERROR(SMALL(IF(COUNTIF(Podcasts!$D$538:'Podcasts'!$D$909,ROW(INDIRECT("1:"&amp;K$2)))=0,ROW(INDIRECT("1:"&amp;K$2))),ROW($A21)),"")</f>
        <v>51</v>
      </c>
      <c r="AY64" s="117">
        <f t="array" aca="1" ref="AY64" ca="1">IFERROR(SMALL(IF(COUNTIF(Podcasts!$D$915:'Podcasts'!$D$981,ROW(INDIRECT("1:"&amp;K$2)))=0,ROW(INDIRECT("1:"&amp;K$2))),ROW($A21)),"")</f>
        <v>40</v>
      </c>
      <c r="AZ64" s="445"/>
      <c r="BA64" s="117">
        <f t="array" aca="1" ref="BA64" ca="1">IFERROR(SMALL(IF(COUNTIF(Podcasts!$D$1001:'Podcasts'!$D$1251,ROW(INDIRECT("1:"&amp;K$2)))=0,ROW(INDIRECT("1:"&amp;K$2))),ROW($A21)),"")</f>
        <v>40</v>
      </c>
      <c r="BB64" s="117">
        <f t="array" aca="1" ref="BB64" ca="1">IFERROR(SMALL(IF(COUNTIF(Podcasts!$D$1257:'Podcasts'!$D$1267,ROW(INDIRECT("1:"&amp;K$2)))=0,ROW(INDIRECT("1:"&amp;K$2))),ROW($A21)),"")</f>
        <v>22</v>
      </c>
      <c r="BC64" s="117">
        <f t="array" aca="1" ref="BC64" ca="1">IFERROR(SMALL(IF(COUNTIF(Podcasts!$D$1273:'Podcasts'!$D$1283,ROW(INDIRECT("1:"&amp;K$2)))=0,ROW(INDIRECT("1:"&amp;K$2))),ROW($A21)),"")</f>
        <v>23</v>
      </c>
      <c r="BD64" s="117">
        <f t="array" aca="1" ref="BD64" ca="1">IFERROR(SMALL(IF(COUNTIF(Podcasts!$D$1289:'Podcasts'!$D$1295,ROW(INDIRECT("1:"&amp;K$2)))=0,ROW(INDIRECT("1:"&amp;K$2))),ROW($A21)),"")</f>
        <v>23</v>
      </c>
      <c r="BE64" s="117">
        <f t="array" aca="1" ref="BE64" ca="1">IFERROR(SMALL(IF(COUNTIF(Podcasts!$D$1301:'Podcasts'!$D$1356,ROW(INDIRECT("1:"&amp;K$2)))=0,ROW(INDIRECT("1:"&amp;K$2))),ROW($A21)),"")</f>
        <v>68</v>
      </c>
      <c r="BF64" s="117">
        <f t="array" aca="1" ref="BF64" ca="1">IFERROR(SMALL(IF(COUNTIF(Podcasts!$D$1362:'Podcasts'!$D$1364,ROW(INDIRECT("1:"&amp;K$2)))=0,ROW(INDIRECT("1:"&amp;K$2))),ROW($A21)),"")</f>
        <v>24</v>
      </c>
      <c r="BG64" s="202">
        <f t="array" aca="1" ref="BG64" ca="1">IFERROR(SMALL(IF(COUNTIF(Podcasts!$D$1370:'Podcasts'!$D$1419,ROW(INDIRECT("1:"&amp;K$2)))=0,ROW(INDIRECT("1:"&amp;K$2))),ROW($A21)),"")</f>
        <v>25</v>
      </c>
      <c r="BH64" s="202">
        <f t="array" aca="1" ref="BH64" ca="1">IFERROR(SMALL(IF(COUNTIF(Podcasts!$D$1425:'Podcasts'!$D$1446,ROW(INDIRECT("1:"&amp;K$2)))=0,ROW(INDIRECT("1:"&amp;K$2))),ROW($A21)),"")</f>
        <v>25</v>
      </c>
      <c r="BI64" s="202">
        <f t="array" aca="1" ref="BI64" ca="1">IFERROR(SMALL(IF(COUNTIF(Podcasts!$D$1452:'Podcasts'!$D$1574,ROW(INDIRECT("1:"&amp;K$2)))=0,ROW(INDIRECT("1:"&amp;K$2))),ROW($A21)),"")</f>
        <v>48</v>
      </c>
      <c r="BJ64" s="202">
        <f t="array" aca="1" ref="BJ64" ca="1">IFERROR(SMALL(IF(COUNTIF(Podcasts!$D$1580:'Podcasts'!$D$1705,ROW(INDIRECT("1:"&amp;K$2)))=0,ROW(INDIRECT("1:"&amp;K$2))),ROW($A21)),"")</f>
        <v>37</v>
      </c>
      <c r="BK64" s="202">
        <f t="array" aca="1" ref="BK64" ca="1">IFERROR(SMALL(IF(COUNTIF(Podcasts!$D$1711:'Podcasts'!$D$1833,ROW(INDIRECT("1:"&amp;K$2)))=0,ROW(INDIRECT("1:"&amp;K$2))),ROW($A21)),"")</f>
        <v>61</v>
      </c>
      <c r="BL64" s="202">
        <f t="array" aca="1" ref="BL64" ca="1">IFERROR(SMALL(IF(COUNTIF(Podcasts!$D$1839:'Podcasts'!$D$1855,ROW(INDIRECT("1:"&amp;K$2)))=0,ROW(INDIRECT("1:"&amp;K$2))),ROW($A21)),"")</f>
        <v>23</v>
      </c>
      <c r="BM64" s="567">
        <f t="array" aca="1" ref="BM64" ca="1">IFERROR(SMALL(IF(COUNTIF(Podcasts!$D$1861:'Podcasts'!$D$1994,ROW(INDIRECT("1:"&amp;K$2)))=0,ROW(INDIRECT("1:"&amp;K$2))),ROW($A21)),"")</f>
        <v>29</v>
      </c>
      <c r="BN64" s="567">
        <f t="array" aca="1" ref="BN64" ca="1">IFERROR(SMALL(IF(COUNTIF(Podcasts!$D$2000:'Podcasts'!$D$2057,ROW(INDIRECT("1:"&amp;K$2)))=0,ROW(INDIRECT("1:"&amp;K$2))),ROW($A21)),"")</f>
        <v>76</v>
      </c>
      <c r="BO64" s="567">
        <f t="array" aca="1" ref="BO64" ca="1">IFERROR(SMALL(IF(COUNTIF(Podcasts!$D$2063:'Podcasts'!$D$2071,ROW(INDIRECT("1:"&amp;K$2)))=0,ROW(INDIRECT("1:"&amp;K$2))),ROW($A21)),"")</f>
        <v>21</v>
      </c>
      <c r="BP64" s="202">
        <f t="array" aca="1" ref="BP64" ca="1">IFERROR(SMALL(IF(COUNTIF(Podcasts!$D$2077:'Podcasts'!$D$2092,ROW(INDIRECT("1:"&amp;K$2)))=0,ROW(INDIRECT("1:"&amp;K$2))),ROW($A21)),"")</f>
        <v>27</v>
      </c>
      <c r="BQ64" s="741">
        <f t="array" aca="1" ref="BQ64" ca="1">IFERROR(SMALL(IF(COUNTIF(Podcasts!$D$2098:'Podcasts'!$D$2114,ROW(INDIRECT("1:"&amp;K$2)))=0,ROW(INDIRECT("1:"&amp;K$2))),ROW($A21)),"")</f>
        <v>23</v>
      </c>
      <c r="BR64" s="744">
        <f t="array" aca="1" ref="BR64" ca="1">IFERROR(SMALL(IF(COUNTIF(Podcasts!$D$2120:'Podcasts'!$D$2124,ROW(INDIRECT("1:"&amp;K$2)))=0,ROW(INDIRECT("1:"&amp;K$2))),ROW($A21)),"")</f>
        <v>23</v>
      </c>
      <c r="BS64" s="28"/>
    </row>
    <row r="65" spans="1:71" outlineLevel="1">
      <c r="A65" s="28"/>
      <c r="B65" s="161">
        <v>22</v>
      </c>
      <c r="C65" s="161">
        <f>COUNTIF(Podcasts!$D$10:'Podcasts'!$D$2535,B65)</f>
        <v>7</v>
      </c>
      <c r="D65" s="158" t="s">
        <v>1050</v>
      </c>
      <c r="E65" s="156" t="str">
        <f t="array" ref="E65">IF(F65="","",INDEX(Podcasts!$J$10:'Podcasts'!$J$2535,MATCH(F65&amp;$B65,Podcasts!$E$10:'Podcasts'!$E$2535&amp;Podcasts!$D$10:'Podcasts'!$D$2535,0)))</f>
        <v>Fürst</v>
      </c>
      <c r="F65" s="131">
        <f t="array" ref="F65">IF(COUNTIF(Podcasts!$D$10:'Podcasts'!$D$2535,$B65)&lt;COLUMN(A23),"",SMALL(IF(Podcasts!$D$10:'Podcasts'!$D$2535=$B65,Podcasts!$E$10:'Podcasts'!$E$2535),COLUMN(A23)))</f>
        <v>41896</v>
      </c>
      <c r="G65" s="132">
        <f t="array" ref="G65">IF(F65="","",INDEX(Podcasts!$F$10:'Podcasts'!$F$2535,MATCH(F65&amp;$B65,Podcasts!$E$10:'Podcasts'!$E$2535&amp;Podcasts!$D$10:'Podcasts'!$D$2535,0)))</f>
        <v>6.1342592592592577E-3</v>
      </c>
      <c r="H65" s="136" t="str">
        <f t="array" ref="H65">IF(I65="","",INDEX(Podcasts!$J$10:'Podcasts'!$J$2535,MATCH(I65&amp;$B65,Podcasts!$E$10:'Podcasts'!$E$2535&amp;Podcasts!$D$10:'Podcasts'!$D$2535,0)))</f>
        <v>R&amp;A</v>
      </c>
      <c r="I65" s="133">
        <f t="array" ref="I65">IF(COUNTIF(Podcasts!$D$10:'Podcasts'!$D$2535,$B65)&lt;COLUMN(B23),"",SMALL(IF(Podcasts!$D$10:'Podcasts'!$D$2535=$B65,Podcasts!$E$10:'Podcasts'!$E$2535),COLUMN(B23)))</f>
        <v>43616.796076388891</v>
      </c>
      <c r="J65" s="132">
        <f t="array" ref="J65">IF(I65="","",INDEX(Podcasts!$F$10:'Podcasts'!$F$2535,MATCH(I65&amp;$B65,Podcasts!$E$10:'Podcasts'!$E$2535&amp;Podcasts!$D$10:'Podcasts'!$D$2535,0)))</f>
        <v>8.7835648148148149E-2</v>
      </c>
      <c r="K65" s="136" t="str">
        <f t="array" ref="K65">IF(L65="","",INDEX(Podcasts!$J$10:'Podcasts'!$J$2535,MATCH(L65&amp;$B65,Podcasts!$E$10:'Podcasts'!$E$2535&amp;Podcasts!$D$10:'Podcasts'!$D$2535,0)))</f>
        <v>Kaffee</v>
      </c>
      <c r="L65" s="133">
        <f t="array" ref="L65">IF(COUNTIF(Podcasts!$D$10:'Podcasts'!$D$2535,$B65)&lt;COLUMN(C23),"",SMALL(IF(Podcasts!$D$10:'Podcasts'!$D$2535=$B65,Podcasts!$E$10:'Podcasts'!$E$2535),COLUMN(C23)))</f>
        <v>44274</v>
      </c>
      <c r="M65" s="132">
        <f t="array" ref="M65">IF(L65="","",INDEX(Podcasts!$F$10:'Podcasts'!$F$2535,MATCH(L65&amp;$B65,Podcasts!$E$10:'Podcasts'!$E$2535&amp;Podcasts!$D$10:'Podcasts'!$D$2535,0)))</f>
        <v>2.9629629629629627E-2</v>
      </c>
      <c r="N65" s="136" t="str">
        <f t="array" ref="N65">IF(O65="","",INDEX(Podcasts!$J$10:'Podcasts'!$J$2535,MATCH(O65&amp;$B65,Podcasts!$E$10:'Podcasts'!$E$2535&amp;Podcasts!$D$10:'Podcasts'!$D$2535,0)))</f>
        <v>Abfahrt</v>
      </c>
      <c r="O65" s="133">
        <f t="array" ref="O65">IF(COUNTIF(Podcasts!$D$10:'Podcasts'!$D$2535,$B65)&lt;COLUMN(D23),"",SMALL(IF(Podcasts!$D$10:'Podcasts'!$D$2535=$B65,Podcasts!$E$10:'Podcasts'!$E$2535),COLUMN(D23)))</f>
        <v>44610</v>
      </c>
      <c r="P65" s="132">
        <f t="array" ref="P65">IF(O65="","",INDEX(Podcasts!$F$10:'Podcasts'!$F$2535,MATCH(O65&amp;$B65,Podcasts!$E$10:'Podcasts'!$E$2535&amp;Podcasts!$D$10:'Podcasts'!$D$2535,0)))</f>
        <v>5.5081018518518515E-2</v>
      </c>
      <c r="Q65" s="136" t="str">
        <f t="array" ref="Q65">IF(R65="","",INDEX(Podcasts!$J$10:'Podcasts'!$J$2535,MATCH(R65&amp;$B65,Podcasts!$E$10:'Podcasts'!$E$2535&amp;Podcasts!$D$10:'Podcasts'!$D$2535,0)))</f>
        <v>Verstärker</v>
      </c>
      <c r="R65" s="133">
        <f t="array" ref="R65">IF(COUNTIF(Podcasts!$D$10:'Podcasts'!$D$2535,$B65)&lt;COLUMN(E23),"",SMALL(IF(Podcasts!$D$10:'Podcasts'!$D$2535=$B65,Podcasts!$E$10:'Podcasts'!$E$2535),COLUMN(E23)))</f>
        <v>44868</v>
      </c>
      <c r="S65" s="132">
        <f t="array" ref="S65">IF(R65="","",INDEX(Podcasts!$F$10:'Podcasts'!$F$2535,MATCH(R65&amp;$B65,Podcasts!$E$10:'Podcasts'!$E$2535&amp;Podcasts!$D$10:'Podcasts'!$D$2535,0)))</f>
        <v>2.1388888888888888E-2</v>
      </c>
      <c r="T65" s="136" t="str">
        <f t="array" ref="T65">IF(U65="","",INDEX(Podcasts!$J$10:'Podcasts'!$J$2535,MATCH(U65&amp;$B65,Podcasts!$E$10:'Podcasts'!$E$2535&amp;Podcasts!$D$10:'Podcasts'!$D$2535,0)))</f>
        <v>Bobcast</v>
      </c>
      <c r="U65" s="133">
        <f t="array" ref="U65">IF(COUNTIF(Podcasts!$D$10:'Podcasts'!$D$2535,$B65)&lt;COLUMN(F23),"",SMALL(IF(Podcasts!$D$10:'Podcasts'!$D$2535=$B65,Podcasts!$E$10:'Podcasts'!$E$2535),COLUMN(F23)))</f>
        <v>44998.00104166667</v>
      </c>
      <c r="V65" s="132">
        <f t="array" ref="V65">IF(U65="","",INDEX(Podcasts!$F$10:'Podcasts'!$F$2535,MATCH(U65&amp;$B65,Podcasts!$E$10:'Podcasts'!$E$2535&amp;Podcasts!$D$10:'Podcasts'!$D$2535,0)))</f>
        <v>4.0034722222222222E-2</v>
      </c>
      <c r="W65" s="136" t="str">
        <f t="array" ref="W65">IF(X65="","",INDEX(Podcasts!$J$10:'Podcasts'!$J$2535,MATCH(X65&amp;$B65,Podcasts!$E$10:'Podcasts'!$E$2535&amp;Podcasts!$D$10:'Podcasts'!$D$2535,0)))</f>
        <v>RBW</v>
      </c>
      <c r="X65" s="133">
        <f t="array" ref="X65">IF(COUNTIF(Podcasts!$D$10:'Podcasts'!$D$2535,$B65)&lt;COLUMN(G23),"",SMALL(IF(Podcasts!$D$10:'Podcasts'!$D$2535=$B65,Podcasts!$E$10:'Podcasts'!$E$2535),COLUMN(G23)))</f>
        <v>45008</v>
      </c>
      <c r="Y65" s="132">
        <f t="array" ref="Y65">IF(X65="","",INDEX(Podcasts!$F$10:'Podcasts'!$F$2535,MATCH(X65&amp;$B65,Podcasts!$E$10:'Podcasts'!$E$2535&amp;Podcasts!$D$10:'Podcasts'!$D$2535,0)))</f>
        <v>4.5138888888888888E-2</v>
      </c>
      <c r="Z65" s="136" t="str">
        <f t="array" ref="Z65">IF(AA65="","",INDEX(Podcasts!$J$10:'Podcasts'!$J$2535,MATCH(AA65&amp;$B65,Podcasts!$E$10:'Podcasts'!$E$2535&amp;Podcasts!$D$10:'Podcasts'!$D$2535,0)))</f>
        <v/>
      </c>
      <c r="AA65" s="134" t="str">
        <f t="array" ref="AA65">IF(COUNTIF(Podcasts!$D$10:'Podcasts'!$D$2535,$B65)&lt;COLUMN(H23),"",SMALL(IF(Podcasts!$D$10:'Podcasts'!$D$2535=$B65,Podcasts!$E$10:'Podcasts'!$E$2535),COLUMN(H23)))</f>
        <v/>
      </c>
      <c r="AB65" s="404" t="str">
        <f t="array" ref="AB65">IF(AA65="","",INDEX(Podcasts!$F$10:'Podcasts'!$F$2535,MATCH(AA65&amp;$B65,Podcasts!$E$10:'Podcasts'!$E$2535&amp;Podcasts!$D$10:'Podcasts'!$D$2535,0)))</f>
        <v/>
      </c>
      <c r="AC65" s="406" t="str">
        <f t="array" ref="AC65">IF(AD65="","",INDEX(Podcasts!$J$10:'Podcasts'!$J$2535,MATCH(AD65&amp;$B65,Podcasts!$E$10:'Podcasts'!$E$2535&amp;Podcasts!$D$10:'Podcasts'!$D$2535,0)))</f>
        <v/>
      </c>
      <c r="AD65" s="400" t="str">
        <f t="array" ref="AD65">IF(COUNTIF(Podcasts!$D$10:'Podcasts'!$D$2535,$B65)&lt;COLUMN(I23),"",SMALL(IF(Podcasts!$D$10:'Podcasts'!$D$2535=$B65,Podcasts!$E$10:'Podcasts'!$E$2535),COLUMN(I23)))</f>
        <v/>
      </c>
      <c r="AE65" s="401" t="str">
        <f t="array" ref="AE65">IF(AD65="","",INDEX(Podcasts!$F$10:'Podcasts'!$F$2535,MATCH(AD65&amp;$B65,Podcasts!$E$10:'Podcasts'!$E$2535&amp;Podcasts!$D$10:'Podcasts'!$D$2535,0)))</f>
        <v/>
      </c>
      <c r="AF65" s="406" t="str">
        <f t="array" ref="AF65">IF(AG65="","",INDEX(Podcasts!$J$10:'Podcasts'!$J$2535,MATCH(AG65&amp;$B65,Podcasts!$E$10:'Podcasts'!$E$2535&amp;Podcasts!$D$10:'Podcasts'!$D$2535,0)))</f>
        <v/>
      </c>
      <c r="AG65" s="400" t="str">
        <f t="array" ref="AG65">IF(COUNTIF(Podcasts!$D$10:'Podcasts'!$D$2535,$B65)&lt;COLUMN(J23),"",SMALL(IF(Podcasts!$D$10:'Podcasts'!$D$2535=$B65,Podcasts!$E$10:'Podcasts'!$E$2535),COLUMN(J23)))</f>
        <v/>
      </c>
      <c r="AH65" s="401" t="str">
        <f t="array" ref="AH65">IF(AG65="","",INDEX(Podcasts!$F$10:'Podcasts'!$F$2535,MATCH(AG65&amp;$B65,Podcasts!$E$10:'Podcasts'!$E$2535&amp;Podcasts!$D$10:'Podcasts'!$D$2535,0)))</f>
        <v/>
      </c>
      <c r="AI65" s="406" t="str">
        <f t="array" ref="AI65">IF(AJ65="","",INDEX(Podcasts!$J$10:'Podcasts'!$J$2535,MATCH(AJ65&amp;$B65,Podcasts!$E$10:'Podcasts'!$E$2535&amp;Podcasts!$D$10:'Podcasts'!$D$2535,0)))</f>
        <v/>
      </c>
      <c r="AJ65" s="400" t="str">
        <f t="array" ref="AJ65">IF(COUNTIF(Podcasts!$D$10:'Podcasts'!$D$2535,$B65)&lt;COLUMN(K23),"",SMALL(IF(Podcasts!$D$10:'Podcasts'!$D$2535=$B65,Podcasts!$E$10:'Podcasts'!$E$2535),COLUMN(K23)))</f>
        <v/>
      </c>
      <c r="AK65" s="401" t="str">
        <f t="array" ref="AK65">IF(AJ65="","",INDEX(Podcasts!$F$10:'Podcasts'!$F$2535,MATCH(AJ65&amp;$B65,Podcasts!$E$10:'Podcasts'!$E$2535&amp;Podcasts!$D$10:'Podcasts'!$D$2535,0)))</f>
        <v/>
      </c>
      <c r="AL65" s="406" t="str">
        <f t="array" ref="AL65">IF(AM65="","",INDEX(Podcasts!$J$10:'Podcasts'!$J$2535,MATCH(AM65&amp;$B65,Podcasts!$E$10:'Podcasts'!$E$2535&amp;Podcasts!$D$10:'Podcasts'!$D$2535,0)))</f>
        <v/>
      </c>
      <c r="AM65" s="400" t="str">
        <f t="array" ref="AM65">IF(COUNTIF(Podcasts!$D$10:'Podcasts'!$D$2535,$B65)&lt;COLUMN(L23),"",SMALL(IF(Podcasts!$D$10:'Podcasts'!$D$2535=$B65,Podcasts!$E$10:'Podcasts'!$E$2535),COLUMN(L23)))</f>
        <v/>
      </c>
      <c r="AN65" s="401" t="str">
        <f t="array" ref="AN65">IF(AM65="","",INDEX(Podcasts!$F$10:'Podcasts'!$F$2535,MATCH(AM65&amp;$B65,Podcasts!$E$10:'Podcasts'!$E$2535&amp;Podcasts!$D$10:'Podcasts'!$D$2535,0)))</f>
        <v/>
      </c>
      <c r="AO65" s="402"/>
      <c r="AP65" s="119"/>
      <c r="AQ65" s="117">
        <f t="array" aca="1" ref="AQ65" ca="1">IFERROR(SMALL(IF(COUNTIF(Podcasts!$D$10:'Podcasts'!$D$107,ROW(INDIRECT("1:"&amp;K$2)))=0,ROW(INDIRECT("1:"&amp;K$2))),ROW($A22)),"")</f>
        <v>36</v>
      </c>
      <c r="AR65" s="117">
        <f t="array" aca="1" ref="AR65" ca="1">IFERROR(SMALL(IF(COUNTIF(Podcasts!$D$113:'Podcasts'!$D$238,ROW(INDIRECT("1:"&amp;K$2)))=0,ROW(INDIRECT("1:"&amp;K$2))),ROW($A22)),"")</f>
        <v>22</v>
      </c>
      <c r="AS65" s="117">
        <f t="array" aca="1" ref="AS65" ca="1">IFERROR(SMALL(IF(COUNTIF(Podcasts!$D$244:'Podcasts'!$D$299,ROW(INDIRECT("1:"&amp;K$2)))=0,ROW(INDIRECT("1:"&amp;K$2))),ROW($A22)),"")</f>
        <v>38</v>
      </c>
      <c r="AT65" s="117">
        <f t="array" aca="1" ref="AT65" ca="1">IFERROR(SMALL(IF(COUNTIF(Podcasts!$D$305:'Podcasts'!$D$473,ROW(INDIRECT("1:"&amp;K$2)))=0,ROW(INDIRECT("1:"&amp;K$2))),ROW($A22)),"")</f>
        <v>149</v>
      </c>
      <c r="AU65" s="117">
        <f t="array" aca="1" ref="AU65" ca="1">IFERROR(SMALL(IF(COUNTIF(Podcasts!$D$479:'Podcasts'!$D$488,ROW(INDIRECT("1:"&amp;K$2)))=0,ROW(INDIRECT("1:"&amp;K$2))),ROW($A22)),"")</f>
        <v>22</v>
      </c>
      <c r="AV65" s="117">
        <f t="array" aca="1" ref="AV65" ca="1">IFERROR(SMALL(IF(COUNTIF(Podcasts!$D$494:'Podcasts'!$D$518,ROW(INDIRECT("1:"&amp;K$2)))=0,ROW(INDIRECT("1:"&amp;K$2))),ROW($A22)),"")</f>
        <v>37</v>
      </c>
      <c r="AW65" s="117">
        <f t="array" aca="1" ref="AW65" ca="1">IFERROR(SMALL(IF(COUNTIF(Podcasts!$D$524:'Podcasts'!$D$532,ROW(INDIRECT("1:"&amp;K$2)))=0,ROW(INDIRECT("1:"&amp;K$2))),ROW($A22)),"")</f>
        <v>22</v>
      </c>
      <c r="AX65" s="117">
        <f t="array" aca="1" ref="AX65" ca="1">IFERROR(SMALL(IF(COUNTIF(Podcasts!$D$538:'Podcasts'!$D$909,ROW(INDIRECT("1:"&amp;K$2)))=0,ROW(INDIRECT("1:"&amp;K$2))),ROW($A22)),"")</f>
        <v>55</v>
      </c>
      <c r="AY65" s="117">
        <f t="array" aca="1" ref="AY65" ca="1">IFERROR(SMALL(IF(COUNTIF(Podcasts!$D$915:'Podcasts'!$D$981,ROW(INDIRECT("1:"&amp;K$2)))=0,ROW(INDIRECT("1:"&amp;K$2))),ROW($A22)),"")</f>
        <v>41</v>
      </c>
      <c r="AZ65" s="445"/>
      <c r="BA65" s="117">
        <f t="array" aca="1" ref="BA65" ca="1">IFERROR(SMALL(IF(COUNTIF(Podcasts!$D$1001:'Podcasts'!$D$1251,ROW(INDIRECT("1:"&amp;K$2)))=0,ROW(INDIRECT("1:"&amp;K$2))),ROW($A22)),"")</f>
        <v>41</v>
      </c>
      <c r="BB65" s="117">
        <f t="array" aca="1" ref="BB65" ca="1">IFERROR(SMALL(IF(COUNTIF(Podcasts!$D$1257:'Podcasts'!$D$1267,ROW(INDIRECT("1:"&amp;K$2)))=0,ROW(INDIRECT("1:"&amp;K$2))),ROW($A22)),"")</f>
        <v>23</v>
      </c>
      <c r="BC65" s="117">
        <f t="array" aca="1" ref="BC65" ca="1">IFERROR(SMALL(IF(COUNTIF(Podcasts!$D$1273:'Podcasts'!$D$1283,ROW(INDIRECT("1:"&amp;K$2)))=0,ROW(INDIRECT("1:"&amp;K$2))),ROW($A22)),"")</f>
        <v>24</v>
      </c>
      <c r="BD65" s="117">
        <f t="array" aca="1" ref="BD65" ca="1">IFERROR(SMALL(IF(COUNTIF(Podcasts!$D$1289:'Podcasts'!$D$1295,ROW(INDIRECT("1:"&amp;K$2)))=0,ROW(INDIRECT("1:"&amp;K$2))),ROW($A22)),"")</f>
        <v>24</v>
      </c>
      <c r="BE65" s="117">
        <f t="array" aca="1" ref="BE65" ca="1">IFERROR(SMALL(IF(COUNTIF(Podcasts!$D$1301:'Podcasts'!$D$1356,ROW(INDIRECT("1:"&amp;K$2)))=0,ROW(INDIRECT("1:"&amp;K$2))),ROW($A22)),"")</f>
        <v>69</v>
      </c>
      <c r="BF65" s="117">
        <f t="array" aca="1" ref="BF65" ca="1">IFERROR(SMALL(IF(COUNTIF(Podcasts!$D$1362:'Podcasts'!$D$1364,ROW(INDIRECT("1:"&amp;K$2)))=0,ROW(INDIRECT("1:"&amp;K$2))),ROW($A22)),"")</f>
        <v>25</v>
      </c>
      <c r="BG65" s="202">
        <f t="array" aca="1" ref="BG65" ca="1">IFERROR(SMALL(IF(COUNTIF(Podcasts!$D$1370:'Podcasts'!$D$1419,ROW(INDIRECT("1:"&amp;K$2)))=0,ROW(INDIRECT("1:"&amp;K$2))),ROW($A22)),"")</f>
        <v>26</v>
      </c>
      <c r="BH65" s="202">
        <f t="array" aca="1" ref="BH65" ca="1">IFERROR(SMALL(IF(COUNTIF(Podcasts!$D$1425:'Podcasts'!$D$1446,ROW(INDIRECT("1:"&amp;K$2)))=0,ROW(INDIRECT("1:"&amp;K$2))),ROW($A22)),"")</f>
        <v>26</v>
      </c>
      <c r="BI65" s="202">
        <f t="array" aca="1" ref="BI65" ca="1">IFERROR(SMALL(IF(COUNTIF(Podcasts!$D$1452:'Podcasts'!$D$1574,ROW(INDIRECT("1:"&amp;K$2)))=0,ROW(INDIRECT("1:"&amp;K$2))),ROW($A22)),"")</f>
        <v>49</v>
      </c>
      <c r="BJ65" s="202">
        <f t="array" aca="1" ref="BJ65" ca="1">IFERROR(SMALL(IF(COUNTIF(Podcasts!$D$1580:'Podcasts'!$D$1705,ROW(INDIRECT("1:"&amp;K$2)))=0,ROW(INDIRECT("1:"&amp;K$2))),ROW($A22)),"")</f>
        <v>38</v>
      </c>
      <c r="BK65" s="202">
        <f t="array" aca="1" ref="BK65" ca="1">IFERROR(SMALL(IF(COUNTIF(Podcasts!$D$1711:'Podcasts'!$D$1833,ROW(INDIRECT("1:"&amp;K$2)))=0,ROW(INDIRECT("1:"&amp;K$2))),ROW($A22)),"")</f>
        <v>62</v>
      </c>
      <c r="BL65" s="202">
        <f t="array" aca="1" ref="BL65" ca="1">IFERROR(SMALL(IF(COUNTIF(Podcasts!$D$1839:'Podcasts'!$D$1855,ROW(INDIRECT("1:"&amp;K$2)))=0,ROW(INDIRECT("1:"&amp;K$2))),ROW($A22)),"")</f>
        <v>24</v>
      </c>
      <c r="BM65" s="567">
        <f t="array" aca="1" ref="BM65" ca="1">IFERROR(SMALL(IF(COUNTIF(Podcasts!$D$1861:'Podcasts'!$D$1994,ROW(INDIRECT("1:"&amp;K$2)))=0,ROW(INDIRECT("1:"&amp;K$2))),ROW($A22)),"")</f>
        <v>30</v>
      </c>
      <c r="BN65" s="567">
        <f t="array" aca="1" ref="BN65" ca="1">IFERROR(SMALL(IF(COUNTIF(Podcasts!$D$2000:'Podcasts'!$D$2057,ROW(INDIRECT("1:"&amp;K$2)))=0,ROW(INDIRECT("1:"&amp;K$2))),ROW($A22)),"")</f>
        <v>77</v>
      </c>
      <c r="BO65" s="567">
        <f t="array" aca="1" ref="BO65" ca="1">IFERROR(SMALL(IF(COUNTIF(Podcasts!$D$2063:'Podcasts'!$D$2071,ROW(INDIRECT("1:"&amp;K$2)))=0,ROW(INDIRECT("1:"&amp;K$2))),ROW($A22)),"")</f>
        <v>22</v>
      </c>
      <c r="BP65" s="202">
        <f t="array" aca="1" ref="BP65" ca="1">IFERROR(SMALL(IF(COUNTIF(Podcasts!$D$2077:'Podcasts'!$D$2092,ROW(INDIRECT("1:"&amp;K$2)))=0,ROW(INDIRECT("1:"&amp;K$2))),ROW($A22)),"")</f>
        <v>28</v>
      </c>
      <c r="BQ65" s="741">
        <f t="array" aca="1" ref="BQ65" ca="1">IFERROR(SMALL(IF(COUNTIF(Podcasts!$D$2098:'Podcasts'!$D$2114,ROW(INDIRECT("1:"&amp;K$2)))=0,ROW(INDIRECT("1:"&amp;K$2))),ROW($A22)),"")</f>
        <v>24</v>
      </c>
      <c r="BR65" s="744">
        <f t="array" aca="1" ref="BR65" ca="1">IFERROR(SMALL(IF(COUNTIF(Podcasts!$D$2120:'Podcasts'!$D$2124,ROW(INDIRECT("1:"&amp;K$2)))=0,ROW(INDIRECT("1:"&amp;K$2))),ROW($A22)),"")</f>
        <v>24</v>
      </c>
      <c r="BS65" s="28"/>
    </row>
    <row r="66" spans="1:71" outlineLevel="1">
      <c r="A66" s="28"/>
      <c r="B66" s="161">
        <v>23</v>
      </c>
      <c r="C66" s="161">
        <f>COUNTIF(Podcasts!$D$10:'Podcasts'!$D$2535,B66)</f>
        <v>7</v>
      </c>
      <c r="D66" s="158" t="s">
        <v>1051</v>
      </c>
      <c r="E66" s="156" t="str">
        <f t="array" ref="E66">IF(F66="","",INDEX(Podcasts!$J$10:'Podcasts'!$J$2535,MATCH(F66&amp;$B66,Podcasts!$E$10:'Podcasts'!$E$2535&amp;Podcasts!$D$10:'Podcasts'!$D$2535,0)))</f>
        <v>Fürst</v>
      </c>
      <c r="F66" s="131">
        <f t="array" ref="F66">IF(COUNTIF(Podcasts!$D$10:'Podcasts'!$D$2535,$B66)&lt;COLUMN(A24),"",SMALL(IF(Podcasts!$D$10:'Podcasts'!$D$2535=$B66,Podcasts!$E$10:'Podcasts'!$E$2535),COLUMN(A24)))</f>
        <v>41980</v>
      </c>
      <c r="G66" s="132">
        <f t="array" ref="G66">IF(F66="","",INDEX(Podcasts!$F$10:'Podcasts'!$F$2535,MATCH(F66&amp;$B66,Podcasts!$E$10:'Podcasts'!$E$2535&amp;Podcasts!$D$10:'Podcasts'!$D$2535,0)))</f>
        <v>8.2754629629629619E-3</v>
      </c>
      <c r="H66" s="136" t="str">
        <f t="array" ref="H66">IF(I66="","",INDEX(Podcasts!$J$10:'Podcasts'!$J$2535,MATCH(I66&amp;$B66,Podcasts!$E$10:'Podcasts'!$E$2535&amp;Podcasts!$D$10:'Podcasts'!$D$2535,0)))</f>
        <v>Kaffee</v>
      </c>
      <c r="I66" s="133">
        <f t="array" ref="I66">IF(COUNTIF(Podcasts!$D$10:'Podcasts'!$D$2535,$B66)&lt;COLUMN(B24),"",SMALL(IF(Podcasts!$D$10:'Podcasts'!$D$2535=$B66,Podcasts!$E$10:'Podcasts'!$E$2535),COLUMN(B24)))</f>
        <v>44295</v>
      </c>
      <c r="J66" s="132">
        <f t="array" ref="J66">IF(I66="","",INDEX(Podcasts!$F$10:'Podcasts'!$F$2535,MATCH(I66&amp;$B66,Podcasts!$E$10:'Podcasts'!$E$2535&amp;Podcasts!$D$10:'Podcasts'!$D$2535,0)))</f>
        <v>2.3842592592592596E-2</v>
      </c>
      <c r="K66" s="136" t="str">
        <f t="array" ref="K66">IF(L66="","",INDEX(Podcasts!$J$10:'Podcasts'!$J$2535,MATCH(L66&amp;$B66,Podcasts!$E$10:'Podcasts'!$E$2535&amp;Podcasts!$D$10:'Podcasts'!$D$2535,0)))</f>
        <v>Zw3i</v>
      </c>
      <c r="L66" s="133">
        <f t="array" ref="L66">IF(COUNTIF(Podcasts!$D$10:'Podcasts'!$D$2535,$B66)&lt;COLUMN(C24),"",SMALL(IF(Podcasts!$D$10:'Podcasts'!$D$2535=$B66,Podcasts!$E$10:'Podcasts'!$E$2535),COLUMN(C24)))</f>
        <v>44427</v>
      </c>
      <c r="M66" s="132">
        <f t="array" ref="M66">IF(L66="","",INDEX(Podcasts!$F$10:'Podcasts'!$F$2535,MATCH(L66&amp;$B66,Podcasts!$E$10:'Podcasts'!$E$2535&amp;Podcasts!$D$10:'Podcasts'!$D$2535,0)))</f>
        <v>5.1261574074074077E-2</v>
      </c>
      <c r="N66" s="136" t="str">
        <f t="array" ref="N66">IF(O66="","",INDEX(Podcasts!$J$10:'Podcasts'!$J$2535,MATCH(O66&amp;$B66,Podcasts!$E$10:'Podcasts'!$E$2535&amp;Podcasts!$D$10:'Podcasts'!$D$2535,0)))</f>
        <v>Abfahrt</v>
      </c>
      <c r="O66" s="133">
        <f t="array" ref="O66">IF(COUNTIF(Podcasts!$D$10:'Podcasts'!$D$2535,$B66)&lt;COLUMN(D24),"",SMALL(IF(Podcasts!$D$10:'Podcasts'!$D$2535=$B66,Podcasts!$E$10:'Podcasts'!$E$2535),COLUMN(D24)))</f>
        <v>44638</v>
      </c>
      <c r="P66" s="132">
        <f t="array" ref="P66">IF(O66="","",INDEX(Podcasts!$F$10:'Podcasts'!$F$2535,MATCH(O66&amp;$B66,Podcasts!$E$10:'Podcasts'!$E$2535&amp;Podcasts!$D$10:'Podcasts'!$D$2535,0)))</f>
        <v>5.8252314814814819E-2</v>
      </c>
      <c r="Q66" s="136" t="str">
        <f t="array" ref="Q66">IF(R66="","",INDEX(Podcasts!$J$10:'Podcasts'!$J$2535,MATCH(R66&amp;$B66,Podcasts!$E$10:'Podcasts'!$E$2535&amp;Podcasts!$D$10:'Podcasts'!$D$2535,0)))</f>
        <v>Verstärker</v>
      </c>
      <c r="R66" s="133">
        <f t="array" ref="R66">IF(COUNTIF(Podcasts!$D$10:'Podcasts'!$D$2535,$B66)&lt;COLUMN(E24),"",SMALL(IF(Podcasts!$D$10:'Podcasts'!$D$2535=$B66,Podcasts!$E$10:'Podcasts'!$E$2535),COLUMN(E24)))</f>
        <v>44898</v>
      </c>
      <c r="S66" s="132">
        <f t="array" ref="S66">IF(R66="","",INDEX(Podcasts!$F$10:'Podcasts'!$F$2535,MATCH(R66&amp;$B66,Podcasts!$E$10:'Podcasts'!$E$2535&amp;Podcasts!$D$10:'Podcasts'!$D$2535,0)))</f>
        <v>2.146990740740741E-2</v>
      </c>
      <c r="T66" s="136" t="str">
        <f t="array" ref="T66">IF(U66="","",INDEX(Podcasts!$J$10:'Podcasts'!$J$2535,MATCH(U66&amp;$B66,Podcasts!$E$10:'Podcasts'!$E$2535&amp;Podcasts!$D$10:'Podcasts'!$D$2535,0)))</f>
        <v>Bobcast</v>
      </c>
      <c r="U66" s="133">
        <f t="array" ref="U66">IF(COUNTIF(Podcasts!$D$10:'Podcasts'!$D$2535,$B66)&lt;COLUMN(F24),"",SMALL(IF(Podcasts!$D$10:'Podcasts'!$D$2535=$B66,Podcasts!$E$10:'Podcasts'!$E$2535),COLUMN(F24)))</f>
        <v>45012.000914351855</v>
      </c>
      <c r="V66" s="132">
        <f t="array" ref="V66">IF(U66="","",INDEX(Podcasts!$F$10:'Podcasts'!$F$2535,MATCH(U66&amp;$B66,Podcasts!$E$10:'Podcasts'!$E$2535&amp;Podcasts!$D$10:'Podcasts'!$D$2535,0)))</f>
        <v>3.2233796296296295E-2</v>
      </c>
      <c r="W66" s="136" t="str">
        <f t="array" ref="W66">IF(X66="","",INDEX(Podcasts!$J$10:'Podcasts'!$J$2535,MATCH(X66&amp;$B66,Podcasts!$E$10:'Podcasts'!$E$2535&amp;Podcasts!$D$10:'Podcasts'!$D$2535,0)))</f>
        <v>RBW</v>
      </c>
      <c r="X66" s="133">
        <f t="array" ref="X66">IF(COUNTIF(Podcasts!$D$10:'Podcasts'!$D$2535,$B66)&lt;COLUMN(G24),"",SMALL(IF(Podcasts!$D$10:'Podcasts'!$D$2535=$B66,Podcasts!$E$10:'Podcasts'!$E$2535),COLUMN(G24)))</f>
        <v>45015</v>
      </c>
      <c r="Y66" s="132">
        <f t="array" ref="Y66">IF(X66="","",INDEX(Podcasts!$F$10:'Podcasts'!$F$2535,MATCH(X66&amp;$B66,Podcasts!$E$10:'Podcasts'!$E$2535&amp;Podcasts!$D$10:'Podcasts'!$D$2535,0)))</f>
        <v>3.9467592592592596E-2</v>
      </c>
      <c r="Z66" s="136" t="str">
        <f t="array" ref="Z66">IF(AA66="","",INDEX(Podcasts!$J$10:'Podcasts'!$J$2535,MATCH(AA66&amp;$B66,Podcasts!$E$10:'Podcasts'!$E$2535&amp;Podcasts!$D$10:'Podcasts'!$D$2535,0)))</f>
        <v/>
      </c>
      <c r="AA66" s="134" t="str">
        <f t="array" ref="AA66">IF(COUNTIF(Podcasts!$D$10:'Podcasts'!$D$2535,$B66)&lt;COLUMN(H24),"",SMALL(IF(Podcasts!$D$10:'Podcasts'!$D$2535=$B66,Podcasts!$E$10:'Podcasts'!$E$2535),COLUMN(H24)))</f>
        <v/>
      </c>
      <c r="AB66" s="404" t="str">
        <f t="array" ref="AB66">IF(AA66="","",INDEX(Podcasts!$F$10:'Podcasts'!$F$2535,MATCH(AA66&amp;$B66,Podcasts!$E$10:'Podcasts'!$E$2535&amp;Podcasts!$D$10:'Podcasts'!$D$2535,0)))</f>
        <v/>
      </c>
      <c r="AC66" s="406" t="str">
        <f t="array" ref="AC66">IF(AD66="","",INDEX(Podcasts!$J$10:'Podcasts'!$J$2535,MATCH(AD66&amp;$B66,Podcasts!$E$10:'Podcasts'!$E$2535&amp;Podcasts!$D$10:'Podcasts'!$D$2535,0)))</f>
        <v/>
      </c>
      <c r="AD66" s="400" t="str">
        <f t="array" ref="AD66">IF(COUNTIF(Podcasts!$D$10:'Podcasts'!$D$2535,$B66)&lt;COLUMN(I24),"",SMALL(IF(Podcasts!$D$10:'Podcasts'!$D$2535=$B66,Podcasts!$E$10:'Podcasts'!$E$2535),COLUMN(I24)))</f>
        <v/>
      </c>
      <c r="AE66" s="401" t="str">
        <f t="array" ref="AE66">IF(AD66="","",INDEX(Podcasts!$F$10:'Podcasts'!$F$2535,MATCH(AD66&amp;$B66,Podcasts!$E$10:'Podcasts'!$E$2535&amp;Podcasts!$D$10:'Podcasts'!$D$2535,0)))</f>
        <v/>
      </c>
      <c r="AF66" s="406" t="str">
        <f t="array" ref="AF66">IF(AG66="","",INDEX(Podcasts!$J$10:'Podcasts'!$J$2535,MATCH(AG66&amp;$B66,Podcasts!$E$10:'Podcasts'!$E$2535&amp;Podcasts!$D$10:'Podcasts'!$D$2535,0)))</f>
        <v/>
      </c>
      <c r="AG66" s="400" t="str">
        <f t="array" ref="AG66">IF(COUNTIF(Podcasts!$D$10:'Podcasts'!$D$2535,$B66)&lt;COLUMN(J24),"",SMALL(IF(Podcasts!$D$10:'Podcasts'!$D$2535=$B66,Podcasts!$E$10:'Podcasts'!$E$2535),COLUMN(J24)))</f>
        <v/>
      </c>
      <c r="AH66" s="401" t="str">
        <f t="array" ref="AH66">IF(AG66="","",INDEX(Podcasts!$F$10:'Podcasts'!$F$2535,MATCH(AG66&amp;$B66,Podcasts!$E$10:'Podcasts'!$E$2535&amp;Podcasts!$D$10:'Podcasts'!$D$2535,0)))</f>
        <v/>
      </c>
      <c r="AI66" s="406" t="str">
        <f t="array" ref="AI66">IF(AJ66="","",INDEX(Podcasts!$J$10:'Podcasts'!$J$2535,MATCH(AJ66&amp;$B66,Podcasts!$E$10:'Podcasts'!$E$2535&amp;Podcasts!$D$10:'Podcasts'!$D$2535,0)))</f>
        <v/>
      </c>
      <c r="AJ66" s="400" t="str">
        <f t="array" ref="AJ66">IF(COUNTIF(Podcasts!$D$10:'Podcasts'!$D$2535,$B66)&lt;COLUMN(K24),"",SMALL(IF(Podcasts!$D$10:'Podcasts'!$D$2535=$B66,Podcasts!$E$10:'Podcasts'!$E$2535),COLUMN(K24)))</f>
        <v/>
      </c>
      <c r="AK66" s="401" t="str">
        <f t="array" ref="AK66">IF(AJ66="","",INDEX(Podcasts!$F$10:'Podcasts'!$F$2535,MATCH(AJ66&amp;$B66,Podcasts!$E$10:'Podcasts'!$E$2535&amp;Podcasts!$D$10:'Podcasts'!$D$2535,0)))</f>
        <v/>
      </c>
      <c r="AL66" s="406" t="str">
        <f t="array" ref="AL66">IF(AM66="","",INDEX(Podcasts!$J$10:'Podcasts'!$J$2535,MATCH(AM66&amp;$B66,Podcasts!$E$10:'Podcasts'!$E$2535&amp;Podcasts!$D$10:'Podcasts'!$D$2535,0)))</f>
        <v/>
      </c>
      <c r="AM66" s="400" t="str">
        <f t="array" ref="AM66">IF(COUNTIF(Podcasts!$D$10:'Podcasts'!$D$2535,$B66)&lt;COLUMN(L24),"",SMALL(IF(Podcasts!$D$10:'Podcasts'!$D$2535=$B66,Podcasts!$E$10:'Podcasts'!$E$2535),COLUMN(L24)))</f>
        <v/>
      </c>
      <c r="AN66" s="401" t="str">
        <f t="array" ref="AN66">IF(AM66="","",INDEX(Podcasts!$F$10:'Podcasts'!$F$2535,MATCH(AM66&amp;$B66,Podcasts!$E$10:'Podcasts'!$E$2535&amp;Podcasts!$D$10:'Podcasts'!$D$2535,0)))</f>
        <v/>
      </c>
      <c r="AO66" s="402"/>
      <c r="AP66" s="119"/>
      <c r="AQ66" s="117">
        <f t="array" aca="1" ref="AQ66" ca="1">IFERROR(SMALL(IF(COUNTIF(Podcasts!$D$10:'Podcasts'!$D$107,ROW(INDIRECT("1:"&amp;K$2)))=0,ROW(INDIRECT("1:"&amp;K$2))),ROW($A23)),"")</f>
        <v>38</v>
      </c>
      <c r="AR66" s="117">
        <f t="array" aca="1" ref="AR66" ca="1">IFERROR(SMALL(IF(COUNTIF(Podcasts!$D$113:'Podcasts'!$D$238,ROW(INDIRECT("1:"&amp;K$2)))=0,ROW(INDIRECT("1:"&amp;K$2))),ROW($A23)),"")</f>
        <v>23</v>
      </c>
      <c r="AS66" s="117">
        <f t="array" aca="1" ref="AS66" ca="1">IFERROR(SMALL(IF(COUNTIF(Podcasts!$D$244:'Podcasts'!$D$299,ROW(INDIRECT("1:"&amp;K$2)))=0,ROW(INDIRECT("1:"&amp;K$2))),ROW($A23)),"")</f>
        <v>39</v>
      </c>
      <c r="AT66" s="117">
        <f t="array" aca="1" ref="AT66" ca="1">IFERROR(SMALL(IF(COUNTIF(Podcasts!$D$305:'Podcasts'!$D$473,ROW(INDIRECT("1:"&amp;K$2)))=0,ROW(INDIRECT("1:"&amp;K$2))),ROW($A23)),"")</f>
        <v>151</v>
      </c>
      <c r="AU66" s="117">
        <f t="array" aca="1" ref="AU66" ca="1">IFERROR(SMALL(IF(COUNTIF(Podcasts!$D$479:'Podcasts'!$D$488,ROW(INDIRECT("1:"&amp;K$2)))=0,ROW(INDIRECT("1:"&amp;K$2))),ROW($A23)),"")</f>
        <v>23</v>
      </c>
      <c r="AV66" s="117">
        <f t="array" aca="1" ref="AV66" ca="1">IFERROR(SMALL(IF(COUNTIF(Podcasts!$D$494:'Podcasts'!$D$518,ROW(INDIRECT("1:"&amp;K$2)))=0,ROW(INDIRECT("1:"&amp;K$2))),ROW($A23)),"")</f>
        <v>38</v>
      </c>
      <c r="AW66" s="117">
        <f t="array" aca="1" ref="AW66" ca="1">IFERROR(SMALL(IF(COUNTIF(Podcasts!$D$524:'Podcasts'!$D$532,ROW(INDIRECT("1:"&amp;K$2)))=0,ROW(INDIRECT("1:"&amp;K$2))),ROW($A23)),"")</f>
        <v>23</v>
      </c>
      <c r="AX66" s="117">
        <f t="array" aca="1" ref="AX66" ca="1">IFERROR(SMALL(IF(COUNTIF(Podcasts!$D$538:'Podcasts'!$D$909,ROW(INDIRECT("1:"&amp;K$2)))=0,ROW(INDIRECT("1:"&amp;K$2))),ROW($A23)),"")</f>
        <v>58</v>
      </c>
      <c r="AY66" s="117">
        <f t="array" aca="1" ref="AY66" ca="1">IFERROR(SMALL(IF(COUNTIF(Podcasts!$D$915:'Podcasts'!$D$981,ROW(INDIRECT("1:"&amp;K$2)))=0,ROW(INDIRECT("1:"&amp;K$2))),ROW($A23)),"")</f>
        <v>42</v>
      </c>
      <c r="AZ66" s="445"/>
      <c r="BA66" s="117">
        <f t="array" aca="1" ref="BA66" ca="1">IFERROR(SMALL(IF(COUNTIF(Podcasts!$D$1001:'Podcasts'!$D$1251,ROW(INDIRECT("1:"&amp;K$2)))=0,ROW(INDIRECT("1:"&amp;K$2))),ROW($A23)),"")</f>
        <v>42</v>
      </c>
      <c r="BB66" s="117">
        <f t="array" aca="1" ref="BB66" ca="1">IFERROR(SMALL(IF(COUNTIF(Podcasts!$D$1257:'Podcasts'!$D$1267,ROW(INDIRECT("1:"&amp;K$2)))=0,ROW(INDIRECT("1:"&amp;K$2))),ROW($A23)),"")</f>
        <v>24</v>
      </c>
      <c r="BC66" s="117">
        <f t="array" aca="1" ref="BC66" ca="1">IFERROR(SMALL(IF(COUNTIF(Podcasts!$D$1273:'Podcasts'!$D$1283,ROW(INDIRECT("1:"&amp;K$2)))=0,ROW(INDIRECT("1:"&amp;K$2))),ROW($A23)),"")</f>
        <v>27</v>
      </c>
      <c r="BD66" s="117">
        <f t="array" aca="1" ref="BD66" ca="1">IFERROR(SMALL(IF(COUNTIF(Podcasts!$D$1289:'Podcasts'!$D$1295,ROW(INDIRECT("1:"&amp;K$2)))=0,ROW(INDIRECT("1:"&amp;K$2))),ROW($A23)),"")</f>
        <v>25</v>
      </c>
      <c r="BE66" s="117">
        <f t="array" aca="1" ref="BE66" ca="1">IFERROR(SMALL(IF(COUNTIF(Podcasts!$D$1301:'Podcasts'!$D$1356,ROW(INDIRECT("1:"&amp;K$2)))=0,ROW(INDIRECT("1:"&amp;K$2))),ROW($A23)),"")</f>
        <v>70</v>
      </c>
      <c r="BF66" s="117">
        <f t="array" aca="1" ref="BF66" ca="1">IFERROR(SMALL(IF(COUNTIF(Podcasts!$D$1362:'Podcasts'!$D$1364,ROW(INDIRECT("1:"&amp;K$2)))=0,ROW(INDIRECT("1:"&amp;K$2))),ROW($A23)),"")</f>
        <v>26</v>
      </c>
      <c r="BG66" s="202">
        <f t="array" aca="1" ref="BG66" ca="1">IFERROR(SMALL(IF(COUNTIF(Podcasts!$D$1370:'Podcasts'!$D$1419,ROW(INDIRECT("1:"&amp;K$2)))=0,ROW(INDIRECT("1:"&amp;K$2))),ROW($A23)),"")</f>
        <v>27</v>
      </c>
      <c r="BH66" s="202">
        <f t="array" aca="1" ref="BH66" ca="1">IFERROR(SMALL(IF(COUNTIF(Podcasts!$D$1425:'Podcasts'!$D$1446,ROW(INDIRECT("1:"&amp;K$2)))=0,ROW(INDIRECT("1:"&amp;K$2))),ROW($A23)),"")</f>
        <v>27</v>
      </c>
      <c r="BI66" s="202">
        <f t="array" aca="1" ref="BI66" ca="1">IFERROR(SMALL(IF(COUNTIF(Podcasts!$D$1452:'Podcasts'!$D$1574,ROW(INDIRECT("1:"&amp;K$2)))=0,ROW(INDIRECT("1:"&amp;K$2))),ROW($A23)),"")</f>
        <v>50</v>
      </c>
      <c r="BJ66" s="202">
        <f t="array" aca="1" ref="BJ66" ca="1">IFERROR(SMALL(IF(COUNTIF(Podcasts!$D$1580:'Podcasts'!$D$1705,ROW(INDIRECT("1:"&amp;K$2)))=0,ROW(INDIRECT("1:"&amp;K$2))),ROW($A23)),"")</f>
        <v>39</v>
      </c>
      <c r="BK66" s="202">
        <f t="array" aca="1" ref="BK66" ca="1">IFERROR(SMALL(IF(COUNTIF(Podcasts!$D$1711:'Podcasts'!$D$1833,ROW(INDIRECT("1:"&amp;K$2)))=0,ROW(INDIRECT("1:"&amp;K$2))),ROW($A23)),"")</f>
        <v>63</v>
      </c>
      <c r="BL66" s="202">
        <f t="array" aca="1" ref="BL66" ca="1">IFERROR(SMALL(IF(COUNTIF(Podcasts!$D$1839:'Podcasts'!$D$1855,ROW(INDIRECT("1:"&amp;K$2)))=0,ROW(INDIRECT("1:"&amp;K$2))),ROW($A23)),"")</f>
        <v>26</v>
      </c>
      <c r="BM66" s="567">
        <f t="array" aca="1" ref="BM66" ca="1">IFERROR(SMALL(IF(COUNTIF(Podcasts!$D$1861:'Podcasts'!$D$1994,ROW(INDIRECT("1:"&amp;K$2)))=0,ROW(INDIRECT("1:"&amp;K$2))),ROW($A23)),"")</f>
        <v>31</v>
      </c>
      <c r="BN66" s="567">
        <f t="array" aca="1" ref="BN66" ca="1">IFERROR(SMALL(IF(COUNTIF(Podcasts!$D$2000:'Podcasts'!$D$2057,ROW(INDIRECT("1:"&amp;K$2)))=0,ROW(INDIRECT("1:"&amp;K$2))),ROW($A23)),"")</f>
        <v>78</v>
      </c>
      <c r="BO66" s="567">
        <f t="array" aca="1" ref="BO66" ca="1">IFERROR(SMALL(IF(COUNTIF(Podcasts!$D$2063:'Podcasts'!$D$2071,ROW(INDIRECT("1:"&amp;K$2)))=0,ROW(INDIRECT("1:"&amp;K$2))),ROW($A23)),"")</f>
        <v>23</v>
      </c>
      <c r="BP66" s="202">
        <f t="array" aca="1" ref="BP66" ca="1">IFERROR(SMALL(IF(COUNTIF(Podcasts!$D$2077:'Podcasts'!$D$2092,ROW(INDIRECT("1:"&amp;K$2)))=0,ROW(INDIRECT("1:"&amp;K$2))),ROW($A23)),"")</f>
        <v>29</v>
      </c>
      <c r="BQ66" s="741">
        <f t="array" aca="1" ref="BQ66" ca="1">IFERROR(SMALL(IF(COUNTIF(Podcasts!$D$2098:'Podcasts'!$D$2114,ROW(INDIRECT("1:"&amp;K$2)))=0,ROW(INDIRECT("1:"&amp;K$2))),ROW($A23)),"")</f>
        <v>25</v>
      </c>
      <c r="BR66" s="744">
        <f t="array" aca="1" ref="BR66" ca="1">IFERROR(SMALL(IF(COUNTIF(Podcasts!$D$2120:'Podcasts'!$D$2124,ROW(INDIRECT("1:"&amp;K$2)))=0,ROW(INDIRECT("1:"&amp;K$2))),ROW($A23)),"")</f>
        <v>25</v>
      </c>
      <c r="BS66" s="28"/>
    </row>
    <row r="67" spans="1:71" outlineLevel="1">
      <c r="A67" s="28"/>
      <c r="B67" s="161">
        <v>24</v>
      </c>
      <c r="C67" s="161">
        <f>COUNTIF(Podcasts!$D$10:'Podcasts'!$D$2535,B67)-1</f>
        <v>9</v>
      </c>
      <c r="D67" s="158" t="s">
        <v>1052</v>
      </c>
      <c r="E67" s="156" t="str">
        <f t="array" ref="E67">IF(F67="","",INDEX(Podcasts!$J$10:'Podcasts'!$J$2535,MATCH(F67&amp;$B67,Podcasts!$E$10:'Podcasts'!$E$2535&amp;Podcasts!$D$10:'Podcasts'!$D$2535,0)))</f>
        <v>???od</v>
      </c>
      <c r="F67" s="131">
        <f t="array" ref="F67">IF(COUNTIF(Podcasts!$D$10:'Podcasts'!$D$2535,$B67)&lt;COLUMN(A25),"",SMALL(IF(Podcasts!$D$10:'Podcasts'!$D$2535=$B67,Podcasts!$E$10:'Podcasts'!$E$2535),COLUMN(A25)))</f>
        <v>41705</v>
      </c>
      <c r="G67" s="132">
        <f t="array" ref="G67">IF(F67="","",INDEX(Podcasts!$F$10:'Podcasts'!$F$2535,MATCH(F67&amp;$B67,Podcasts!$E$10:'Podcasts'!$E$2535&amp;Podcasts!$D$10:'Podcasts'!$D$2535,0)))</f>
        <v>4.2777777777777776E-2</v>
      </c>
      <c r="H67" s="136" t="str">
        <f t="array" ref="H67">IF(I67="","",INDEX(Podcasts!$J$10:'Podcasts'!$J$2535,MATCH(I67&amp;$B67,Podcasts!$E$10:'Podcasts'!$E$2535&amp;Podcasts!$D$10:'Podcasts'!$D$2535,0)))</f>
        <v>Fürst</v>
      </c>
      <c r="I67" s="133">
        <f t="array" ref="I67">IF(COUNTIF(Podcasts!$D$10:'Podcasts'!$D$2535,$B67)&lt;COLUMN(B25),"",SMALL(IF(Podcasts!$D$10:'Podcasts'!$D$2535=$B67,Podcasts!$E$10:'Podcasts'!$E$2535),COLUMN(B25)))</f>
        <v>41980</v>
      </c>
      <c r="J67" s="132">
        <f t="array" ref="J67">IF(I67="","",INDEX(Podcasts!$F$10:'Podcasts'!$F$2535,MATCH(I67&amp;$B67,Podcasts!$E$10:'Podcasts'!$E$2535&amp;Podcasts!$D$10:'Podcasts'!$D$2535,0)))</f>
        <v>1.0532407407407407E-2</v>
      </c>
      <c r="K67" s="136" t="str">
        <f t="array" ref="K67">IF(L67="","",INDEX(Podcasts!$J$10:'Podcasts'!$J$2535,MATCH(L67&amp;$B67,Podcasts!$E$10:'Podcasts'!$E$2535&amp;Podcasts!$D$10:'Podcasts'!$D$2535,0)))</f>
        <v>SSP</v>
      </c>
      <c r="L67" s="133">
        <f t="array" ref="L67">IF(COUNTIF(Podcasts!$D$10:'Podcasts'!$D$2535,$B67)&lt;COLUMN(C25),"",SMALL(IF(Podcasts!$D$10:'Podcasts'!$D$2535=$B67,Podcasts!$E$10:'Podcasts'!$E$2535),COLUMN(C25)))</f>
        <v>42840</v>
      </c>
      <c r="M67" s="132">
        <f t="array" ref="M67">IF(L67="","",INDEX(Podcasts!$F$10:'Podcasts'!$F$2535,MATCH(L67&amp;$B67,Podcasts!$E$10:'Podcasts'!$E$2535&amp;Podcasts!$D$10:'Podcasts'!$D$2535,0)))</f>
        <v>5.0578703703703709E-2</v>
      </c>
      <c r="N67" s="136" t="str">
        <f t="array" ref="N67">IF(O67="","",INDEX(Podcasts!$J$10:'Podcasts'!$J$2535,MATCH(O67&amp;$B67,Podcasts!$E$10:'Podcasts'!$E$2535&amp;Podcasts!$D$10:'Podcasts'!$D$2535,0)))</f>
        <v>R&amp;A</v>
      </c>
      <c r="O67" s="133">
        <f t="array" ref="O67">IF(COUNTIF(Podcasts!$D$10:'Podcasts'!$D$2535,$B67)&lt;COLUMN(D25),"",SMALL(IF(Podcasts!$D$10:'Podcasts'!$D$2535=$B67,Podcasts!$E$10:'Podcasts'!$E$2535),COLUMN(D25)))</f>
        <v>43982.333333333336</v>
      </c>
      <c r="P67" s="132">
        <f t="array" ref="P67">IF(O67="","",INDEX(Podcasts!$F$10:'Podcasts'!$F$2535,MATCH(O67&amp;$B67,Podcasts!$E$10:'Podcasts'!$E$2535&amp;Podcasts!$D$10:'Podcasts'!$D$2535,0)))</f>
        <v>9.0648148148148144E-2</v>
      </c>
      <c r="Q67" s="136" t="str">
        <f t="array" ref="Q67">IF(R67="","",INDEX(Podcasts!$J$10:'Podcasts'!$J$2535,MATCH(R67&amp;$B67,Podcasts!$E$10:'Podcasts'!$E$2535&amp;Podcasts!$D$10:'Podcasts'!$D$2535,0)))</f>
        <v>Zw3i</v>
      </c>
      <c r="R67" s="133">
        <f t="array" ref="R67">IF(COUNTIF(Podcasts!$D$10:'Podcasts'!$D$2535,$B67)&lt;COLUMN(E25),"",SMALL(IF(Podcasts!$D$10:'Podcasts'!$D$2535=$B67,Podcasts!$E$10:'Podcasts'!$E$2535),COLUMN(E25)))</f>
        <v>44434</v>
      </c>
      <c r="S67" s="132">
        <f t="array" ref="S67">IF(R67="","",INDEX(Podcasts!$F$10:'Podcasts'!$F$2535,MATCH(R67&amp;$B67,Podcasts!$E$10:'Podcasts'!$E$2535&amp;Podcasts!$D$10:'Podcasts'!$D$2535,0)))</f>
        <v>5.618055555555556E-2</v>
      </c>
      <c r="T67" s="136" t="str">
        <f t="array" ref="T67">IF(U67="","",INDEX(Podcasts!$J$10:'Podcasts'!$J$2535,MATCH(U67&amp;$B67,Podcasts!$E$10:'Podcasts'!$E$2535&amp;Podcasts!$D$10:'Podcasts'!$D$2535,0)))</f>
        <v>Abfahrt</v>
      </c>
      <c r="U67" s="133">
        <f t="array" ref="U67">IF(COUNTIF(Podcasts!$D$10:'Podcasts'!$D$2535,$B67)&lt;COLUMN(F25),"",SMALL(IF(Podcasts!$D$10:'Podcasts'!$D$2535=$B67,Podcasts!$E$10:'Podcasts'!$E$2535),COLUMN(F25)))</f>
        <v>44666</v>
      </c>
      <c r="V67" s="132">
        <f t="array" ref="V67">IF(U67="","",INDEX(Podcasts!$F$10:'Podcasts'!$F$2535,MATCH(U67&amp;$B67,Podcasts!$E$10:'Podcasts'!$E$2535&amp;Podcasts!$D$10:'Podcasts'!$D$2535,0)))</f>
        <v>6.4733796296296289E-2</v>
      </c>
      <c r="W67" s="136" t="str">
        <f t="array" ref="W67">IF(X67="","",INDEX(Podcasts!$J$10:'Podcasts'!$J$2535,MATCH(X67&amp;$B67,Podcasts!$E$10:'Podcasts'!$E$2535&amp;Podcasts!$D$10:'Podcasts'!$D$2535,0)))</f>
        <v>Verstärker</v>
      </c>
      <c r="X67" s="133">
        <f t="array" ref="X67">IF(COUNTIF(Podcasts!$D$10:'Podcasts'!$D$2535,$B67)&lt;COLUMN(G25),"",SMALL(IF(Podcasts!$D$10:'Podcasts'!$D$2535=$B67,Podcasts!$E$10:'Podcasts'!$E$2535),COLUMN(G25)))</f>
        <v>44929</v>
      </c>
      <c r="Y67" s="132">
        <f t="array" ref="Y67">IF(X67="","",INDEX(Podcasts!$F$10:'Podcasts'!$F$2535,MATCH(X67&amp;$B67,Podcasts!$E$10:'Podcasts'!$E$2535&amp;Podcasts!$D$10:'Podcasts'!$D$2535,0)))</f>
        <v>2.5925925925925925E-2</v>
      </c>
      <c r="Z67" s="136" t="str">
        <f t="array" ref="Z67">IF(AA67="","",INDEX(Podcasts!$J$10:'Podcasts'!$J$2535,MATCH(AA67&amp;$B67,Podcasts!$E$10:'Podcasts'!$E$2535&amp;Podcasts!$D$10:'Podcasts'!$D$2535,0)))</f>
        <v>RBW</v>
      </c>
      <c r="AA67" s="134">
        <f t="array" ref="AA67">IF(COUNTIF(Podcasts!$D$10:'Podcasts'!$D$2535,$B67)&lt;COLUMN(H25),"",SMALL(IF(Podcasts!$D$10:'Podcasts'!$D$2535=$B67,Podcasts!$E$10:'Podcasts'!$E$2535),COLUMN(H25)))</f>
        <v>45022</v>
      </c>
      <c r="AB67" s="404">
        <f t="array" ref="AB67">IF(AA67="","",INDEX(Podcasts!$F$10:'Podcasts'!$F$2535,MATCH(AA67&amp;$B67,Podcasts!$E$10:'Podcasts'!$E$2535&amp;Podcasts!$D$10:'Podcasts'!$D$2535,0)))</f>
        <v>3.681712962962963E-2</v>
      </c>
      <c r="AC67" s="406" t="str">
        <f t="array" ref="AC67">IF(AD67="","",INDEX(Podcasts!$J$10:'Podcasts'!$J$2535,MATCH(AD67&amp;$B67,Podcasts!$E$10:'Podcasts'!$E$2535&amp;Podcasts!$D$10:'Podcasts'!$D$2535,0)))</f>
        <v>Bobcast</v>
      </c>
      <c r="AD67" s="400">
        <f t="array" ref="AD67">IF(COUNTIF(Podcasts!$D$10:'Podcasts'!$D$2535,$B67)&lt;COLUMN(I25),"",SMALL(IF(Podcasts!$D$10:'Podcasts'!$D$2535=$B67,Podcasts!$E$10:'Podcasts'!$E$2535),COLUMN(I25)))</f>
        <v>45026.001261574071</v>
      </c>
      <c r="AE67" s="401">
        <f t="array" ref="AE67">IF(AD67="","",INDEX(Podcasts!$F$10:'Podcasts'!$F$2535,MATCH(AD67&amp;$B67,Podcasts!$E$10:'Podcasts'!$E$2535&amp;Podcasts!$D$10:'Podcasts'!$D$2535,0)))</f>
        <v>3.0879629629629632E-2</v>
      </c>
      <c r="AF67" s="406" t="str">
        <f t="array" ref="AF67">IF(AG67="","",INDEX(Podcasts!$J$10:'Podcasts'!$J$2535,MATCH(AG67&amp;$B67,Podcasts!$E$10:'Podcasts'!$E$2535&amp;Podcasts!$D$10:'Podcasts'!$D$2535,0)))</f>
        <v>???od</v>
      </c>
      <c r="AG67" s="400">
        <f t="array" ref="AG67">IF(COUNTIF(Podcasts!$D$10:'Podcasts'!$D$2535,$B67)&lt;COLUMN(J25),"",SMALL(IF(Podcasts!$D$10:'Podcasts'!$D$2535=$B67,Podcasts!$E$10:'Podcasts'!$E$2535),COLUMN(J25)))</f>
        <v>45189</v>
      </c>
      <c r="AH67" s="401">
        <f t="array" ref="AH67">IF(AG67="","",INDEX(Podcasts!$F$10:'Podcasts'!$F$2535,MATCH(AG67&amp;$B67,Podcasts!$E$10:'Podcasts'!$E$2535&amp;Podcasts!$D$10:'Podcasts'!$D$2535,0)))</f>
        <v>6.5405092592592584E-2</v>
      </c>
      <c r="AI67" s="406" t="str">
        <f t="array" ref="AI67">IF(AJ67="","",INDEX(Podcasts!$J$10:'Podcasts'!$J$2535,MATCH(AJ67&amp;$B67,Podcasts!$E$10:'Podcasts'!$E$2535&amp;Podcasts!$D$10:'Podcasts'!$D$2535,0)))</f>
        <v/>
      </c>
      <c r="AJ67" s="400" t="str">
        <f t="array" ref="AJ67">IF(COUNTIF(Podcasts!$D$10:'Podcasts'!$D$2535,$B67)&lt;COLUMN(K25),"",SMALL(IF(Podcasts!$D$10:'Podcasts'!$D$2535=$B67,Podcasts!$E$10:'Podcasts'!$E$2535),COLUMN(K25)))</f>
        <v/>
      </c>
      <c r="AK67" s="401" t="str">
        <f t="array" ref="AK67">IF(AJ67="","",INDEX(Podcasts!$F$10:'Podcasts'!$F$2535,MATCH(AJ67&amp;$B67,Podcasts!$E$10:'Podcasts'!$E$2535&amp;Podcasts!$D$10:'Podcasts'!$D$2535,0)))</f>
        <v/>
      </c>
      <c r="AL67" s="406" t="str">
        <f t="array" ref="AL67">IF(AM67="","",INDEX(Podcasts!$J$10:'Podcasts'!$J$2535,MATCH(AM67&amp;$B67,Podcasts!$E$10:'Podcasts'!$E$2535&amp;Podcasts!$D$10:'Podcasts'!$D$2535,0)))</f>
        <v/>
      </c>
      <c r="AM67" s="400" t="str">
        <f t="array" ref="AM67">IF(COUNTIF(Podcasts!$D$10:'Podcasts'!$D$2535,$B67)&lt;COLUMN(L25),"",SMALL(IF(Podcasts!$D$10:'Podcasts'!$D$2535=$B67,Podcasts!$E$10:'Podcasts'!$E$2535),COLUMN(L25)))</f>
        <v/>
      </c>
      <c r="AN67" s="401" t="str">
        <f t="array" ref="AN67">IF(AM67="","",INDEX(Podcasts!$F$10:'Podcasts'!$F$2535,MATCH(AM67&amp;$B67,Podcasts!$E$10:'Podcasts'!$E$2535&amp;Podcasts!$D$10:'Podcasts'!$D$2535,0)))</f>
        <v/>
      </c>
      <c r="AO67" s="402"/>
      <c r="AP67" s="119"/>
      <c r="AQ67" s="117">
        <f t="array" aca="1" ref="AQ67" ca="1">IFERROR(SMALL(IF(COUNTIF(Podcasts!$D$10:'Podcasts'!$D$107,ROW(INDIRECT("1:"&amp;K$2)))=0,ROW(INDIRECT("1:"&amp;K$2))),ROW($A24)),"")</f>
        <v>39</v>
      </c>
      <c r="AR67" s="117">
        <f t="array" aca="1" ref="AR67" ca="1">IFERROR(SMALL(IF(COUNTIF(Podcasts!$D$113:'Podcasts'!$D$238,ROW(INDIRECT("1:"&amp;K$2)))=0,ROW(INDIRECT("1:"&amp;K$2))),ROW($A24)),"")</f>
        <v>24</v>
      </c>
      <c r="AS67" s="117">
        <f t="array" aca="1" ref="AS67" ca="1">IFERROR(SMALL(IF(COUNTIF(Podcasts!$D$244:'Podcasts'!$D$299,ROW(INDIRECT("1:"&amp;K$2)))=0,ROW(INDIRECT("1:"&amp;K$2))),ROW($A24)),"")</f>
        <v>40</v>
      </c>
      <c r="AT67" s="117">
        <f t="array" aca="1" ref="AT67" ca="1">IFERROR(SMALL(IF(COUNTIF(Podcasts!$D$305:'Podcasts'!$D$473,ROW(INDIRECT("1:"&amp;K$2)))=0,ROW(INDIRECT("1:"&amp;K$2))),ROW($A24)),"")</f>
        <v>152</v>
      </c>
      <c r="AU67" s="117">
        <f t="array" aca="1" ref="AU67" ca="1">IFERROR(SMALL(IF(COUNTIF(Podcasts!$D$479:'Podcasts'!$D$488,ROW(INDIRECT("1:"&amp;K$2)))=0,ROW(INDIRECT("1:"&amp;K$2))),ROW($A24)),"")</f>
        <v>24</v>
      </c>
      <c r="AV67" s="117">
        <f t="array" aca="1" ref="AV67" ca="1">IFERROR(SMALL(IF(COUNTIF(Podcasts!$D$494:'Podcasts'!$D$518,ROW(INDIRECT("1:"&amp;K$2)))=0,ROW(INDIRECT("1:"&amp;K$2))),ROW($A24)),"")</f>
        <v>39</v>
      </c>
      <c r="AW67" s="117">
        <f t="array" aca="1" ref="AW67" ca="1">IFERROR(SMALL(IF(COUNTIF(Podcasts!$D$524:'Podcasts'!$D$532,ROW(INDIRECT("1:"&amp;K$2)))=0,ROW(INDIRECT("1:"&amp;K$2))),ROW($A24)),"")</f>
        <v>24</v>
      </c>
      <c r="AX67" s="117">
        <f t="array" aca="1" ref="AX67" ca="1">IFERROR(SMALL(IF(COUNTIF(Podcasts!$D$538:'Podcasts'!$D$909,ROW(INDIRECT("1:"&amp;K$2)))=0,ROW(INDIRECT("1:"&amp;K$2))),ROW($A24)),"")</f>
        <v>59</v>
      </c>
      <c r="AY67" s="117">
        <f t="array" aca="1" ref="AY67" ca="1">IFERROR(SMALL(IF(COUNTIF(Podcasts!$D$915:'Podcasts'!$D$981,ROW(INDIRECT("1:"&amp;K$2)))=0,ROW(INDIRECT("1:"&amp;K$2))),ROW($A24)),"")</f>
        <v>43</v>
      </c>
      <c r="AZ67" s="445"/>
      <c r="BA67" s="117">
        <f t="array" aca="1" ref="BA67" ca="1">IFERROR(SMALL(IF(COUNTIF(Podcasts!$D$1001:'Podcasts'!$D$1251,ROW(INDIRECT("1:"&amp;K$2)))=0,ROW(INDIRECT("1:"&amp;K$2))),ROW($A24)),"")</f>
        <v>45</v>
      </c>
      <c r="BB67" s="117">
        <f t="array" aca="1" ref="BB67" ca="1">IFERROR(SMALL(IF(COUNTIF(Podcasts!$D$1257:'Podcasts'!$D$1267,ROW(INDIRECT("1:"&amp;K$2)))=0,ROW(INDIRECT("1:"&amp;K$2))),ROW($A24)),"")</f>
        <v>25</v>
      </c>
      <c r="BC67" s="117">
        <f t="array" aca="1" ref="BC67" ca="1">IFERROR(SMALL(IF(COUNTIF(Podcasts!$D$1273:'Podcasts'!$D$1283,ROW(INDIRECT("1:"&amp;K$2)))=0,ROW(INDIRECT("1:"&amp;K$2))),ROW($A24)),"")</f>
        <v>28</v>
      </c>
      <c r="BD67" s="117">
        <f t="array" aca="1" ref="BD67" ca="1">IFERROR(SMALL(IF(COUNTIF(Podcasts!$D$1289:'Podcasts'!$D$1295,ROW(INDIRECT("1:"&amp;K$2)))=0,ROW(INDIRECT("1:"&amp;K$2))),ROW($A24)),"")</f>
        <v>26</v>
      </c>
      <c r="BE67" s="117">
        <f t="array" aca="1" ref="BE67" ca="1">IFERROR(SMALL(IF(COUNTIF(Podcasts!$D$1301:'Podcasts'!$D$1356,ROW(INDIRECT("1:"&amp;K$2)))=0,ROW(INDIRECT("1:"&amp;K$2))),ROW($A24)),"")</f>
        <v>71</v>
      </c>
      <c r="BF67" s="117">
        <f t="array" aca="1" ref="BF67" ca="1">IFERROR(SMALL(IF(COUNTIF(Podcasts!$D$1362:'Podcasts'!$D$1364,ROW(INDIRECT("1:"&amp;K$2)))=0,ROW(INDIRECT("1:"&amp;K$2))),ROW($A24)),"")</f>
        <v>27</v>
      </c>
      <c r="BG67" s="202">
        <f t="array" aca="1" ref="BG67" ca="1">IFERROR(SMALL(IF(COUNTIF(Podcasts!$D$1370:'Podcasts'!$D$1419,ROW(INDIRECT("1:"&amp;K$2)))=0,ROW(INDIRECT("1:"&amp;K$2))),ROW($A24)),"")</f>
        <v>28</v>
      </c>
      <c r="BH67" s="202">
        <f t="array" aca="1" ref="BH67" ca="1">IFERROR(SMALL(IF(COUNTIF(Podcasts!$D$1425:'Podcasts'!$D$1446,ROW(INDIRECT("1:"&amp;K$2)))=0,ROW(INDIRECT("1:"&amp;K$2))),ROW($A24)),"")</f>
        <v>28</v>
      </c>
      <c r="BI67" s="202">
        <f t="array" aca="1" ref="BI67" ca="1">IFERROR(SMALL(IF(COUNTIF(Podcasts!$D$1452:'Podcasts'!$D$1574,ROW(INDIRECT("1:"&amp;K$2)))=0,ROW(INDIRECT("1:"&amp;K$2))),ROW($A24)),"")</f>
        <v>51</v>
      </c>
      <c r="BJ67" s="202">
        <f t="array" aca="1" ref="BJ67" ca="1">IFERROR(SMALL(IF(COUNTIF(Podcasts!$D$1580:'Podcasts'!$D$1705,ROW(INDIRECT("1:"&amp;K$2)))=0,ROW(INDIRECT("1:"&amp;K$2))),ROW($A24)),"")</f>
        <v>40</v>
      </c>
      <c r="BK67" s="202">
        <f t="array" aca="1" ref="BK67" ca="1">IFERROR(SMALL(IF(COUNTIF(Podcasts!$D$1711:'Podcasts'!$D$1833,ROW(INDIRECT("1:"&amp;K$2)))=0,ROW(INDIRECT("1:"&amp;K$2))),ROW($A24)),"")</f>
        <v>64</v>
      </c>
      <c r="BL67" s="202">
        <f t="array" aca="1" ref="BL67" ca="1">IFERROR(SMALL(IF(COUNTIF(Podcasts!$D$1839:'Podcasts'!$D$1855,ROW(INDIRECT("1:"&amp;K$2)))=0,ROW(INDIRECT("1:"&amp;K$2))),ROW($A24)),"")</f>
        <v>27</v>
      </c>
      <c r="BM67" s="567">
        <f t="array" aca="1" ref="BM67" ca="1">IFERROR(SMALL(IF(COUNTIF(Podcasts!$D$1861:'Podcasts'!$D$1994,ROW(INDIRECT("1:"&amp;K$2)))=0,ROW(INDIRECT("1:"&amp;K$2))),ROW($A24)),"")</f>
        <v>32</v>
      </c>
      <c r="BN67" s="567">
        <f t="array" aca="1" ref="BN67" ca="1">IFERROR(SMALL(IF(COUNTIF(Podcasts!$D$2000:'Podcasts'!$D$2057,ROW(INDIRECT("1:"&amp;K$2)))=0,ROW(INDIRECT("1:"&amp;K$2))),ROW($A24)),"")</f>
        <v>79</v>
      </c>
      <c r="BO67" s="567">
        <f t="array" aca="1" ref="BO67" ca="1">IFERROR(SMALL(IF(COUNTIF(Podcasts!$D$2063:'Podcasts'!$D$2071,ROW(INDIRECT("1:"&amp;K$2)))=0,ROW(INDIRECT("1:"&amp;K$2))),ROW($A24)),"")</f>
        <v>24</v>
      </c>
      <c r="BP67" s="202">
        <f t="array" aca="1" ref="BP67" ca="1">IFERROR(SMALL(IF(COUNTIF(Podcasts!$D$2077:'Podcasts'!$D$2092,ROW(INDIRECT("1:"&amp;K$2)))=0,ROW(INDIRECT("1:"&amp;K$2))),ROW($A24)),"")</f>
        <v>30</v>
      </c>
      <c r="BQ67" s="741">
        <f t="array" aca="1" ref="BQ67" ca="1">IFERROR(SMALL(IF(COUNTIF(Podcasts!$D$2098:'Podcasts'!$D$2114,ROW(INDIRECT("1:"&amp;K$2)))=0,ROW(INDIRECT("1:"&amp;K$2))),ROW($A24)),"")</f>
        <v>26</v>
      </c>
      <c r="BR67" s="744">
        <f t="array" aca="1" ref="BR67" ca="1">IFERROR(SMALL(IF(COUNTIF(Podcasts!$D$2120:'Podcasts'!$D$2124,ROW(INDIRECT("1:"&amp;K$2)))=0,ROW(INDIRECT("1:"&amp;K$2))),ROW($A24)),"")</f>
        <v>26</v>
      </c>
      <c r="BS67" s="28"/>
    </row>
    <row r="68" spans="1:71" outlineLevel="1">
      <c r="A68" s="28"/>
      <c r="B68" s="161">
        <v>25</v>
      </c>
      <c r="C68" s="161">
        <f>COUNTIF(Podcasts!$D$10:'Podcasts'!$D$2535,B68)</f>
        <v>11</v>
      </c>
      <c r="D68" s="158" t="s">
        <v>1053</v>
      </c>
      <c r="E68" s="156" t="str">
        <f t="array" ref="E68">IF(F68="","",INDEX(Podcasts!$J$10:'Podcasts'!$J$2535,MATCH(F68&amp;$B68,Podcasts!$E$10:'Podcasts'!$E$2535&amp;Podcasts!$D$10:'Podcasts'!$D$2535,0)))</f>
        <v>Fürst</v>
      </c>
      <c r="F68" s="131">
        <f t="array" ref="F68">IF(COUNTIF(Podcasts!$D$10:'Podcasts'!$D$2535,$B68)&lt;COLUMN(A26),"",SMALL(IF(Podcasts!$D$10:'Podcasts'!$D$2535=$B68,Podcasts!$E$10:'Podcasts'!$E$2535),COLUMN(A26)))</f>
        <v>42064</v>
      </c>
      <c r="G68" s="132">
        <f t="array" ref="G68">IF(F68="","",INDEX(Podcasts!$F$10:'Podcasts'!$F$2535,MATCH(F68&amp;$B68,Podcasts!$E$10:'Podcasts'!$E$2535&amp;Podcasts!$D$10:'Podcasts'!$D$2535,0)))</f>
        <v>1.0416666666666666E-2</v>
      </c>
      <c r="H68" s="136" t="str">
        <f t="array" ref="H68">IF(I68="","",INDEX(Podcasts!$J$10:'Podcasts'!$J$2535,MATCH(I68&amp;$B68,Podcasts!$E$10:'Podcasts'!$E$2535&amp;Podcasts!$D$10:'Podcasts'!$D$2535,0)))</f>
        <v>SSP</v>
      </c>
      <c r="I68" s="133">
        <f t="array" ref="I68">IF(COUNTIF(Podcasts!$D$10:'Podcasts'!$D$2535,$B68)&lt;COLUMN(B26),"",SMALL(IF(Podcasts!$D$10:'Podcasts'!$D$2535=$B68,Podcasts!$E$10:'Podcasts'!$E$2535),COLUMN(B26)))</f>
        <v>43458</v>
      </c>
      <c r="J68" s="132">
        <f t="array" ref="J68">IF(I68="","",INDEX(Podcasts!$F$10:'Podcasts'!$F$2535,MATCH(I68&amp;$B68,Podcasts!$E$10:'Podcasts'!$E$2535&amp;Podcasts!$D$10:'Podcasts'!$D$2535,0)))</f>
        <v>8.1539351851851849E-2</v>
      </c>
      <c r="K68" s="136" t="str">
        <f t="array" ref="K68">IF(L68="","",INDEX(Podcasts!$J$10:'Podcasts'!$J$2535,MATCH(L68&amp;$B68,Podcasts!$E$10:'Podcasts'!$E$2535&amp;Podcasts!$D$10:'Podcasts'!$D$2535,0)))</f>
        <v>Retro</v>
      </c>
      <c r="L68" s="133">
        <f t="array" ref="L68">IF(COUNTIF(Podcasts!$D$10:'Podcasts'!$D$2535,$B68)&lt;COLUMN(C26),"",SMALL(IF(Podcasts!$D$10:'Podcasts'!$D$2535=$B68,Podcasts!$E$10:'Podcasts'!$E$2535),COLUMN(C26)))</f>
        <v>44001</v>
      </c>
      <c r="M68" s="132">
        <f t="array" ref="M68">IF(L68="","",INDEX(Podcasts!$F$10:'Podcasts'!$F$2535,MATCH(L68&amp;$B68,Podcasts!$E$10:'Podcasts'!$E$2535&amp;Podcasts!$D$10:'Podcasts'!$D$2535,0)))</f>
        <v>9.3090277777777786E-2</v>
      </c>
      <c r="N68" s="136" t="str">
        <f t="array" ref="N68">IF(O68="","",INDEX(Podcasts!$J$10:'Podcasts'!$J$2535,MATCH(O68&amp;$B68,Podcasts!$E$10:'Podcasts'!$E$2535&amp;Podcasts!$D$10:'Podcasts'!$D$2535,0)))</f>
        <v>Kaffee</v>
      </c>
      <c r="O68" s="133">
        <f t="array" ref="O68">IF(COUNTIF(Podcasts!$D$10:'Podcasts'!$D$2535,$B68)&lt;COLUMN(D26),"",SMALL(IF(Podcasts!$D$10:'Podcasts'!$D$2535=$B68,Podcasts!$E$10:'Podcasts'!$E$2535),COLUMN(D26)))</f>
        <v>44358</v>
      </c>
      <c r="P68" s="132">
        <f t="array" ref="P68">IF(O68="","",INDEX(Podcasts!$F$10:'Podcasts'!$F$2535,MATCH(O68&amp;$B68,Podcasts!$E$10:'Podcasts'!$E$2535&amp;Podcasts!$D$10:'Podcasts'!$D$2535,0)))</f>
        <v>2.388888888888889E-2</v>
      </c>
      <c r="Q68" s="136" t="str">
        <f t="array" ref="Q68">IF(R68="","",INDEX(Podcasts!$J$10:'Podcasts'!$J$2535,MATCH(R68&amp;$B68,Podcasts!$E$10:'Podcasts'!$E$2535&amp;Podcasts!$D$10:'Podcasts'!$D$2535,0)))</f>
        <v>Kuchen</v>
      </c>
      <c r="R68" s="133">
        <f t="array" ref="R68">IF(COUNTIF(Podcasts!$D$10:'Podcasts'!$D$2535,$B68)&lt;COLUMN(E26),"",SMALL(IF(Podcasts!$D$10:'Podcasts'!$D$2535=$B68,Podcasts!$E$10:'Podcasts'!$E$2535),COLUMN(E26)))</f>
        <v>44599.001319444447</v>
      </c>
      <c r="S68" s="132">
        <f t="array" ref="S68">IF(R68="","",INDEX(Podcasts!$F$10:'Podcasts'!$F$2535,MATCH(R68&amp;$B68,Podcasts!$E$10:'Podcasts'!$E$2535&amp;Podcasts!$D$10:'Podcasts'!$D$2535,0)))</f>
        <v>6.0034722222222225E-2</v>
      </c>
      <c r="T68" s="136" t="str">
        <f t="array" ref="T68">IF(U68="","",INDEX(Podcasts!$J$10:'Podcasts'!$J$2535,MATCH(U68&amp;$B68,Podcasts!$E$10:'Podcasts'!$E$2535&amp;Podcasts!$D$10:'Podcasts'!$D$2535,0)))</f>
        <v>Rose</v>
      </c>
      <c r="U68" s="133">
        <f t="array" ref="U68">IF(COUNTIF(Podcasts!$D$10:'Podcasts'!$D$2535,$B68)&lt;COLUMN(F26),"",SMALL(IF(Podcasts!$D$10:'Podcasts'!$D$2535=$B68,Podcasts!$E$10:'Podcasts'!$E$2535),COLUMN(F26)))</f>
        <v>44605</v>
      </c>
      <c r="V68" s="132">
        <f t="array" ref="V68">IF(U68="","",INDEX(Podcasts!$F$10:'Podcasts'!$F$2535,MATCH(U68&amp;$B68,Podcasts!$E$10:'Podcasts'!$E$2535&amp;Podcasts!$D$10:'Podcasts'!$D$2535,0)))</f>
        <v>4.670138888888889E-2</v>
      </c>
      <c r="W68" s="136" t="str">
        <f t="array" ref="W68">IF(X68="","",INDEX(Podcasts!$J$10:'Podcasts'!$J$2535,MATCH(X68&amp;$B68,Podcasts!$E$10:'Podcasts'!$E$2535&amp;Podcasts!$D$10:'Podcasts'!$D$2535,0)))</f>
        <v>Abfahrt</v>
      </c>
      <c r="X68" s="133">
        <f t="array" ref="X68">IF(COUNTIF(Podcasts!$D$10:'Podcasts'!$D$2535,$B68)&lt;COLUMN(G26),"",SMALL(IF(Podcasts!$D$10:'Podcasts'!$D$2535=$B68,Podcasts!$E$10:'Podcasts'!$E$2535),COLUMN(G26)))</f>
        <v>44701</v>
      </c>
      <c r="Y68" s="132">
        <f t="array" ref="Y68">IF(X68="","",INDEX(Podcasts!$F$10:'Podcasts'!$F$2535,MATCH(X68&amp;$B68,Podcasts!$E$10:'Podcasts'!$E$2535&amp;Podcasts!$D$10:'Podcasts'!$D$2535,0)))</f>
        <v>5.935185185185185E-2</v>
      </c>
      <c r="Z68" s="136" t="str">
        <f t="array" ref="Z68">IF(AA68="","",INDEX(Podcasts!$J$10:'Podcasts'!$J$2535,MATCH(AA68&amp;$B68,Podcasts!$E$10:'Podcasts'!$E$2535&amp;Podcasts!$D$10:'Podcasts'!$D$2535,0)))</f>
        <v>Zw3i</v>
      </c>
      <c r="AA68" s="134">
        <f t="array" ref="AA68">IF(COUNTIF(Podcasts!$D$10:'Podcasts'!$D$2535,$B68)&lt;COLUMN(H26),"",SMALL(IF(Podcasts!$D$10:'Podcasts'!$D$2535=$B68,Podcasts!$E$10:'Podcasts'!$E$2535),COLUMN(H26)))</f>
        <v>44806</v>
      </c>
      <c r="AB68" s="404">
        <f t="array" ref="AB68">IF(AA68="","",INDEX(Podcasts!$F$10:'Podcasts'!$F$2535,MATCH(AA68&amp;$B68,Podcasts!$E$10:'Podcasts'!$E$2535&amp;Podcasts!$D$10:'Podcasts'!$D$2535,0)))</f>
        <v>9.0081018518518519E-2</v>
      </c>
      <c r="AC68" s="406" t="str">
        <f t="array" ref="AC68">IF(AD68="","",INDEX(Podcasts!$J$10:'Podcasts'!$J$2535,MATCH(AD68&amp;$B68,Podcasts!$E$10:'Podcasts'!$E$2535&amp;Podcasts!$D$10:'Podcasts'!$D$2535,0)))</f>
        <v>Verstärker</v>
      </c>
      <c r="AD68" s="400">
        <f t="array" ref="AD68">IF(COUNTIF(Podcasts!$D$10:'Podcasts'!$D$2535,$B68)&lt;COLUMN(I26),"",SMALL(IF(Podcasts!$D$10:'Podcasts'!$D$2535=$B68,Podcasts!$E$10:'Podcasts'!$E$2535),COLUMN(I26)))</f>
        <v>44960</v>
      </c>
      <c r="AE68" s="401">
        <f t="array" ref="AE68">IF(AD68="","",INDEX(Podcasts!$F$10:'Podcasts'!$F$2535,MATCH(AD68&amp;$B68,Podcasts!$E$10:'Podcasts'!$E$2535&amp;Podcasts!$D$10:'Podcasts'!$D$2535,0)))</f>
        <v>2.2418981481481481E-2</v>
      </c>
      <c r="AF68" s="406" t="str">
        <f t="array" ref="AF68">IF(AG68="","",INDEX(Podcasts!$J$10:'Podcasts'!$J$2535,MATCH(AG68&amp;$B68,Podcasts!$E$10:'Podcasts'!$E$2535&amp;Podcasts!$D$10:'Podcasts'!$D$2535,0)))</f>
        <v>RBW</v>
      </c>
      <c r="AG68" s="400">
        <f t="array" ref="AG68">IF(COUNTIF(Podcasts!$D$10:'Podcasts'!$D$2535,$B68)&lt;COLUMN(J26),"",SMALL(IF(Podcasts!$D$10:'Podcasts'!$D$2535=$B68,Podcasts!$E$10:'Podcasts'!$E$2535),COLUMN(J26)))</f>
        <v>45029</v>
      </c>
      <c r="AH68" s="401">
        <f t="array" ref="AH68">IF(AG68="","",INDEX(Podcasts!$F$10:'Podcasts'!$F$2535,MATCH(AG68&amp;$B68,Podcasts!$E$10:'Podcasts'!$E$2535&amp;Podcasts!$D$10:'Podcasts'!$D$2535,0)))</f>
        <v>3.107638888888889E-2</v>
      </c>
      <c r="AI68" s="406" t="str">
        <f t="array" ref="AI68">IF(AJ68="","",INDEX(Podcasts!$J$10:'Podcasts'!$J$2535,MATCH(AJ68&amp;$B68,Podcasts!$E$10:'Podcasts'!$E$2535&amp;Podcasts!$D$10:'Podcasts'!$D$2535,0)))</f>
        <v>Bobcast</v>
      </c>
      <c r="AJ68" s="400">
        <f t="array" ref="AJ68">IF(COUNTIF(Podcasts!$D$10:'Podcasts'!$D$2535,$B68)&lt;COLUMN(K26),"",SMALL(IF(Podcasts!$D$10:'Podcasts'!$D$2535=$B68,Podcasts!$E$10:'Podcasts'!$E$2535),COLUMN(K26)))</f>
        <v>45040.001006944447</v>
      </c>
      <c r="AK68" s="401">
        <f t="array" ref="AK68">IF(AJ68="","",INDEX(Podcasts!$F$10:'Podcasts'!$F$2535,MATCH(AJ68&amp;$B68,Podcasts!$E$10:'Podcasts'!$E$2535&amp;Podcasts!$D$10:'Podcasts'!$D$2535,0)))</f>
        <v>4.3287037037037041E-2</v>
      </c>
      <c r="AL68" s="406" t="str">
        <f t="array" ref="AL68">IF(AM68="","",INDEX(Podcasts!$J$10:'Podcasts'!$J$2535,MATCH(AM68&amp;$B68,Podcasts!$E$10:'Podcasts'!$E$2535&amp;Podcasts!$D$10:'Podcasts'!$D$2535,0)))</f>
        <v/>
      </c>
      <c r="AM68" s="400" t="str">
        <f t="array" ref="AM68">IF(COUNTIF(Podcasts!$D$10:'Podcasts'!$D$2535,$B68)&lt;COLUMN(L26),"",SMALL(IF(Podcasts!$D$10:'Podcasts'!$D$2535=$B68,Podcasts!$E$10:'Podcasts'!$E$2535),COLUMN(L26)))</f>
        <v/>
      </c>
      <c r="AN68" s="401" t="str">
        <f t="array" ref="AN68">IF(AM68="","",INDEX(Podcasts!$F$10:'Podcasts'!$F$2535,MATCH(AM68&amp;$B68,Podcasts!$E$10:'Podcasts'!$E$2535&amp;Podcasts!$D$10:'Podcasts'!$D$2535,0)))</f>
        <v/>
      </c>
      <c r="AO68" s="402"/>
      <c r="AP68" s="119"/>
      <c r="AQ68" s="117">
        <f t="array" aca="1" ref="AQ68" ca="1">IFERROR(SMALL(IF(COUNTIF(Podcasts!$D$10:'Podcasts'!$D$107,ROW(INDIRECT("1:"&amp;K$2)))=0,ROW(INDIRECT("1:"&amp;K$2))),ROW($A25)),"")</f>
        <v>40</v>
      </c>
      <c r="AR68" s="117">
        <f t="array" aca="1" ref="AR68" ca="1">IFERROR(SMALL(IF(COUNTIF(Podcasts!$D$113:'Podcasts'!$D$238,ROW(INDIRECT("1:"&amp;K$2)))=0,ROW(INDIRECT("1:"&amp;K$2))),ROW($A25)),"")</f>
        <v>25</v>
      </c>
      <c r="AS68" s="117">
        <f t="array" aca="1" ref="AS68" ca="1">IFERROR(SMALL(IF(COUNTIF(Podcasts!$D$244:'Podcasts'!$D$299,ROW(INDIRECT("1:"&amp;K$2)))=0,ROW(INDIRECT("1:"&amp;K$2))),ROW($A25)),"")</f>
        <v>41</v>
      </c>
      <c r="AT68" s="117">
        <f t="array" aca="1" ref="AT68" ca="1">IFERROR(SMALL(IF(COUNTIF(Podcasts!$D$305:'Podcasts'!$D$473,ROW(INDIRECT("1:"&amp;K$2)))=0,ROW(INDIRECT("1:"&amp;K$2))),ROW($A25)),"")</f>
        <v>153</v>
      </c>
      <c r="AU68" s="117">
        <f t="array" aca="1" ref="AU68" ca="1">IFERROR(SMALL(IF(COUNTIF(Podcasts!$D$479:'Podcasts'!$D$488,ROW(INDIRECT("1:"&amp;K$2)))=0,ROW(INDIRECT("1:"&amp;K$2))),ROW($A25)),"")</f>
        <v>25</v>
      </c>
      <c r="AV68" s="117">
        <f t="array" aca="1" ref="AV68" ca="1">IFERROR(SMALL(IF(COUNTIF(Podcasts!$D$494:'Podcasts'!$D$518,ROW(INDIRECT("1:"&amp;K$2)))=0,ROW(INDIRECT("1:"&amp;K$2))),ROW($A25)),"")</f>
        <v>40</v>
      </c>
      <c r="AW68" s="117">
        <f t="array" aca="1" ref="AW68" ca="1">IFERROR(SMALL(IF(COUNTIF(Podcasts!$D$524:'Podcasts'!$D$532,ROW(INDIRECT("1:"&amp;K$2)))=0,ROW(INDIRECT("1:"&amp;K$2))),ROW($A25)),"")</f>
        <v>25</v>
      </c>
      <c r="AX68" s="117">
        <f t="array" aca="1" ref="AX68" ca="1">IFERROR(SMALL(IF(COUNTIF(Podcasts!$D$538:'Podcasts'!$D$909,ROW(INDIRECT("1:"&amp;K$2)))=0,ROW(INDIRECT("1:"&amp;K$2))),ROW($A25)),"")</f>
        <v>60</v>
      </c>
      <c r="AY68" s="117">
        <f t="array" aca="1" ref="AY68" ca="1">IFERROR(SMALL(IF(COUNTIF(Podcasts!$D$915:'Podcasts'!$D$981,ROW(INDIRECT("1:"&amp;K$2)))=0,ROW(INDIRECT("1:"&amp;K$2))),ROW($A25)),"")</f>
        <v>44</v>
      </c>
      <c r="AZ68" s="445"/>
      <c r="BA68" s="117">
        <f t="array" aca="1" ref="BA68" ca="1">IFERROR(SMALL(IF(COUNTIF(Podcasts!$D$1001:'Podcasts'!$D$1251,ROW(INDIRECT("1:"&amp;K$2)))=0,ROW(INDIRECT("1:"&amp;K$2))),ROW($A25)),"")</f>
        <v>46</v>
      </c>
      <c r="BB68" s="117">
        <f t="array" aca="1" ref="BB68" ca="1">IFERROR(SMALL(IF(COUNTIF(Podcasts!$D$1257:'Podcasts'!$D$1267,ROW(INDIRECT("1:"&amp;K$2)))=0,ROW(INDIRECT("1:"&amp;K$2))),ROW($A25)),"")</f>
        <v>26</v>
      </c>
      <c r="BC68" s="117">
        <f t="array" aca="1" ref="BC68" ca="1">IFERROR(SMALL(IF(COUNTIF(Podcasts!$D$1273:'Podcasts'!$D$1283,ROW(INDIRECT("1:"&amp;K$2)))=0,ROW(INDIRECT("1:"&amp;K$2))),ROW($A25)),"")</f>
        <v>29</v>
      </c>
      <c r="BD68" s="117">
        <f t="array" aca="1" ref="BD68" ca="1">IFERROR(SMALL(IF(COUNTIF(Podcasts!$D$1289:'Podcasts'!$D$1295,ROW(INDIRECT("1:"&amp;K$2)))=0,ROW(INDIRECT("1:"&amp;K$2))),ROW($A25)),"")</f>
        <v>27</v>
      </c>
      <c r="BE68" s="117">
        <f t="array" aca="1" ref="BE68" ca="1">IFERROR(SMALL(IF(COUNTIF(Podcasts!$D$1301:'Podcasts'!$D$1356,ROW(INDIRECT("1:"&amp;K$2)))=0,ROW(INDIRECT("1:"&amp;K$2))),ROW($A25)),"")</f>
        <v>72</v>
      </c>
      <c r="BF68" s="117">
        <f t="array" aca="1" ref="BF68" ca="1">IFERROR(SMALL(IF(COUNTIF(Podcasts!$D$1362:'Podcasts'!$D$1364,ROW(INDIRECT("1:"&amp;K$2)))=0,ROW(INDIRECT("1:"&amp;K$2))),ROW($A25)),"")</f>
        <v>28</v>
      </c>
      <c r="BG68" s="202">
        <f t="array" aca="1" ref="BG68" ca="1">IFERROR(SMALL(IF(COUNTIF(Podcasts!$D$1370:'Podcasts'!$D$1419,ROW(INDIRECT("1:"&amp;K$2)))=0,ROW(INDIRECT("1:"&amp;K$2))),ROW($A25)),"")</f>
        <v>29</v>
      </c>
      <c r="BH68" s="202">
        <f t="array" aca="1" ref="BH68" ca="1">IFERROR(SMALL(IF(COUNTIF(Podcasts!$D$1425:'Podcasts'!$D$1446,ROW(INDIRECT("1:"&amp;K$2)))=0,ROW(INDIRECT("1:"&amp;K$2))),ROW($A25)),"")</f>
        <v>29</v>
      </c>
      <c r="BI68" s="202">
        <f t="array" aca="1" ref="BI68" ca="1">IFERROR(SMALL(IF(COUNTIF(Podcasts!$D$1452:'Podcasts'!$D$1574,ROW(INDIRECT("1:"&amp;K$2)))=0,ROW(INDIRECT("1:"&amp;K$2))),ROW($A25)),"")</f>
        <v>52</v>
      </c>
      <c r="BJ68" s="202">
        <f t="array" aca="1" ref="BJ68" ca="1">IFERROR(SMALL(IF(COUNTIF(Podcasts!$D$1580:'Podcasts'!$D$1705,ROW(INDIRECT("1:"&amp;K$2)))=0,ROW(INDIRECT("1:"&amp;K$2))),ROW($A25)),"")</f>
        <v>41</v>
      </c>
      <c r="BK68" s="202">
        <f t="array" aca="1" ref="BK68" ca="1">IFERROR(SMALL(IF(COUNTIF(Podcasts!$D$1711:'Podcasts'!$D$1833,ROW(INDIRECT("1:"&amp;K$2)))=0,ROW(INDIRECT("1:"&amp;K$2))),ROW($A25)),"")</f>
        <v>65</v>
      </c>
      <c r="BL68" s="202">
        <f t="array" aca="1" ref="BL68" ca="1">IFERROR(SMALL(IF(COUNTIF(Podcasts!$D$1839:'Podcasts'!$D$1855,ROW(INDIRECT("1:"&amp;K$2)))=0,ROW(INDIRECT("1:"&amp;K$2))),ROW($A25)),"")</f>
        <v>28</v>
      </c>
      <c r="BM68" s="567">
        <f t="array" aca="1" ref="BM68" ca="1">IFERROR(SMALL(IF(COUNTIF(Podcasts!$D$1861:'Podcasts'!$D$1994,ROW(INDIRECT("1:"&amp;K$2)))=0,ROW(INDIRECT("1:"&amp;K$2))),ROW($A25)),"")</f>
        <v>33</v>
      </c>
      <c r="BN68" s="567">
        <f t="array" aca="1" ref="BN68" ca="1">IFERROR(SMALL(IF(COUNTIF(Podcasts!$D$2000:'Podcasts'!$D$2057,ROW(INDIRECT("1:"&amp;K$2)))=0,ROW(INDIRECT("1:"&amp;K$2))),ROW($A25)),"")</f>
        <v>80</v>
      </c>
      <c r="BO68" s="567">
        <f t="array" aca="1" ref="BO68" ca="1">IFERROR(SMALL(IF(COUNTIF(Podcasts!$D$2063:'Podcasts'!$D$2071,ROW(INDIRECT("1:"&amp;K$2)))=0,ROW(INDIRECT("1:"&amp;K$2))),ROW($A25)),"")</f>
        <v>25</v>
      </c>
      <c r="BP68" s="202">
        <f t="array" aca="1" ref="BP68" ca="1">IFERROR(SMALL(IF(COUNTIF(Podcasts!$D$2077:'Podcasts'!$D$2092,ROW(INDIRECT("1:"&amp;K$2)))=0,ROW(INDIRECT("1:"&amp;K$2))),ROW($A25)),"")</f>
        <v>31</v>
      </c>
      <c r="BQ68" s="741">
        <f t="array" aca="1" ref="BQ68" ca="1">IFERROR(SMALL(IF(COUNTIF(Podcasts!$D$2098:'Podcasts'!$D$2114,ROW(INDIRECT("1:"&amp;K$2)))=0,ROW(INDIRECT("1:"&amp;K$2))),ROW($A25)),"")</f>
        <v>27</v>
      </c>
      <c r="BR68" s="744">
        <f t="array" aca="1" ref="BR68" ca="1">IFERROR(SMALL(IF(COUNTIF(Podcasts!$D$2120:'Podcasts'!$D$2124,ROW(INDIRECT("1:"&amp;K$2)))=0,ROW(INDIRECT("1:"&amp;K$2))),ROW($A25)),"")</f>
        <v>27</v>
      </c>
      <c r="BS68" s="28"/>
    </row>
    <row r="69" spans="1:71" outlineLevel="1">
      <c r="A69" s="28"/>
      <c r="B69" s="161">
        <v>26</v>
      </c>
      <c r="C69" s="161">
        <f>COUNTIF(Podcasts!$D$10:'Podcasts'!$D$2535,B69)-1</f>
        <v>8</v>
      </c>
      <c r="D69" s="158" t="s">
        <v>1054</v>
      </c>
      <c r="E69" s="156" t="str">
        <f t="array" ref="E69">IF(F69="","",INDEX(Podcasts!$J$10:'Podcasts'!$J$2535,MATCH(F69&amp;$B69,Podcasts!$E$10:'Podcasts'!$E$2535&amp;Podcasts!$D$10:'Podcasts'!$D$2535,0)))</f>
        <v>Fürst</v>
      </c>
      <c r="F69" s="131">
        <f t="array" ref="F69">IF(COUNTIF(Podcasts!$D$10:'Podcasts'!$D$2535,$B69)&lt;COLUMN(A27),"",SMALL(IF(Podcasts!$D$10:'Podcasts'!$D$2535=$B69,Podcasts!$E$10:'Podcasts'!$E$2535),COLUMN(A27)))</f>
        <v>42064</v>
      </c>
      <c r="G69" s="132">
        <f t="array" ref="G69">IF(F69="","",INDEX(Podcasts!$F$10:'Podcasts'!$F$2535,MATCH(F69&amp;$B69,Podcasts!$E$10:'Podcasts'!$E$2535&amp;Podcasts!$D$10:'Podcasts'!$D$2535,0)))</f>
        <v>1.2847222222222223E-2</v>
      </c>
      <c r="H69" s="136" t="str">
        <f t="array" ref="H69">IF(I69="","",INDEX(Podcasts!$J$10:'Podcasts'!$J$2535,MATCH(I69&amp;$B69,Podcasts!$E$10:'Podcasts'!$E$2535&amp;Podcasts!$D$10:'Podcasts'!$D$2535,0)))</f>
        <v>R&amp;A</v>
      </c>
      <c r="I69" s="133">
        <f t="array" ref="I69">IF(COUNTIF(Podcasts!$D$10:'Podcasts'!$D$2535,$B69)&lt;COLUMN(B27),"",SMALL(IF(Podcasts!$D$10:'Podcasts'!$D$2535=$B69,Podcasts!$E$10:'Podcasts'!$E$2535),COLUMN(B27)))</f>
        <v>44012.75</v>
      </c>
      <c r="J69" s="132">
        <f t="array" ref="J69">IF(I69="","",INDEX(Podcasts!$F$10:'Podcasts'!$F$2535,MATCH(I69&amp;$B69,Podcasts!$E$10:'Podcasts'!$E$2535&amp;Podcasts!$D$10:'Podcasts'!$D$2535,0)))</f>
        <v>0.10005787037037038</v>
      </c>
      <c r="K69" s="136" t="str">
        <f t="array" ref="K69">IF(L69="","",INDEX(Podcasts!$J$10:'Podcasts'!$J$2535,MATCH(L69&amp;$B69,Podcasts!$E$10:'Podcasts'!$E$2535&amp;Podcasts!$D$10:'Podcasts'!$D$2535,0)))</f>
        <v>Retro</v>
      </c>
      <c r="L69" s="133">
        <f t="array" ref="L69">IF(COUNTIF(Podcasts!$D$10:'Podcasts'!$D$2535,$B69)&lt;COLUMN(C27),"",SMALL(IF(Podcasts!$D$10:'Podcasts'!$D$2535=$B69,Podcasts!$E$10:'Podcasts'!$E$2535),COLUMN(C27)))</f>
        <v>44074</v>
      </c>
      <c r="M69" s="132">
        <f t="array" ref="M69">IF(L69="","",INDEX(Podcasts!$F$10:'Podcasts'!$F$2535,MATCH(L69&amp;$B69,Podcasts!$E$10:'Podcasts'!$E$2535&amp;Podcasts!$D$10:'Podcasts'!$D$2535,0)))</f>
        <v>0</v>
      </c>
      <c r="N69" s="136" t="str">
        <f t="array" ref="N69">IF(O69="","",INDEX(Podcasts!$J$10:'Podcasts'!$J$2535,MATCH(O69&amp;$B69,Podcasts!$E$10:'Podcasts'!$E$2535&amp;Podcasts!$D$10:'Podcasts'!$D$2535,0)))</f>
        <v>Kaffee</v>
      </c>
      <c r="O69" s="133">
        <f t="array" ref="O69">IF(COUNTIF(Podcasts!$D$10:'Podcasts'!$D$2535,$B69)&lt;COLUMN(D27),"",SMALL(IF(Podcasts!$D$10:'Podcasts'!$D$2535=$B69,Podcasts!$E$10:'Podcasts'!$E$2535),COLUMN(D27)))</f>
        <v>44358</v>
      </c>
      <c r="P69" s="132">
        <f t="array" ref="P69">IF(O69="","",INDEX(Podcasts!$F$10:'Podcasts'!$F$2535,MATCH(O69&amp;$B69,Podcasts!$E$10:'Podcasts'!$E$2535&amp;Podcasts!$D$10:'Podcasts'!$D$2535,0)))</f>
        <v>2.2604166666666665E-2</v>
      </c>
      <c r="Q69" s="136" t="str">
        <f t="array" ref="Q69">IF(R69="","",INDEX(Podcasts!$J$10:'Podcasts'!$J$2535,MATCH(R69&amp;$B69,Podcasts!$E$10:'Podcasts'!$E$2535&amp;Podcasts!$D$10:'Podcasts'!$D$2535,0)))</f>
        <v>Abfahrt</v>
      </c>
      <c r="R69" s="133">
        <f t="array" ref="R69">IF(COUNTIF(Podcasts!$D$10:'Podcasts'!$D$2535,$B69)&lt;COLUMN(E27),"",SMALL(IF(Podcasts!$D$10:'Podcasts'!$D$2535=$B69,Podcasts!$E$10:'Podcasts'!$E$2535),COLUMN(E27)))</f>
        <v>44729</v>
      </c>
      <c r="S69" s="132">
        <f t="array" ref="S69">IF(R69="","",INDEX(Podcasts!$F$10:'Podcasts'!$F$2535,MATCH(R69&amp;$B69,Podcasts!$E$10:'Podcasts'!$E$2535&amp;Podcasts!$D$10:'Podcasts'!$D$2535,0)))</f>
        <v>6.6226851851851856E-2</v>
      </c>
      <c r="T69" s="136" t="str">
        <f t="array" ref="T69">IF(U69="","",INDEX(Podcasts!$J$10:'Podcasts'!$J$2535,MATCH(U69&amp;$B69,Podcasts!$E$10:'Podcasts'!$E$2535&amp;Podcasts!$D$10:'Podcasts'!$D$2535,0)))</f>
        <v>Verstärker</v>
      </c>
      <c r="U69" s="133">
        <f t="array" ref="U69">IF(COUNTIF(Podcasts!$D$10:'Podcasts'!$D$2535,$B69)&lt;COLUMN(F27),"",SMALL(IF(Podcasts!$D$10:'Podcasts'!$D$2535=$B69,Podcasts!$E$10:'Podcasts'!$E$2535),COLUMN(F27)))</f>
        <v>44988</v>
      </c>
      <c r="V69" s="132">
        <f t="array" ref="V69">IF(U69="","",INDEX(Podcasts!$F$10:'Podcasts'!$F$2535,MATCH(U69&amp;$B69,Podcasts!$E$10:'Podcasts'!$E$2535&amp;Podcasts!$D$10:'Podcasts'!$D$2535,0)))</f>
        <v>2.2893518518518521E-2</v>
      </c>
      <c r="W69" s="136" t="str">
        <f t="array" ref="W69">IF(X69="","",INDEX(Podcasts!$J$10:'Podcasts'!$J$2535,MATCH(X69&amp;$B69,Podcasts!$E$10:'Podcasts'!$E$2535&amp;Podcasts!$D$10:'Podcasts'!$D$2535,0)))</f>
        <v>beachcast</v>
      </c>
      <c r="X69" s="133">
        <f t="array" ref="X69">IF(COUNTIF(Podcasts!$D$10:'Podcasts'!$D$2535,$B69)&lt;COLUMN(G27),"",SMALL(IF(Podcasts!$D$10:'Podcasts'!$D$2535=$B69,Podcasts!$E$10:'Podcasts'!$E$2535),COLUMN(G27)))</f>
        <v>44989.375162037039</v>
      </c>
      <c r="Y69" s="132">
        <f t="array" ref="Y69">IF(X69="","",INDEX(Podcasts!$F$10:'Podcasts'!$F$2535,MATCH(X69&amp;$B69,Podcasts!$E$10:'Podcasts'!$E$2535&amp;Podcasts!$D$10:'Podcasts'!$D$2535,0)))</f>
        <v>7.6469907407407403E-2</v>
      </c>
      <c r="Z69" s="136" t="str">
        <f t="array" ref="Z69">IF(AA69="","",INDEX(Podcasts!$J$10:'Podcasts'!$J$2535,MATCH(AA69&amp;$B69,Podcasts!$E$10:'Podcasts'!$E$2535&amp;Podcasts!$D$10:'Podcasts'!$D$2535,0)))</f>
        <v>RBW</v>
      </c>
      <c r="AA69" s="134">
        <f t="array" ref="AA69">IF(COUNTIF(Podcasts!$D$10:'Podcasts'!$D$2535,$B69)&lt;COLUMN(H27),"",SMALL(IF(Podcasts!$D$10:'Podcasts'!$D$2535=$B69,Podcasts!$E$10:'Podcasts'!$E$2535),COLUMN(H27)))</f>
        <v>45036</v>
      </c>
      <c r="AB69" s="404">
        <f t="array" ref="AB69">IF(AA69="","",INDEX(Podcasts!$F$10:'Podcasts'!$F$2535,MATCH(AA69&amp;$B69,Podcasts!$E$10:'Podcasts'!$E$2535&amp;Podcasts!$D$10:'Podcasts'!$D$2535,0)))</f>
        <v>3.3865740740740738E-2</v>
      </c>
      <c r="AC69" s="406" t="str">
        <f t="array" ref="AC69">IF(AD69="","",INDEX(Podcasts!$J$10:'Podcasts'!$J$2535,MATCH(AD69&amp;$B69,Podcasts!$E$10:'Podcasts'!$E$2535&amp;Podcasts!$D$10:'Podcasts'!$D$2535,0)))</f>
        <v>Bobcast</v>
      </c>
      <c r="AD69" s="400">
        <f t="array" ref="AD69">IF(COUNTIF(Podcasts!$D$10:'Podcasts'!$D$2535,$B69)&lt;COLUMN(I27),"",SMALL(IF(Podcasts!$D$10:'Podcasts'!$D$2535=$B69,Podcasts!$E$10:'Podcasts'!$E$2535),COLUMN(I27)))</f>
        <v>45054.380995370368</v>
      </c>
      <c r="AE69" s="401">
        <f t="array" ref="AE69">IF(AD69="","",INDEX(Podcasts!$F$10:'Podcasts'!$F$2535,MATCH(AD69&amp;$B69,Podcasts!$E$10:'Podcasts'!$E$2535&amp;Podcasts!$D$10:'Podcasts'!$D$2535,0)))</f>
        <v>3.5636574074074077E-2</v>
      </c>
      <c r="AF69" s="406" t="str">
        <f t="array" ref="AF69">IF(AG69="","",INDEX(Podcasts!$J$10:'Podcasts'!$J$2535,MATCH(AG69&amp;$B69,Podcasts!$E$10:'Podcasts'!$E$2535&amp;Podcasts!$D$10:'Podcasts'!$D$2535,0)))</f>
        <v/>
      </c>
      <c r="AG69" s="400" t="str">
        <f t="array" ref="AG69">IF(COUNTIF(Podcasts!$D$10:'Podcasts'!$D$2535,$B69)&lt;COLUMN(J27),"",SMALL(IF(Podcasts!$D$10:'Podcasts'!$D$2535=$B69,Podcasts!$E$10:'Podcasts'!$E$2535),COLUMN(J27)))</f>
        <v/>
      </c>
      <c r="AH69" s="401" t="str">
        <f t="array" ref="AH69">IF(AG69="","",INDEX(Podcasts!$F$10:'Podcasts'!$F$2535,MATCH(AG69&amp;$B69,Podcasts!$E$10:'Podcasts'!$E$2535&amp;Podcasts!$D$10:'Podcasts'!$D$2535,0)))</f>
        <v/>
      </c>
      <c r="AI69" s="406" t="str">
        <f t="array" ref="AI69">IF(AJ69="","",INDEX(Podcasts!$J$10:'Podcasts'!$J$2535,MATCH(AJ69&amp;$B69,Podcasts!$E$10:'Podcasts'!$E$2535&amp;Podcasts!$D$10:'Podcasts'!$D$2535,0)))</f>
        <v/>
      </c>
      <c r="AJ69" s="400" t="str">
        <f t="array" ref="AJ69">IF(COUNTIF(Podcasts!$D$10:'Podcasts'!$D$2535,$B69)&lt;COLUMN(K27),"",SMALL(IF(Podcasts!$D$10:'Podcasts'!$D$2535=$B69,Podcasts!$E$10:'Podcasts'!$E$2535),COLUMN(K27)))</f>
        <v/>
      </c>
      <c r="AK69" s="401" t="str">
        <f t="array" ref="AK69">IF(AJ69="","",INDEX(Podcasts!$F$10:'Podcasts'!$F$2535,MATCH(AJ69&amp;$B69,Podcasts!$E$10:'Podcasts'!$E$2535&amp;Podcasts!$D$10:'Podcasts'!$D$2535,0)))</f>
        <v/>
      </c>
      <c r="AL69" s="406" t="str">
        <f t="array" ref="AL69">IF(AM69="","",INDEX(Podcasts!$J$10:'Podcasts'!$J$2535,MATCH(AM69&amp;$B69,Podcasts!$E$10:'Podcasts'!$E$2535&amp;Podcasts!$D$10:'Podcasts'!$D$2535,0)))</f>
        <v/>
      </c>
      <c r="AM69" s="400" t="str">
        <f t="array" ref="AM69">IF(COUNTIF(Podcasts!$D$10:'Podcasts'!$D$2535,$B69)&lt;COLUMN(L27),"",SMALL(IF(Podcasts!$D$10:'Podcasts'!$D$2535=$B69,Podcasts!$E$10:'Podcasts'!$E$2535),COLUMN(L27)))</f>
        <v/>
      </c>
      <c r="AN69" s="401" t="str">
        <f t="array" ref="AN69">IF(AM69="","",INDEX(Podcasts!$F$10:'Podcasts'!$F$2535,MATCH(AM69&amp;$B69,Podcasts!$E$10:'Podcasts'!$E$2535&amp;Podcasts!$D$10:'Podcasts'!$D$2535,0)))</f>
        <v/>
      </c>
      <c r="AO69" s="402"/>
      <c r="AP69" s="119"/>
      <c r="AQ69" s="117">
        <f t="array" aca="1" ref="AQ69" ca="1">IFERROR(SMALL(IF(COUNTIF(Podcasts!$D$10:'Podcasts'!$D$107,ROW(INDIRECT("1:"&amp;K$2)))=0,ROW(INDIRECT("1:"&amp;K$2))),ROW($A26)),"")</f>
        <v>41</v>
      </c>
      <c r="AR69" s="117">
        <f t="array" aca="1" ref="AR69" ca="1">IFERROR(SMALL(IF(COUNTIF(Podcasts!$D$113:'Podcasts'!$D$238,ROW(INDIRECT("1:"&amp;K$2)))=0,ROW(INDIRECT("1:"&amp;K$2))),ROW($A26)),"")</f>
        <v>26</v>
      </c>
      <c r="AS69" s="117">
        <f t="array" aca="1" ref="AS69" ca="1">IFERROR(SMALL(IF(COUNTIF(Podcasts!$D$244:'Podcasts'!$D$299,ROW(INDIRECT("1:"&amp;K$2)))=0,ROW(INDIRECT("1:"&amp;K$2))),ROW($A26)),"")</f>
        <v>42</v>
      </c>
      <c r="AT69" s="117">
        <f t="array" aca="1" ref="AT69" ca="1">IFERROR(SMALL(IF(COUNTIF(Podcasts!$D$305:'Podcasts'!$D$473,ROW(INDIRECT("1:"&amp;K$2)))=0,ROW(INDIRECT("1:"&amp;K$2))),ROW($A26)),"")</f>
        <v>156</v>
      </c>
      <c r="AU69" s="117">
        <f t="array" aca="1" ref="AU69" ca="1">IFERROR(SMALL(IF(COUNTIF(Podcasts!$D$479:'Podcasts'!$D$488,ROW(INDIRECT("1:"&amp;K$2)))=0,ROW(INDIRECT("1:"&amp;K$2))),ROW($A26)),"")</f>
        <v>26</v>
      </c>
      <c r="AV69" s="117">
        <f t="array" aca="1" ref="AV69" ca="1">IFERROR(SMALL(IF(COUNTIF(Podcasts!$D$494:'Podcasts'!$D$518,ROW(INDIRECT("1:"&amp;K$2)))=0,ROW(INDIRECT("1:"&amp;K$2))),ROW($A26)),"")</f>
        <v>41</v>
      </c>
      <c r="AW69" s="117">
        <f t="array" aca="1" ref="AW69" ca="1">IFERROR(SMALL(IF(COUNTIF(Podcasts!$D$524:'Podcasts'!$D$532,ROW(INDIRECT("1:"&amp;K$2)))=0,ROW(INDIRECT("1:"&amp;K$2))),ROW($A26)),"")</f>
        <v>26</v>
      </c>
      <c r="AX69" s="117">
        <f t="array" aca="1" ref="AX69" ca="1">IFERROR(SMALL(IF(COUNTIF(Podcasts!$D$538:'Podcasts'!$D$909,ROW(INDIRECT("1:"&amp;K$2)))=0,ROW(INDIRECT("1:"&amp;K$2))),ROW($A26)),"")</f>
        <v>64</v>
      </c>
      <c r="AY69" s="117">
        <f t="array" aca="1" ref="AY69" ca="1">IFERROR(SMALL(IF(COUNTIF(Podcasts!$D$915:'Podcasts'!$D$981,ROW(INDIRECT("1:"&amp;K$2)))=0,ROW(INDIRECT("1:"&amp;K$2))),ROW($A26)),"")</f>
        <v>46</v>
      </c>
      <c r="AZ69" s="445"/>
      <c r="BA69" s="117">
        <f t="array" aca="1" ref="BA69" ca="1">IFERROR(SMALL(IF(COUNTIF(Podcasts!$D$1001:'Podcasts'!$D$1251,ROW(INDIRECT("1:"&amp;K$2)))=0,ROW(INDIRECT("1:"&amp;K$2))),ROW($A26)),"")</f>
        <v>48</v>
      </c>
      <c r="BB69" s="117">
        <f t="array" aca="1" ref="BB69" ca="1">IFERROR(SMALL(IF(COUNTIF(Podcasts!$D$1257:'Podcasts'!$D$1267,ROW(INDIRECT("1:"&amp;K$2)))=0,ROW(INDIRECT("1:"&amp;K$2))),ROW($A26)),"")</f>
        <v>27</v>
      </c>
      <c r="BC69" s="117">
        <f t="array" aca="1" ref="BC69" ca="1">IFERROR(SMALL(IF(COUNTIF(Podcasts!$D$1273:'Podcasts'!$D$1283,ROW(INDIRECT("1:"&amp;K$2)))=0,ROW(INDIRECT("1:"&amp;K$2))),ROW($A26)),"")</f>
        <v>30</v>
      </c>
      <c r="BD69" s="117">
        <f t="array" aca="1" ref="BD69" ca="1">IFERROR(SMALL(IF(COUNTIF(Podcasts!$D$1289:'Podcasts'!$D$1295,ROW(INDIRECT("1:"&amp;K$2)))=0,ROW(INDIRECT("1:"&amp;K$2))),ROW($A26)),"")</f>
        <v>28</v>
      </c>
      <c r="BE69" s="117">
        <f t="array" aca="1" ref="BE69" ca="1">IFERROR(SMALL(IF(COUNTIF(Podcasts!$D$1301:'Podcasts'!$D$1356,ROW(INDIRECT("1:"&amp;K$2)))=0,ROW(INDIRECT("1:"&amp;K$2))),ROW($A26)),"")</f>
        <v>73</v>
      </c>
      <c r="BF69" s="117">
        <f t="array" aca="1" ref="BF69" ca="1">IFERROR(SMALL(IF(COUNTIF(Podcasts!$D$1362:'Podcasts'!$D$1364,ROW(INDIRECT("1:"&amp;K$2)))=0,ROW(INDIRECT("1:"&amp;K$2))),ROW($A26)),"")</f>
        <v>29</v>
      </c>
      <c r="BG69" s="202">
        <f t="array" aca="1" ref="BG69" ca="1">IFERROR(SMALL(IF(COUNTIF(Podcasts!$D$1370:'Podcasts'!$D$1419,ROW(INDIRECT("1:"&amp;K$2)))=0,ROW(INDIRECT("1:"&amp;K$2))),ROW($A26)),"")</f>
        <v>30</v>
      </c>
      <c r="BH69" s="202">
        <f t="array" aca="1" ref="BH69" ca="1">IFERROR(SMALL(IF(COUNTIF(Podcasts!$D$1425:'Podcasts'!$D$1446,ROW(INDIRECT("1:"&amp;K$2)))=0,ROW(INDIRECT("1:"&amp;K$2))),ROW($A26)),"")</f>
        <v>30</v>
      </c>
      <c r="BI69" s="202">
        <f t="array" aca="1" ref="BI69" ca="1">IFERROR(SMALL(IF(COUNTIF(Podcasts!$D$1452:'Podcasts'!$D$1574,ROW(INDIRECT("1:"&amp;K$2)))=0,ROW(INDIRECT("1:"&amp;K$2))),ROW($A26)),"")</f>
        <v>53</v>
      </c>
      <c r="BJ69" s="202">
        <f t="array" aca="1" ref="BJ69" ca="1">IFERROR(SMALL(IF(COUNTIF(Podcasts!$D$1580:'Podcasts'!$D$1705,ROW(INDIRECT("1:"&amp;K$2)))=0,ROW(INDIRECT("1:"&amp;K$2))),ROW($A26)),"")</f>
        <v>43</v>
      </c>
      <c r="BK69" s="202">
        <f t="array" aca="1" ref="BK69" ca="1">IFERROR(SMALL(IF(COUNTIF(Podcasts!$D$1711:'Podcasts'!$D$1833,ROW(INDIRECT("1:"&amp;K$2)))=0,ROW(INDIRECT("1:"&amp;K$2))),ROW($A26)),"")</f>
        <v>66</v>
      </c>
      <c r="BL69" s="202">
        <f t="array" aca="1" ref="BL69" ca="1">IFERROR(SMALL(IF(COUNTIF(Podcasts!$D$1839:'Podcasts'!$D$1855,ROW(INDIRECT("1:"&amp;K$2)))=0,ROW(INDIRECT("1:"&amp;K$2))),ROW($A26)),"")</f>
        <v>29</v>
      </c>
      <c r="BM69" s="567">
        <f t="array" aca="1" ref="BM69" ca="1">IFERROR(SMALL(IF(COUNTIF(Podcasts!$D$1861:'Podcasts'!$D$1994,ROW(INDIRECT("1:"&amp;K$2)))=0,ROW(INDIRECT("1:"&amp;K$2))),ROW($A26)),"")</f>
        <v>34</v>
      </c>
      <c r="BN69" s="567">
        <f t="array" aca="1" ref="BN69" ca="1">IFERROR(SMALL(IF(COUNTIF(Podcasts!$D$2000:'Podcasts'!$D$2057,ROW(INDIRECT("1:"&amp;K$2)))=0,ROW(INDIRECT("1:"&amp;K$2))),ROW($A26)),"")</f>
        <v>81</v>
      </c>
      <c r="BO69" s="567">
        <f t="array" aca="1" ref="BO69" ca="1">IFERROR(SMALL(IF(COUNTIF(Podcasts!$D$2063:'Podcasts'!$D$2071,ROW(INDIRECT("1:"&amp;K$2)))=0,ROW(INDIRECT("1:"&amp;K$2))),ROW($A26)),"")</f>
        <v>26</v>
      </c>
      <c r="BP69" s="202">
        <f t="array" aca="1" ref="BP69" ca="1">IFERROR(SMALL(IF(COUNTIF(Podcasts!$D$2077:'Podcasts'!$D$2092,ROW(INDIRECT("1:"&amp;K$2)))=0,ROW(INDIRECT("1:"&amp;K$2))),ROW($A26)),"")</f>
        <v>32</v>
      </c>
      <c r="BQ69" s="741">
        <f t="array" aca="1" ref="BQ69" ca="1">IFERROR(SMALL(IF(COUNTIF(Podcasts!$D$2098:'Podcasts'!$D$2114,ROW(INDIRECT("1:"&amp;K$2)))=0,ROW(INDIRECT("1:"&amp;K$2))),ROW($A26)),"")</f>
        <v>28</v>
      </c>
      <c r="BR69" s="744">
        <f t="array" aca="1" ref="BR69" ca="1">IFERROR(SMALL(IF(COUNTIF(Podcasts!$D$2120:'Podcasts'!$D$2124,ROW(INDIRECT("1:"&amp;K$2)))=0,ROW(INDIRECT("1:"&amp;K$2))),ROW($A26)),"")</f>
        <v>28</v>
      </c>
      <c r="BS69" s="28"/>
    </row>
    <row r="70" spans="1:71" outlineLevel="1">
      <c r="A70" s="28"/>
      <c r="B70" s="161">
        <v>27</v>
      </c>
      <c r="C70" s="161">
        <f>COUNTIF(Podcasts!$D$10:'Podcasts'!$D$2535,B70)</f>
        <v>9</v>
      </c>
      <c r="D70" s="158" t="s">
        <v>1055</v>
      </c>
      <c r="E70" s="156" t="str">
        <f t="array" ref="E70">IF(F70="","",INDEX(Podcasts!$J$10:'Podcasts'!$J$2535,MATCH(F70&amp;$B70,Podcasts!$E$10:'Podcasts'!$E$2535&amp;Podcasts!$D$10:'Podcasts'!$D$2535,0)))</f>
        <v>Fürst</v>
      </c>
      <c r="F70" s="131">
        <f t="array" ref="F70">IF(COUNTIF(Podcasts!$D$10:'Podcasts'!$D$2535,$B70)&lt;COLUMN(A28),"",SMALL(IF(Podcasts!$D$10:'Podcasts'!$D$2535=$B70,Podcasts!$E$10:'Podcasts'!$E$2535),COLUMN(A28)))</f>
        <v>41936</v>
      </c>
      <c r="G70" s="132">
        <f t="array" ref="G70">IF(F70="","",INDEX(Podcasts!$F$10:'Podcasts'!$F$2535,MATCH(F70&amp;$B70,Podcasts!$E$10:'Podcasts'!$E$2535&amp;Podcasts!$D$10:'Podcasts'!$D$2535,0)))</f>
        <v>3.4722222222222307E-3</v>
      </c>
      <c r="H70" s="136" t="str">
        <f t="array" ref="H70">IF(I70="","",INDEX(Podcasts!$J$10:'Podcasts'!$J$2535,MATCH(I70&amp;$B70,Podcasts!$E$10:'Podcasts'!$E$2535&amp;Podcasts!$D$10:'Podcasts'!$D$2535,0)))</f>
        <v>R&amp;A</v>
      </c>
      <c r="I70" s="133">
        <f t="array" ref="I70">IF(COUNTIF(Podcasts!$D$10:'Podcasts'!$D$2535,$B70)&lt;COLUMN(B28),"",SMALL(IF(Podcasts!$D$10:'Podcasts'!$D$2535=$B70,Podcasts!$E$10:'Podcasts'!$E$2535),COLUMN(B28)))</f>
        <v>43195.716597222221</v>
      </c>
      <c r="J70" s="132">
        <f t="array" ref="J70">IF(I70="","",INDEX(Podcasts!$F$10:'Podcasts'!$F$2535,MATCH(I70&amp;$B70,Podcasts!$E$10:'Podcasts'!$E$2535&amp;Podcasts!$D$10:'Podcasts'!$D$2535,0)))</f>
        <v>6.598379629629629E-2</v>
      </c>
      <c r="K70" s="136" t="str">
        <f t="array" ref="K70">IF(L70="","",INDEX(Podcasts!$J$10:'Podcasts'!$J$2535,MATCH(L70&amp;$B70,Podcasts!$E$10:'Podcasts'!$E$2535&amp;Podcasts!$D$10:'Podcasts'!$D$2535,0)))</f>
        <v>Zw3i</v>
      </c>
      <c r="L70" s="133">
        <f t="array" ref="L70">IF(COUNTIF(Podcasts!$D$10:'Podcasts'!$D$2535,$B70)&lt;COLUMN(C28),"",SMALL(IF(Podcasts!$D$10:'Podcasts'!$D$2535=$B70,Podcasts!$E$10:'Podcasts'!$E$2535),COLUMN(C28)))</f>
        <v>44505</v>
      </c>
      <c r="M70" s="132">
        <f t="array" ref="M70">IF(L70="","",INDEX(Podcasts!$F$10:'Podcasts'!$F$2535,MATCH(L70&amp;$B70,Podcasts!$E$10:'Podcasts'!$E$2535&amp;Podcasts!$D$10:'Podcasts'!$D$2535,0)))</f>
        <v>5.7893518518518518E-2</v>
      </c>
      <c r="N70" s="136" t="str">
        <f t="array" ref="N70">IF(O70="","",INDEX(Podcasts!$J$10:'Podcasts'!$J$2535,MATCH(O70&amp;$B70,Podcasts!$E$10:'Podcasts'!$E$2535&amp;Podcasts!$D$10:'Podcasts'!$D$2535,0)))</f>
        <v>Abfahrt</v>
      </c>
      <c r="O70" s="133">
        <f t="array" ref="O70">IF(COUNTIF(Podcasts!$D$10:'Podcasts'!$D$2535,$B70)&lt;COLUMN(D28),"",SMALL(IF(Podcasts!$D$10:'Podcasts'!$D$2535=$B70,Podcasts!$E$10:'Podcasts'!$E$2535),COLUMN(D28)))</f>
        <v>44757</v>
      </c>
      <c r="P70" s="132">
        <f t="array" ref="P70">IF(O70="","",INDEX(Podcasts!$F$10:'Podcasts'!$F$2535,MATCH(O70&amp;$B70,Podcasts!$E$10:'Podcasts'!$E$2535&amp;Podcasts!$D$10:'Podcasts'!$D$2535,0)))</f>
        <v>6.4976851851851855E-2</v>
      </c>
      <c r="Q70" s="136" t="str">
        <f t="array" ref="Q70">IF(R70="","",INDEX(Podcasts!$J$10:'Podcasts'!$J$2535,MATCH(R70&amp;$B70,Podcasts!$E$10:'Podcasts'!$E$2535&amp;Podcasts!$D$10:'Podcasts'!$D$2535,0)))</f>
        <v>Verstärker</v>
      </c>
      <c r="R70" s="133">
        <f t="array" ref="R70">IF(COUNTIF(Podcasts!$D$10:'Podcasts'!$D$2535,$B70)&lt;COLUMN(E28),"",SMALL(IF(Podcasts!$D$10:'Podcasts'!$D$2535=$B70,Podcasts!$E$10:'Podcasts'!$E$2535),COLUMN(E28)))</f>
        <v>45019</v>
      </c>
      <c r="S70" s="132">
        <f t="array" ref="S70">IF(R70="","",INDEX(Podcasts!$F$10:'Podcasts'!$F$2535,MATCH(R70&amp;$B70,Podcasts!$E$10:'Podcasts'!$E$2535&amp;Podcasts!$D$10:'Podcasts'!$D$2535,0)))</f>
        <v>2.2789351851851852E-2</v>
      </c>
      <c r="T70" s="136" t="str">
        <f t="array" ref="T70">IF(U70="","",INDEX(Podcasts!$J$10:'Podcasts'!$J$2535,MATCH(U70&amp;$B70,Podcasts!$E$10:'Podcasts'!$E$2535&amp;Podcasts!$D$10:'Podcasts'!$D$2535,0)))</f>
        <v>RBW</v>
      </c>
      <c r="U70" s="133">
        <f t="array" ref="U70">IF(COUNTIF(Podcasts!$D$10:'Podcasts'!$D$2535,$B70)&lt;COLUMN(F28),"",SMALL(IF(Podcasts!$D$10:'Podcasts'!$D$2535=$B70,Podcasts!$E$10:'Podcasts'!$E$2535),COLUMN(F28)))</f>
        <v>45043</v>
      </c>
      <c r="V70" s="132">
        <f t="array" ref="V70">IF(U70="","",INDEX(Podcasts!$F$10:'Podcasts'!$F$2535,MATCH(U70&amp;$B70,Podcasts!$E$10:'Podcasts'!$E$2535&amp;Podcasts!$D$10:'Podcasts'!$D$2535,0)))</f>
        <v>3.1608796296296295E-2</v>
      </c>
      <c r="W70" s="136" t="str">
        <f t="array" ref="W70">IF(X70="","",INDEX(Podcasts!$J$10:'Podcasts'!$J$2535,MATCH(X70&amp;$B70,Podcasts!$E$10:'Podcasts'!$E$2535&amp;Podcasts!$D$10:'Podcasts'!$D$2535,0)))</f>
        <v>SSP</v>
      </c>
      <c r="X70" s="133">
        <f t="array" ref="X70">IF(COUNTIF(Podcasts!$D$10:'Podcasts'!$D$2535,$B70)&lt;COLUMN(G28),"",SMALL(IF(Podcasts!$D$10:'Podcasts'!$D$2535=$B70,Podcasts!$E$10:'Podcasts'!$E$2535),COLUMN(G28)))</f>
        <v>45047</v>
      </c>
      <c r="Y70" s="132">
        <f t="array" ref="Y70">IF(X70="","",INDEX(Podcasts!$F$10:'Podcasts'!$F$2535,MATCH(X70&amp;$B70,Podcasts!$E$10:'Podcasts'!$E$2535&amp;Podcasts!$D$10:'Podcasts'!$D$2535,0)))</f>
        <v>0.1743402777777778</v>
      </c>
      <c r="Z70" s="136" t="str">
        <f t="array" ref="Z70">IF(AA70="","",INDEX(Podcasts!$J$10:'Podcasts'!$J$2535,MATCH(AA70&amp;$B70,Podcasts!$E$10:'Podcasts'!$E$2535&amp;Podcasts!$D$10:'Podcasts'!$D$2535,0)))</f>
        <v>Bobcast</v>
      </c>
      <c r="AA70" s="134">
        <f t="array" ref="AA70">IF(COUNTIF(Podcasts!$D$10:'Podcasts'!$D$2535,$B70)&lt;COLUMN(H28),"",SMALL(IF(Podcasts!$D$10:'Podcasts'!$D$2535=$B70,Podcasts!$E$10:'Podcasts'!$E$2535),COLUMN(H28)))</f>
        <v>45068.001168981478</v>
      </c>
      <c r="AB70" s="404">
        <f t="array" ref="AB70">IF(AA70="","",INDEX(Podcasts!$F$10:'Podcasts'!$F$2535,MATCH(AA70&amp;$B70,Podcasts!$E$10:'Podcasts'!$E$2535&amp;Podcasts!$D$10:'Podcasts'!$D$2535,0)))</f>
        <v>4.1817129629629628E-2</v>
      </c>
      <c r="AC70" s="406" t="str">
        <f t="array" ref="AC70">IF(AD70="","",INDEX(Podcasts!$J$10:'Podcasts'!$J$2535,MATCH(AD70&amp;$B70,Podcasts!$E$10:'Podcasts'!$E$2535&amp;Podcasts!$D$10:'Podcasts'!$D$2535,0)))</f>
        <v>Kaffee</v>
      </c>
      <c r="AD70" s="400">
        <f t="array" ref="AD70">IF(COUNTIF(Podcasts!$D$10:'Podcasts'!$D$2535,$B70)&lt;COLUMN(I28),"",SMALL(IF(Podcasts!$D$10:'Podcasts'!$D$2535=$B70,Podcasts!$E$10:'Podcasts'!$E$2535),COLUMN(I28)))</f>
        <v>45289</v>
      </c>
      <c r="AE70" s="401">
        <f t="array" ref="AE70">IF(AD70="","",INDEX(Podcasts!$F$10:'Podcasts'!$F$2535,MATCH(AD70&amp;$B70,Podcasts!$E$10:'Podcasts'!$E$2535&amp;Podcasts!$D$10:'Podcasts'!$D$2535,0)))</f>
        <v>4.9629629629629635E-2</v>
      </c>
      <c r="AF70" s="406" t="str">
        <f t="array" ref="AF70">IF(AG70="","",INDEX(Podcasts!$J$10:'Podcasts'!$J$2535,MATCH(AG70&amp;$B70,Podcasts!$E$10:'Podcasts'!$E$2535&amp;Podcasts!$D$10:'Podcasts'!$D$2535,0)))</f>
        <v/>
      </c>
      <c r="AG70" s="400" t="str">
        <f t="array" ref="AG70">IF(COUNTIF(Podcasts!$D$10:'Podcasts'!$D$2535,$B70)&lt;COLUMN(J28),"",SMALL(IF(Podcasts!$D$10:'Podcasts'!$D$2535=$B70,Podcasts!$E$10:'Podcasts'!$E$2535),COLUMN(J28)))</f>
        <v/>
      </c>
      <c r="AH70" s="401" t="str">
        <f t="array" ref="AH70">IF(AG70="","",INDEX(Podcasts!$F$10:'Podcasts'!$F$2535,MATCH(AG70&amp;$B70,Podcasts!$E$10:'Podcasts'!$E$2535&amp;Podcasts!$D$10:'Podcasts'!$D$2535,0)))</f>
        <v/>
      </c>
      <c r="AI70" s="406" t="str">
        <f t="array" ref="AI70">IF(AJ70="","",INDEX(Podcasts!$J$10:'Podcasts'!$J$2535,MATCH(AJ70&amp;$B70,Podcasts!$E$10:'Podcasts'!$E$2535&amp;Podcasts!$D$10:'Podcasts'!$D$2535,0)))</f>
        <v/>
      </c>
      <c r="AJ70" s="400" t="str">
        <f t="array" ref="AJ70">IF(COUNTIF(Podcasts!$D$10:'Podcasts'!$D$2535,$B70)&lt;COLUMN(K28),"",SMALL(IF(Podcasts!$D$10:'Podcasts'!$D$2535=$B70,Podcasts!$E$10:'Podcasts'!$E$2535),COLUMN(K28)))</f>
        <v/>
      </c>
      <c r="AK70" s="401" t="str">
        <f t="array" ref="AK70">IF(AJ70="","",INDEX(Podcasts!$F$10:'Podcasts'!$F$2535,MATCH(AJ70&amp;$B70,Podcasts!$E$10:'Podcasts'!$E$2535&amp;Podcasts!$D$10:'Podcasts'!$D$2535,0)))</f>
        <v/>
      </c>
      <c r="AL70" s="406" t="str">
        <f t="array" ref="AL70">IF(AM70="","",INDEX(Podcasts!$J$10:'Podcasts'!$J$2535,MATCH(AM70&amp;$B70,Podcasts!$E$10:'Podcasts'!$E$2535&amp;Podcasts!$D$10:'Podcasts'!$D$2535,0)))</f>
        <v/>
      </c>
      <c r="AM70" s="400" t="str">
        <f t="array" ref="AM70">IF(COUNTIF(Podcasts!$D$10:'Podcasts'!$D$2535,$B70)&lt;COLUMN(L28),"",SMALL(IF(Podcasts!$D$10:'Podcasts'!$D$2535=$B70,Podcasts!$E$10:'Podcasts'!$E$2535),COLUMN(L28)))</f>
        <v/>
      </c>
      <c r="AN70" s="401" t="str">
        <f t="array" ref="AN70">IF(AM70="","",INDEX(Podcasts!$F$10:'Podcasts'!$F$2535,MATCH(AM70&amp;$B70,Podcasts!$E$10:'Podcasts'!$E$2535&amp;Podcasts!$D$10:'Podcasts'!$D$2535,0)))</f>
        <v/>
      </c>
      <c r="AO70" s="402"/>
      <c r="AP70" s="119"/>
      <c r="AQ70" s="117">
        <f t="array" aca="1" ref="AQ70" ca="1">IFERROR(SMALL(IF(COUNTIF(Podcasts!$D$10:'Podcasts'!$D$107,ROW(INDIRECT("1:"&amp;K$2)))=0,ROW(INDIRECT("1:"&amp;K$2))),ROW($A27)),"")</f>
        <v>42</v>
      </c>
      <c r="AR70" s="117">
        <f t="array" aca="1" ref="AR70" ca="1">IFERROR(SMALL(IF(COUNTIF(Podcasts!$D$113:'Podcasts'!$D$238,ROW(INDIRECT("1:"&amp;K$2)))=0,ROW(INDIRECT("1:"&amp;K$2))),ROW($A27)),"")</f>
        <v>27</v>
      </c>
      <c r="AS70" s="117">
        <f t="array" aca="1" ref="AS70" ca="1">IFERROR(SMALL(IF(COUNTIF(Podcasts!$D$244:'Podcasts'!$D$299,ROW(INDIRECT("1:"&amp;K$2)))=0,ROW(INDIRECT("1:"&amp;K$2))),ROW($A27)),"")</f>
        <v>43</v>
      </c>
      <c r="AT70" s="117">
        <f t="array" aca="1" ref="AT70" ca="1">IFERROR(SMALL(IF(COUNTIF(Podcasts!$D$305:'Podcasts'!$D$473,ROW(INDIRECT("1:"&amp;K$2)))=0,ROW(INDIRECT("1:"&amp;K$2))),ROW($A27)),"")</f>
        <v>158</v>
      </c>
      <c r="AU70" s="117">
        <f t="array" aca="1" ref="AU70" ca="1">IFERROR(SMALL(IF(COUNTIF(Podcasts!$D$479:'Podcasts'!$D$488,ROW(INDIRECT("1:"&amp;K$2)))=0,ROW(INDIRECT("1:"&amp;K$2))),ROW($A27)),"")</f>
        <v>27</v>
      </c>
      <c r="AV70" s="117">
        <f t="array" aca="1" ref="AV70" ca="1">IFERROR(SMALL(IF(COUNTIF(Podcasts!$D$494:'Podcasts'!$D$518,ROW(INDIRECT("1:"&amp;K$2)))=0,ROW(INDIRECT("1:"&amp;K$2))),ROW($A27)),"")</f>
        <v>42</v>
      </c>
      <c r="AW70" s="117">
        <f t="array" aca="1" ref="AW70" ca="1">IFERROR(SMALL(IF(COUNTIF(Podcasts!$D$524:'Podcasts'!$D$532,ROW(INDIRECT("1:"&amp;K$2)))=0,ROW(INDIRECT("1:"&amp;K$2))),ROW($A27)),"")</f>
        <v>27</v>
      </c>
      <c r="AX70" s="117">
        <f t="array" aca="1" ref="AX70" ca="1">IFERROR(SMALL(IF(COUNTIF(Podcasts!$D$538:'Podcasts'!$D$909,ROW(INDIRECT("1:"&amp;K$2)))=0,ROW(INDIRECT("1:"&amp;K$2))),ROW($A27)),"")</f>
        <v>71</v>
      </c>
      <c r="AY70" s="117">
        <f t="array" aca="1" ref="AY70" ca="1">IFERROR(SMALL(IF(COUNTIF(Podcasts!$D$915:'Podcasts'!$D$981,ROW(INDIRECT("1:"&amp;K$2)))=0,ROW(INDIRECT("1:"&amp;K$2))),ROW($A27)),"")</f>
        <v>47</v>
      </c>
      <c r="AZ70" s="445"/>
      <c r="BA70" s="117">
        <f t="array" aca="1" ref="BA70" ca="1">IFERROR(SMALL(IF(COUNTIF(Podcasts!$D$1001:'Podcasts'!$D$1251,ROW(INDIRECT("1:"&amp;K$2)))=0,ROW(INDIRECT("1:"&amp;K$2))),ROW($A27)),"")</f>
        <v>49</v>
      </c>
      <c r="BB70" s="117">
        <f t="array" aca="1" ref="BB70" ca="1">IFERROR(SMALL(IF(COUNTIF(Podcasts!$D$1257:'Podcasts'!$D$1267,ROW(INDIRECT("1:"&amp;K$2)))=0,ROW(INDIRECT("1:"&amp;K$2))),ROW($A27)),"")</f>
        <v>28</v>
      </c>
      <c r="BC70" s="117">
        <f t="array" aca="1" ref="BC70" ca="1">IFERROR(SMALL(IF(COUNTIF(Podcasts!$D$1273:'Podcasts'!$D$1283,ROW(INDIRECT("1:"&amp;K$2)))=0,ROW(INDIRECT("1:"&amp;K$2))),ROW($A27)),"")</f>
        <v>31</v>
      </c>
      <c r="BD70" s="117">
        <f t="array" aca="1" ref="BD70" ca="1">IFERROR(SMALL(IF(COUNTIF(Podcasts!$D$1289:'Podcasts'!$D$1295,ROW(INDIRECT("1:"&amp;K$2)))=0,ROW(INDIRECT("1:"&amp;K$2))),ROW($A27)),"")</f>
        <v>29</v>
      </c>
      <c r="BE70" s="117">
        <f t="array" aca="1" ref="BE70" ca="1">IFERROR(SMALL(IF(COUNTIF(Podcasts!$D$1301:'Podcasts'!$D$1356,ROW(INDIRECT("1:"&amp;K$2)))=0,ROW(INDIRECT("1:"&amp;K$2))),ROW($A27)),"")</f>
        <v>74</v>
      </c>
      <c r="BF70" s="117">
        <f t="array" aca="1" ref="BF70" ca="1">IFERROR(SMALL(IF(COUNTIF(Podcasts!$D$1362:'Podcasts'!$D$1364,ROW(INDIRECT("1:"&amp;K$2)))=0,ROW(INDIRECT("1:"&amp;K$2))),ROW($A27)),"")</f>
        <v>30</v>
      </c>
      <c r="BG70" s="202">
        <f t="array" aca="1" ref="BG70" ca="1">IFERROR(SMALL(IF(COUNTIF(Podcasts!$D$1370:'Podcasts'!$D$1419,ROW(INDIRECT("1:"&amp;K$2)))=0,ROW(INDIRECT("1:"&amp;K$2))),ROW($A27)),"")</f>
        <v>31</v>
      </c>
      <c r="BH70" s="202">
        <f t="array" aca="1" ref="BH70" ca="1">IFERROR(SMALL(IF(COUNTIF(Podcasts!$D$1425:'Podcasts'!$D$1446,ROW(INDIRECT("1:"&amp;K$2)))=0,ROW(INDIRECT("1:"&amp;K$2))),ROW($A27)),"")</f>
        <v>31</v>
      </c>
      <c r="BI70" s="202">
        <f t="array" aca="1" ref="BI70" ca="1">IFERROR(SMALL(IF(COUNTIF(Podcasts!$D$1452:'Podcasts'!$D$1574,ROW(INDIRECT("1:"&amp;K$2)))=0,ROW(INDIRECT("1:"&amp;K$2))),ROW($A27)),"")</f>
        <v>54</v>
      </c>
      <c r="BJ70" s="202">
        <f t="array" aca="1" ref="BJ70" ca="1">IFERROR(SMALL(IF(COUNTIF(Podcasts!$D$1580:'Podcasts'!$D$1705,ROW(INDIRECT("1:"&amp;K$2)))=0,ROW(INDIRECT("1:"&amp;K$2))),ROW($A27)),"")</f>
        <v>44</v>
      </c>
      <c r="BK70" s="202">
        <f t="array" aca="1" ref="BK70" ca="1">IFERROR(SMALL(IF(COUNTIF(Podcasts!$D$1711:'Podcasts'!$D$1833,ROW(INDIRECT("1:"&amp;K$2)))=0,ROW(INDIRECT("1:"&amp;K$2))),ROW($A27)),"")</f>
        <v>67</v>
      </c>
      <c r="BL70" s="202">
        <f t="array" aca="1" ref="BL70" ca="1">IFERROR(SMALL(IF(COUNTIF(Podcasts!$D$1839:'Podcasts'!$D$1855,ROW(INDIRECT("1:"&amp;K$2)))=0,ROW(INDIRECT("1:"&amp;K$2))),ROW($A27)),"")</f>
        <v>31</v>
      </c>
      <c r="BM70" s="567">
        <f t="array" aca="1" ref="BM70" ca="1">IFERROR(SMALL(IF(COUNTIF(Podcasts!$D$1861:'Podcasts'!$D$1994,ROW(INDIRECT("1:"&amp;K$2)))=0,ROW(INDIRECT("1:"&amp;K$2))),ROW($A27)),"")</f>
        <v>35</v>
      </c>
      <c r="BN70" s="567">
        <f t="array" aca="1" ref="BN70" ca="1">IFERROR(SMALL(IF(COUNTIF(Podcasts!$D$2000:'Podcasts'!$D$2057,ROW(INDIRECT("1:"&amp;K$2)))=0,ROW(INDIRECT("1:"&amp;K$2))),ROW($A27)),"")</f>
        <v>82</v>
      </c>
      <c r="BO70" s="567">
        <f t="array" aca="1" ref="BO70" ca="1">IFERROR(SMALL(IF(COUNTIF(Podcasts!$D$2063:'Podcasts'!$D$2071,ROW(INDIRECT("1:"&amp;K$2)))=0,ROW(INDIRECT("1:"&amp;K$2))),ROW($A27)),"")</f>
        <v>27</v>
      </c>
      <c r="BP70" s="202">
        <f t="array" aca="1" ref="BP70" ca="1">IFERROR(SMALL(IF(COUNTIF(Podcasts!$D$2077:'Podcasts'!$D$2092,ROW(INDIRECT("1:"&amp;K$2)))=0,ROW(INDIRECT("1:"&amp;K$2))),ROW($A27)),"")</f>
        <v>34</v>
      </c>
      <c r="BQ70" s="741">
        <f t="array" aca="1" ref="BQ70" ca="1">IFERROR(SMALL(IF(COUNTIF(Podcasts!$D$2098:'Podcasts'!$D$2114,ROW(INDIRECT("1:"&amp;K$2)))=0,ROW(INDIRECT("1:"&amp;K$2))),ROW($A27)),"")</f>
        <v>29</v>
      </c>
      <c r="BR70" s="744">
        <f t="array" aca="1" ref="BR70" ca="1">IFERROR(SMALL(IF(COUNTIF(Podcasts!$D$2120:'Podcasts'!$D$2124,ROW(INDIRECT("1:"&amp;K$2)))=0,ROW(INDIRECT("1:"&amp;K$2))),ROW($A27)),"")</f>
        <v>29</v>
      </c>
      <c r="BS70" s="28"/>
    </row>
    <row r="71" spans="1:71" outlineLevel="1">
      <c r="A71" s="28"/>
      <c r="B71" s="161">
        <v>28</v>
      </c>
      <c r="C71" s="161">
        <f>COUNTIF(Podcasts!$D$10:'Podcasts'!$D$2535,B71)</f>
        <v>8</v>
      </c>
      <c r="D71" s="158" t="s">
        <v>1056</v>
      </c>
      <c r="E71" s="156" t="str">
        <f t="array" ref="E71">IF(F71="","",INDEX(Podcasts!$J$10:'Podcasts'!$J$2535,MATCH(F71&amp;$B71,Podcasts!$E$10:'Podcasts'!$E$2535&amp;Podcasts!$D$10:'Podcasts'!$D$2535,0)))</f>
        <v>???od</v>
      </c>
      <c r="F71" s="131">
        <f t="array" ref="F71">IF(COUNTIF(Podcasts!$D$10:'Podcasts'!$D$2535,$B71)&lt;COLUMN(A29),"",SMALL(IF(Podcasts!$D$10:'Podcasts'!$D$2535=$B71,Podcasts!$E$10:'Podcasts'!$E$2535),COLUMN(A29)))</f>
        <v>40966</v>
      </c>
      <c r="G71" s="132">
        <f t="array" ref="G71">IF(F71="","",INDEX(Podcasts!$F$10:'Podcasts'!$F$2535,MATCH(F71&amp;$B71,Podcasts!$E$10:'Podcasts'!$E$2535&amp;Podcasts!$D$10:'Podcasts'!$D$2535,0)))</f>
        <v>2.7662037037037041E-2</v>
      </c>
      <c r="H71" s="136" t="str">
        <f t="array" ref="H71">IF(I71="","",INDEX(Podcasts!$J$10:'Podcasts'!$J$2535,MATCH(I71&amp;$B71,Podcasts!$E$10:'Podcasts'!$E$2535&amp;Podcasts!$D$10:'Podcasts'!$D$2535,0)))</f>
        <v>Fürst</v>
      </c>
      <c r="I71" s="133">
        <f t="array" ref="I71">IF(COUNTIF(Podcasts!$D$10:'Podcasts'!$D$2535,$B71)&lt;COLUMN(B29),"",SMALL(IF(Podcasts!$D$10:'Podcasts'!$D$2535=$B71,Podcasts!$E$10:'Podcasts'!$E$2535),COLUMN(B29)))</f>
        <v>41745</v>
      </c>
      <c r="J71" s="132">
        <f t="array" ref="J71">IF(I71="","",INDEX(Podcasts!$F$10:'Podcasts'!$F$2535,MATCH(I71&amp;$B71,Podcasts!$E$10:'Podcasts'!$E$2535&amp;Podcasts!$D$10:'Podcasts'!$D$2535,0)))</f>
        <v>4.0509259259259266E-3</v>
      </c>
      <c r="K71" s="136" t="str">
        <f t="array" ref="K71">IF(L71="","",INDEX(Podcasts!$J$10:'Podcasts'!$J$2535,MATCH(L71&amp;$B71,Podcasts!$E$10:'Podcasts'!$E$2535&amp;Podcasts!$D$10:'Podcasts'!$D$2535,0)))</f>
        <v>Zentrale</v>
      </c>
      <c r="L71" s="133">
        <f t="array" ref="L71">IF(COUNTIF(Podcasts!$D$10:'Podcasts'!$D$2535,$B71)&lt;COLUMN(C29),"",SMALL(IF(Podcasts!$D$10:'Podcasts'!$D$2535=$B71,Podcasts!$E$10:'Podcasts'!$E$2535),COLUMN(C29)))</f>
        <v>44382</v>
      </c>
      <c r="M71" s="132">
        <f t="array" ref="M71">IF(L71="","",INDEX(Podcasts!$F$10:'Podcasts'!$F$2535,MATCH(L71&amp;$B71,Podcasts!$E$10:'Podcasts'!$E$2535&amp;Podcasts!$D$10:'Podcasts'!$D$2535,0)))</f>
        <v>0.11821759259259258</v>
      </c>
      <c r="N71" s="136" t="str">
        <f t="array" ref="N71">IF(O71="","",INDEX(Podcasts!$J$10:'Podcasts'!$J$2535,MATCH(O71&amp;$B71,Podcasts!$E$10:'Podcasts'!$E$2535&amp;Podcasts!$D$10:'Podcasts'!$D$2535,0)))</f>
        <v>Kuchen</v>
      </c>
      <c r="O71" s="133">
        <f t="array" ref="O71">IF(COUNTIF(Podcasts!$D$10:'Podcasts'!$D$2535,$B71)&lt;COLUMN(D29),"",SMALL(IF(Podcasts!$D$10:'Podcasts'!$D$2535=$B71,Podcasts!$E$10:'Podcasts'!$E$2535),COLUMN(D29)))</f>
        <v>44738</v>
      </c>
      <c r="P71" s="132">
        <f t="array" ref="P71">IF(O71="","",INDEX(Podcasts!$F$10:'Podcasts'!$F$2535,MATCH(O71&amp;$B71,Podcasts!$E$10:'Podcasts'!$E$2535&amp;Podcasts!$D$10:'Podcasts'!$D$2535,0)))</f>
        <v>6.5787037037037033E-2</v>
      </c>
      <c r="Q71" s="136" t="str">
        <f t="array" ref="Q71">IF(R71="","",INDEX(Podcasts!$J$10:'Podcasts'!$J$2535,MATCH(R71&amp;$B71,Podcasts!$E$10:'Podcasts'!$E$2535&amp;Podcasts!$D$10:'Podcasts'!$D$2535,0)))</f>
        <v>Abfahrt</v>
      </c>
      <c r="R71" s="133">
        <f t="array" ref="R71">IF(COUNTIF(Podcasts!$D$10:'Podcasts'!$D$2535,$B71)&lt;COLUMN(E29),"",SMALL(IF(Podcasts!$D$10:'Podcasts'!$D$2535=$B71,Podcasts!$E$10:'Podcasts'!$E$2535),COLUMN(E29)))</f>
        <v>44792</v>
      </c>
      <c r="S71" s="132">
        <f t="array" ref="S71">IF(R71="","",INDEX(Podcasts!$F$10:'Podcasts'!$F$2535,MATCH(R71&amp;$B71,Podcasts!$E$10:'Podcasts'!$E$2535&amp;Podcasts!$D$10:'Podcasts'!$D$2535,0)))</f>
        <v>6.5358796296296304E-2</v>
      </c>
      <c r="T71" s="136" t="str">
        <f t="array" ref="T71">IF(U71="","",INDEX(Podcasts!$J$10:'Podcasts'!$J$2535,MATCH(U71&amp;$B71,Podcasts!$E$10:'Podcasts'!$E$2535&amp;Podcasts!$D$10:'Podcasts'!$D$2535,0)))</f>
        <v>Verstärker</v>
      </c>
      <c r="U71" s="133">
        <f t="array" ref="U71">IF(COUNTIF(Podcasts!$D$10:'Podcasts'!$D$2535,$B71)&lt;COLUMN(F29),"",SMALL(IF(Podcasts!$D$10:'Podcasts'!$D$2535=$B71,Podcasts!$E$10:'Podcasts'!$E$2535),COLUMN(F29)))</f>
        <v>45049</v>
      </c>
      <c r="V71" s="132">
        <f t="array" ref="V71">IF(U71="","",INDEX(Podcasts!$F$10:'Podcasts'!$F$2535,MATCH(U71&amp;$B71,Podcasts!$E$10:'Podcasts'!$E$2535&amp;Podcasts!$D$10:'Podcasts'!$D$2535,0)))</f>
        <v>2.4236111111111111E-2</v>
      </c>
      <c r="W71" s="136" t="str">
        <f t="array" ref="W71">IF(X71="","",INDEX(Podcasts!$J$10:'Podcasts'!$J$2535,MATCH(X71&amp;$B71,Podcasts!$E$10:'Podcasts'!$E$2535&amp;Podcasts!$D$10:'Podcasts'!$D$2535,0)))</f>
        <v>RBW</v>
      </c>
      <c r="X71" s="133">
        <f t="array" ref="X71">IF(COUNTIF(Podcasts!$D$10:'Podcasts'!$D$2535,$B71)&lt;COLUMN(G29),"",SMALL(IF(Podcasts!$D$10:'Podcasts'!$D$2535=$B71,Podcasts!$E$10:'Podcasts'!$E$2535),COLUMN(G29)))</f>
        <v>45050</v>
      </c>
      <c r="Y71" s="132">
        <f t="array" ref="Y71">IF(X71="","",INDEX(Podcasts!$F$10:'Podcasts'!$F$2535,MATCH(X71&amp;$B71,Podcasts!$E$10:'Podcasts'!$E$2535&amp;Podcasts!$D$10:'Podcasts'!$D$2535,0)))</f>
        <v>3.412037037037037E-2</v>
      </c>
      <c r="Z71" s="136" t="str">
        <f t="array" ref="Z71">IF(AA71="","",INDEX(Podcasts!$J$10:'Podcasts'!$J$2535,MATCH(AA71&amp;$B71,Podcasts!$E$10:'Podcasts'!$E$2535&amp;Podcasts!$D$10:'Podcasts'!$D$2535,0)))</f>
        <v>Bobcast</v>
      </c>
      <c r="AA71" s="134">
        <f t="array" ref="AA71">IF(COUNTIF(Podcasts!$D$10:'Podcasts'!$D$2535,$B71)&lt;COLUMN(H29),"",SMALL(IF(Podcasts!$D$10:'Podcasts'!$D$2535=$B71,Podcasts!$E$10:'Podcasts'!$E$2535),COLUMN(H29)))</f>
        <v>45082.000937500001</v>
      </c>
      <c r="AB71" s="404">
        <f t="array" ref="AB71">IF(AA71="","",INDEX(Podcasts!$F$10:'Podcasts'!$F$2535,MATCH(AA71&amp;$B71,Podcasts!$E$10:'Podcasts'!$E$2535&amp;Podcasts!$D$10:'Podcasts'!$D$2535,0)))</f>
        <v>4.4548611111111108E-2</v>
      </c>
      <c r="AC71" s="406" t="str">
        <f t="array" ref="AC71">IF(AD71="","",INDEX(Podcasts!$J$10:'Podcasts'!$J$2535,MATCH(AD71&amp;$B71,Podcasts!$E$10:'Podcasts'!$E$2535&amp;Podcasts!$D$10:'Podcasts'!$D$2535,0)))</f>
        <v/>
      </c>
      <c r="AD71" s="400" t="str">
        <f t="array" ref="AD71">IF(COUNTIF(Podcasts!$D$10:'Podcasts'!$D$2535,$B71)&lt;COLUMN(I29),"",SMALL(IF(Podcasts!$D$10:'Podcasts'!$D$2535=$B71,Podcasts!$E$10:'Podcasts'!$E$2535),COLUMN(I29)))</f>
        <v/>
      </c>
      <c r="AE71" s="401" t="str">
        <f t="array" ref="AE71">IF(AD71="","",INDEX(Podcasts!$F$10:'Podcasts'!$F$2535,MATCH(AD71&amp;$B71,Podcasts!$E$10:'Podcasts'!$E$2535&amp;Podcasts!$D$10:'Podcasts'!$D$2535,0)))</f>
        <v/>
      </c>
      <c r="AF71" s="406" t="str">
        <f t="array" ref="AF71">IF(AG71="","",INDEX(Podcasts!$J$10:'Podcasts'!$J$2535,MATCH(AG71&amp;$B71,Podcasts!$E$10:'Podcasts'!$E$2535&amp;Podcasts!$D$10:'Podcasts'!$D$2535,0)))</f>
        <v/>
      </c>
      <c r="AG71" s="400" t="str">
        <f t="array" ref="AG71">IF(COUNTIF(Podcasts!$D$10:'Podcasts'!$D$2535,$B71)&lt;COLUMN(J29),"",SMALL(IF(Podcasts!$D$10:'Podcasts'!$D$2535=$B71,Podcasts!$E$10:'Podcasts'!$E$2535),COLUMN(J29)))</f>
        <v/>
      </c>
      <c r="AH71" s="401" t="str">
        <f t="array" ref="AH71">IF(AG71="","",INDEX(Podcasts!$F$10:'Podcasts'!$F$2535,MATCH(AG71&amp;$B71,Podcasts!$E$10:'Podcasts'!$E$2535&amp;Podcasts!$D$10:'Podcasts'!$D$2535,0)))</f>
        <v/>
      </c>
      <c r="AI71" s="406" t="str">
        <f t="array" ref="AI71">IF(AJ71="","",INDEX(Podcasts!$J$10:'Podcasts'!$J$2535,MATCH(AJ71&amp;$B71,Podcasts!$E$10:'Podcasts'!$E$2535&amp;Podcasts!$D$10:'Podcasts'!$D$2535,0)))</f>
        <v/>
      </c>
      <c r="AJ71" s="400" t="str">
        <f t="array" ref="AJ71">IF(COUNTIF(Podcasts!$D$10:'Podcasts'!$D$2535,$B71)&lt;COLUMN(K29),"",SMALL(IF(Podcasts!$D$10:'Podcasts'!$D$2535=$B71,Podcasts!$E$10:'Podcasts'!$E$2535),COLUMN(K29)))</f>
        <v/>
      </c>
      <c r="AK71" s="401" t="str">
        <f t="array" ref="AK71">IF(AJ71="","",INDEX(Podcasts!$F$10:'Podcasts'!$F$2535,MATCH(AJ71&amp;$B71,Podcasts!$E$10:'Podcasts'!$E$2535&amp;Podcasts!$D$10:'Podcasts'!$D$2535,0)))</f>
        <v/>
      </c>
      <c r="AL71" s="406" t="str">
        <f t="array" ref="AL71">IF(AM71="","",INDEX(Podcasts!$J$10:'Podcasts'!$J$2535,MATCH(AM71&amp;$B71,Podcasts!$E$10:'Podcasts'!$E$2535&amp;Podcasts!$D$10:'Podcasts'!$D$2535,0)))</f>
        <v/>
      </c>
      <c r="AM71" s="400" t="str">
        <f t="array" ref="AM71">IF(COUNTIF(Podcasts!$D$10:'Podcasts'!$D$2535,$B71)&lt;COLUMN(L29),"",SMALL(IF(Podcasts!$D$10:'Podcasts'!$D$2535=$B71,Podcasts!$E$10:'Podcasts'!$E$2535),COLUMN(L29)))</f>
        <v/>
      </c>
      <c r="AN71" s="401" t="str">
        <f t="array" ref="AN71">IF(AM71="","",INDEX(Podcasts!$F$10:'Podcasts'!$F$2535,MATCH(AM71&amp;$B71,Podcasts!$E$10:'Podcasts'!$E$2535&amp;Podcasts!$D$10:'Podcasts'!$D$2535,0)))</f>
        <v/>
      </c>
      <c r="AO71" s="402"/>
      <c r="AP71" s="119"/>
      <c r="AQ71" s="117">
        <f t="array" aca="1" ref="AQ71" ca="1">IFERROR(SMALL(IF(COUNTIF(Podcasts!$D$10:'Podcasts'!$D$107,ROW(INDIRECT("1:"&amp;K$2)))=0,ROW(INDIRECT("1:"&amp;K$2))),ROW($A28)),"")</f>
        <v>44</v>
      </c>
      <c r="AR71" s="117">
        <f t="array" aca="1" ref="AR71" ca="1">IFERROR(SMALL(IF(COUNTIF(Podcasts!$D$113:'Podcasts'!$D$238,ROW(INDIRECT("1:"&amp;K$2)))=0,ROW(INDIRECT("1:"&amp;K$2))),ROW($A28)),"")</f>
        <v>28</v>
      </c>
      <c r="AS71" s="117">
        <f t="array" aca="1" ref="AS71" ca="1">IFERROR(SMALL(IF(COUNTIF(Podcasts!$D$244:'Podcasts'!$D$299,ROW(INDIRECT("1:"&amp;K$2)))=0,ROW(INDIRECT("1:"&amp;K$2))),ROW($A28)),"")</f>
        <v>44</v>
      </c>
      <c r="AT71" s="117">
        <f t="array" aca="1" ref="AT71" ca="1">IFERROR(SMALL(IF(COUNTIF(Podcasts!$D$305:'Podcasts'!$D$473,ROW(INDIRECT("1:"&amp;K$2)))=0,ROW(INDIRECT("1:"&amp;K$2))),ROW($A28)),"")</f>
        <v>159</v>
      </c>
      <c r="AU71" s="117">
        <f t="array" aca="1" ref="AU71" ca="1">IFERROR(SMALL(IF(COUNTIF(Podcasts!$D$479:'Podcasts'!$D$488,ROW(INDIRECT("1:"&amp;K$2)))=0,ROW(INDIRECT("1:"&amp;K$2))),ROW($A28)),"")</f>
        <v>28</v>
      </c>
      <c r="AV71" s="117">
        <f t="array" aca="1" ref="AV71" ca="1">IFERROR(SMALL(IF(COUNTIF(Podcasts!$D$494:'Podcasts'!$D$518,ROW(INDIRECT("1:"&amp;K$2)))=0,ROW(INDIRECT("1:"&amp;K$2))),ROW($A28)),"")</f>
        <v>43</v>
      </c>
      <c r="AW71" s="117">
        <f t="array" aca="1" ref="AW71" ca="1">IFERROR(SMALL(IF(COUNTIF(Podcasts!$D$524:'Podcasts'!$D$532,ROW(INDIRECT("1:"&amp;K$2)))=0,ROW(INDIRECT("1:"&amp;K$2))),ROW($A28)),"")</f>
        <v>28</v>
      </c>
      <c r="AX71" s="117">
        <f t="array" aca="1" ref="AX71" ca="1">IFERROR(SMALL(IF(COUNTIF(Podcasts!$D$538:'Podcasts'!$D$909,ROW(INDIRECT("1:"&amp;K$2)))=0,ROW(INDIRECT("1:"&amp;K$2))),ROW($A28)),"")</f>
        <v>77</v>
      </c>
      <c r="AY71" s="117">
        <f t="array" aca="1" ref="AY71" ca="1">IFERROR(SMALL(IF(COUNTIF(Podcasts!$D$915:'Podcasts'!$D$981,ROW(INDIRECT("1:"&amp;K$2)))=0,ROW(INDIRECT("1:"&amp;K$2))),ROW($A28)),"")</f>
        <v>49</v>
      </c>
      <c r="AZ71" s="445"/>
      <c r="BA71" s="117">
        <f t="array" aca="1" ref="BA71" ca="1">IFERROR(SMALL(IF(COUNTIF(Podcasts!$D$1001:'Podcasts'!$D$1251,ROW(INDIRECT("1:"&amp;K$2)))=0,ROW(INDIRECT("1:"&amp;K$2))),ROW($A28)),"")</f>
        <v>51</v>
      </c>
      <c r="BB71" s="117">
        <f t="array" aca="1" ref="BB71" ca="1">IFERROR(SMALL(IF(COUNTIF(Podcasts!$D$1257:'Podcasts'!$D$1267,ROW(INDIRECT("1:"&amp;K$2)))=0,ROW(INDIRECT("1:"&amp;K$2))),ROW($A28)),"")</f>
        <v>29</v>
      </c>
      <c r="BC71" s="117">
        <f t="array" aca="1" ref="BC71" ca="1">IFERROR(SMALL(IF(COUNTIF(Podcasts!$D$1273:'Podcasts'!$D$1283,ROW(INDIRECT("1:"&amp;K$2)))=0,ROW(INDIRECT("1:"&amp;K$2))),ROW($A28)),"")</f>
        <v>32</v>
      </c>
      <c r="BD71" s="117">
        <f t="array" aca="1" ref="BD71" ca="1">IFERROR(SMALL(IF(COUNTIF(Podcasts!$D$1289:'Podcasts'!$D$1295,ROW(INDIRECT("1:"&amp;K$2)))=0,ROW(INDIRECT("1:"&amp;K$2))),ROW($A28)),"")</f>
        <v>30</v>
      </c>
      <c r="BE71" s="117">
        <f t="array" aca="1" ref="BE71" ca="1">IFERROR(SMALL(IF(COUNTIF(Podcasts!$D$1301:'Podcasts'!$D$1356,ROW(INDIRECT("1:"&amp;K$2)))=0,ROW(INDIRECT("1:"&amp;K$2))),ROW($A28)),"")</f>
        <v>75</v>
      </c>
      <c r="BF71" s="117">
        <f t="array" aca="1" ref="BF71" ca="1">IFERROR(SMALL(IF(COUNTIF(Podcasts!$D$1362:'Podcasts'!$D$1364,ROW(INDIRECT("1:"&amp;K$2)))=0,ROW(INDIRECT("1:"&amp;K$2))),ROW($A28)),"")</f>
        <v>31</v>
      </c>
      <c r="BG71" s="202">
        <f t="array" aca="1" ref="BG71" ca="1">IFERROR(SMALL(IF(COUNTIF(Podcasts!$D$1370:'Podcasts'!$D$1419,ROW(INDIRECT("1:"&amp;K$2)))=0,ROW(INDIRECT("1:"&amp;K$2))),ROW($A28)),"")</f>
        <v>33</v>
      </c>
      <c r="BH71" s="202">
        <f t="array" aca="1" ref="BH71" ca="1">IFERROR(SMALL(IF(COUNTIF(Podcasts!$D$1425:'Podcasts'!$D$1446,ROW(INDIRECT("1:"&amp;K$2)))=0,ROW(INDIRECT("1:"&amp;K$2))),ROW($A28)),"")</f>
        <v>32</v>
      </c>
      <c r="BI71" s="202">
        <f t="array" aca="1" ref="BI71" ca="1">IFERROR(SMALL(IF(COUNTIF(Podcasts!$D$1452:'Podcasts'!$D$1574,ROW(INDIRECT("1:"&amp;K$2)))=0,ROW(INDIRECT("1:"&amp;K$2))),ROW($A28)),"")</f>
        <v>55</v>
      </c>
      <c r="BJ71" s="202">
        <f t="array" aca="1" ref="BJ71" ca="1">IFERROR(SMALL(IF(COUNTIF(Podcasts!$D$1580:'Podcasts'!$D$1705,ROW(INDIRECT("1:"&amp;K$2)))=0,ROW(INDIRECT("1:"&amp;K$2))),ROW($A28)),"")</f>
        <v>50</v>
      </c>
      <c r="BK71" s="202">
        <f t="array" aca="1" ref="BK71" ca="1">IFERROR(SMALL(IF(COUNTIF(Podcasts!$D$1711:'Podcasts'!$D$1833,ROW(INDIRECT("1:"&amp;K$2)))=0,ROW(INDIRECT("1:"&amp;K$2))),ROW($A28)),"")</f>
        <v>68</v>
      </c>
      <c r="BL71" s="202">
        <f t="array" aca="1" ref="BL71" ca="1">IFERROR(SMALL(IF(COUNTIF(Podcasts!$D$1839:'Podcasts'!$D$1855,ROW(INDIRECT("1:"&amp;K$2)))=0,ROW(INDIRECT("1:"&amp;K$2))),ROW($A28)),"")</f>
        <v>33</v>
      </c>
      <c r="BM71" s="567">
        <f t="array" aca="1" ref="BM71" ca="1">IFERROR(SMALL(IF(COUNTIF(Podcasts!$D$1861:'Podcasts'!$D$1994,ROW(INDIRECT("1:"&amp;K$2)))=0,ROW(INDIRECT("1:"&amp;K$2))),ROW($A28)),"")</f>
        <v>36</v>
      </c>
      <c r="BN71" s="567">
        <f t="array" aca="1" ref="BN71" ca="1">IFERROR(SMALL(IF(COUNTIF(Podcasts!$D$2000:'Podcasts'!$D$2057,ROW(INDIRECT("1:"&amp;K$2)))=0,ROW(INDIRECT("1:"&amp;K$2))),ROW($A28)),"")</f>
        <v>83</v>
      </c>
      <c r="BO71" s="567">
        <f t="array" aca="1" ref="BO71" ca="1">IFERROR(SMALL(IF(COUNTIF(Podcasts!$D$2063:'Podcasts'!$D$2071,ROW(INDIRECT("1:"&amp;K$2)))=0,ROW(INDIRECT("1:"&amp;K$2))),ROW($A28)),"")</f>
        <v>28</v>
      </c>
      <c r="BP71" s="202">
        <f t="array" aca="1" ref="BP71" ca="1">IFERROR(SMALL(IF(COUNTIF(Podcasts!$D$2077:'Podcasts'!$D$2092,ROW(INDIRECT("1:"&amp;K$2)))=0,ROW(INDIRECT("1:"&amp;K$2))),ROW($A28)),"")</f>
        <v>35</v>
      </c>
      <c r="BQ71" s="741">
        <f t="array" aca="1" ref="BQ71" ca="1">IFERROR(SMALL(IF(COUNTIF(Podcasts!$D$2098:'Podcasts'!$D$2114,ROW(INDIRECT("1:"&amp;K$2)))=0,ROW(INDIRECT("1:"&amp;K$2))),ROW($A28)),"")</f>
        <v>30</v>
      </c>
      <c r="BR71" s="744">
        <f t="array" aca="1" ref="BR71" ca="1">IFERROR(SMALL(IF(COUNTIF(Podcasts!$D$2120:'Podcasts'!$D$2124,ROW(INDIRECT("1:"&amp;K$2)))=0,ROW(INDIRECT("1:"&amp;K$2))),ROW($A28)),"")</f>
        <v>30</v>
      </c>
      <c r="BS71" s="28"/>
    </row>
    <row r="72" spans="1:71" outlineLevel="1">
      <c r="A72" s="28"/>
      <c r="B72" s="161">
        <v>29</v>
      </c>
      <c r="C72" s="161">
        <f>COUNTIF(Podcasts!$D$10:'Podcasts'!$D$2535,B72)-1</f>
        <v>4</v>
      </c>
      <c r="D72" s="158" t="s">
        <v>1057</v>
      </c>
      <c r="E72" s="156" t="str">
        <f t="array" ref="E72">IF(F72="","",INDEX(Podcasts!$J$10:'Podcasts'!$J$2535,MATCH(F72&amp;$B72,Podcasts!$E$10:'Podcasts'!$E$2535&amp;Podcasts!$D$10:'Podcasts'!$D$2535,0)))</f>
        <v>Fürst</v>
      </c>
      <c r="F72" s="131">
        <f t="array" ref="F72">IF(COUNTIF(Podcasts!$D$10:'Podcasts'!$D$2535,$B72)&lt;COLUMN(A35),"",SMALL(IF(Podcasts!$D$10:'Podcasts'!$D$2535=$B72,Podcasts!$E$10:'Podcasts'!$E$2535),COLUMN(A35)))</f>
        <v>41896</v>
      </c>
      <c r="G72" s="132">
        <f t="array" ref="G72">IF(F72="","",INDEX(Podcasts!$F$10:'Podcasts'!$F$2535,MATCH(F72&amp;$B72,Podcasts!$E$10:'Podcasts'!$E$2535&amp;Podcasts!$D$10:'Podcasts'!$D$2535,0)))</f>
        <v>6.0185185185185272E-3</v>
      </c>
      <c r="H72" s="136" t="str">
        <f t="array" ref="H72">IF(I72="","",INDEX(Podcasts!$J$10:'Podcasts'!$J$2535,MATCH(I72&amp;$B72,Podcasts!$E$10:'Podcasts'!$E$2535&amp;Podcasts!$D$10:'Podcasts'!$D$2535,0)))</f>
        <v>Fürst</v>
      </c>
      <c r="I72" s="133">
        <f t="array" ref="I72">IF(COUNTIF(Podcasts!$D$10:'Podcasts'!$D$2535,$B72)&lt;COLUMN(B35),"",SMALL(IF(Podcasts!$D$10:'Podcasts'!$D$2535=$B72,Podcasts!$E$10:'Podcasts'!$E$2535),COLUMN(B35)))</f>
        <v>41936</v>
      </c>
      <c r="J72" s="132">
        <f t="array" ref="J72">IF(I72="","",INDEX(Podcasts!$F$10:'Podcasts'!$F$2535,MATCH(I72&amp;$B72,Podcasts!$E$10:'Podcasts'!$E$2535&amp;Podcasts!$D$10:'Podcasts'!$D$2535,0)))</f>
        <v>6.7708333333333336E-3</v>
      </c>
      <c r="K72" s="136" t="str">
        <f t="array" ref="K72">IF(L72="","",INDEX(Podcasts!$J$10:'Podcasts'!$J$2535,MATCH(L72&amp;$B72,Podcasts!$E$10:'Podcasts'!$E$2535&amp;Podcasts!$D$10:'Podcasts'!$D$2535,0)))</f>
        <v>Zentrale</v>
      </c>
      <c r="L72" s="133">
        <f t="array" ref="L72">IF(COUNTIF(Podcasts!$D$10:'Podcasts'!$D$2535,$B72)&lt;COLUMN(C35),"",SMALL(IF(Podcasts!$D$10:'Podcasts'!$D$2535=$B72,Podcasts!$E$10:'Podcasts'!$E$2535),COLUMN(C35)))</f>
        <v>44086</v>
      </c>
      <c r="M72" s="132">
        <f t="array" ref="M72">IF(L72="","",INDEX(Podcasts!$F$10:'Podcasts'!$F$2535,MATCH(L72&amp;$B72,Podcasts!$E$10:'Podcasts'!$E$2535&amp;Podcasts!$D$10:'Podcasts'!$D$2535,0)))</f>
        <v>8.1863425925925923E-2</v>
      </c>
      <c r="N72" s="136" t="str">
        <f t="array" ref="N72">IF(O72="","",INDEX(Podcasts!$J$10:'Podcasts'!$J$2535,MATCH(O72&amp;$B72,Podcasts!$E$10:'Podcasts'!$E$2535&amp;Podcasts!$D$10:'Podcasts'!$D$2535,0)))</f>
        <v>Abfahrt</v>
      </c>
      <c r="O72" s="133">
        <f t="array" ref="O72">IF(COUNTIF(Podcasts!$D$10:'Podcasts'!$D$2535,$B72)&lt;COLUMN(D35),"",SMALL(IF(Podcasts!$D$10:'Podcasts'!$D$2535=$B72,Podcasts!$E$10:'Podcasts'!$E$2535),COLUMN(D35)))</f>
        <v>44820</v>
      </c>
      <c r="P72" s="132">
        <f t="array" ref="P72">IF(O72="","",INDEX(Podcasts!$F$10:'Podcasts'!$F$2535,MATCH(O72&amp;$B72,Podcasts!$E$10:'Podcasts'!$E$2535&amp;Podcasts!$D$10:'Podcasts'!$D$2535,0)))</f>
        <v>3.892361111111111E-2</v>
      </c>
      <c r="Q72" s="136" t="str">
        <f t="array" ref="Q72">IF(R72="","",INDEX(Podcasts!$J$10:'Podcasts'!$J$2535,MATCH(R72&amp;$B72,Podcasts!$E$10:'Podcasts'!$E$2535&amp;Podcasts!$D$10:'Podcasts'!$D$2535,0)))</f>
        <v>Verstärker</v>
      </c>
      <c r="R72" s="133">
        <f t="array" ref="R72">IF(COUNTIF(Podcasts!$D$10:'Podcasts'!$D$2535,$B72)&lt;COLUMN(E35),"",SMALL(IF(Podcasts!$D$10:'Podcasts'!$D$2535=$B72,Podcasts!$E$10:'Podcasts'!$E$2535),COLUMN(E35)))</f>
        <v>45080</v>
      </c>
      <c r="S72" s="132">
        <f t="array" ref="S72">IF(R72="","",INDEX(Podcasts!$F$10:'Podcasts'!$F$2535,MATCH(R72&amp;$B72,Podcasts!$E$10:'Podcasts'!$E$2535&amp;Podcasts!$D$10:'Podcasts'!$D$2535,0)))</f>
        <v>1.9074074074074073E-2</v>
      </c>
      <c r="T72" s="136" t="str">
        <f t="array" ref="T72">IF(U72="","",INDEX(Podcasts!$J$10:'Podcasts'!$J$2535,MATCH(U72&amp;$B72,Podcasts!$E$10:'Podcasts'!$E$2535&amp;Podcasts!$D$10:'Podcasts'!$D$2535,0)))</f>
        <v/>
      </c>
      <c r="U72" s="133" t="str">
        <f t="array" ref="U72">IF(COUNTIF(Podcasts!$D$10:'Podcasts'!$D$2535,$B72)&lt;COLUMN(F35),"",SMALL(IF(Podcasts!$D$10:'Podcasts'!$D$2535=$B72,Podcasts!$E$10:'Podcasts'!$E$2535),COLUMN(F35)))</f>
        <v/>
      </c>
      <c r="V72" s="132" t="str">
        <f t="array" ref="V72">IF(U72="","",INDEX(Podcasts!$F$10:'Podcasts'!$F$2535,MATCH(U72&amp;$B72,Podcasts!$E$10:'Podcasts'!$E$2535&amp;Podcasts!$D$10:'Podcasts'!$D$2535,0)))</f>
        <v/>
      </c>
      <c r="W72" s="136" t="str">
        <f t="array" ref="W72">IF(X72="","",INDEX(Podcasts!$J$10:'Podcasts'!$J$2535,MATCH(X72&amp;$B72,Podcasts!$E$10:'Podcasts'!$E$2535&amp;Podcasts!$D$10:'Podcasts'!$D$2535,0)))</f>
        <v/>
      </c>
      <c r="X72" s="133" t="str">
        <f t="array" ref="X72">IF(COUNTIF(Podcasts!$D$10:'Podcasts'!$D$2535,$B72)&lt;COLUMN(G35),"",SMALL(IF(Podcasts!$D$10:'Podcasts'!$D$2535=$B72,Podcasts!$E$10:'Podcasts'!$E$2535),COLUMN(G35)))</f>
        <v/>
      </c>
      <c r="Y72" s="132" t="str">
        <f t="array" ref="Y72">IF(X72="","",INDEX(Podcasts!$F$10:'Podcasts'!$F$2535,MATCH(X72&amp;$B72,Podcasts!$E$10:'Podcasts'!$E$2535&amp;Podcasts!$D$10:'Podcasts'!$D$2535,0)))</f>
        <v/>
      </c>
      <c r="Z72" s="136" t="str">
        <f t="array" ref="Z72">IF(AA72="","",INDEX(Podcasts!$J$10:'Podcasts'!$J$2535,MATCH(AA72&amp;$B72,Podcasts!$E$10:'Podcasts'!$E$2535&amp;Podcasts!$D$10:'Podcasts'!$D$2535,0)))</f>
        <v/>
      </c>
      <c r="AA72" s="134" t="str">
        <f t="array" ref="AA72">IF(COUNTIF(Podcasts!$D$10:'Podcasts'!$D$2535,$B72)&lt;COLUMN(H35),"",SMALL(IF(Podcasts!$D$10:'Podcasts'!$D$2535=$B72,Podcasts!$E$10:'Podcasts'!$E$2535),COLUMN(H35)))</f>
        <v/>
      </c>
      <c r="AB72" s="404" t="str">
        <f t="array" ref="AB72">IF(AA72="","",INDEX(Podcasts!$F$10:'Podcasts'!$F$2535,MATCH(AA72&amp;$B72,Podcasts!$E$10:'Podcasts'!$E$2535&amp;Podcasts!$D$10:'Podcasts'!$D$2535,0)))</f>
        <v/>
      </c>
      <c r="AC72" s="406" t="str">
        <f t="array" ref="AC72">IF(AD72="","",INDEX(Podcasts!$J$10:'Podcasts'!$J$2535,MATCH(AD72&amp;$B72,Podcasts!$E$10:'Podcasts'!$E$2535&amp;Podcasts!$D$10:'Podcasts'!$D$2535,0)))</f>
        <v/>
      </c>
      <c r="AD72" s="400" t="str">
        <f t="array" ref="AD72">IF(COUNTIF(Podcasts!$D$10:'Podcasts'!$D$2535,$B72)&lt;COLUMN(I35),"",SMALL(IF(Podcasts!$D$10:'Podcasts'!$D$2535=$B72,Podcasts!$E$10:'Podcasts'!$E$2535),COLUMN(I35)))</f>
        <v/>
      </c>
      <c r="AE72" s="401" t="str">
        <f t="array" ref="AE72">IF(AD72="","",INDEX(Podcasts!$F$10:'Podcasts'!$F$2535,MATCH(AD72&amp;$B72,Podcasts!$E$10:'Podcasts'!$E$2535&amp;Podcasts!$D$10:'Podcasts'!$D$2535,0)))</f>
        <v/>
      </c>
      <c r="AF72" s="406" t="str">
        <f t="array" ref="AF72">IF(AG72="","",INDEX(Podcasts!$J$10:'Podcasts'!$J$2535,MATCH(AG72&amp;$B72,Podcasts!$E$10:'Podcasts'!$E$2535&amp;Podcasts!$D$10:'Podcasts'!$D$2535,0)))</f>
        <v/>
      </c>
      <c r="AG72" s="400" t="str">
        <f t="array" ref="AG72">IF(COUNTIF(Podcasts!$D$10:'Podcasts'!$D$2535,$B72)&lt;COLUMN(J35),"",SMALL(IF(Podcasts!$D$10:'Podcasts'!$D$2535=$B72,Podcasts!$E$10:'Podcasts'!$E$2535),COLUMN(J35)))</f>
        <v/>
      </c>
      <c r="AH72" s="401" t="str">
        <f t="array" ref="AH72">IF(AG72="","",INDEX(Podcasts!$F$10:'Podcasts'!$F$2535,MATCH(AG72&amp;$B72,Podcasts!$E$10:'Podcasts'!$E$2535&amp;Podcasts!$D$10:'Podcasts'!$D$2535,0)))</f>
        <v/>
      </c>
      <c r="AI72" s="406" t="str">
        <f t="array" ref="AI72">IF(AJ72="","",INDEX(Podcasts!$J$10:'Podcasts'!$J$2535,MATCH(AJ72&amp;$B72,Podcasts!$E$10:'Podcasts'!$E$2535&amp;Podcasts!$D$10:'Podcasts'!$D$2535,0)))</f>
        <v/>
      </c>
      <c r="AJ72" s="400" t="str">
        <f t="array" ref="AJ72">IF(COUNTIF(Podcasts!$D$10:'Podcasts'!$D$2535,$B72)&lt;COLUMN(K35),"",SMALL(IF(Podcasts!$D$10:'Podcasts'!$D$2535=$B72,Podcasts!$E$10:'Podcasts'!$E$2535),COLUMN(K35)))</f>
        <v/>
      </c>
      <c r="AK72" s="401" t="str">
        <f t="array" ref="AK72">IF(AJ72="","",INDEX(Podcasts!$F$10:'Podcasts'!$F$2535,MATCH(AJ72&amp;$B72,Podcasts!$E$10:'Podcasts'!$E$2535&amp;Podcasts!$D$10:'Podcasts'!$D$2535,0)))</f>
        <v/>
      </c>
      <c r="AL72" s="406" t="str">
        <f t="array" ref="AL72">IF(AM72="","",INDEX(Podcasts!$J$10:'Podcasts'!$J$2535,MATCH(AM72&amp;$B72,Podcasts!$E$10:'Podcasts'!$E$2535&amp;Podcasts!$D$10:'Podcasts'!$D$2535,0)))</f>
        <v/>
      </c>
      <c r="AM72" s="400" t="str">
        <f t="array" ref="AM72">IF(COUNTIF(Podcasts!$D$10:'Podcasts'!$D$2535,$B72)&lt;COLUMN(L35),"",SMALL(IF(Podcasts!$D$10:'Podcasts'!$D$2535=$B72,Podcasts!$E$10:'Podcasts'!$E$2535),COLUMN(L35)))</f>
        <v/>
      </c>
      <c r="AN72" s="401" t="str">
        <f t="array" ref="AN72">IF(AM72="","",INDEX(Podcasts!$F$10:'Podcasts'!$F$2535,MATCH(AM72&amp;$B72,Podcasts!$E$10:'Podcasts'!$E$2535&amp;Podcasts!$D$10:'Podcasts'!$D$2535,0)))</f>
        <v/>
      </c>
      <c r="AO72" s="402"/>
      <c r="AP72" s="119"/>
      <c r="AQ72" s="117">
        <f t="array" aca="1" ref="AQ72" ca="1">IFERROR(SMALL(IF(COUNTIF(Podcasts!$D$10:'Podcasts'!$D$107,ROW(INDIRECT("1:"&amp;K$2)))=0,ROW(INDIRECT("1:"&amp;K$2))),ROW($A29)),"")</f>
        <v>48</v>
      </c>
      <c r="AR72" s="117">
        <f t="array" aca="1" ref="AR72" ca="1">IFERROR(SMALL(IF(COUNTIF(Podcasts!$D$113:'Podcasts'!$D$238,ROW(INDIRECT("1:"&amp;K$2)))=0,ROW(INDIRECT("1:"&amp;K$2))),ROW($A29)),"")</f>
        <v>29</v>
      </c>
      <c r="AS72" s="117">
        <f t="array" aca="1" ref="AS72" ca="1">IFERROR(SMALL(IF(COUNTIF(Podcasts!$D$244:'Podcasts'!$D$299,ROW(INDIRECT("1:"&amp;K$2)))=0,ROW(INDIRECT("1:"&amp;K$2))),ROW($A29)),"")</f>
        <v>45</v>
      </c>
      <c r="AT72" s="117">
        <f t="array" aca="1" ref="AT72" ca="1">IFERROR(SMALL(IF(COUNTIF(Podcasts!$D$305:'Podcasts'!$D$473,ROW(INDIRECT("1:"&amp;K$2)))=0,ROW(INDIRECT("1:"&amp;K$2))),ROW($A29)),"")</f>
        <v>160</v>
      </c>
      <c r="AU72" s="117">
        <f t="array" aca="1" ref="AU72" ca="1">IFERROR(SMALL(IF(COUNTIF(Podcasts!$D$479:'Podcasts'!$D$488,ROW(INDIRECT("1:"&amp;K$2)))=0,ROW(INDIRECT("1:"&amp;K$2))),ROW($A29)),"")</f>
        <v>29</v>
      </c>
      <c r="AV72" s="117">
        <f t="array" aca="1" ref="AV72" ca="1">IFERROR(SMALL(IF(COUNTIF(Podcasts!$D$494:'Podcasts'!$D$518,ROW(INDIRECT("1:"&amp;K$2)))=0,ROW(INDIRECT("1:"&amp;K$2))),ROW($A29)),"")</f>
        <v>44</v>
      </c>
      <c r="AW72" s="117">
        <f t="array" aca="1" ref="AW72" ca="1">IFERROR(SMALL(IF(COUNTIF(Podcasts!$D$524:'Podcasts'!$D$532,ROW(INDIRECT("1:"&amp;K$2)))=0,ROW(INDIRECT("1:"&amp;K$2))),ROW($A29)),"")</f>
        <v>29</v>
      </c>
      <c r="AX72" s="117">
        <f t="array" aca="1" ref="AX72" ca="1">IFERROR(SMALL(IF(COUNTIF(Podcasts!$D$538:'Podcasts'!$D$909,ROW(INDIRECT("1:"&amp;K$2)))=0,ROW(INDIRECT("1:"&amp;K$2))),ROW($A29)),"")</f>
        <v>79</v>
      </c>
      <c r="AY72" s="117">
        <f t="array" aca="1" ref="AY72" ca="1">IFERROR(SMALL(IF(COUNTIF(Podcasts!$D$915:'Podcasts'!$D$981,ROW(INDIRECT("1:"&amp;K$2)))=0,ROW(INDIRECT("1:"&amp;K$2))),ROW($A29)),"")</f>
        <v>50</v>
      </c>
      <c r="AZ72" s="445"/>
      <c r="BA72" s="117">
        <f t="array" aca="1" ref="BA72" ca="1">IFERROR(SMALL(IF(COUNTIF(Podcasts!$D$1001:'Podcasts'!$D$1251,ROW(INDIRECT("1:"&amp;K$2)))=0,ROW(INDIRECT("1:"&amp;K$2))),ROW($A29)),"")</f>
        <v>53</v>
      </c>
      <c r="BB72" s="117">
        <f t="array" aca="1" ref="BB72" ca="1">IFERROR(SMALL(IF(COUNTIF(Podcasts!$D$1257:'Podcasts'!$D$1267,ROW(INDIRECT("1:"&amp;K$2)))=0,ROW(INDIRECT("1:"&amp;K$2))),ROW($A29)),"")</f>
        <v>30</v>
      </c>
      <c r="BC72" s="117">
        <f t="array" aca="1" ref="BC72" ca="1">IFERROR(SMALL(IF(COUNTIF(Podcasts!$D$1273:'Podcasts'!$D$1283,ROW(INDIRECT("1:"&amp;K$2)))=0,ROW(INDIRECT("1:"&amp;K$2))),ROW($A29)),"")</f>
        <v>33</v>
      </c>
      <c r="BD72" s="117">
        <f t="array" aca="1" ref="BD72" ca="1">IFERROR(SMALL(IF(COUNTIF(Podcasts!$D$1289:'Podcasts'!$D$1295,ROW(INDIRECT("1:"&amp;K$2)))=0,ROW(INDIRECT("1:"&amp;K$2))),ROW($A29)),"")</f>
        <v>31</v>
      </c>
      <c r="BE72" s="117">
        <f t="array" aca="1" ref="BE72" ca="1">IFERROR(SMALL(IF(COUNTIF(Podcasts!$D$1301:'Podcasts'!$D$1356,ROW(INDIRECT("1:"&amp;K$2)))=0,ROW(INDIRECT("1:"&amp;K$2))),ROW($A29)),"")</f>
        <v>76</v>
      </c>
      <c r="BF72" s="117">
        <f t="array" aca="1" ref="BF72" ca="1">IFERROR(SMALL(IF(COUNTIF(Podcasts!$D$1362:'Podcasts'!$D$1364,ROW(INDIRECT("1:"&amp;K$2)))=0,ROW(INDIRECT("1:"&amp;K$2))),ROW($A29)),"")</f>
        <v>32</v>
      </c>
      <c r="BG72" s="202">
        <f t="array" aca="1" ref="BG72" ca="1">IFERROR(SMALL(IF(COUNTIF(Podcasts!$D$1370:'Podcasts'!$D$1419,ROW(INDIRECT("1:"&amp;K$2)))=0,ROW(INDIRECT("1:"&amp;K$2))),ROW($A29)),"")</f>
        <v>34</v>
      </c>
      <c r="BH72" s="202">
        <f t="array" aca="1" ref="BH72" ca="1">IFERROR(SMALL(IF(COUNTIF(Podcasts!$D$1425:'Podcasts'!$D$1446,ROW(INDIRECT("1:"&amp;K$2)))=0,ROW(INDIRECT("1:"&amp;K$2))),ROW($A29)),"")</f>
        <v>33</v>
      </c>
      <c r="BI72" s="202">
        <f t="array" aca="1" ref="BI72" ca="1">IFERROR(SMALL(IF(COUNTIF(Podcasts!$D$1452:'Podcasts'!$D$1574,ROW(INDIRECT("1:"&amp;K$2)))=0,ROW(INDIRECT("1:"&amp;K$2))),ROW($A29)),"")</f>
        <v>56</v>
      </c>
      <c r="BJ72" s="202">
        <f t="array" aca="1" ref="BJ72" ca="1">IFERROR(SMALL(IF(COUNTIF(Podcasts!$D$1580:'Podcasts'!$D$1705,ROW(INDIRECT("1:"&amp;K$2)))=0,ROW(INDIRECT("1:"&amp;K$2))),ROW($A29)),"")</f>
        <v>51</v>
      </c>
      <c r="BK72" s="202">
        <f t="array" aca="1" ref="BK72" ca="1">IFERROR(SMALL(IF(COUNTIF(Podcasts!$D$1711:'Podcasts'!$D$1833,ROW(INDIRECT("1:"&amp;K$2)))=0,ROW(INDIRECT("1:"&amp;K$2))),ROW($A29)),"")</f>
        <v>69</v>
      </c>
      <c r="BL72" s="202">
        <f t="array" aca="1" ref="BL72" ca="1">IFERROR(SMALL(IF(COUNTIF(Podcasts!$D$1839:'Podcasts'!$D$1855,ROW(INDIRECT("1:"&amp;K$2)))=0,ROW(INDIRECT("1:"&amp;K$2))),ROW($A29)),"")</f>
        <v>34</v>
      </c>
      <c r="BM72" s="567">
        <f t="array" aca="1" ref="BM72" ca="1">IFERROR(SMALL(IF(COUNTIF(Podcasts!$D$1861:'Podcasts'!$D$1994,ROW(INDIRECT("1:"&amp;K$2)))=0,ROW(INDIRECT("1:"&amp;K$2))),ROW($A29)),"")</f>
        <v>38</v>
      </c>
      <c r="BN72" s="567">
        <f t="array" aca="1" ref="BN72" ca="1">IFERROR(SMALL(IF(COUNTIF(Podcasts!$D$2000:'Podcasts'!$D$2057,ROW(INDIRECT("1:"&amp;K$2)))=0,ROW(INDIRECT("1:"&amp;K$2))),ROW($A29)),"")</f>
        <v>84</v>
      </c>
      <c r="BO72" s="567">
        <f t="array" aca="1" ref="BO72" ca="1">IFERROR(SMALL(IF(COUNTIF(Podcasts!$D$2063:'Podcasts'!$D$2071,ROW(INDIRECT("1:"&amp;K$2)))=0,ROW(INDIRECT("1:"&amp;K$2))),ROW($A29)),"")</f>
        <v>29</v>
      </c>
      <c r="BP72" s="202">
        <f t="array" aca="1" ref="BP72" ca="1">IFERROR(SMALL(IF(COUNTIF(Podcasts!$D$2077:'Podcasts'!$D$2092,ROW(INDIRECT("1:"&amp;K$2)))=0,ROW(INDIRECT("1:"&amp;K$2))),ROW($A29)),"")</f>
        <v>36</v>
      </c>
      <c r="BQ72" s="741">
        <f t="array" aca="1" ref="BQ72" ca="1">IFERROR(SMALL(IF(COUNTIF(Podcasts!$D$2098:'Podcasts'!$D$2114,ROW(INDIRECT("1:"&amp;K$2)))=0,ROW(INDIRECT("1:"&amp;K$2))),ROW($A29)),"")</f>
        <v>31</v>
      </c>
      <c r="BR72" s="744">
        <f t="array" aca="1" ref="BR72" ca="1">IFERROR(SMALL(IF(COUNTIF(Podcasts!$D$2120:'Podcasts'!$D$2124,ROW(INDIRECT("1:"&amp;K$2)))=0,ROW(INDIRECT("1:"&amp;K$2))),ROW($A29)),"")</f>
        <v>31</v>
      </c>
      <c r="BS72" s="28"/>
    </row>
    <row r="73" spans="1:71" outlineLevel="1">
      <c r="A73" s="28"/>
      <c r="B73" s="161">
        <v>30</v>
      </c>
      <c r="C73" s="161">
        <f>COUNTIF(Podcasts!$D$10:'Podcasts'!$D$2535,B73)</f>
        <v>10</v>
      </c>
      <c r="D73" s="158" t="s">
        <v>1058</v>
      </c>
      <c r="E73" s="156" t="str">
        <f t="array" ref="E73">IF(F73="","",INDEX(Podcasts!$J$10:'Podcasts'!$J$2535,MATCH(F73&amp;$B73,Podcasts!$E$10:'Podcasts'!$E$2535&amp;Podcasts!$D$10:'Podcasts'!$D$2535,0)))</f>
        <v>Fürst</v>
      </c>
      <c r="F73" s="131">
        <f t="array" ref="F73">IF(COUNTIF(Podcasts!$D$10:'Podcasts'!$D$2535,$B73)&lt;COLUMN(A36),"",SMALL(IF(Podcasts!$D$10:'Podcasts'!$D$2535=$B73,Podcasts!$E$10:'Podcasts'!$E$2535),COLUMN(A36)))</f>
        <v>41896</v>
      </c>
      <c r="G73" s="132">
        <f t="array" ref="G73">IF(F73="","",INDEX(Podcasts!$F$10:'Podcasts'!$F$2535,MATCH(F73&amp;$B73,Podcasts!$E$10:'Podcasts'!$E$2535&amp;Podcasts!$D$10:'Podcasts'!$D$2535,0)))</f>
        <v>5.4976851851851853E-3</v>
      </c>
      <c r="H73" s="136" t="str">
        <f t="array" ref="H73">IF(I73="","",INDEX(Podcasts!$J$10:'Podcasts'!$J$2535,MATCH(I73&amp;$B73,Podcasts!$E$10:'Podcasts'!$E$2535&amp;Podcasts!$D$10:'Podcasts'!$D$2535,0)))</f>
        <v>???od</v>
      </c>
      <c r="I73" s="133">
        <f t="array" ref="I73">IF(COUNTIF(Podcasts!$D$10:'Podcasts'!$D$2535,$B73)&lt;COLUMN(B36),"",SMALL(IF(Podcasts!$D$10:'Podcasts'!$D$2535=$B73,Podcasts!$E$10:'Podcasts'!$E$2535),COLUMN(B36)))</f>
        <v>43093</v>
      </c>
      <c r="J73" s="132">
        <f t="array" ref="J73">IF(I73="","",INDEX(Podcasts!$F$10:'Podcasts'!$F$2535,MATCH(I73&amp;$B73,Podcasts!$E$10:'Podcasts'!$E$2535&amp;Podcasts!$D$10:'Podcasts'!$D$2535,0)))</f>
        <v>2.1099537037037038E-2</v>
      </c>
      <c r="K73" s="136" t="str">
        <f t="array" ref="K73">IF(L73="","",INDEX(Podcasts!$J$10:'Podcasts'!$J$2535,MATCH(L73&amp;$B73,Podcasts!$E$10:'Podcasts'!$E$2535&amp;Podcasts!$D$10:'Podcasts'!$D$2535,0)))</f>
        <v>Kuchen</v>
      </c>
      <c r="L73" s="133">
        <f t="array" ref="L73">IF(COUNTIF(Podcasts!$D$10:'Podcasts'!$D$2535,$B73)&lt;COLUMN(C36),"",SMALL(IF(Podcasts!$D$10:'Podcasts'!$D$2535=$B73,Podcasts!$E$10:'Podcasts'!$E$2535),COLUMN(C36)))</f>
        <v>44521</v>
      </c>
      <c r="M73" s="132">
        <f t="array" ref="M73">IF(L73="","",INDEX(Podcasts!$F$10:'Podcasts'!$F$2535,MATCH(L73&amp;$B73,Podcasts!$E$10:'Podcasts'!$E$2535&amp;Podcasts!$D$10:'Podcasts'!$D$2535,0)))</f>
        <v>7.6377314814814815E-2</v>
      </c>
      <c r="N73" s="136" t="str">
        <f t="array" ref="N73">IF(O73="","",INDEX(Podcasts!$J$10:'Podcasts'!$J$2535,MATCH(O73&amp;$B73,Podcasts!$E$10:'Podcasts'!$E$2535&amp;Podcasts!$D$10:'Podcasts'!$D$2535,0)))</f>
        <v>R&amp;A</v>
      </c>
      <c r="O73" s="133">
        <f t="array" ref="O73">IF(COUNTIF(Podcasts!$D$10:'Podcasts'!$D$2535,$B73)&lt;COLUMN(D36),"",SMALL(IF(Podcasts!$D$10:'Podcasts'!$D$2535=$B73,Podcasts!$E$10:'Podcasts'!$E$2535),COLUMN(D36)))</f>
        <v>44834.75</v>
      </c>
      <c r="P73" s="132">
        <f t="array" ref="P73">IF(O73="","",INDEX(Podcasts!$F$10:'Podcasts'!$F$2535,MATCH(O73&amp;$B73,Podcasts!$E$10:'Podcasts'!$E$2535&amp;Podcasts!$D$10:'Podcasts'!$D$2535,0)))</f>
        <v>0.10826388888888888</v>
      </c>
      <c r="Q73" s="136" t="str">
        <f t="array" ref="Q73">IF(R73="","",INDEX(Podcasts!$J$10:'Podcasts'!$J$2535,MATCH(R73&amp;$B73,Podcasts!$E$10:'Podcasts'!$E$2535&amp;Podcasts!$D$10:'Podcasts'!$D$2535,0)))</f>
        <v>Abfahrt</v>
      </c>
      <c r="R73" s="133">
        <f t="array" ref="R73">IF(COUNTIF(Podcasts!$D$10:'Podcasts'!$D$2535,$B73)&lt;COLUMN(E36),"",SMALL(IF(Podcasts!$D$10:'Podcasts'!$D$2535=$B73,Podcasts!$E$10:'Podcasts'!$E$2535),COLUMN(E36)))</f>
        <v>44855</v>
      </c>
      <c r="S73" s="132">
        <f t="array" ref="S73">IF(R73="","",INDEX(Podcasts!$F$10:'Podcasts'!$F$2535,MATCH(R73&amp;$B73,Podcasts!$E$10:'Podcasts'!$E$2535&amp;Podcasts!$D$10:'Podcasts'!$D$2535,0)))</f>
        <v>5.4756944444444448E-2</v>
      </c>
      <c r="T73" s="136" t="str">
        <f t="array" ref="T73">IF(U73="","",INDEX(Podcasts!$J$10:'Podcasts'!$J$2535,MATCH(U73&amp;$B73,Podcasts!$E$10:'Podcasts'!$E$2535&amp;Podcasts!$D$10:'Podcasts'!$D$2535,0)))</f>
        <v>Zentrale</v>
      </c>
      <c r="U73" s="133">
        <f t="array" ref="U73">IF(COUNTIF(Podcasts!$D$10:'Podcasts'!$D$2535,$B73)&lt;COLUMN(F36),"",SMALL(IF(Podcasts!$D$10:'Podcasts'!$D$2535=$B73,Podcasts!$E$10:'Podcasts'!$E$2535),COLUMN(F36)))</f>
        <v>44876</v>
      </c>
      <c r="V73" s="132">
        <f t="array" ref="V73">IF(U73="","",INDEX(Podcasts!$F$10:'Podcasts'!$F$2535,MATCH(U73&amp;$B73,Podcasts!$E$10:'Podcasts'!$E$2535&amp;Podcasts!$D$10:'Podcasts'!$D$2535,0)))</f>
        <v>0.15024305555555556</v>
      </c>
      <c r="W73" s="136" t="str">
        <f t="array" ref="W73">IF(X73="","",INDEX(Podcasts!$J$10:'Podcasts'!$J$2535,MATCH(X73&amp;$B73,Podcasts!$E$10:'Podcasts'!$E$2535&amp;Podcasts!$D$10:'Podcasts'!$D$2535,0)))</f>
        <v>RBW</v>
      </c>
      <c r="X73" s="133">
        <f t="array" ref="X73">IF(COUNTIF(Podcasts!$D$10:'Podcasts'!$D$2535,$B73)&lt;COLUMN(G36),"",SMALL(IF(Podcasts!$D$10:'Podcasts'!$D$2535=$B73,Podcasts!$E$10:'Podcasts'!$E$2535),COLUMN(G36)))</f>
        <v>45071</v>
      </c>
      <c r="Y73" s="132">
        <f t="array" ref="Y73">IF(X73="","",INDEX(Podcasts!$F$10:'Podcasts'!$F$2535,MATCH(X73&amp;$B73,Podcasts!$E$10:'Podcasts'!$E$2535&amp;Podcasts!$D$10:'Podcasts'!$D$2535,0)))</f>
        <v>3.6516203703703703E-2</v>
      </c>
      <c r="Z73" s="136" t="str">
        <f t="array" ref="Z73">IF(AA73="","",INDEX(Podcasts!$J$10:'Podcasts'!$J$2535,MATCH(AA73&amp;$B73,Podcasts!$E$10:'Podcasts'!$E$2535&amp;Podcasts!$D$10:'Podcasts'!$D$2535,0)))</f>
        <v>Rose</v>
      </c>
      <c r="AA73" s="134">
        <f t="array" ref="AA73">IF(COUNTIF(Podcasts!$D$10:'Podcasts'!$D$2535,$B73)&lt;COLUMN(H36),"",SMALL(IF(Podcasts!$D$10:'Podcasts'!$D$2535=$B73,Podcasts!$E$10:'Podcasts'!$E$2535),COLUMN(H36)))</f>
        <v>45081</v>
      </c>
      <c r="AB73" s="404">
        <f t="array" ref="AB73">IF(AA73="","",INDEX(Podcasts!$F$10:'Podcasts'!$F$2535,MATCH(AA73&amp;$B73,Podcasts!$E$10:'Podcasts'!$E$2535&amp;Podcasts!$D$10:'Podcasts'!$D$2535,0)))</f>
        <v>5.0277777777777775E-2</v>
      </c>
      <c r="AC73" s="406" t="str">
        <f t="array" ref="AC73">IF(AD73="","",INDEX(Podcasts!$J$10:'Podcasts'!$J$2535,MATCH(AD73&amp;$B73,Podcasts!$E$10:'Podcasts'!$E$2535&amp;Podcasts!$D$10:'Podcasts'!$D$2535,0)))</f>
        <v>Bobcast</v>
      </c>
      <c r="AD73" s="400">
        <f t="array" ref="AD73">IF(COUNTIF(Podcasts!$D$10:'Podcasts'!$D$2535,$B73)&lt;COLUMN(I36),"",SMALL(IF(Podcasts!$D$10:'Podcasts'!$D$2535=$B73,Podcasts!$E$10:'Podcasts'!$E$2535),COLUMN(I36)))</f>
        <v>45096.001006944447</v>
      </c>
      <c r="AE73" s="401">
        <f t="array" ref="AE73">IF(AD73="","",INDEX(Podcasts!$F$10:'Podcasts'!$F$2535,MATCH(AD73&amp;$B73,Podcasts!$E$10:'Podcasts'!$E$2535&amp;Podcasts!$D$10:'Podcasts'!$D$2535,0)))</f>
        <v>3.1180555555555555E-2</v>
      </c>
      <c r="AF73" s="406" t="str">
        <f t="array" ref="AF73">IF(AG73="","",INDEX(Podcasts!$J$10:'Podcasts'!$J$2535,MATCH(AG73&amp;$B73,Podcasts!$E$10:'Podcasts'!$E$2535&amp;Podcasts!$D$10:'Podcasts'!$D$2535,0)))</f>
        <v>Verstärker</v>
      </c>
      <c r="AG73" s="400">
        <f t="array" ref="AG73">IF(COUNTIF(Podcasts!$D$10:'Podcasts'!$D$2535,$B73)&lt;COLUMN(J36),"",SMALL(IF(Podcasts!$D$10:'Podcasts'!$D$2535=$B73,Podcasts!$E$10:'Podcasts'!$E$2535),COLUMN(J36)))</f>
        <v>45110</v>
      </c>
      <c r="AH73" s="401">
        <f t="array" ref="AH73">IF(AG73="","",INDEX(Podcasts!$F$10:'Podcasts'!$F$2535,MATCH(AG73&amp;$B73,Podcasts!$E$10:'Podcasts'!$E$2535&amp;Podcasts!$D$10:'Podcasts'!$D$2535,0)))</f>
        <v>2.4143518518518519E-2</v>
      </c>
      <c r="AI73" s="406" t="str">
        <f t="array" ref="AI73">IF(AJ73="","",INDEX(Podcasts!$J$10:'Podcasts'!$J$2535,MATCH(AJ73&amp;$B73,Podcasts!$E$10:'Podcasts'!$E$2535&amp;Podcasts!$D$10:'Podcasts'!$D$2535,0)))</f>
        <v/>
      </c>
      <c r="AJ73" s="400" t="str">
        <f t="array" ref="AJ73">IF(COUNTIF(Podcasts!$D$10:'Podcasts'!$D$2535,$B73)&lt;COLUMN(K36),"",SMALL(IF(Podcasts!$D$10:'Podcasts'!$D$2535=$B73,Podcasts!$E$10:'Podcasts'!$E$2535),COLUMN(K36)))</f>
        <v/>
      </c>
      <c r="AK73" s="401" t="str">
        <f t="array" ref="AK73">IF(AJ73="","",INDEX(Podcasts!$F$10:'Podcasts'!$F$2535,MATCH(AJ73&amp;$B73,Podcasts!$E$10:'Podcasts'!$E$2535&amp;Podcasts!$D$10:'Podcasts'!$D$2535,0)))</f>
        <v/>
      </c>
      <c r="AL73" s="406" t="str">
        <f t="array" ref="AL73">IF(AM73="","",INDEX(Podcasts!$J$10:'Podcasts'!$J$2535,MATCH(AM73&amp;$B73,Podcasts!$E$10:'Podcasts'!$E$2535&amp;Podcasts!$D$10:'Podcasts'!$D$2535,0)))</f>
        <v/>
      </c>
      <c r="AM73" s="400" t="str">
        <f t="array" ref="AM73">IF(COUNTIF(Podcasts!$D$10:'Podcasts'!$D$2535,$B73)&lt;COLUMN(L36),"",SMALL(IF(Podcasts!$D$10:'Podcasts'!$D$2535=$B73,Podcasts!$E$10:'Podcasts'!$E$2535),COLUMN(L36)))</f>
        <v/>
      </c>
      <c r="AN73" s="401" t="str">
        <f t="array" ref="AN73">IF(AM73="","",INDEX(Podcasts!$F$10:'Podcasts'!$F$2535,MATCH(AM73&amp;$B73,Podcasts!$E$10:'Podcasts'!$E$2535&amp;Podcasts!$D$10:'Podcasts'!$D$2535,0)))</f>
        <v/>
      </c>
      <c r="AO73" s="402"/>
      <c r="AP73" s="119"/>
      <c r="AQ73" s="117">
        <f t="array" aca="1" ref="AQ73" ca="1">IFERROR(SMALL(IF(COUNTIF(Podcasts!$D$10:'Podcasts'!$D$107,ROW(INDIRECT("1:"&amp;K$2)))=0,ROW(INDIRECT("1:"&amp;K$2))),ROW($A30)),"")</f>
        <v>50</v>
      </c>
      <c r="AR73" s="117">
        <f t="array" aca="1" ref="AR73" ca="1">IFERROR(SMALL(IF(COUNTIF(Podcasts!$D$113:'Podcasts'!$D$238,ROW(INDIRECT("1:"&amp;K$2)))=0,ROW(INDIRECT("1:"&amp;K$2))),ROW($A30)),"")</f>
        <v>30</v>
      </c>
      <c r="AS73" s="117">
        <f t="array" aca="1" ref="AS73" ca="1">IFERROR(SMALL(IF(COUNTIF(Podcasts!$D$244:'Podcasts'!$D$299,ROW(INDIRECT("1:"&amp;K$2)))=0,ROW(INDIRECT("1:"&amp;K$2))),ROW($A30)),"")</f>
        <v>46</v>
      </c>
      <c r="AT73" s="117">
        <f t="array" aca="1" ref="AT73" ca="1">IFERROR(SMALL(IF(COUNTIF(Podcasts!$D$305:'Podcasts'!$D$473,ROW(INDIRECT("1:"&amp;K$2)))=0,ROW(INDIRECT("1:"&amp;K$2))),ROW($A30)),"")</f>
        <v>161</v>
      </c>
      <c r="AU73" s="117">
        <f t="array" aca="1" ref="AU73" ca="1">IFERROR(SMALL(IF(COUNTIF(Podcasts!$D$479:'Podcasts'!$D$488,ROW(INDIRECT("1:"&amp;K$2)))=0,ROW(INDIRECT("1:"&amp;K$2))),ROW($A30)),"")</f>
        <v>30</v>
      </c>
      <c r="AV73" s="117">
        <f t="array" aca="1" ref="AV73" ca="1">IFERROR(SMALL(IF(COUNTIF(Podcasts!$D$494:'Podcasts'!$D$518,ROW(INDIRECT("1:"&amp;K$2)))=0,ROW(INDIRECT("1:"&amp;K$2))),ROW($A30)),"")</f>
        <v>45</v>
      </c>
      <c r="AW73" s="117">
        <f t="array" aca="1" ref="AW73" ca="1">IFERROR(SMALL(IF(COUNTIF(Podcasts!$D$524:'Podcasts'!$D$532,ROW(INDIRECT("1:"&amp;K$2)))=0,ROW(INDIRECT("1:"&amp;K$2))),ROW($A30)),"")</f>
        <v>30</v>
      </c>
      <c r="AX73" s="117">
        <f t="array" aca="1" ref="AX73" ca="1">IFERROR(SMALL(IF(COUNTIF(Podcasts!$D$538:'Podcasts'!$D$909,ROW(INDIRECT("1:"&amp;K$2)))=0,ROW(INDIRECT("1:"&amp;K$2))),ROW($A30)),"")</f>
        <v>80</v>
      </c>
      <c r="AY73" s="117">
        <f t="array" aca="1" ref="AY73" ca="1">IFERROR(SMALL(IF(COUNTIF(Podcasts!$D$915:'Podcasts'!$D$981,ROW(INDIRECT("1:"&amp;K$2)))=0,ROW(INDIRECT("1:"&amp;K$2))),ROW($A30)),"")</f>
        <v>52</v>
      </c>
      <c r="AZ73" s="445"/>
      <c r="BA73" s="117">
        <f t="array" aca="1" ref="BA73" ca="1">IFERROR(SMALL(IF(COUNTIF(Podcasts!$D$1001:'Podcasts'!$D$1251,ROW(INDIRECT("1:"&amp;K$2)))=0,ROW(INDIRECT("1:"&amp;K$2))),ROW($A30)),"")</f>
        <v>54</v>
      </c>
      <c r="BB73" s="117">
        <f t="array" aca="1" ref="BB73" ca="1">IFERROR(SMALL(IF(COUNTIF(Podcasts!$D$1257:'Podcasts'!$D$1267,ROW(INDIRECT("1:"&amp;K$2)))=0,ROW(INDIRECT("1:"&amp;K$2))),ROW($A30)),"")</f>
        <v>31</v>
      </c>
      <c r="BC73" s="117">
        <f t="array" aca="1" ref="BC73" ca="1">IFERROR(SMALL(IF(COUNTIF(Podcasts!$D$1273:'Podcasts'!$D$1283,ROW(INDIRECT("1:"&amp;K$2)))=0,ROW(INDIRECT("1:"&amp;K$2))),ROW($A30)),"")</f>
        <v>34</v>
      </c>
      <c r="BD73" s="117">
        <f t="array" aca="1" ref="BD73" ca="1">IFERROR(SMALL(IF(COUNTIF(Podcasts!$D$1289:'Podcasts'!$D$1295,ROW(INDIRECT("1:"&amp;K$2)))=0,ROW(INDIRECT("1:"&amp;K$2))),ROW($A30)),"")</f>
        <v>32</v>
      </c>
      <c r="BE73" s="117">
        <f t="array" aca="1" ref="BE73" ca="1">IFERROR(SMALL(IF(COUNTIF(Podcasts!$D$1301:'Podcasts'!$D$1356,ROW(INDIRECT("1:"&amp;K$2)))=0,ROW(INDIRECT("1:"&amp;K$2))),ROW($A30)),"")</f>
        <v>77</v>
      </c>
      <c r="BF73" s="117">
        <f t="array" aca="1" ref="BF73" ca="1">IFERROR(SMALL(IF(COUNTIF(Podcasts!$D$1362:'Podcasts'!$D$1364,ROW(INDIRECT("1:"&amp;K$2)))=0,ROW(INDIRECT("1:"&amp;K$2))),ROW($A30)),"")</f>
        <v>33</v>
      </c>
      <c r="BG73" s="202">
        <f t="array" aca="1" ref="BG73" ca="1">IFERROR(SMALL(IF(COUNTIF(Podcasts!$D$1370:'Podcasts'!$D$1419,ROW(INDIRECT("1:"&amp;K$2)))=0,ROW(INDIRECT("1:"&amp;K$2))),ROW($A30)),"")</f>
        <v>35</v>
      </c>
      <c r="BH73" s="202">
        <f t="array" aca="1" ref="BH73" ca="1">IFERROR(SMALL(IF(COUNTIF(Podcasts!$D$1425:'Podcasts'!$D$1446,ROW(INDIRECT("1:"&amp;K$2)))=0,ROW(INDIRECT("1:"&amp;K$2))),ROW($A30)),"")</f>
        <v>34</v>
      </c>
      <c r="BI73" s="202">
        <f t="array" aca="1" ref="BI73" ca="1">IFERROR(SMALL(IF(COUNTIF(Podcasts!$D$1452:'Podcasts'!$D$1574,ROW(INDIRECT("1:"&amp;K$2)))=0,ROW(INDIRECT("1:"&amp;K$2))),ROW($A30)),"")</f>
        <v>57</v>
      </c>
      <c r="BJ73" s="202">
        <f t="array" aca="1" ref="BJ73" ca="1">IFERROR(SMALL(IF(COUNTIF(Podcasts!$D$1580:'Podcasts'!$D$1705,ROW(INDIRECT("1:"&amp;K$2)))=0,ROW(INDIRECT("1:"&amp;K$2))),ROW($A30)),"")</f>
        <v>52</v>
      </c>
      <c r="BK73" s="202">
        <f t="array" aca="1" ref="BK73" ca="1">IFERROR(SMALL(IF(COUNTIF(Podcasts!$D$1711:'Podcasts'!$D$1833,ROW(INDIRECT("1:"&amp;K$2)))=0,ROW(INDIRECT("1:"&amp;K$2))),ROW($A30)),"")</f>
        <v>70</v>
      </c>
      <c r="BL73" s="202">
        <f t="array" aca="1" ref="BL73" ca="1">IFERROR(SMALL(IF(COUNTIF(Podcasts!$D$1839:'Podcasts'!$D$1855,ROW(INDIRECT("1:"&amp;K$2)))=0,ROW(INDIRECT("1:"&amp;K$2))),ROW($A30)),"")</f>
        <v>35</v>
      </c>
      <c r="BM73" s="567">
        <f t="array" aca="1" ref="BM73" ca="1">IFERROR(SMALL(IF(COUNTIF(Podcasts!$D$1861:'Podcasts'!$D$1994,ROW(INDIRECT("1:"&amp;K$2)))=0,ROW(INDIRECT("1:"&amp;K$2))),ROW($A30)),"")</f>
        <v>39</v>
      </c>
      <c r="BN73" s="567">
        <f t="array" aca="1" ref="BN73" ca="1">IFERROR(SMALL(IF(COUNTIF(Podcasts!$D$2000:'Podcasts'!$D$2057,ROW(INDIRECT("1:"&amp;K$2)))=0,ROW(INDIRECT("1:"&amp;K$2))),ROW($A30)),"")</f>
        <v>85</v>
      </c>
      <c r="BO73" s="567">
        <f t="array" aca="1" ref="BO73" ca="1">IFERROR(SMALL(IF(COUNTIF(Podcasts!$D$2063:'Podcasts'!$D$2071,ROW(INDIRECT("1:"&amp;K$2)))=0,ROW(INDIRECT("1:"&amp;K$2))),ROW($A30)),"")</f>
        <v>30</v>
      </c>
      <c r="BP73" s="202">
        <f t="array" aca="1" ref="BP73" ca="1">IFERROR(SMALL(IF(COUNTIF(Podcasts!$D$2077:'Podcasts'!$D$2092,ROW(INDIRECT("1:"&amp;K$2)))=0,ROW(INDIRECT("1:"&amp;K$2))),ROW($A30)),"")</f>
        <v>37</v>
      </c>
      <c r="BQ73" s="741">
        <f t="array" aca="1" ref="BQ73" ca="1">IFERROR(SMALL(IF(COUNTIF(Podcasts!$D$2098:'Podcasts'!$D$2114,ROW(INDIRECT("1:"&amp;K$2)))=0,ROW(INDIRECT("1:"&amp;K$2))),ROW($A30)),"")</f>
        <v>32</v>
      </c>
      <c r="BR73" s="744">
        <f t="array" aca="1" ref="BR73" ca="1">IFERROR(SMALL(IF(COUNTIF(Podcasts!$D$2120:'Podcasts'!$D$2124,ROW(INDIRECT("1:"&amp;K$2)))=0,ROW(INDIRECT("1:"&amp;K$2))),ROW($A30)),"")</f>
        <v>32</v>
      </c>
      <c r="BS73" s="28"/>
    </row>
    <row r="74" spans="1:71" outlineLevel="1">
      <c r="A74" s="28"/>
      <c r="B74" s="161">
        <v>31</v>
      </c>
      <c r="C74" s="161">
        <f>COUNTIF(Podcasts!$D$10:'Podcasts'!$D$2535,B74)</f>
        <v>8</v>
      </c>
      <c r="D74" s="158" t="s">
        <v>1059</v>
      </c>
      <c r="E74" s="156" t="str">
        <f t="array" ref="E74">IF(F74="","",INDEX(Podcasts!$J$10:'Podcasts'!$J$2535,MATCH(F74&amp;$B74,Podcasts!$E$10:'Podcasts'!$E$2535&amp;Podcasts!$D$10:'Podcasts'!$D$2535,0)))</f>
        <v>Fürst</v>
      </c>
      <c r="F74" s="131">
        <f t="array" ref="F74">IF(COUNTIF(Podcasts!$D$10:'Podcasts'!$D$2535,$B74)&lt;COLUMN(A37),"",SMALL(IF(Podcasts!$D$10:'Podcasts'!$D$2535=$B74,Podcasts!$E$10:'Podcasts'!$E$2535),COLUMN(A37)))</f>
        <v>41896</v>
      </c>
      <c r="G74" s="132">
        <f t="array" ref="G74">IF(F74="","",INDEX(Podcasts!$F$10:'Podcasts'!$F$2535,MATCH(F74&amp;$B74,Podcasts!$E$10:'Podcasts'!$E$2535&amp;Podcasts!$D$10:'Podcasts'!$D$2535,0)))</f>
        <v>4.1666666666666796E-3</v>
      </c>
      <c r="H74" s="136" t="str">
        <f t="array" ref="H74">IF(I74="","",INDEX(Podcasts!$J$10:'Podcasts'!$J$2535,MATCH(I74&amp;$B74,Podcasts!$E$10:'Podcasts'!$E$2535&amp;Podcasts!$D$10:'Podcasts'!$D$2535,0)))</f>
        <v>SSP</v>
      </c>
      <c r="I74" s="133">
        <f t="array" ref="I74">IF(COUNTIF(Podcasts!$D$10:'Podcasts'!$D$2535,$B74)&lt;COLUMN(B37),"",SMALL(IF(Podcasts!$D$10:'Podcasts'!$D$2535=$B74,Podcasts!$E$10:'Podcasts'!$E$2535),COLUMN(B37)))</f>
        <v>44124</v>
      </c>
      <c r="J74" s="132">
        <f t="array" ref="J74">IF(I74="","",INDEX(Podcasts!$F$10:'Podcasts'!$F$2535,MATCH(I74&amp;$B74,Podcasts!$E$10:'Podcasts'!$E$2535&amp;Podcasts!$D$10:'Podcasts'!$D$2535,0)))</f>
        <v>8.2511574074074071E-2</v>
      </c>
      <c r="K74" s="136" t="str">
        <f t="array" ref="K74">IF(L74="","",INDEX(Podcasts!$J$10:'Podcasts'!$J$2535,MATCH(L74&amp;$B74,Podcasts!$E$10:'Podcasts'!$E$2535&amp;Podcasts!$D$10:'Podcasts'!$D$2535,0)))</f>
        <v>R&amp;A</v>
      </c>
      <c r="L74" s="133">
        <f t="array" ref="L74">IF(COUNTIF(Podcasts!$D$10:'Podcasts'!$D$2535,$B74)&lt;COLUMN(C37),"",SMALL(IF(Podcasts!$D$10:'Podcasts'!$D$2535=$B74,Podcasts!$E$10:'Podcasts'!$E$2535),COLUMN(C37)))</f>
        <v>44165.611539351848</v>
      </c>
      <c r="M74" s="132">
        <f t="array" ref="M74">IF(L74="","",INDEX(Podcasts!$F$10:'Podcasts'!$F$2535,MATCH(L74&amp;$B74,Podcasts!$E$10:'Podcasts'!$E$2535&amp;Podcasts!$D$10:'Podcasts'!$D$2535,0)))</f>
        <v>0.10039351851851852</v>
      </c>
      <c r="N74" s="136" t="str">
        <f t="array" ref="N74">IF(O74="","",INDEX(Podcasts!$J$10:'Podcasts'!$J$2535,MATCH(O74&amp;$B74,Podcasts!$E$10:'Podcasts'!$E$2535&amp;Podcasts!$D$10:'Podcasts'!$D$2535,0)))</f>
        <v>Abfahrt</v>
      </c>
      <c r="O74" s="133">
        <f t="array" ref="O74">IF(COUNTIF(Podcasts!$D$10:'Podcasts'!$D$2535,$B74)&lt;COLUMN(D37),"",SMALL(IF(Podcasts!$D$10:'Podcasts'!$D$2535=$B74,Podcasts!$E$10:'Podcasts'!$E$2535),COLUMN(D37)))</f>
        <v>44883</v>
      </c>
      <c r="P74" s="132">
        <f t="array" ref="P74">IF(O74="","",INDEX(Podcasts!$F$10:'Podcasts'!$F$2535,MATCH(O74&amp;$B74,Podcasts!$E$10:'Podcasts'!$E$2535&amp;Podcasts!$D$10:'Podcasts'!$D$2535,0)))</f>
        <v>7.0127314814814809E-2</v>
      </c>
      <c r="Q74" s="136" t="str">
        <f t="array" ref="Q74">IF(R74="","",INDEX(Podcasts!$J$10:'Podcasts'!$J$2535,MATCH(R74&amp;$B74,Podcasts!$E$10:'Podcasts'!$E$2535&amp;Podcasts!$D$10:'Podcasts'!$D$2535,0)))</f>
        <v>Kuchen</v>
      </c>
      <c r="R74" s="133">
        <f t="array" ref="R74">IF(COUNTIF(Podcasts!$D$10:'Podcasts'!$D$2535,$B74)&lt;COLUMN(E37),"",SMALL(IF(Podcasts!$D$10:'Podcasts'!$D$2535=$B74,Podcasts!$E$10:'Podcasts'!$E$2535),COLUMN(E37)))</f>
        <v>44990</v>
      </c>
      <c r="S74" s="132">
        <f t="array" ref="S74">IF(R74="","",INDEX(Podcasts!$F$10:'Podcasts'!$F$2535,MATCH(R74&amp;$B74,Podcasts!$E$10:'Podcasts'!$E$2535&amp;Podcasts!$D$10:'Podcasts'!$D$2535,0)))</f>
        <v>6.177083333333333E-2</v>
      </c>
      <c r="T74" s="136" t="str">
        <f t="array" ref="T74">IF(U74="","",INDEX(Podcasts!$J$10:'Podcasts'!$J$2535,MATCH(U74&amp;$B74,Podcasts!$E$10:'Podcasts'!$E$2535&amp;Podcasts!$D$10:'Podcasts'!$D$2535,0)))</f>
        <v>RBW</v>
      </c>
      <c r="U74" s="133">
        <f t="array" ref="U74">IF(COUNTIF(Podcasts!$D$10:'Podcasts'!$D$2535,$B74)&lt;COLUMN(F37),"",SMALL(IF(Podcasts!$D$10:'Podcasts'!$D$2535=$B74,Podcasts!$E$10:'Podcasts'!$E$2535),COLUMN(F37)))</f>
        <v>45085</v>
      </c>
      <c r="V74" s="132">
        <f t="array" ref="V74">IF(U74="","",INDEX(Podcasts!$F$10:'Podcasts'!$F$2535,MATCH(U74&amp;$B74,Podcasts!$E$10:'Podcasts'!$E$2535&amp;Podcasts!$D$10:'Podcasts'!$D$2535,0)))</f>
        <v>4.4861111111111109E-2</v>
      </c>
      <c r="W74" s="136" t="str">
        <f t="array" ref="W74">IF(X74="","",INDEX(Podcasts!$J$10:'Podcasts'!$J$2535,MATCH(X74&amp;$B74,Podcasts!$E$10:'Podcasts'!$E$2535&amp;Podcasts!$D$10:'Podcasts'!$D$2535,0)))</f>
        <v>Bobcast</v>
      </c>
      <c r="X74" s="133">
        <f t="array" ref="X74">IF(COUNTIF(Podcasts!$D$10:'Podcasts'!$D$2535,$B74)&lt;COLUMN(G37),"",SMALL(IF(Podcasts!$D$10:'Podcasts'!$D$2535=$B74,Podcasts!$E$10:'Podcasts'!$E$2535),COLUMN(G37)))</f>
        <v>45110.000925925924</v>
      </c>
      <c r="Y74" s="132">
        <f t="array" ref="Y74">IF(X74="","",INDEX(Podcasts!$F$10:'Podcasts'!$F$2535,MATCH(X74&amp;$B74,Podcasts!$E$10:'Podcasts'!$E$2535&amp;Podcasts!$D$10:'Podcasts'!$D$2535,0)))</f>
        <v>4.0740740740740737E-2</v>
      </c>
      <c r="Z74" s="136" t="str">
        <f t="array" ref="Z74">IF(AA74="","",INDEX(Podcasts!$J$10:'Podcasts'!$J$2535,MATCH(AA74&amp;$B74,Podcasts!$E$10:'Podcasts'!$E$2535&amp;Podcasts!$D$10:'Podcasts'!$D$2535,0)))</f>
        <v>Verstärker</v>
      </c>
      <c r="AA74" s="134">
        <f t="array" ref="AA74">IF(COUNTIF(Podcasts!$D$10:'Podcasts'!$D$2535,$B74)&lt;COLUMN(H37),"",SMALL(IF(Podcasts!$D$10:'Podcasts'!$D$2535=$B74,Podcasts!$E$10:'Podcasts'!$E$2535),COLUMN(H37)))</f>
        <v>45141</v>
      </c>
      <c r="AB74" s="404">
        <f t="array" ref="AB74">IF(AA74="","",INDEX(Podcasts!$F$10:'Podcasts'!$F$2535,MATCH(AA74&amp;$B74,Podcasts!$E$10:'Podcasts'!$E$2535&amp;Podcasts!$D$10:'Podcasts'!$D$2535,0)))</f>
        <v>2.0960648148148148E-2</v>
      </c>
      <c r="AC74" s="406" t="str">
        <f t="array" ref="AC74">IF(AD74="","",INDEX(Podcasts!$J$10:'Podcasts'!$J$2535,MATCH(AD74&amp;$B74,Podcasts!$E$10:'Podcasts'!$E$2535&amp;Podcasts!$D$10:'Podcasts'!$D$2535,0)))</f>
        <v/>
      </c>
      <c r="AD74" s="400" t="str">
        <f t="array" ref="AD74">IF(COUNTIF(Podcasts!$D$10:'Podcasts'!$D$2535,$B74)&lt;COLUMN(I37),"",SMALL(IF(Podcasts!$D$10:'Podcasts'!$D$2535=$B74,Podcasts!$E$10:'Podcasts'!$E$2535),COLUMN(I37)))</f>
        <v/>
      </c>
      <c r="AE74" s="401" t="str">
        <f t="array" ref="AE74">IF(AD74="","",INDEX(Podcasts!$F$10:'Podcasts'!$F$2535,MATCH(AD74&amp;$B74,Podcasts!$E$10:'Podcasts'!$E$2535&amp;Podcasts!$D$10:'Podcasts'!$D$2535,0)))</f>
        <v/>
      </c>
      <c r="AF74" s="406" t="str">
        <f t="array" ref="AF74">IF(AG74="","",INDEX(Podcasts!$J$10:'Podcasts'!$J$2535,MATCH(AG74&amp;$B74,Podcasts!$E$10:'Podcasts'!$E$2535&amp;Podcasts!$D$10:'Podcasts'!$D$2535,0)))</f>
        <v/>
      </c>
      <c r="AG74" s="400" t="str">
        <f t="array" ref="AG74">IF(COUNTIF(Podcasts!$D$10:'Podcasts'!$D$2535,$B74)&lt;COLUMN(J37),"",SMALL(IF(Podcasts!$D$10:'Podcasts'!$D$2535=$B74,Podcasts!$E$10:'Podcasts'!$E$2535),COLUMN(J37)))</f>
        <v/>
      </c>
      <c r="AH74" s="401" t="str">
        <f t="array" ref="AH74">IF(AG74="","",INDEX(Podcasts!$F$10:'Podcasts'!$F$2535,MATCH(AG74&amp;$B74,Podcasts!$E$10:'Podcasts'!$E$2535&amp;Podcasts!$D$10:'Podcasts'!$D$2535,0)))</f>
        <v/>
      </c>
      <c r="AI74" s="406" t="str">
        <f t="array" ref="AI74">IF(AJ74="","",INDEX(Podcasts!$J$10:'Podcasts'!$J$2535,MATCH(AJ74&amp;$B74,Podcasts!$E$10:'Podcasts'!$E$2535&amp;Podcasts!$D$10:'Podcasts'!$D$2535,0)))</f>
        <v/>
      </c>
      <c r="AJ74" s="400" t="str">
        <f t="array" ref="AJ74">IF(COUNTIF(Podcasts!$D$10:'Podcasts'!$D$2535,$B74)&lt;COLUMN(K37),"",SMALL(IF(Podcasts!$D$10:'Podcasts'!$D$2535=$B74,Podcasts!$E$10:'Podcasts'!$E$2535),COLUMN(K37)))</f>
        <v/>
      </c>
      <c r="AK74" s="401" t="str">
        <f t="array" ref="AK74">IF(AJ74="","",INDEX(Podcasts!$F$10:'Podcasts'!$F$2535,MATCH(AJ74&amp;$B74,Podcasts!$E$10:'Podcasts'!$E$2535&amp;Podcasts!$D$10:'Podcasts'!$D$2535,0)))</f>
        <v/>
      </c>
      <c r="AL74" s="406" t="str">
        <f t="array" ref="AL74">IF(AM74="","",INDEX(Podcasts!$J$10:'Podcasts'!$J$2535,MATCH(AM74&amp;$B74,Podcasts!$E$10:'Podcasts'!$E$2535&amp;Podcasts!$D$10:'Podcasts'!$D$2535,0)))</f>
        <v/>
      </c>
      <c r="AM74" s="400" t="str">
        <f t="array" ref="AM74">IF(COUNTIF(Podcasts!$D$10:'Podcasts'!$D$2535,$B74)&lt;COLUMN(L37),"",SMALL(IF(Podcasts!$D$10:'Podcasts'!$D$2535=$B74,Podcasts!$E$10:'Podcasts'!$E$2535),COLUMN(L37)))</f>
        <v/>
      </c>
      <c r="AN74" s="401" t="str">
        <f t="array" ref="AN74">IF(AM74="","",INDEX(Podcasts!$F$10:'Podcasts'!$F$2535,MATCH(AM74&amp;$B74,Podcasts!$E$10:'Podcasts'!$E$2535&amp;Podcasts!$D$10:'Podcasts'!$D$2535,0)))</f>
        <v/>
      </c>
      <c r="AO74" s="402"/>
      <c r="AP74" s="119"/>
      <c r="AQ74" s="117">
        <f t="array" aca="1" ref="AQ74" ca="1">IFERROR(SMALL(IF(COUNTIF(Podcasts!$D$10:'Podcasts'!$D$107,ROW(INDIRECT("1:"&amp;K$2)))=0,ROW(INDIRECT("1:"&amp;K$2))),ROW($A31)),"")</f>
        <v>51</v>
      </c>
      <c r="AR74" s="117">
        <f t="array" aca="1" ref="AR74" ca="1">IFERROR(SMALL(IF(COUNTIF(Podcasts!$D$113:'Podcasts'!$D$238,ROW(INDIRECT("1:"&amp;K$2)))=0,ROW(INDIRECT("1:"&amp;K$2))),ROW($A31)),"")</f>
        <v>31</v>
      </c>
      <c r="AS74" s="117">
        <f t="array" aca="1" ref="AS74" ca="1">IFERROR(SMALL(IF(COUNTIF(Podcasts!$D$244:'Podcasts'!$D$299,ROW(INDIRECT("1:"&amp;K$2)))=0,ROW(INDIRECT("1:"&amp;K$2))),ROW($A31)),"")</f>
        <v>47</v>
      </c>
      <c r="AT74" s="117">
        <f t="array" aca="1" ref="AT74" ca="1">IFERROR(SMALL(IF(COUNTIF(Podcasts!$D$305:'Podcasts'!$D$473,ROW(INDIRECT("1:"&amp;K$2)))=0,ROW(INDIRECT("1:"&amp;K$2))),ROW($A31)),"")</f>
        <v>163</v>
      </c>
      <c r="AU74" s="117">
        <f t="array" aca="1" ref="AU74" ca="1">IFERROR(SMALL(IF(COUNTIF(Podcasts!$D$479:'Podcasts'!$D$488,ROW(INDIRECT("1:"&amp;K$2)))=0,ROW(INDIRECT("1:"&amp;K$2))),ROW($A31)),"")</f>
        <v>31</v>
      </c>
      <c r="AV74" s="117">
        <f t="array" aca="1" ref="AV74" ca="1">IFERROR(SMALL(IF(COUNTIF(Podcasts!$D$494:'Podcasts'!$D$518,ROW(INDIRECT("1:"&amp;K$2)))=0,ROW(INDIRECT("1:"&amp;K$2))),ROW($A31)),"")</f>
        <v>46</v>
      </c>
      <c r="AW74" s="117">
        <f t="array" aca="1" ref="AW74" ca="1">IFERROR(SMALL(IF(COUNTIF(Podcasts!$D$524:'Podcasts'!$D$532,ROW(INDIRECT("1:"&amp;K$2)))=0,ROW(INDIRECT("1:"&amp;K$2))),ROW($A31)),"")</f>
        <v>31</v>
      </c>
      <c r="AX74" s="117">
        <f t="array" aca="1" ref="AX74" ca="1">IFERROR(SMALL(IF(COUNTIF(Podcasts!$D$538:'Podcasts'!$D$909,ROW(INDIRECT("1:"&amp;K$2)))=0,ROW(INDIRECT("1:"&amp;K$2))),ROW($A31)),"")</f>
        <v>81</v>
      </c>
      <c r="AY74" s="117">
        <f t="array" aca="1" ref="AY74" ca="1">IFERROR(SMALL(IF(COUNTIF(Podcasts!$D$915:'Podcasts'!$D$981,ROW(INDIRECT("1:"&amp;K$2)))=0,ROW(INDIRECT("1:"&amp;K$2))),ROW($A31)),"")</f>
        <v>53</v>
      </c>
      <c r="AZ74" s="445"/>
      <c r="BA74" s="117">
        <f t="array" aca="1" ref="BA74" ca="1">IFERROR(SMALL(IF(COUNTIF(Podcasts!$D$1001:'Podcasts'!$D$1251,ROW(INDIRECT("1:"&amp;K$2)))=0,ROW(INDIRECT("1:"&amp;K$2))),ROW($A31)),"")</f>
        <v>55</v>
      </c>
      <c r="BB74" s="117">
        <f t="array" aca="1" ref="BB74" ca="1">IFERROR(SMALL(IF(COUNTIF(Podcasts!$D$1257:'Podcasts'!$D$1267,ROW(INDIRECT("1:"&amp;K$2)))=0,ROW(INDIRECT("1:"&amp;K$2))),ROW($A31)),"")</f>
        <v>32</v>
      </c>
      <c r="BC74" s="117">
        <f t="array" aca="1" ref="BC74" ca="1">IFERROR(SMALL(IF(COUNTIF(Podcasts!$D$1273:'Podcasts'!$D$1283,ROW(INDIRECT("1:"&amp;K$2)))=0,ROW(INDIRECT("1:"&amp;K$2))),ROW($A31)),"")</f>
        <v>35</v>
      </c>
      <c r="BD74" s="117">
        <f t="array" aca="1" ref="BD74" ca="1">IFERROR(SMALL(IF(COUNTIF(Podcasts!$D$1289:'Podcasts'!$D$1295,ROW(INDIRECT("1:"&amp;K$2)))=0,ROW(INDIRECT("1:"&amp;K$2))),ROW($A31)),"")</f>
        <v>33</v>
      </c>
      <c r="BE74" s="117">
        <f t="array" aca="1" ref="BE74" ca="1">IFERROR(SMALL(IF(COUNTIF(Podcasts!$D$1301:'Podcasts'!$D$1356,ROW(INDIRECT("1:"&amp;K$2)))=0,ROW(INDIRECT("1:"&amp;K$2))),ROW($A31)),"")</f>
        <v>78</v>
      </c>
      <c r="BF74" s="117">
        <f t="array" aca="1" ref="BF74" ca="1">IFERROR(SMALL(IF(COUNTIF(Podcasts!$D$1362:'Podcasts'!$D$1364,ROW(INDIRECT("1:"&amp;K$2)))=0,ROW(INDIRECT("1:"&amp;K$2))),ROW($A31)),"")</f>
        <v>34</v>
      </c>
      <c r="BG74" s="202">
        <f t="array" aca="1" ref="BG74" ca="1">IFERROR(SMALL(IF(COUNTIF(Podcasts!$D$1370:'Podcasts'!$D$1419,ROW(INDIRECT("1:"&amp;K$2)))=0,ROW(INDIRECT("1:"&amp;K$2))),ROW($A31)),"")</f>
        <v>36</v>
      </c>
      <c r="BH74" s="202">
        <f t="array" aca="1" ref="BH74" ca="1">IFERROR(SMALL(IF(COUNTIF(Podcasts!$D$1425:'Podcasts'!$D$1446,ROW(INDIRECT("1:"&amp;K$2)))=0,ROW(INDIRECT("1:"&amp;K$2))),ROW($A31)),"")</f>
        <v>35</v>
      </c>
      <c r="BI74" s="202">
        <f t="array" aca="1" ref="BI74" ca="1">IFERROR(SMALL(IF(COUNTIF(Podcasts!$D$1452:'Podcasts'!$D$1574,ROW(INDIRECT("1:"&amp;K$2)))=0,ROW(INDIRECT("1:"&amp;K$2))),ROW($A31)),"")</f>
        <v>58</v>
      </c>
      <c r="BJ74" s="202">
        <f t="array" aca="1" ref="BJ74" ca="1">IFERROR(SMALL(IF(COUNTIF(Podcasts!$D$1580:'Podcasts'!$D$1705,ROW(INDIRECT("1:"&amp;K$2)))=0,ROW(INDIRECT("1:"&amp;K$2))),ROW($A31)),"")</f>
        <v>53</v>
      </c>
      <c r="BK74" s="202">
        <f t="array" aca="1" ref="BK74" ca="1">IFERROR(SMALL(IF(COUNTIF(Podcasts!$D$1711:'Podcasts'!$D$1833,ROW(INDIRECT("1:"&amp;K$2)))=0,ROW(INDIRECT("1:"&amp;K$2))),ROW($A31)),"")</f>
        <v>71</v>
      </c>
      <c r="BL74" s="202">
        <f t="array" aca="1" ref="BL74" ca="1">IFERROR(SMALL(IF(COUNTIF(Podcasts!$D$1839:'Podcasts'!$D$1855,ROW(INDIRECT("1:"&amp;K$2)))=0,ROW(INDIRECT("1:"&amp;K$2))),ROW($A31)),"")</f>
        <v>36</v>
      </c>
      <c r="BM74" s="567">
        <f t="array" aca="1" ref="BM74" ca="1">IFERROR(SMALL(IF(COUNTIF(Podcasts!$D$1861:'Podcasts'!$D$1994,ROW(INDIRECT("1:"&amp;K$2)))=0,ROW(INDIRECT("1:"&amp;K$2))),ROW($A31)),"")</f>
        <v>40</v>
      </c>
      <c r="BN74" s="567">
        <f t="array" aca="1" ref="BN74" ca="1">IFERROR(SMALL(IF(COUNTIF(Podcasts!$D$2000:'Podcasts'!$D$2057,ROW(INDIRECT("1:"&amp;K$2)))=0,ROW(INDIRECT("1:"&amp;K$2))),ROW($A31)),"")</f>
        <v>86</v>
      </c>
      <c r="BO74" s="567">
        <f t="array" aca="1" ref="BO74" ca="1">IFERROR(SMALL(IF(COUNTIF(Podcasts!$D$2063:'Podcasts'!$D$2071,ROW(INDIRECT("1:"&amp;K$2)))=0,ROW(INDIRECT("1:"&amp;K$2))),ROW($A31)),"")</f>
        <v>31</v>
      </c>
      <c r="BP74" s="202">
        <f t="array" aca="1" ref="BP74" ca="1">IFERROR(SMALL(IF(COUNTIF(Podcasts!$D$2077:'Podcasts'!$D$2092,ROW(INDIRECT("1:"&amp;K$2)))=0,ROW(INDIRECT("1:"&amp;K$2))),ROW($A31)),"")</f>
        <v>38</v>
      </c>
      <c r="BQ74" s="741">
        <f t="array" aca="1" ref="BQ74" ca="1">IFERROR(SMALL(IF(COUNTIF(Podcasts!$D$2098:'Podcasts'!$D$2114,ROW(INDIRECT("1:"&amp;K$2)))=0,ROW(INDIRECT("1:"&amp;K$2))),ROW($A31)),"")</f>
        <v>33</v>
      </c>
      <c r="BR74" s="744">
        <f t="array" aca="1" ref="BR74" ca="1">IFERROR(SMALL(IF(COUNTIF(Podcasts!$D$2120:'Podcasts'!$D$2124,ROW(INDIRECT("1:"&amp;K$2)))=0,ROW(INDIRECT("1:"&amp;K$2))),ROW($A31)),"")</f>
        <v>33</v>
      </c>
      <c r="BS74" s="28"/>
    </row>
    <row r="75" spans="1:71" outlineLevel="1">
      <c r="A75" s="28"/>
      <c r="B75" s="161">
        <v>32</v>
      </c>
      <c r="C75" s="161">
        <f>COUNTIF(Podcasts!$D$10:'Podcasts'!$D$2535,B75)</f>
        <v>12</v>
      </c>
      <c r="D75" s="158" t="s">
        <v>1060</v>
      </c>
      <c r="E75" s="156" t="str">
        <f t="array" ref="E75">IF(F75="","",INDEX(Podcasts!$J$10:'Podcasts'!$J$2535,MATCH(F75&amp;$B75,Podcasts!$E$10:'Podcasts'!$E$2535&amp;Podcasts!$D$10:'Podcasts'!$D$2535,0)))</f>
        <v>Fürst</v>
      </c>
      <c r="F75" s="131">
        <f t="array" ref="F75">IF(COUNTIF(Podcasts!$D$10:'Podcasts'!$D$2535,$B75)&lt;COLUMN(A38),"",SMALL(IF(Podcasts!$D$10:'Podcasts'!$D$2535=$B75,Podcasts!$E$10:'Podcasts'!$E$2535),COLUMN(A38)))</f>
        <v>42106</v>
      </c>
      <c r="G75" s="132">
        <f t="array" ref="G75">IF(F75="","",INDEX(Podcasts!$F$10:'Podcasts'!$F$2535,MATCH(F75&amp;$B75,Podcasts!$E$10:'Podcasts'!$E$2535&amp;Podcasts!$D$10:'Podcasts'!$D$2535,0)))</f>
        <v>1.6898148148148148E-2</v>
      </c>
      <c r="H75" s="136" t="str">
        <f t="array" ref="H75">IF(I75="","",INDEX(Podcasts!$J$10:'Podcasts'!$J$2535,MATCH(I75&amp;$B75,Podcasts!$E$10:'Podcasts'!$E$2535&amp;Podcasts!$D$10:'Podcasts'!$D$2535,0)))</f>
        <v>Schrott</v>
      </c>
      <c r="I75" s="133">
        <f t="array" ref="I75">IF(COUNTIF(Podcasts!$D$10:'Podcasts'!$D$2535,$B75)&lt;COLUMN(B38),"",SMALL(IF(Podcasts!$D$10:'Podcasts'!$D$2535=$B75,Podcasts!$E$10:'Podcasts'!$E$2535),COLUMN(B38)))</f>
        <v>42787</v>
      </c>
      <c r="J75" s="132">
        <f t="array" ref="J75">IF(I75="","",INDEX(Podcasts!$F$10:'Podcasts'!$F$2535,MATCH(I75&amp;$B75,Podcasts!$E$10:'Podcasts'!$E$2535&amp;Podcasts!$D$10:'Podcasts'!$D$2535,0)))</f>
        <v>4.206018518518518E-2</v>
      </c>
      <c r="K75" s="136" t="str">
        <f t="array" ref="K75">IF(L75="","",INDEX(Podcasts!$J$10:'Podcasts'!$J$2535,MATCH(L75&amp;$B75,Podcasts!$E$10:'Podcasts'!$E$2535&amp;Podcasts!$D$10:'Podcasts'!$D$2535,0)))</f>
        <v>Zentrale</v>
      </c>
      <c r="L75" s="133">
        <f t="array" ref="L75">IF(COUNTIF(Podcasts!$D$10:'Podcasts'!$D$2535,$B75)&lt;COLUMN(C38),"",SMALL(IF(Podcasts!$D$10:'Podcasts'!$D$2535=$B75,Podcasts!$E$10:'Podcasts'!$E$2535),COLUMN(C38)))</f>
        <v>43533.017928240741</v>
      </c>
      <c r="M75" s="132">
        <f t="array" ref="M75">IF(L75="","",INDEX(Podcasts!$F$10:'Podcasts'!$F$2535,MATCH(L75&amp;$B75,Podcasts!$E$10:'Podcasts'!$E$2535&amp;Podcasts!$D$10:'Podcasts'!$D$2535,0)))</f>
        <v>6.8043981481481483E-2</v>
      </c>
      <c r="N75" s="136" t="str">
        <f t="array" ref="N75">IF(O75="","",INDEX(Podcasts!$J$10:'Podcasts'!$J$2535,MATCH(O75&amp;$B75,Podcasts!$E$10:'Podcasts'!$E$2535&amp;Podcasts!$D$10:'Podcasts'!$D$2535,0)))</f>
        <v>SSP</v>
      </c>
      <c r="O75" s="133">
        <f t="array" ref="O75">IF(COUNTIF(Podcasts!$D$10:'Podcasts'!$D$2535,$B75)&lt;COLUMN(D38),"",SMALL(IF(Podcasts!$D$10:'Podcasts'!$D$2535=$B75,Podcasts!$E$10:'Podcasts'!$E$2535),COLUMN(D38)))</f>
        <v>43711</v>
      </c>
      <c r="P75" s="132">
        <f t="array" ref="P75">IF(O75="","",INDEX(Podcasts!$F$10:'Podcasts'!$F$2535,MATCH(O75&amp;$B75,Podcasts!$E$10:'Podcasts'!$E$2535&amp;Podcasts!$D$10:'Podcasts'!$D$2535,0)))</f>
        <v>8.5011574074074073E-2</v>
      </c>
      <c r="Q75" s="136" t="str">
        <f t="array" ref="Q75">IF(R75="","",INDEX(Podcasts!$J$10:'Podcasts'!$J$2535,MATCH(R75&amp;$B75,Podcasts!$E$10:'Podcasts'!$E$2535&amp;Podcasts!$D$10:'Podcasts'!$D$2535,0)))</f>
        <v>Kuchen</v>
      </c>
      <c r="R75" s="133">
        <f t="array" ref="R75">IF(COUNTIF(Podcasts!$D$10:'Podcasts'!$D$2535,$B75)&lt;COLUMN(E38),"",SMALL(IF(Podcasts!$D$10:'Podcasts'!$D$2535=$B75,Podcasts!$E$10:'Podcasts'!$E$2535),COLUMN(E38)))</f>
        <v>44206</v>
      </c>
      <c r="S75" s="132">
        <f t="array" ref="S75">IF(R75="","",INDEX(Podcasts!$F$10:'Podcasts'!$F$2535,MATCH(R75&amp;$B75,Podcasts!$E$10:'Podcasts'!$E$2535&amp;Podcasts!$D$10:'Podcasts'!$D$2535,0)))</f>
        <v>4.8645833333333333E-2</v>
      </c>
      <c r="T75" s="136" t="str">
        <f t="array" ref="T75">IF(U75="","",INDEX(Podcasts!$J$10:'Podcasts'!$J$2535,MATCH(U75&amp;$B75,Podcasts!$E$10:'Podcasts'!$E$2535&amp;Podcasts!$D$10:'Podcasts'!$D$2535,0)))</f>
        <v>Rose</v>
      </c>
      <c r="U75" s="133">
        <f t="array" ref="U75">IF(COUNTIF(Podcasts!$D$10:'Podcasts'!$D$2535,$B75)&lt;COLUMN(F38),"",SMALL(IF(Podcasts!$D$10:'Podcasts'!$D$2535=$B75,Podcasts!$E$10:'Podcasts'!$E$2535),COLUMN(F38)))</f>
        <v>44829</v>
      </c>
      <c r="V75" s="132">
        <f t="array" ref="V75">IF(U75="","",INDEX(Podcasts!$F$10:'Podcasts'!$F$2535,MATCH(U75&amp;$B75,Podcasts!$E$10:'Podcasts'!$E$2535&amp;Podcasts!$D$10:'Podcasts'!$D$2535,0)))</f>
        <v>5.0358796296296297E-2</v>
      </c>
      <c r="W75" s="136" t="str">
        <f t="array" ref="W75">IF(X75="","",INDEX(Podcasts!$J$10:'Podcasts'!$J$2535,MATCH(X75&amp;$B75,Podcasts!$E$10:'Podcasts'!$E$2535&amp;Podcasts!$D$10:'Podcasts'!$D$2535,0)))</f>
        <v>Abfahrt</v>
      </c>
      <c r="X75" s="133">
        <f t="array" ref="X75">IF(COUNTIF(Podcasts!$D$10:'Podcasts'!$D$2535,$B75)&lt;COLUMN(G38),"",SMALL(IF(Podcasts!$D$10:'Podcasts'!$D$2535=$B75,Podcasts!$E$10:'Podcasts'!$E$2535),COLUMN(G38)))</f>
        <v>44946</v>
      </c>
      <c r="Y75" s="132">
        <f t="array" ref="Y75">IF(X75="","",INDEX(Podcasts!$F$10:'Podcasts'!$F$2535,MATCH(X75&amp;$B75,Podcasts!$E$10:'Podcasts'!$E$2535&amp;Podcasts!$D$10:'Podcasts'!$D$2535,0)))</f>
        <v>6.2465277777777772E-2</v>
      </c>
      <c r="Z75" s="136" t="str">
        <f t="array" ref="Z75">IF(AA75="","",INDEX(Podcasts!$J$10:'Podcasts'!$J$2535,MATCH(AA75&amp;$B75,Podcasts!$E$10:'Podcasts'!$E$2535&amp;Podcasts!$D$10:'Podcasts'!$D$2535,0)))</f>
        <v>Zeichen</v>
      </c>
      <c r="AA75" s="134">
        <f t="array" ref="AA75">IF(COUNTIF(Podcasts!$D$10:'Podcasts'!$D$2535,$B75)&lt;COLUMN(H38),"",SMALL(IF(Podcasts!$D$10:'Podcasts'!$D$2535=$B75,Podcasts!$E$10:'Podcasts'!$E$2535),COLUMN(H38)))</f>
        <v>45040</v>
      </c>
      <c r="AB75" s="404">
        <f t="array" ref="AB75">IF(AA75="","",INDEX(Podcasts!$F$10:'Podcasts'!$F$2535,MATCH(AA75&amp;$B75,Podcasts!$E$10:'Podcasts'!$E$2535&amp;Podcasts!$D$10:'Podcasts'!$D$2535,0)))</f>
        <v>8.3506944444444453E-2</v>
      </c>
      <c r="AC75" s="406" t="str">
        <f t="array" ref="AC75">IF(AD75="","",INDEX(Podcasts!$J$10:'Podcasts'!$J$2535,MATCH(AD75&amp;$B75,Podcasts!$E$10:'Podcasts'!$E$2535&amp;Podcasts!$D$10:'Podcasts'!$D$2535,0)))</f>
        <v>Kaffee</v>
      </c>
      <c r="AD75" s="400">
        <f t="array" ref="AD75">IF(COUNTIF(Podcasts!$D$10:'Podcasts'!$D$2535,$B75)&lt;COLUMN(I38),"",SMALL(IF(Podcasts!$D$10:'Podcasts'!$D$2535=$B75,Podcasts!$E$10:'Podcasts'!$E$2535),COLUMN(I38)))</f>
        <v>45079</v>
      </c>
      <c r="AE75" s="401">
        <f t="array" ref="AE75">IF(AD75="","",INDEX(Podcasts!$F$10:'Podcasts'!$F$2535,MATCH(AD75&amp;$B75,Podcasts!$E$10:'Podcasts'!$E$2535&amp;Podcasts!$D$10:'Podcasts'!$D$2535,0)))</f>
        <v>4.5196759259259256E-2</v>
      </c>
      <c r="AF75" s="406" t="str">
        <f t="array" ref="AF75">IF(AG75="","",INDEX(Podcasts!$J$10:'Podcasts'!$J$2535,MATCH(AG75&amp;$B75,Podcasts!$E$10:'Podcasts'!$E$2535&amp;Podcasts!$D$10:'Podcasts'!$D$2535,0)))</f>
        <v>RBW</v>
      </c>
      <c r="AG75" s="400">
        <f t="array" ref="AG75">IF(COUNTIF(Podcasts!$D$10:'Podcasts'!$D$2535,$B75)&lt;COLUMN(J38),"",SMALL(IF(Podcasts!$D$10:'Podcasts'!$D$2535=$B75,Podcasts!$E$10:'Podcasts'!$E$2535),COLUMN(J38)))</f>
        <v>45092</v>
      </c>
      <c r="AH75" s="401">
        <f t="array" ref="AH75">IF(AG75="","",INDEX(Podcasts!$F$10:'Podcasts'!$F$2535,MATCH(AG75&amp;$B75,Podcasts!$E$10:'Podcasts'!$E$2535&amp;Podcasts!$D$10:'Podcasts'!$D$2535,0)))</f>
        <v>3.037037037037037E-2</v>
      </c>
      <c r="AI75" s="406" t="str">
        <f t="array" ref="AI75">IF(AJ75="","",INDEX(Podcasts!$J$10:'Podcasts'!$J$2535,MATCH(AJ75&amp;$B75,Podcasts!$E$10:'Podcasts'!$E$2535&amp;Podcasts!$D$10:'Podcasts'!$D$2535,0)))</f>
        <v>Verstärker</v>
      </c>
      <c r="AJ75" s="400">
        <f t="array" ref="AJ75">IF(COUNTIF(Podcasts!$D$10:'Podcasts'!$D$2535,$B75)&lt;COLUMN(K38),"",SMALL(IF(Podcasts!$D$10:'Podcasts'!$D$2535=$B75,Podcasts!$E$10:'Podcasts'!$E$2535),COLUMN(K38)))</f>
        <v>45172</v>
      </c>
      <c r="AK75" s="401">
        <f t="array" ref="AK75">IF(AJ75="","",INDEX(Podcasts!$F$10:'Podcasts'!$F$2535,MATCH(AJ75&amp;$B75,Podcasts!$E$10:'Podcasts'!$E$2535&amp;Podcasts!$D$10:'Podcasts'!$D$2535,0)))</f>
        <v>2.3634259259259258E-2</v>
      </c>
      <c r="AL75" s="406" t="str">
        <f t="array" ref="AL75">IF(AM75="","",INDEX(Podcasts!$J$10:'Podcasts'!$J$2535,MATCH(AM75&amp;$B75,Podcasts!$E$10:'Podcasts'!$E$2535&amp;Podcasts!$D$10:'Podcasts'!$D$2535,0)))</f>
        <v>Bobcast</v>
      </c>
      <c r="AM75" s="400">
        <f t="array" ref="AM75">IF(COUNTIF(Podcasts!$D$10:'Podcasts'!$D$2535,$B75)&lt;COLUMN(L38),"",SMALL(IF(Podcasts!$D$10:'Podcasts'!$D$2535=$B75,Podcasts!$E$10:'Podcasts'!$E$2535),COLUMN(L38)))</f>
        <v>45187</v>
      </c>
      <c r="AN75" s="401">
        <f t="array" ref="AN75">IF(AM75="","",INDEX(Podcasts!$F$10:'Podcasts'!$F$2535,MATCH(AM75&amp;$B75,Podcasts!$E$10:'Podcasts'!$E$2535&amp;Podcasts!$D$10:'Podcasts'!$D$2535,0)))</f>
        <v>2.478009259259259E-2</v>
      </c>
      <c r="AO75" s="402"/>
      <c r="AP75" s="119"/>
      <c r="AQ75" s="117">
        <f t="array" aca="1" ref="AQ75" ca="1">IFERROR(SMALL(IF(COUNTIF(Podcasts!$D$10:'Podcasts'!$D$107,ROW(INDIRECT("1:"&amp;K$2)))=0,ROW(INDIRECT("1:"&amp;K$2))),ROW($A32)),"")</f>
        <v>53</v>
      </c>
      <c r="AR75" s="117">
        <f t="array" aca="1" ref="AR75" ca="1">IFERROR(SMALL(IF(COUNTIF(Podcasts!$D$113:'Podcasts'!$D$238,ROW(INDIRECT("1:"&amp;K$2)))=0,ROW(INDIRECT("1:"&amp;K$2))),ROW($A32)),"")</f>
        <v>32</v>
      </c>
      <c r="AS75" s="117">
        <f t="array" aca="1" ref="AS75" ca="1">IFERROR(SMALL(IF(COUNTIF(Podcasts!$D$244:'Podcasts'!$D$299,ROW(INDIRECT("1:"&amp;K$2)))=0,ROW(INDIRECT("1:"&amp;K$2))),ROW($A32)),"")</f>
        <v>48</v>
      </c>
      <c r="AT75" s="117">
        <f t="array" aca="1" ref="AT75" ca="1">IFERROR(SMALL(IF(COUNTIF(Podcasts!$D$305:'Podcasts'!$D$473,ROW(INDIRECT("1:"&amp;K$2)))=0,ROW(INDIRECT("1:"&amp;K$2))),ROW($A32)),"")</f>
        <v>166</v>
      </c>
      <c r="AU75" s="117">
        <f t="array" aca="1" ref="AU75" ca="1">IFERROR(SMALL(IF(COUNTIF(Podcasts!$D$479:'Podcasts'!$D$488,ROW(INDIRECT("1:"&amp;K$2)))=0,ROW(INDIRECT("1:"&amp;K$2))),ROW($A32)),"")</f>
        <v>32</v>
      </c>
      <c r="AV75" s="117">
        <f t="array" aca="1" ref="AV75" ca="1">IFERROR(SMALL(IF(COUNTIF(Podcasts!$D$494:'Podcasts'!$D$518,ROW(INDIRECT("1:"&amp;K$2)))=0,ROW(INDIRECT("1:"&amp;K$2))),ROW($A32)),"")</f>
        <v>47</v>
      </c>
      <c r="AW75" s="117">
        <f t="array" aca="1" ref="AW75" ca="1">IFERROR(SMALL(IF(COUNTIF(Podcasts!$D$524:'Podcasts'!$D$532,ROW(INDIRECT("1:"&amp;K$2)))=0,ROW(INDIRECT("1:"&amp;K$2))),ROW($A32)),"")</f>
        <v>32</v>
      </c>
      <c r="AX75" s="117">
        <f t="array" aca="1" ref="AX75" ca="1">IFERROR(SMALL(IF(COUNTIF(Podcasts!$D$538:'Podcasts'!$D$909,ROW(INDIRECT("1:"&amp;K$2)))=0,ROW(INDIRECT("1:"&amp;K$2))),ROW($A32)),"")</f>
        <v>93</v>
      </c>
      <c r="AY75" s="117">
        <f t="array" aca="1" ref="AY75" ca="1">IFERROR(SMALL(IF(COUNTIF(Podcasts!$D$915:'Podcasts'!$D$981,ROW(INDIRECT("1:"&amp;K$2)))=0,ROW(INDIRECT("1:"&amp;K$2))),ROW($A32)),"")</f>
        <v>54</v>
      </c>
      <c r="AZ75" s="445"/>
      <c r="BA75" s="117">
        <f t="array" aca="1" ref="BA75" ca="1">IFERROR(SMALL(IF(COUNTIF(Podcasts!$D$1001:'Podcasts'!$D$1251,ROW(INDIRECT("1:"&amp;K$2)))=0,ROW(INDIRECT("1:"&amp;K$2))),ROW($A32)),"")</f>
        <v>56</v>
      </c>
      <c r="BB75" s="117">
        <f t="array" aca="1" ref="BB75" ca="1">IFERROR(SMALL(IF(COUNTIF(Podcasts!$D$1257:'Podcasts'!$D$1267,ROW(INDIRECT("1:"&amp;K$2)))=0,ROW(INDIRECT("1:"&amp;K$2))),ROW($A32)),"")</f>
        <v>33</v>
      </c>
      <c r="BC75" s="117">
        <f t="array" aca="1" ref="BC75" ca="1">IFERROR(SMALL(IF(COUNTIF(Podcasts!$D$1273:'Podcasts'!$D$1283,ROW(INDIRECT("1:"&amp;K$2)))=0,ROW(INDIRECT("1:"&amp;K$2))),ROW($A32)),"")</f>
        <v>36</v>
      </c>
      <c r="BD75" s="117">
        <f t="array" aca="1" ref="BD75" ca="1">IFERROR(SMALL(IF(COUNTIF(Podcasts!$D$1289:'Podcasts'!$D$1295,ROW(INDIRECT("1:"&amp;K$2)))=0,ROW(INDIRECT("1:"&amp;K$2))),ROW($A32)),"")</f>
        <v>34</v>
      </c>
      <c r="BE75" s="117">
        <f t="array" aca="1" ref="BE75" ca="1">IFERROR(SMALL(IF(COUNTIF(Podcasts!$D$1301:'Podcasts'!$D$1356,ROW(INDIRECT("1:"&amp;K$2)))=0,ROW(INDIRECT("1:"&amp;K$2))),ROW($A32)),"")</f>
        <v>79</v>
      </c>
      <c r="BF75" s="117">
        <f t="array" aca="1" ref="BF75" ca="1">IFERROR(SMALL(IF(COUNTIF(Podcasts!$D$1362:'Podcasts'!$D$1364,ROW(INDIRECT("1:"&amp;K$2)))=0,ROW(INDIRECT("1:"&amp;K$2))),ROW($A32)),"")</f>
        <v>35</v>
      </c>
      <c r="BG75" s="202">
        <f t="array" aca="1" ref="BG75" ca="1">IFERROR(SMALL(IF(COUNTIF(Podcasts!$D$1370:'Podcasts'!$D$1419,ROW(INDIRECT("1:"&amp;K$2)))=0,ROW(INDIRECT("1:"&amp;K$2))),ROW($A32)),"")</f>
        <v>37</v>
      </c>
      <c r="BH75" s="202">
        <f t="array" aca="1" ref="BH75" ca="1">IFERROR(SMALL(IF(COUNTIF(Podcasts!$D$1425:'Podcasts'!$D$1446,ROW(INDIRECT("1:"&amp;K$2)))=0,ROW(INDIRECT("1:"&amp;K$2))),ROW($A32)),"")</f>
        <v>36</v>
      </c>
      <c r="BI75" s="202">
        <f t="array" aca="1" ref="BI75" ca="1">IFERROR(SMALL(IF(COUNTIF(Podcasts!$D$1452:'Podcasts'!$D$1574,ROW(INDIRECT("1:"&amp;K$2)))=0,ROW(INDIRECT("1:"&amp;K$2))),ROW($A32)),"")</f>
        <v>60</v>
      </c>
      <c r="BJ75" s="202">
        <f t="array" aca="1" ref="BJ75" ca="1">IFERROR(SMALL(IF(COUNTIF(Podcasts!$D$1580:'Podcasts'!$D$1705,ROW(INDIRECT("1:"&amp;K$2)))=0,ROW(INDIRECT("1:"&amp;K$2))),ROW($A32)),"")</f>
        <v>55</v>
      </c>
      <c r="BK75" s="202">
        <f t="array" aca="1" ref="BK75" ca="1">IFERROR(SMALL(IF(COUNTIF(Podcasts!$D$1711:'Podcasts'!$D$1833,ROW(INDIRECT("1:"&amp;K$2)))=0,ROW(INDIRECT("1:"&amp;K$2))),ROW($A32)),"")</f>
        <v>72</v>
      </c>
      <c r="BL75" s="202">
        <f t="array" aca="1" ref="BL75" ca="1">IFERROR(SMALL(IF(COUNTIF(Podcasts!$D$1839:'Podcasts'!$D$1855,ROW(INDIRECT("1:"&amp;K$2)))=0,ROW(INDIRECT("1:"&amp;K$2))),ROW($A32)),"")</f>
        <v>37</v>
      </c>
      <c r="BM75" s="567">
        <f t="array" aca="1" ref="BM75" ca="1">IFERROR(SMALL(IF(COUNTIF(Podcasts!$D$1861:'Podcasts'!$D$1994,ROW(INDIRECT("1:"&amp;K$2)))=0,ROW(INDIRECT("1:"&amp;K$2))),ROW($A32)),"")</f>
        <v>41</v>
      </c>
      <c r="BN75" s="567">
        <f t="array" aca="1" ref="BN75" ca="1">IFERROR(SMALL(IF(COUNTIF(Podcasts!$D$2000:'Podcasts'!$D$2057,ROW(INDIRECT("1:"&amp;K$2)))=0,ROW(INDIRECT("1:"&amp;K$2))),ROW($A32)),"")</f>
        <v>87</v>
      </c>
      <c r="BO75" s="567">
        <f t="array" aca="1" ref="BO75" ca="1">IFERROR(SMALL(IF(COUNTIF(Podcasts!$D$2063:'Podcasts'!$D$2071,ROW(INDIRECT("1:"&amp;K$2)))=0,ROW(INDIRECT("1:"&amp;K$2))),ROW($A32)),"")</f>
        <v>32</v>
      </c>
      <c r="BP75" s="202">
        <f t="array" aca="1" ref="BP75" ca="1">IFERROR(SMALL(IF(COUNTIF(Podcasts!$D$2077:'Podcasts'!$D$2092,ROW(INDIRECT("1:"&amp;K$2)))=0,ROW(INDIRECT("1:"&amp;K$2))),ROW($A32)),"")</f>
        <v>39</v>
      </c>
      <c r="BQ75" s="741">
        <f t="array" aca="1" ref="BQ75" ca="1">IFERROR(SMALL(IF(COUNTIF(Podcasts!$D$2098:'Podcasts'!$D$2114,ROW(INDIRECT("1:"&amp;K$2)))=0,ROW(INDIRECT("1:"&amp;K$2))),ROW($A32)),"")</f>
        <v>34</v>
      </c>
      <c r="BR75" s="744">
        <f t="array" aca="1" ref="BR75" ca="1">IFERROR(SMALL(IF(COUNTIF(Podcasts!$D$2120:'Podcasts'!$D$2124,ROW(INDIRECT("1:"&amp;K$2)))=0,ROW(INDIRECT("1:"&amp;K$2))),ROW($A32)),"")</f>
        <v>34</v>
      </c>
      <c r="BS75" s="28"/>
    </row>
    <row r="76" spans="1:71" outlineLevel="1">
      <c r="A76" s="28"/>
      <c r="B76" s="161">
        <v>33</v>
      </c>
      <c r="C76" s="161">
        <f>COUNTIF(Podcasts!$D$10:'Podcasts'!$D$2535,B76)</f>
        <v>10</v>
      </c>
      <c r="D76" s="158" t="s">
        <v>1061</v>
      </c>
      <c r="E76" s="156" t="str">
        <f t="array" ref="E76">IF(F76="","",INDEX(Podcasts!$J$10:'Podcasts'!$J$2535,MATCH(F76&amp;$B76,Podcasts!$E$10:'Podcasts'!$E$2535&amp;Podcasts!$D$10:'Podcasts'!$D$2535,0)))</f>
        <v>???od</v>
      </c>
      <c r="F76" s="131">
        <f t="array" ref="F76">IF(COUNTIF(Podcasts!$D$10:'Podcasts'!$D$2535,$B76)&lt;COLUMN(A39),"",SMALL(IF(Podcasts!$D$10:'Podcasts'!$D$2535=$B76,Podcasts!$E$10:'Podcasts'!$E$2535),COLUMN(A39)))</f>
        <v>41084</v>
      </c>
      <c r="G76" s="132">
        <f t="array" ref="G76">IF(F76="","",INDEX(Podcasts!$F$10:'Podcasts'!$F$2535,MATCH(F76&amp;$B76,Podcasts!$E$10:'Podcasts'!$E$2535&amp;Podcasts!$D$10:'Podcasts'!$D$2535,0)))</f>
        <v>3.5057870370370371E-2</v>
      </c>
      <c r="H76" s="136" t="str">
        <f t="array" ref="H76">IF(I76="","",INDEX(Podcasts!$J$10:'Podcasts'!$J$2535,MATCH(I76&amp;$B76,Podcasts!$E$10:'Podcasts'!$E$2535&amp;Podcasts!$D$10:'Podcasts'!$D$2535,0)))</f>
        <v>Fürst</v>
      </c>
      <c r="I76" s="133">
        <f t="array" ref="I76">IF(COUNTIF(Podcasts!$D$10:'Podcasts'!$D$2535,$B76)&lt;COLUMN(B39),"",SMALL(IF(Podcasts!$D$10:'Podcasts'!$D$2535=$B76,Podcasts!$E$10:'Podcasts'!$E$2535),COLUMN(B39)))</f>
        <v>41936</v>
      </c>
      <c r="J76" s="132">
        <f t="array" ref="J76">IF(I76="","",INDEX(Podcasts!$F$10:'Podcasts'!$F$2535,MATCH(I76&amp;$B76,Podcasts!$E$10:'Podcasts'!$E$2535&amp;Podcasts!$D$10:'Podcasts'!$D$2535,0)))</f>
        <v>5.092592592592593E-3</v>
      </c>
      <c r="K76" s="136" t="str">
        <f t="array" ref="K76">IF(L76="","",INDEX(Podcasts!$J$10:'Podcasts'!$J$2535,MATCH(L76&amp;$B76,Podcasts!$E$10:'Podcasts'!$E$2535&amp;Podcasts!$D$10:'Podcasts'!$D$2535,0)))</f>
        <v>R&amp;A</v>
      </c>
      <c r="L76" s="133">
        <f t="array" ref="L76">IF(COUNTIF(Podcasts!$D$10:'Podcasts'!$D$2535,$B76)&lt;COLUMN(C39),"",SMALL(IF(Podcasts!$D$10:'Podcasts'!$D$2535=$B76,Podcasts!$E$10:'Podcasts'!$E$2535),COLUMN(C39)))</f>
        <v>43646.367731481485</v>
      </c>
      <c r="M76" s="132">
        <f t="array" ref="M76">IF(L76="","",INDEX(Podcasts!$F$10:'Podcasts'!$F$2535,MATCH(L76&amp;$B76,Podcasts!$E$10:'Podcasts'!$E$2535&amp;Podcasts!$D$10:'Podcasts'!$D$2535,0)))</f>
        <v>7.7569444444444455E-2</v>
      </c>
      <c r="N76" s="136" t="str">
        <f t="array" ref="N76">IF(O76="","",INDEX(Podcasts!$J$10:'Podcasts'!$J$2535,MATCH(O76&amp;$B76,Podcasts!$E$10:'Podcasts'!$E$2535&amp;Podcasts!$D$10:'Podcasts'!$D$2535,0)))</f>
        <v>SSP</v>
      </c>
      <c r="O76" s="133">
        <f t="array" ref="O76">IF(COUNTIF(Podcasts!$D$10:'Podcasts'!$D$2535,$B76)&lt;COLUMN(D39),"",SMALL(IF(Podcasts!$D$10:'Podcasts'!$D$2535=$B76,Podcasts!$E$10:'Podcasts'!$E$2535),COLUMN(D39)))</f>
        <v>43919</v>
      </c>
      <c r="P76" s="132">
        <f t="array" ref="P76">IF(O76="","",INDEX(Podcasts!$F$10:'Podcasts'!$F$2535,MATCH(O76&amp;$B76,Podcasts!$E$10:'Podcasts'!$E$2535&amp;Podcasts!$D$10:'Podcasts'!$D$2535,0)))</f>
        <v>8.2847222222222225E-2</v>
      </c>
      <c r="Q76" s="136" t="str">
        <f t="array" ref="Q76">IF(R76="","",INDEX(Podcasts!$J$10:'Podcasts'!$J$2535,MATCH(R76&amp;$B76,Podcasts!$E$10:'Podcasts'!$E$2535&amp;Podcasts!$D$10:'Podcasts'!$D$2535,0)))</f>
        <v>Kuchen</v>
      </c>
      <c r="R76" s="133">
        <f t="array" ref="R76">IF(COUNTIF(Podcasts!$D$10:'Podcasts'!$D$2535,$B76)&lt;COLUMN(E39),"",SMALL(IF(Podcasts!$D$10:'Podcasts'!$D$2535=$B76,Podcasts!$E$10:'Podcasts'!$E$2535),COLUMN(E39)))</f>
        <v>44892</v>
      </c>
      <c r="S76" s="132">
        <f t="array" ref="S76">IF(R76="","",INDEX(Podcasts!$F$10:'Podcasts'!$F$2535,MATCH(R76&amp;$B76,Podcasts!$E$10:'Podcasts'!$E$2535&amp;Podcasts!$D$10:'Podcasts'!$D$2535,0)))</f>
        <v>4.9999999999999996E-2</v>
      </c>
      <c r="T76" s="136" t="str">
        <f t="array" ref="T76">IF(U76="","",INDEX(Podcasts!$J$10:'Podcasts'!$J$2535,MATCH(U76&amp;$B76,Podcasts!$E$10:'Podcasts'!$E$2535&amp;Podcasts!$D$10:'Podcasts'!$D$2535,0)))</f>
        <v>Abfahrt</v>
      </c>
      <c r="U76" s="133">
        <f t="array" ref="U76">IF(COUNTIF(Podcasts!$D$10:'Podcasts'!$D$2535,$B76)&lt;COLUMN(F39),"",SMALL(IF(Podcasts!$D$10:'Podcasts'!$D$2535=$B76,Podcasts!$E$10:'Podcasts'!$E$2535),COLUMN(F39)))</f>
        <v>44974</v>
      </c>
      <c r="V76" s="132">
        <f t="array" ref="V76">IF(U76="","",INDEX(Podcasts!$F$10:'Podcasts'!$F$2535,MATCH(U76&amp;$B76,Podcasts!$E$10:'Podcasts'!$E$2535&amp;Podcasts!$D$10:'Podcasts'!$D$2535,0)))</f>
        <v>6.2337962962962963E-2</v>
      </c>
      <c r="W76" s="136" t="str">
        <f t="array" ref="W76">IF(X76="","",INDEX(Podcasts!$J$10:'Podcasts'!$J$2535,MATCH(X76&amp;$B76,Podcasts!$E$10:'Podcasts'!$E$2535&amp;Podcasts!$D$10:'Podcasts'!$D$2535,0)))</f>
        <v>RBW</v>
      </c>
      <c r="X76" s="133">
        <f t="array" ref="X76">IF(COUNTIF(Podcasts!$D$10:'Podcasts'!$D$2535,$B76)&lt;COLUMN(G39),"",SMALL(IF(Podcasts!$D$10:'Podcasts'!$D$2535=$B76,Podcasts!$E$10:'Podcasts'!$E$2535),COLUMN(G39)))</f>
        <v>45099</v>
      </c>
      <c r="Y76" s="132">
        <f t="array" ref="Y76">IF(X76="","",INDEX(Podcasts!$F$10:'Podcasts'!$F$2535,MATCH(X76&amp;$B76,Podcasts!$E$10:'Podcasts'!$E$2535&amp;Podcasts!$D$10:'Podcasts'!$D$2535,0)))</f>
        <v>2.9594907407407407E-2</v>
      </c>
      <c r="Z76" s="136" t="str">
        <f t="array" ref="Z76">IF(AA76="","",INDEX(Podcasts!$J$10:'Podcasts'!$J$2535,MATCH(AA76&amp;$B76,Podcasts!$E$10:'Podcasts'!$E$2535&amp;Podcasts!$D$10:'Podcasts'!$D$2535,0)))</f>
        <v>Bobcast</v>
      </c>
      <c r="AA76" s="134">
        <f t="array" ref="AA76">IF(COUNTIF(Podcasts!$D$10:'Podcasts'!$D$2535,$B76)&lt;COLUMN(H39),"",SMALL(IF(Podcasts!$D$10:'Podcasts'!$D$2535=$B76,Podcasts!$E$10:'Podcasts'!$E$2535),COLUMN(H39)))</f>
        <v>45201</v>
      </c>
      <c r="AB76" s="404">
        <f t="array" ref="AB76">IF(AA76="","",INDEX(Podcasts!$F$10:'Podcasts'!$F$2535,MATCH(AA76&amp;$B76,Podcasts!$E$10:'Podcasts'!$E$2535&amp;Podcasts!$D$10:'Podcasts'!$D$2535,0)))</f>
        <v>3.0810185185185187E-2</v>
      </c>
      <c r="AC76" s="406" t="str">
        <f t="array" ref="AC76">IF(AD76="","",INDEX(Podcasts!$J$10:'Podcasts'!$J$2535,MATCH(AD76&amp;$B76,Podcasts!$E$10:'Podcasts'!$E$2535&amp;Podcasts!$D$10:'Podcasts'!$D$2535,0)))</f>
        <v>Verstärker</v>
      </c>
      <c r="AD76" s="400">
        <f t="array" ref="AD76">IF(COUNTIF(Podcasts!$D$10:'Podcasts'!$D$2535,$B76)&lt;COLUMN(I39),"",SMALL(IF(Podcasts!$D$10:'Podcasts'!$D$2535=$B76,Podcasts!$E$10:'Podcasts'!$E$2535),COLUMN(I39)))</f>
        <v>45202</v>
      </c>
      <c r="AE76" s="401">
        <f t="array" ref="AE76">IF(AD76="","",INDEX(Podcasts!$F$10:'Podcasts'!$F$2535,MATCH(AD76&amp;$B76,Podcasts!$E$10:'Podcasts'!$E$2535&amp;Podcasts!$D$10:'Podcasts'!$D$2535,0)))</f>
        <v>2.462962962962963E-2</v>
      </c>
      <c r="AF76" s="406" t="str">
        <f t="array" ref="AF76">IF(AG76="","",INDEX(Podcasts!$J$10:'Podcasts'!$J$2535,MATCH(AG76&amp;$B76,Podcasts!$E$10:'Podcasts'!$E$2535&amp;Podcasts!$D$10:'Podcasts'!$D$2535,0)))</f>
        <v>beachcast</v>
      </c>
      <c r="AG76" s="400">
        <f t="array" ref="AG76">IF(COUNTIF(Podcasts!$D$10:'Podcasts'!$D$2535,$B76)&lt;COLUMN(J39),"",SMALL(IF(Podcasts!$D$10:'Podcasts'!$D$2535=$B76,Podcasts!$E$10:'Podcasts'!$E$2535),COLUMN(J39)))</f>
        <v>45353</v>
      </c>
      <c r="AH76" s="401">
        <f t="array" ref="AH76">IF(AG76="","",INDEX(Podcasts!$F$10:'Podcasts'!$F$2535,MATCH(AG76&amp;$B76,Podcasts!$E$10:'Podcasts'!$E$2535&amp;Podcasts!$D$10:'Podcasts'!$D$2535,0)))</f>
        <v>7.289351851851851E-2</v>
      </c>
      <c r="AI76" s="406" t="str">
        <f t="array" ref="AI76">IF(AJ76="","",INDEX(Podcasts!$J$10:'Podcasts'!$J$2535,MATCH(AJ76&amp;$B76,Podcasts!$E$10:'Podcasts'!$E$2535&amp;Podcasts!$D$10:'Podcasts'!$D$2535,0)))</f>
        <v/>
      </c>
      <c r="AJ76" s="400" t="str">
        <f t="array" ref="AJ76">IF(COUNTIF(Podcasts!$D$10:'Podcasts'!$D$2535,$B76)&lt;COLUMN(K39),"",SMALL(IF(Podcasts!$D$10:'Podcasts'!$D$2535=$B76,Podcasts!$E$10:'Podcasts'!$E$2535),COLUMN(K39)))</f>
        <v/>
      </c>
      <c r="AK76" s="401" t="str">
        <f t="array" ref="AK76">IF(AJ76="","",INDEX(Podcasts!$F$10:'Podcasts'!$F$2535,MATCH(AJ76&amp;$B76,Podcasts!$E$10:'Podcasts'!$E$2535&amp;Podcasts!$D$10:'Podcasts'!$D$2535,0)))</f>
        <v/>
      </c>
      <c r="AL76" s="406" t="str">
        <f t="array" ref="AL76">IF(AM76="","",INDEX(Podcasts!$J$10:'Podcasts'!$J$2535,MATCH(AM76&amp;$B76,Podcasts!$E$10:'Podcasts'!$E$2535&amp;Podcasts!$D$10:'Podcasts'!$D$2535,0)))</f>
        <v/>
      </c>
      <c r="AM76" s="400" t="str">
        <f t="array" ref="AM76">IF(COUNTIF(Podcasts!$D$10:'Podcasts'!$D$2535,$B76)&lt;COLUMN(L39),"",SMALL(IF(Podcasts!$D$10:'Podcasts'!$D$2535=$B76,Podcasts!$E$10:'Podcasts'!$E$2535),COLUMN(L39)))</f>
        <v/>
      </c>
      <c r="AN76" s="401" t="str">
        <f t="array" ref="AN76">IF(AM76="","",INDEX(Podcasts!$F$10:'Podcasts'!$F$2535,MATCH(AM76&amp;$B76,Podcasts!$E$10:'Podcasts'!$E$2535&amp;Podcasts!$D$10:'Podcasts'!$D$2535,0)))</f>
        <v/>
      </c>
      <c r="AO76" s="402"/>
      <c r="AP76" s="119"/>
      <c r="AQ76" s="117">
        <f t="array" aca="1" ref="AQ76" ca="1">IFERROR(SMALL(IF(COUNTIF(Podcasts!$D$10:'Podcasts'!$D$107,ROW(INDIRECT("1:"&amp;K$2)))=0,ROW(INDIRECT("1:"&amp;K$2))),ROW($A33)),"")</f>
        <v>54</v>
      </c>
      <c r="AR76" s="117">
        <f t="array" aca="1" ref="AR76" ca="1">IFERROR(SMALL(IF(COUNTIF(Podcasts!$D$113:'Podcasts'!$D$238,ROW(INDIRECT("1:"&amp;K$2)))=0,ROW(INDIRECT("1:"&amp;K$2))),ROW($A33)),"")</f>
        <v>33</v>
      </c>
      <c r="AS76" s="117">
        <f t="array" aca="1" ref="AS76" ca="1">IFERROR(SMALL(IF(COUNTIF(Podcasts!$D$244:'Podcasts'!$D$299,ROW(INDIRECT("1:"&amp;K$2)))=0,ROW(INDIRECT("1:"&amp;K$2))),ROW($A33)),"")</f>
        <v>49</v>
      </c>
      <c r="AT76" s="117">
        <f t="array" aca="1" ref="AT76" ca="1">IFERROR(SMALL(IF(COUNTIF(Podcasts!$D$305:'Podcasts'!$D$473,ROW(INDIRECT("1:"&amp;K$2)))=0,ROW(INDIRECT("1:"&amp;K$2))),ROW($A33)),"")</f>
        <v>167</v>
      </c>
      <c r="AU76" s="117">
        <f t="array" aca="1" ref="AU76" ca="1">IFERROR(SMALL(IF(COUNTIF(Podcasts!$D$479:'Podcasts'!$D$488,ROW(INDIRECT("1:"&amp;K$2)))=0,ROW(INDIRECT("1:"&amp;K$2))),ROW($A33)),"")</f>
        <v>33</v>
      </c>
      <c r="AV76" s="117">
        <f t="array" aca="1" ref="AV76" ca="1">IFERROR(SMALL(IF(COUNTIF(Podcasts!$D$494:'Podcasts'!$D$518,ROW(INDIRECT("1:"&amp;K$2)))=0,ROW(INDIRECT("1:"&amp;K$2))),ROW($A33)),"")</f>
        <v>49</v>
      </c>
      <c r="AW76" s="117">
        <f t="array" aca="1" ref="AW76" ca="1">IFERROR(SMALL(IF(COUNTIF(Podcasts!$D$524:'Podcasts'!$D$532,ROW(INDIRECT("1:"&amp;K$2)))=0,ROW(INDIRECT("1:"&amp;K$2))),ROW($A33)),"")</f>
        <v>33</v>
      </c>
      <c r="AX76" s="117">
        <f t="array" aca="1" ref="AX76" ca="1">IFERROR(SMALL(IF(COUNTIF(Podcasts!$D$538:'Podcasts'!$D$909,ROW(INDIRECT("1:"&amp;K$2)))=0,ROW(INDIRECT("1:"&amp;K$2))),ROW($A33)),"")</f>
        <v>94</v>
      </c>
      <c r="AY76" s="117">
        <f t="array" aca="1" ref="AY76" ca="1">IFERROR(SMALL(IF(COUNTIF(Podcasts!$D$915:'Podcasts'!$D$981,ROW(INDIRECT("1:"&amp;K$2)))=0,ROW(INDIRECT("1:"&amp;K$2))),ROW($A33)),"")</f>
        <v>55</v>
      </c>
      <c r="AZ76" s="445"/>
      <c r="BA76" s="117">
        <f t="array" aca="1" ref="BA76" ca="1">IFERROR(SMALL(IF(COUNTIF(Podcasts!$D$1001:'Podcasts'!$D$1251,ROW(INDIRECT("1:"&amp;K$2)))=0,ROW(INDIRECT("1:"&amp;K$2))),ROW($A33)),"")</f>
        <v>57</v>
      </c>
      <c r="BB76" s="117">
        <f t="array" aca="1" ref="BB76" ca="1">IFERROR(SMALL(IF(COUNTIF(Podcasts!$D$1257:'Podcasts'!$D$1267,ROW(INDIRECT("1:"&amp;K$2)))=0,ROW(INDIRECT("1:"&amp;K$2))),ROW($A33)),"")</f>
        <v>34</v>
      </c>
      <c r="BC76" s="117">
        <f t="array" aca="1" ref="BC76" ca="1">IFERROR(SMALL(IF(COUNTIF(Podcasts!$D$1273:'Podcasts'!$D$1283,ROW(INDIRECT("1:"&amp;K$2)))=0,ROW(INDIRECT("1:"&amp;K$2))),ROW($A33)),"")</f>
        <v>37</v>
      </c>
      <c r="BD76" s="117">
        <f t="array" aca="1" ref="BD76" ca="1">IFERROR(SMALL(IF(COUNTIF(Podcasts!$D$1289:'Podcasts'!$D$1295,ROW(INDIRECT("1:"&amp;K$2)))=0,ROW(INDIRECT("1:"&amp;K$2))),ROW($A33)),"")</f>
        <v>35</v>
      </c>
      <c r="BE76" s="117">
        <f t="array" aca="1" ref="BE76" ca="1">IFERROR(SMALL(IF(COUNTIF(Podcasts!$D$1301:'Podcasts'!$D$1356,ROW(INDIRECT("1:"&amp;K$2)))=0,ROW(INDIRECT("1:"&amp;K$2))),ROW($A33)),"")</f>
        <v>80</v>
      </c>
      <c r="BF76" s="117">
        <f t="array" aca="1" ref="BF76" ca="1">IFERROR(SMALL(IF(COUNTIF(Podcasts!$D$1362:'Podcasts'!$D$1364,ROW(INDIRECT("1:"&amp;K$2)))=0,ROW(INDIRECT("1:"&amp;K$2))),ROW($A33)),"")</f>
        <v>36</v>
      </c>
      <c r="BG76" s="202">
        <f t="array" aca="1" ref="BG76" ca="1">IFERROR(SMALL(IF(COUNTIF(Podcasts!$D$1370:'Podcasts'!$D$1419,ROW(INDIRECT("1:"&amp;K$2)))=0,ROW(INDIRECT("1:"&amp;K$2))),ROW($A33)),"")</f>
        <v>38</v>
      </c>
      <c r="BH76" s="202">
        <f t="array" aca="1" ref="BH76" ca="1">IFERROR(SMALL(IF(COUNTIF(Podcasts!$D$1425:'Podcasts'!$D$1446,ROW(INDIRECT("1:"&amp;K$2)))=0,ROW(INDIRECT("1:"&amp;K$2))),ROW($A33)),"")</f>
        <v>37</v>
      </c>
      <c r="BI76" s="202">
        <f t="array" aca="1" ref="BI76" ca="1">IFERROR(SMALL(IF(COUNTIF(Podcasts!$D$1452:'Podcasts'!$D$1574,ROW(INDIRECT("1:"&amp;K$2)))=0,ROW(INDIRECT("1:"&amp;K$2))),ROW($A33)),"")</f>
        <v>61</v>
      </c>
      <c r="BJ76" s="202">
        <f t="array" aca="1" ref="BJ76" ca="1">IFERROR(SMALL(IF(COUNTIF(Podcasts!$D$1580:'Podcasts'!$D$1705,ROW(INDIRECT("1:"&amp;K$2)))=0,ROW(INDIRECT("1:"&amp;K$2))),ROW($A33)),"")</f>
        <v>57</v>
      </c>
      <c r="BK76" s="202">
        <f t="array" aca="1" ref="BK76" ca="1">IFERROR(SMALL(IF(COUNTIF(Podcasts!$D$1711:'Podcasts'!$D$1833,ROW(INDIRECT("1:"&amp;K$2)))=0,ROW(INDIRECT("1:"&amp;K$2))),ROW($A33)),"")</f>
        <v>73</v>
      </c>
      <c r="BL76" s="202">
        <f t="array" aca="1" ref="BL76" ca="1">IFERROR(SMALL(IF(COUNTIF(Podcasts!$D$1839:'Podcasts'!$D$1855,ROW(INDIRECT("1:"&amp;K$2)))=0,ROW(INDIRECT("1:"&amp;K$2))),ROW($A33)),"")</f>
        <v>38</v>
      </c>
      <c r="BM76" s="567">
        <f t="array" aca="1" ref="BM76" ca="1">IFERROR(SMALL(IF(COUNTIF(Podcasts!$D$1861:'Podcasts'!$D$1994,ROW(INDIRECT("1:"&amp;K$2)))=0,ROW(INDIRECT("1:"&amp;K$2))),ROW($A33)),"")</f>
        <v>43</v>
      </c>
      <c r="BN76" s="567">
        <f t="array" aca="1" ref="BN76" ca="1">IFERROR(SMALL(IF(COUNTIF(Podcasts!$D$2000:'Podcasts'!$D$2057,ROW(INDIRECT("1:"&amp;K$2)))=0,ROW(INDIRECT("1:"&amp;K$2))),ROW($A33)),"")</f>
        <v>88</v>
      </c>
      <c r="BO76" s="567">
        <f t="array" aca="1" ref="BO76" ca="1">IFERROR(SMALL(IF(COUNTIF(Podcasts!$D$2063:'Podcasts'!$D$2071,ROW(INDIRECT("1:"&amp;K$2)))=0,ROW(INDIRECT("1:"&amp;K$2))),ROW($A33)),"")</f>
        <v>33</v>
      </c>
      <c r="BP76" s="202">
        <f t="array" aca="1" ref="BP76" ca="1">IFERROR(SMALL(IF(COUNTIF(Podcasts!$D$2077:'Podcasts'!$D$2092,ROW(INDIRECT("1:"&amp;K$2)))=0,ROW(INDIRECT("1:"&amp;K$2))),ROW($A33)),"")</f>
        <v>41</v>
      </c>
      <c r="BQ76" s="741">
        <f t="array" aca="1" ref="BQ76" ca="1">IFERROR(SMALL(IF(COUNTIF(Podcasts!$D$2098:'Podcasts'!$D$2114,ROW(INDIRECT("1:"&amp;K$2)))=0,ROW(INDIRECT("1:"&amp;K$2))),ROW($A33)),"")</f>
        <v>35</v>
      </c>
      <c r="BR76" s="744">
        <f t="array" aca="1" ref="BR76" ca="1">IFERROR(SMALL(IF(COUNTIF(Podcasts!$D$2120:'Podcasts'!$D$2124,ROW(INDIRECT("1:"&amp;K$2)))=0,ROW(INDIRECT("1:"&amp;K$2))),ROW($A33)),"")</f>
        <v>35</v>
      </c>
      <c r="BS76" s="28"/>
    </row>
    <row r="77" spans="1:71" outlineLevel="1">
      <c r="A77" s="28"/>
      <c r="B77" s="161">
        <v>34</v>
      </c>
      <c r="C77" s="161">
        <f>COUNTIF(Podcasts!$D$10:'Podcasts'!$D$2535,B77)</f>
        <v>5</v>
      </c>
      <c r="D77" s="158" t="s">
        <v>1062</v>
      </c>
      <c r="E77" s="156" t="str">
        <f t="array" ref="E77">IF(F77="","",INDEX(Podcasts!$J$10:'Podcasts'!$J$2535,MATCH(F77&amp;$B77,Podcasts!$E$10:'Podcasts'!$E$2535&amp;Podcasts!$D$10:'Podcasts'!$D$2535,0)))</f>
        <v>Fürst</v>
      </c>
      <c r="F77" s="131">
        <f t="array" ref="F77">IF(COUNTIF(Podcasts!$D$10:'Podcasts'!$D$2535,$B77)&lt;COLUMN(A40),"",SMALL(IF(Podcasts!$D$10:'Podcasts'!$D$2535=$B77,Podcasts!$E$10:'Podcasts'!$E$2535),COLUMN(A40)))</f>
        <v>41917</v>
      </c>
      <c r="G77" s="132">
        <f t="array" ref="G77">IF(F77="","",INDEX(Podcasts!$F$10:'Podcasts'!$F$2535,MATCH(F77&amp;$B77,Podcasts!$E$10:'Podcasts'!$E$2535&amp;Podcasts!$D$10:'Podcasts'!$D$2535,0)))</f>
        <v>5.0347222222222252E-3</v>
      </c>
      <c r="H77" s="136" t="str">
        <f t="array" ref="H77">IF(I77="","",INDEX(Podcasts!$J$10:'Podcasts'!$J$2535,MATCH(I77&amp;$B77,Podcasts!$E$10:'Podcasts'!$E$2535&amp;Podcasts!$D$10:'Podcasts'!$D$2535,0)))</f>
        <v>Abfahrt</v>
      </c>
      <c r="I77" s="133">
        <f t="array" ref="I77">IF(COUNTIF(Podcasts!$D$10:'Podcasts'!$D$2535,$B77)&lt;COLUMN(B40),"",SMALL(IF(Podcasts!$D$10:'Podcasts'!$D$2535=$B77,Podcasts!$E$10:'Podcasts'!$E$2535),COLUMN(B40)))</f>
        <v>45002</v>
      </c>
      <c r="J77" s="132">
        <f t="array" ref="J77">IF(I77="","",INDEX(Podcasts!$F$10:'Podcasts'!$F$2535,MATCH(I77&amp;$B77,Podcasts!$E$10:'Podcasts'!$E$2535&amp;Podcasts!$D$10:'Podcasts'!$D$2535,0)))</f>
        <v>7.2835648148148149E-2</v>
      </c>
      <c r="K77" s="136" t="str">
        <f t="array" ref="K77">IF(L77="","",INDEX(Podcasts!$J$10:'Podcasts'!$J$2535,MATCH(L77&amp;$B77,Podcasts!$E$10:'Podcasts'!$E$2535&amp;Podcasts!$D$10:'Podcasts'!$D$2535,0)))</f>
        <v>RBW</v>
      </c>
      <c r="L77" s="133">
        <f t="array" ref="L77">IF(COUNTIF(Podcasts!$D$10:'Podcasts'!$D$2535,$B77)&lt;COLUMN(C40),"",SMALL(IF(Podcasts!$D$10:'Podcasts'!$D$2535=$B77,Podcasts!$E$10:'Podcasts'!$E$2535),COLUMN(C40)))</f>
        <v>45106</v>
      </c>
      <c r="M77" s="132">
        <f t="array" ref="M77">IF(L77="","",INDEX(Podcasts!$F$10:'Podcasts'!$F$2535,MATCH(L77&amp;$B77,Podcasts!$E$10:'Podcasts'!$E$2535&amp;Podcasts!$D$10:'Podcasts'!$D$2535,0)))</f>
        <v>3.2685185185185185E-2</v>
      </c>
      <c r="N77" s="136" t="str">
        <f t="array" ref="N77">IF(O77="","",INDEX(Podcasts!$J$10:'Podcasts'!$J$2535,MATCH(O77&amp;$B77,Podcasts!$E$10:'Podcasts'!$E$2535&amp;Podcasts!$D$10:'Podcasts'!$D$2535,0)))</f>
        <v>Bobcast</v>
      </c>
      <c r="O77" s="133">
        <f t="array" ref="O77">IF(COUNTIF(Podcasts!$D$10:'Podcasts'!$D$2535,$B77)&lt;COLUMN(D40),"",SMALL(IF(Podcasts!$D$10:'Podcasts'!$D$2535=$B77,Podcasts!$E$10:'Podcasts'!$E$2535),COLUMN(D40)))</f>
        <v>45215</v>
      </c>
      <c r="P77" s="132">
        <f t="array" ref="P77">IF(O77="","",INDEX(Podcasts!$F$10:'Podcasts'!$F$2535,MATCH(O77&amp;$B77,Podcasts!$E$10:'Podcasts'!$E$2535&amp;Podcasts!$D$10:'Podcasts'!$D$2535,0)))</f>
        <v>3.4583333333333334E-2</v>
      </c>
      <c r="Q77" s="136" t="str">
        <f t="array" ref="Q77">IF(R77="","",INDEX(Podcasts!$J$10:'Podcasts'!$J$2535,MATCH(R77&amp;$B77,Podcasts!$E$10:'Podcasts'!$E$2535&amp;Podcasts!$D$10:'Podcasts'!$D$2535,0)))</f>
        <v>Verstärker</v>
      </c>
      <c r="R77" s="133">
        <f t="array" ref="R77">IF(COUNTIF(Podcasts!$D$10:'Podcasts'!$D$2535,$B77)&lt;COLUMN(E40),"",SMALL(IF(Podcasts!$D$10:'Podcasts'!$D$2535=$B77,Podcasts!$E$10:'Podcasts'!$E$2535),COLUMN(E40)))</f>
        <v>45233</v>
      </c>
      <c r="S77" s="132">
        <f t="array" ref="S77">IF(R77="","",INDEX(Podcasts!$F$10:'Podcasts'!$F$2535,MATCH(R77&amp;$B77,Podcasts!$E$10:'Podcasts'!$E$2535&amp;Podcasts!$D$10:'Podcasts'!$D$2535,0)))</f>
        <v>1.832175925925926E-2</v>
      </c>
      <c r="T77" s="136" t="str">
        <f t="array" ref="T77">IF(U77="","",INDEX(Podcasts!$J$10:'Podcasts'!$J$2535,MATCH(U77&amp;$B77,Podcasts!$E$10:'Podcasts'!$E$2535&amp;Podcasts!$D$10:'Podcasts'!$D$2535,0)))</f>
        <v/>
      </c>
      <c r="U77" s="133" t="str">
        <f t="array" ref="U77">IF(COUNTIF(Podcasts!$D$10:'Podcasts'!$D$2535,$B77)&lt;COLUMN(F40),"",SMALL(IF(Podcasts!$D$10:'Podcasts'!$D$2535=$B77,Podcasts!$E$10:'Podcasts'!$E$2535),COLUMN(F40)))</f>
        <v/>
      </c>
      <c r="V77" s="132" t="str">
        <f t="array" ref="V77">IF(U77="","",INDEX(Podcasts!$F$10:'Podcasts'!$F$2535,MATCH(U77&amp;$B77,Podcasts!$E$10:'Podcasts'!$E$2535&amp;Podcasts!$D$10:'Podcasts'!$D$2535,0)))</f>
        <v/>
      </c>
      <c r="W77" s="136" t="str">
        <f t="array" ref="W77">IF(X77="","",INDEX(Podcasts!$J$10:'Podcasts'!$J$2535,MATCH(X77&amp;$B77,Podcasts!$E$10:'Podcasts'!$E$2535&amp;Podcasts!$D$10:'Podcasts'!$D$2535,0)))</f>
        <v/>
      </c>
      <c r="X77" s="133" t="str">
        <f t="array" ref="X77">IF(COUNTIF(Podcasts!$D$10:'Podcasts'!$D$2535,$B77)&lt;COLUMN(G40),"",SMALL(IF(Podcasts!$D$10:'Podcasts'!$D$2535=$B77,Podcasts!$E$10:'Podcasts'!$E$2535),COLUMN(G40)))</f>
        <v/>
      </c>
      <c r="Y77" s="132" t="str">
        <f t="array" ref="Y77">IF(X77="","",INDEX(Podcasts!$F$10:'Podcasts'!$F$2535,MATCH(X77&amp;$B77,Podcasts!$E$10:'Podcasts'!$E$2535&amp;Podcasts!$D$10:'Podcasts'!$D$2535,0)))</f>
        <v/>
      </c>
      <c r="Z77" s="136" t="str">
        <f t="array" ref="Z77">IF(AA77="","",INDEX(Podcasts!$J$10:'Podcasts'!$J$2535,MATCH(AA77&amp;$B77,Podcasts!$E$10:'Podcasts'!$E$2535&amp;Podcasts!$D$10:'Podcasts'!$D$2535,0)))</f>
        <v/>
      </c>
      <c r="AA77" s="134" t="str">
        <f t="array" ref="AA77">IF(COUNTIF(Podcasts!$D$10:'Podcasts'!$D$2535,$B77)&lt;COLUMN(H40),"",SMALL(IF(Podcasts!$D$10:'Podcasts'!$D$2535=$B77,Podcasts!$E$10:'Podcasts'!$E$2535),COLUMN(H40)))</f>
        <v/>
      </c>
      <c r="AB77" s="404" t="str">
        <f t="array" ref="AB77">IF(AA77="","",INDEX(Podcasts!$F$10:'Podcasts'!$F$2535,MATCH(AA77&amp;$B77,Podcasts!$E$10:'Podcasts'!$E$2535&amp;Podcasts!$D$10:'Podcasts'!$D$2535,0)))</f>
        <v/>
      </c>
      <c r="AC77" s="406" t="str">
        <f t="array" ref="AC77">IF(AD77="","",INDEX(Podcasts!$J$10:'Podcasts'!$J$2535,MATCH(AD77&amp;$B77,Podcasts!$E$10:'Podcasts'!$E$2535&amp;Podcasts!$D$10:'Podcasts'!$D$2535,0)))</f>
        <v/>
      </c>
      <c r="AD77" s="400" t="str">
        <f t="array" ref="AD77">IF(COUNTIF(Podcasts!$D$10:'Podcasts'!$D$2535,$B77)&lt;COLUMN(I40),"",SMALL(IF(Podcasts!$D$10:'Podcasts'!$D$2535=$B77,Podcasts!$E$10:'Podcasts'!$E$2535),COLUMN(I40)))</f>
        <v/>
      </c>
      <c r="AE77" s="401" t="str">
        <f t="array" ref="AE77">IF(AD77="","",INDEX(Podcasts!$F$10:'Podcasts'!$F$2535,MATCH(AD77&amp;$B77,Podcasts!$E$10:'Podcasts'!$E$2535&amp;Podcasts!$D$10:'Podcasts'!$D$2535,0)))</f>
        <v/>
      </c>
      <c r="AF77" s="406" t="str">
        <f t="array" ref="AF77">IF(AG77="","",INDEX(Podcasts!$J$10:'Podcasts'!$J$2535,MATCH(AG77&amp;$B77,Podcasts!$E$10:'Podcasts'!$E$2535&amp;Podcasts!$D$10:'Podcasts'!$D$2535,0)))</f>
        <v/>
      </c>
      <c r="AG77" s="400" t="str">
        <f t="array" ref="AG77">IF(COUNTIF(Podcasts!$D$10:'Podcasts'!$D$2535,$B77)&lt;COLUMN(J40),"",SMALL(IF(Podcasts!$D$10:'Podcasts'!$D$2535=$B77,Podcasts!$E$10:'Podcasts'!$E$2535),COLUMN(J40)))</f>
        <v/>
      </c>
      <c r="AH77" s="401" t="str">
        <f t="array" ref="AH77">IF(AG77="","",INDEX(Podcasts!$F$10:'Podcasts'!$F$2535,MATCH(AG77&amp;$B77,Podcasts!$E$10:'Podcasts'!$E$2535&amp;Podcasts!$D$10:'Podcasts'!$D$2535,0)))</f>
        <v/>
      </c>
      <c r="AI77" s="406" t="str">
        <f t="array" ref="AI77">IF(AJ77="","",INDEX(Podcasts!$J$10:'Podcasts'!$J$2535,MATCH(AJ77&amp;$B77,Podcasts!$E$10:'Podcasts'!$E$2535&amp;Podcasts!$D$10:'Podcasts'!$D$2535,0)))</f>
        <v/>
      </c>
      <c r="AJ77" s="400" t="str">
        <f t="array" ref="AJ77">IF(COUNTIF(Podcasts!$D$10:'Podcasts'!$D$2535,$B77)&lt;COLUMN(K40),"",SMALL(IF(Podcasts!$D$10:'Podcasts'!$D$2535=$B77,Podcasts!$E$10:'Podcasts'!$E$2535),COLUMN(K40)))</f>
        <v/>
      </c>
      <c r="AK77" s="401" t="str">
        <f t="array" ref="AK77">IF(AJ77="","",INDEX(Podcasts!$F$10:'Podcasts'!$F$2535,MATCH(AJ77&amp;$B77,Podcasts!$E$10:'Podcasts'!$E$2535&amp;Podcasts!$D$10:'Podcasts'!$D$2535,0)))</f>
        <v/>
      </c>
      <c r="AL77" s="406" t="str">
        <f t="array" ref="AL77">IF(AM77="","",INDEX(Podcasts!$J$10:'Podcasts'!$J$2535,MATCH(AM77&amp;$B77,Podcasts!$E$10:'Podcasts'!$E$2535&amp;Podcasts!$D$10:'Podcasts'!$D$2535,0)))</f>
        <v/>
      </c>
      <c r="AM77" s="400" t="str">
        <f t="array" ref="AM77">IF(COUNTIF(Podcasts!$D$10:'Podcasts'!$D$2535,$B77)&lt;COLUMN(L40),"",SMALL(IF(Podcasts!$D$10:'Podcasts'!$D$2535=$B77,Podcasts!$E$10:'Podcasts'!$E$2535),COLUMN(L40)))</f>
        <v/>
      </c>
      <c r="AN77" s="401" t="str">
        <f t="array" ref="AN77">IF(AM77="","",INDEX(Podcasts!$F$10:'Podcasts'!$F$2535,MATCH(AM77&amp;$B77,Podcasts!$E$10:'Podcasts'!$E$2535&amp;Podcasts!$D$10:'Podcasts'!$D$2535,0)))</f>
        <v/>
      </c>
      <c r="AO77" s="402"/>
      <c r="AP77" s="119"/>
      <c r="AQ77" s="117">
        <f t="array" aca="1" ref="AQ77" ca="1">IFERROR(SMALL(IF(COUNTIF(Podcasts!$D$10:'Podcasts'!$D$107,ROW(INDIRECT("1:"&amp;K$2)))=0,ROW(INDIRECT("1:"&amp;K$2))),ROW($A34)),"")</f>
        <v>55</v>
      </c>
      <c r="AR77" s="117">
        <f t="array" aca="1" ref="AR77" ca="1">IFERROR(SMALL(IF(COUNTIF(Podcasts!$D$113:'Podcasts'!$D$238,ROW(INDIRECT("1:"&amp;K$2)))=0,ROW(INDIRECT("1:"&amp;K$2))),ROW($A34)),"")</f>
        <v>34</v>
      </c>
      <c r="AS77" s="117">
        <f t="array" aca="1" ref="AS77" ca="1">IFERROR(SMALL(IF(COUNTIF(Podcasts!$D$244:'Podcasts'!$D$299,ROW(INDIRECT("1:"&amp;K$2)))=0,ROW(INDIRECT("1:"&amp;K$2))),ROW($A34)),"")</f>
        <v>50</v>
      </c>
      <c r="AT77" s="117">
        <f t="array" aca="1" ref="AT77" ca="1">IFERROR(SMALL(IF(COUNTIF(Podcasts!$D$305:'Podcasts'!$D$473,ROW(INDIRECT("1:"&amp;K$2)))=0,ROW(INDIRECT("1:"&amp;K$2))),ROW($A34)),"")</f>
        <v>168</v>
      </c>
      <c r="AU77" s="117">
        <f t="array" aca="1" ref="AU77" ca="1">IFERROR(SMALL(IF(COUNTIF(Podcasts!$D$479:'Podcasts'!$D$488,ROW(INDIRECT("1:"&amp;K$2)))=0,ROW(INDIRECT("1:"&amp;K$2))),ROW($A34)),"")</f>
        <v>34</v>
      </c>
      <c r="AV77" s="117">
        <f t="array" aca="1" ref="AV77" ca="1">IFERROR(SMALL(IF(COUNTIF(Podcasts!$D$494:'Podcasts'!$D$518,ROW(INDIRECT("1:"&amp;K$2)))=0,ROW(INDIRECT("1:"&amp;K$2))),ROW($A34)),"")</f>
        <v>50</v>
      </c>
      <c r="AW77" s="117">
        <f t="array" aca="1" ref="AW77" ca="1">IFERROR(SMALL(IF(COUNTIF(Podcasts!$D$524:'Podcasts'!$D$532,ROW(INDIRECT("1:"&amp;K$2)))=0,ROW(INDIRECT("1:"&amp;K$2))),ROW($A34)),"")</f>
        <v>34</v>
      </c>
      <c r="AX77" s="117">
        <f t="array" aca="1" ref="AX77" ca="1">IFERROR(SMALL(IF(COUNTIF(Podcasts!$D$538:'Podcasts'!$D$909,ROW(INDIRECT("1:"&amp;K$2)))=0,ROW(INDIRECT("1:"&amp;K$2))),ROW($A34)),"")</f>
        <v>97</v>
      </c>
      <c r="AY77" s="117">
        <f t="array" aca="1" ref="AY77" ca="1">IFERROR(SMALL(IF(COUNTIF(Podcasts!$D$915:'Podcasts'!$D$981,ROW(INDIRECT("1:"&amp;K$2)))=0,ROW(INDIRECT("1:"&amp;K$2))),ROW($A34)),"")</f>
        <v>56</v>
      </c>
      <c r="AZ77" s="445"/>
      <c r="BA77" s="117">
        <f t="array" aca="1" ref="BA77" ca="1">IFERROR(SMALL(IF(COUNTIF(Podcasts!$D$1001:'Podcasts'!$D$1251,ROW(INDIRECT("1:"&amp;K$2)))=0,ROW(INDIRECT("1:"&amp;K$2))),ROW($A34)),"")</f>
        <v>58</v>
      </c>
      <c r="BB77" s="117">
        <f t="array" aca="1" ref="BB77" ca="1">IFERROR(SMALL(IF(COUNTIF(Podcasts!$D$1257:'Podcasts'!$D$1267,ROW(INDIRECT("1:"&amp;K$2)))=0,ROW(INDIRECT("1:"&amp;K$2))),ROW($A34)),"")</f>
        <v>35</v>
      </c>
      <c r="BC77" s="117">
        <f t="array" aca="1" ref="BC77" ca="1">IFERROR(SMALL(IF(COUNTIF(Podcasts!$D$1273:'Podcasts'!$D$1283,ROW(INDIRECT("1:"&amp;K$2)))=0,ROW(INDIRECT("1:"&amp;K$2))),ROW($A34)),"")</f>
        <v>38</v>
      </c>
      <c r="BD77" s="117">
        <f t="array" aca="1" ref="BD77" ca="1">IFERROR(SMALL(IF(COUNTIF(Podcasts!$D$1289:'Podcasts'!$D$1295,ROW(INDIRECT("1:"&amp;K$2)))=0,ROW(INDIRECT("1:"&amp;K$2))),ROW($A34)),"")</f>
        <v>36</v>
      </c>
      <c r="BE77" s="117">
        <f t="array" aca="1" ref="BE77" ca="1">IFERROR(SMALL(IF(COUNTIF(Podcasts!$D$1301:'Podcasts'!$D$1356,ROW(INDIRECT("1:"&amp;K$2)))=0,ROW(INDIRECT("1:"&amp;K$2))),ROW($A34)),"")</f>
        <v>81</v>
      </c>
      <c r="BF77" s="117">
        <f t="array" aca="1" ref="BF77" ca="1">IFERROR(SMALL(IF(COUNTIF(Podcasts!$D$1362:'Podcasts'!$D$1364,ROW(INDIRECT("1:"&amp;K$2)))=0,ROW(INDIRECT("1:"&amp;K$2))),ROW($A34)),"")</f>
        <v>37</v>
      </c>
      <c r="BG77" s="202">
        <f t="array" aca="1" ref="BG77" ca="1">IFERROR(SMALL(IF(COUNTIF(Podcasts!$D$1370:'Podcasts'!$D$1419,ROW(INDIRECT("1:"&amp;K$2)))=0,ROW(INDIRECT("1:"&amp;K$2))),ROW($A34)),"")</f>
        <v>40</v>
      </c>
      <c r="BH77" s="202">
        <f t="array" aca="1" ref="BH77" ca="1">IFERROR(SMALL(IF(COUNTIF(Podcasts!$D$1425:'Podcasts'!$D$1446,ROW(INDIRECT("1:"&amp;K$2)))=0,ROW(INDIRECT("1:"&amp;K$2))),ROW($A34)),"")</f>
        <v>38</v>
      </c>
      <c r="BI77" s="202">
        <f t="array" aca="1" ref="BI77" ca="1">IFERROR(SMALL(IF(COUNTIF(Podcasts!$D$1452:'Podcasts'!$D$1574,ROW(INDIRECT("1:"&amp;K$2)))=0,ROW(INDIRECT("1:"&amp;K$2))),ROW($A34)),"")</f>
        <v>62</v>
      </c>
      <c r="BJ77" s="202">
        <f t="array" aca="1" ref="BJ77" ca="1">IFERROR(SMALL(IF(COUNTIF(Podcasts!$D$1580:'Podcasts'!$D$1705,ROW(INDIRECT("1:"&amp;K$2)))=0,ROW(INDIRECT("1:"&amp;K$2))),ROW($A34)),"")</f>
        <v>58</v>
      </c>
      <c r="BK77" s="202">
        <f t="array" aca="1" ref="BK77" ca="1">IFERROR(SMALL(IF(COUNTIF(Podcasts!$D$1711:'Podcasts'!$D$1833,ROW(INDIRECT("1:"&amp;K$2)))=0,ROW(INDIRECT("1:"&amp;K$2))),ROW($A34)),"")</f>
        <v>74</v>
      </c>
      <c r="BL77" s="202">
        <f t="array" aca="1" ref="BL77" ca="1">IFERROR(SMALL(IF(COUNTIF(Podcasts!$D$1839:'Podcasts'!$D$1855,ROW(INDIRECT("1:"&amp;K$2)))=0,ROW(INDIRECT("1:"&amp;K$2))),ROW($A34)),"")</f>
        <v>39</v>
      </c>
      <c r="BM77" s="567">
        <f t="array" aca="1" ref="BM77" ca="1">IFERROR(SMALL(IF(COUNTIF(Podcasts!$D$1861:'Podcasts'!$D$1994,ROW(INDIRECT("1:"&amp;K$2)))=0,ROW(INDIRECT("1:"&amp;K$2))),ROW($A34)),"")</f>
        <v>44</v>
      </c>
      <c r="BN77" s="567">
        <f t="array" aca="1" ref="BN77" ca="1">IFERROR(SMALL(IF(COUNTIF(Podcasts!$D$2000:'Podcasts'!$D$2057,ROW(INDIRECT("1:"&amp;K$2)))=0,ROW(INDIRECT("1:"&amp;K$2))),ROW($A34)),"")</f>
        <v>89</v>
      </c>
      <c r="BO77" s="567">
        <f t="array" aca="1" ref="BO77" ca="1">IFERROR(SMALL(IF(COUNTIF(Podcasts!$D$2063:'Podcasts'!$D$2071,ROW(INDIRECT("1:"&amp;K$2)))=0,ROW(INDIRECT("1:"&amp;K$2))),ROW($A34)),"")</f>
        <v>34</v>
      </c>
      <c r="BP77" s="202">
        <f t="array" aca="1" ref="BP77" ca="1">IFERROR(SMALL(IF(COUNTIF(Podcasts!$D$2077:'Podcasts'!$D$2092,ROW(INDIRECT("1:"&amp;K$2)))=0,ROW(INDIRECT("1:"&amp;K$2))),ROW($A34)),"")</f>
        <v>42</v>
      </c>
      <c r="BQ77" s="741">
        <f t="array" aca="1" ref="BQ77" ca="1">IFERROR(SMALL(IF(COUNTIF(Podcasts!$D$2098:'Podcasts'!$D$2114,ROW(INDIRECT("1:"&amp;K$2)))=0,ROW(INDIRECT("1:"&amp;K$2))),ROW($A34)),"")</f>
        <v>36</v>
      </c>
      <c r="BR77" s="744">
        <f t="array" aca="1" ref="BR77" ca="1">IFERROR(SMALL(IF(COUNTIF(Podcasts!$D$2120:'Podcasts'!$D$2124,ROW(INDIRECT("1:"&amp;K$2)))=0,ROW(INDIRECT("1:"&amp;K$2))),ROW($A34)),"")</f>
        <v>36</v>
      </c>
      <c r="BS77" s="28"/>
    </row>
    <row r="78" spans="1:71" outlineLevel="1">
      <c r="A78" s="28"/>
      <c r="B78" s="161">
        <v>35</v>
      </c>
      <c r="C78" s="161">
        <f>COUNTIF(Podcasts!$D$10:'Podcasts'!$D$2535,B78)</f>
        <v>10</v>
      </c>
      <c r="D78" s="158" t="s">
        <v>1063</v>
      </c>
      <c r="E78" s="156" t="str">
        <f t="array" ref="E78">IF(F78="","",INDEX(Podcasts!$J$10:'Podcasts'!$J$2535,MATCH(F78&amp;$B78,Podcasts!$E$10:'Podcasts'!$E$2535&amp;Podcasts!$D$10:'Podcasts'!$D$2535,0)))</f>
        <v>Fürst</v>
      </c>
      <c r="F78" s="131">
        <f t="array" ref="F78">IF(COUNTIF(Podcasts!$D$10:'Podcasts'!$D$2535,$B78)&lt;COLUMN(A41),"",SMALL(IF(Podcasts!$D$10:'Podcasts'!$D$2535=$B78,Podcasts!$E$10:'Podcasts'!$E$2535),COLUMN(A41)))</f>
        <v>42092</v>
      </c>
      <c r="G78" s="132">
        <f t="array" ref="G78">IF(F78="","",INDEX(Podcasts!$F$10:'Podcasts'!$F$2535,MATCH(F78&amp;$B78,Podcasts!$E$10:'Podcasts'!$E$2535&amp;Podcasts!$D$10:'Podcasts'!$D$2535,0)))</f>
        <v>1.3599537037037037E-2</v>
      </c>
      <c r="H78" s="136" t="str">
        <f t="array" ref="H78">IF(I78="","",INDEX(Podcasts!$J$10:'Podcasts'!$J$2535,MATCH(I78&amp;$B78,Podcasts!$E$10:'Podcasts'!$E$2535&amp;Podcasts!$D$10:'Podcasts'!$D$2535,0)))</f>
        <v>SSP</v>
      </c>
      <c r="I78" s="133">
        <f t="array" ref="I78">IF(COUNTIF(Podcasts!$D$10:'Podcasts'!$D$2535,$B78)&lt;COLUMN(B41),"",SMALL(IF(Podcasts!$D$10:'Podcasts'!$D$2535=$B78,Podcasts!$E$10:'Podcasts'!$E$2535),COLUMN(B41)))</f>
        <v>43778</v>
      </c>
      <c r="J78" s="132">
        <f t="array" ref="J78">IF(I78="","",INDEX(Podcasts!$F$10:'Podcasts'!$F$2535,MATCH(I78&amp;$B78,Podcasts!$E$10:'Podcasts'!$E$2535&amp;Podcasts!$D$10:'Podcasts'!$D$2535,0)))</f>
        <v>7.0856481481481479E-2</v>
      </c>
      <c r="K78" s="136" t="str">
        <f t="array" ref="K78">IF(L78="","",INDEX(Podcasts!$J$10:'Podcasts'!$J$2535,MATCH(L78&amp;$B78,Podcasts!$E$10:'Podcasts'!$E$2535&amp;Podcasts!$D$10:'Podcasts'!$D$2535,0)))</f>
        <v>Zentrale</v>
      </c>
      <c r="L78" s="133">
        <f t="array" ref="L78">IF(COUNTIF(Podcasts!$D$10:'Podcasts'!$D$2535,$B78)&lt;COLUMN(C41),"",SMALL(IF(Podcasts!$D$10:'Podcasts'!$D$2535=$B78,Podcasts!$E$10:'Podcasts'!$E$2535),COLUMN(C41)))</f>
        <v>44003</v>
      </c>
      <c r="M78" s="132">
        <f t="array" ref="M78">IF(L78="","",INDEX(Podcasts!$F$10:'Podcasts'!$F$2535,MATCH(L78&amp;$B78,Podcasts!$E$10:'Podcasts'!$E$2535&amp;Podcasts!$D$10:'Podcasts'!$D$2535,0)))</f>
        <v>0.1112962962962963</v>
      </c>
      <c r="N78" s="136" t="str">
        <f t="array" ref="N78">IF(O78="","",INDEX(Podcasts!$J$10:'Podcasts'!$J$2535,MATCH(O78&amp;$B78,Podcasts!$E$10:'Podcasts'!$E$2535&amp;Podcasts!$D$10:'Podcasts'!$D$2535,0)))</f>
        <v>R&amp;A</v>
      </c>
      <c r="O78" s="133">
        <f t="array" ref="O78">IF(COUNTIF(Podcasts!$D$10:'Podcasts'!$D$2535,$B78)&lt;COLUMN(D41),"",SMALL(IF(Podcasts!$D$10:'Podcasts'!$D$2535=$B78,Podcasts!$E$10:'Podcasts'!$E$2535),COLUMN(D41)))</f>
        <v>44347.25</v>
      </c>
      <c r="P78" s="132">
        <f t="array" ref="P78">IF(O78="","",INDEX(Podcasts!$F$10:'Podcasts'!$F$2535,MATCH(O78&amp;$B78,Podcasts!$E$10:'Podcasts'!$E$2535&amp;Podcasts!$D$10:'Podcasts'!$D$2535,0)))</f>
        <v>0.10001157407407407</v>
      </c>
      <c r="Q78" s="136" t="str">
        <f t="array" ref="Q78">IF(R78="","",INDEX(Podcasts!$J$10:'Podcasts'!$J$2535,MATCH(R78&amp;$B78,Podcasts!$E$10:'Podcasts'!$E$2535&amp;Podcasts!$D$10:'Podcasts'!$D$2535,0)))</f>
        <v>Kaffee</v>
      </c>
      <c r="R78" s="133">
        <f t="array" ref="R78">IF(COUNTIF(Podcasts!$D$10:'Podcasts'!$D$2535,$B78)&lt;COLUMN(E41),"",SMALL(IF(Podcasts!$D$10:'Podcasts'!$D$2535=$B78,Podcasts!$E$10:'Podcasts'!$E$2535),COLUMN(E41)))</f>
        <v>44855</v>
      </c>
      <c r="S78" s="132">
        <f t="array" ref="S78">IF(R78="","",INDEX(Podcasts!$F$10:'Podcasts'!$F$2535,MATCH(R78&amp;$B78,Podcasts!$E$10:'Podcasts'!$E$2535&amp;Podcasts!$D$10:'Podcasts'!$D$2535,0)))</f>
        <v>3.9282407407407412E-2</v>
      </c>
      <c r="T78" s="136" t="str">
        <f t="array" ref="T78">IF(U78="","",INDEX(Podcasts!$J$10:'Podcasts'!$J$2535,MATCH(U78&amp;$B78,Podcasts!$E$10:'Podcasts'!$E$2535&amp;Podcasts!$D$10:'Podcasts'!$D$2535,0)))</f>
        <v>Abfahrt</v>
      </c>
      <c r="U78" s="133">
        <f t="array" ref="U78">IF(COUNTIF(Podcasts!$D$10:'Podcasts'!$D$2535,$B78)&lt;COLUMN(F41),"",SMALL(IF(Podcasts!$D$10:'Podcasts'!$D$2535=$B78,Podcasts!$E$10:'Podcasts'!$E$2535),COLUMN(F41)))</f>
        <v>45037</v>
      </c>
      <c r="V78" s="132">
        <f t="array" ref="V78">IF(U78="","",INDEX(Podcasts!$F$10:'Podcasts'!$F$2535,MATCH(U78&amp;$B78,Podcasts!$E$10:'Podcasts'!$E$2535&amp;Podcasts!$D$10:'Podcasts'!$D$2535,0)))</f>
        <v>8.4918981481481484E-2</v>
      </c>
      <c r="W78" s="136" t="str">
        <f t="array" ref="W78">IF(X78="","",INDEX(Podcasts!$J$10:'Podcasts'!$J$2535,MATCH(X78&amp;$B78,Podcasts!$E$10:'Podcasts'!$E$2535&amp;Podcasts!$D$10:'Podcasts'!$D$2535,0)))</f>
        <v>RBW</v>
      </c>
      <c r="X78" s="133">
        <f t="array" ref="X78">IF(COUNTIF(Podcasts!$D$10:'Podcasts'!$D$2535,$B78)&lt;COLUMN(G41),"",SMALL(IF(Podcasts!$D$10:'Podcasts'!$D$2535=$B78,Podcasts!$E$10:'Podcasts'!$E$2535),COLUMN(G41)))</f>
        <v>45120</v>
      </c>
      <c r="Y78" s="132">
        <f t="array" ref="Y78">IF(X78="","",INDEX(Podcasts!$F$10:'Podcasts'!$F$2535,MATCH(X78&amp;$B78,Podcasts!$E$10:'Podcasts'!$E$2535&amp;Podcasts!$D$10:'Podcasts'!$D$2535,0)))</f>
        <v>4.0590277777777781E-2</v>
      </c>
      <c r="Z78" s="136" t="str">
        <f t="array" ref="Z78">IF(AA78="","",INDEX(Podcasts!$J$10:'Podcasts'!$J$2535,MATCH(AA78&amp;$B78,Podcasts!$E$10:'Podcasts'!$E$2535&amp;Podcasts!$D$10:'Podcasts'!$D$2535,0)))</f>
        <v>Kuchen</v>
      </c>
      <c r="AA78" s="134">
        <f t="array" ref="AA78">IF(COUNTIF(Podcasts!$D$10:'Podcasts'!$D$2535,$B78)&lt;COLUMN(H41),"",SMALL(IF(Podcasts!$D$10:'Podcasts'!$D$2535=$B78,Podcasts!$E$10:'Podcasts'!$E$2535),COLUMN(H41)))</f>
        <v>45144</v>
      </c>
      <c r="AB78" s="404">
        <f t="array" ref="AB78">IF(AA78="","",INDEX(Podcasts!$F$10:'Podcasts'!$F$2535,MATCH(AA78&amp;$B78,Podcasts!$E$10:'Podcasts'!$E$2535&amp;Podcasts!$D$10:'Podcasts'!$D$2535,0)))</f>
        <v>8.7708333333333333E-2</v>
      </c>
      <c r="AC78" s="406" t="str">
        <f t="array" ref="AC78">IF(AD78="","",INDEX(Podcasts!$J$10:'Podcasts'!$J$2535,MATCH(AD78&amp;$B78,Podcasts!$E$10:'Podcasts'!$E$2535&amp;Podcasts!$D$10:'Podcasts'!$D$2535,0)))</f>
        <v>Bobcast</v>
      </c>
      <c r="AD78" s="400">
        <f t="array" ref="AD78">IF(COUNTIF(Podcasts!$D$10:'Podcasts'!$D$2535,$B78)&lt;COLUMN(I41),"",SMALL(IF(Podcasts!$D$10:'Podcasts'!$D$2535=$B78,Podcasts!$E$10:'Podcasts'!$E$2535),COLUMN(I41)))</f>
        <v>45229</v>
      </c>
      <c r="AE78" s="401">
        <f t="array" ref="AE78">IF(AD78="","",INDEX(Podcasts!$F$10:'Podcasts'!$F$2535,MATCH(AD78&amp;$B78,Podcasts!$E$10:'Podcasts'!$E$2535&amp;Podcasts!$D$10:'Podcasts'!$D$2535,0)))</f>
        <v>4.3287037037037041E-2</v>
      </c>
      <c r="AF78" s="406" t="str">
        <f t="array" ref="AF78">IF(AG78="","",INDEX(Podcasts!$J$10:'Podcasts'!$J$2535,MATCH(AG78&amp;$B78,Podcasts!$E$10:'Podcasts'!$E$2535&amp;Podcasts!$D$10:'Podcasts'!$D$2535,0)))</f>
        <v>Verstärker</v>
      </c>
      <c r="AG78" s="400">
        <f t="array" ref="AG78">IF(COUNTIF(Podcasts!$D$10:'Podcasts'!$D$2535,$B78)&lt;COLUMN(J41),"",SMALL(IF(Podcasts!$D$10:'Podcasts'!$D$2535=$B78,Podcasts!$E$10:'Podcasts'!$E$2535),COLUMN(J41)))</f>
        <v>45263</v>
      </c>
      <c r="AH78" s="401">
        <f t="array" ref="AH78">IF(AG78="","",INDEX(Podcasts!$F$10:'Podcasts'!$F$2535,MATCH(AG78&amp;$B78,Podcasts!$E$10:'Podcasts'!$E$2535&amp;Podcasts!$D$10:'Podcasts'!$D$2535,0)))</f>
        <v>2.4976851851851851E-2</v>
      </c>
      <c r="AI78" s="406" t="str">
        <f t="array" ref="AI78">IF(AJ78="","",INDEX(Podcasts!$J$10:'Podcasts'!$J$2535,MATCH(AJ78&amp;$B78,Podcasts!$E$10:'Podcasts'!$E$2535&amp;Podcasts!$D$10:'Podcasts'!$D$2535,0)))</f>
        <v/>
      </c>
      <c r="AJ78" s="400" t="str">
        <f t="array" ref="AJ78">IF(COUNTIF(Podcasts!$D$10:'Podcasts'!$D$2535,$B78)&lt;COLUMN(K41),"",SMALL(IF(Podcasts!$D$10:'Podcasts'!$D$2535=$B78,Podcasts!$E$10:'Podcasts'!$E$2535),COLUMN(K41)))</f>
        <v/>
      </c>
      <c r="AK78" s="401" t="str">
        <f t="array" ref="AK78">IF(AJ78="","",INDEX(Podcasts!$F$10:'Podcasts'!$F$2535,MATCH(AJ78&amp;$B78,Podcasts!$E$10:'Podcasts'!$E$2535&amp;Podcasts!$D$10:'Podcasts'!$D$2535,0)))</f>
        <v/>
      </c>
      <c r="AL78" s="406" t="str">
        <f t="array" ref="AL78">IF(AM78="","",INDEX(Podcasts!$J$10:'Podcasts'!$J$2535,MATCH(AM78&amp;$B78,Podcasts!$E$10:'Podcasts'!$E$2535&amp;Podcasts!$D$10:'Podcasts'!$D$2535,0)))</f>
        <v/>
      </c>
      <c r="AM78" s="400" t="str">
        <f t="array" ref="AM78">IF(COUNTIF(Podcasts!$D$10:'Podcasts'!$D$2535,$B78)&lt;COLUMN(L41),"",SMALL(IF(Podcasts!$D$10:'Podcasts'!$D$2535=$B78,Podcasts!$E$10:'Podcasts'!$E$2535),COLUMN(L41)))</f>
        <v/>
      </c>
      <c r="AN78" s="401" t="str">
        <f t="array" ref="AN78">IF(AM78="","",INDEX(Podcasts!$F$10:'Podcasts'!$F$2535,MATCH(AM78&amp;$B78,Podcasts!$E$10:'Podcasts'!$E$2535&amp;Podcasts!$D$10:'Podcasts'!$D$2535,0)))</f>
        <v/>
      </c>
      <c r="AO78" s="402"/>
      <c r="AP78" s="119"/>
      <c r="AQ78" s="117">
        <f t="array" aca="1" ref="AQ78" ca="1">IFERROR(SMALL(IF(COUNTIF(Podcasts!$D$10:'Podcasts'!$D$107,ROW(INDIRECT("1:"&amp;K$2)))=0,ROW(INDIRECT("1:"&amp;K$2))),ROW($A35)),"")</f>
        <v>56</v>
      </c>
      <c r="AR78" s="117">
        <f t="array" aca="1" ref="AR78" ca="1">IFERROR(SMALL(IF(COUNTIF(Podcasts!$D$113:'Podcasts'!$D$238,ROW(INDIRECT("1:"&amp;K$2)))=0,ROW(INDIRECT("1:"&amp;K$2))),ROW($A35)),"")</f>
        <v>35</v>
      </c>
      <c r="AS78" s="117">
        <f t="array" aca="1" ref="AS78" ca="1">IFERROR(SMALL(IF(COUNTIF(Podcasts!$D$244:'Podcasts'!$D$299,ROW(INDIRECT("1:"&amp;K$2)))=0,ROW(INDIRECT("1:"&amp;K$2))),ROW($A35)),"")</f>
        <v>51</v>
      </c>
      <c r="AT78" s="117">
        <f t="array" aca="1" ref="AT78" ca="1">IFERROR(SMALL(IF(COUNTIF(Podcasts!$D$305:'Podcasts'!$D$473,ROW(INDIRECT("1:"&amp;K$2)))=0,ROW(INDIRECT("1:"&amp;K$2))),ROW($A35)),"")</f>
        <v>169</v>
      </c>
      <c r="AU78" s="117">
        <f t="array" aca="1" ref="AU78" ca="1">IFERROR(SMALL(IF(COUNTIF(Podcasts!$D$479:'Podcasts'!$D$488,ROW(INDIRECT("1:"&amp;K$2)))=0,ROW(INDIRECT("1:"&amp;K$2))),ROW($A35)),"")</f>
        <v>35</v>
      </c>
      <c r="AV78" s="117">
        <f t="array" aca="1" ref="AV78" ca="1">IFERROR(SMALL(IF(COUNTIF(Podcasts!$D$494:'Podcasts'!$D$518,ROW(INDIRECT("1:"&amp;K$2)))=0,ROW(INDIRECT("1:"&amp;K$2))),ROW($A35)),"")</f>
        <v>51</v>
      </c>
      <c r="AW78" s="117">
        <f t="array" aca="1" ref="AW78" ca="1">IFERROR(SMALL(IF(COUNTIF(Podcasts!$D$524:'Podcasts'!$D$532,ROW(INDIRECT("1:"&amp;K$2)))=0,ROW(INDIRECT("1:"&amp;K$2))),ROW($A35)),"")</f>
        <v>35</v>
      </c>
      <c r="AX78" s="117">
        <f t="array" aca="1" ref="AX78" ca="1">IFERROR(SMALL(IF(COUNTIF(Podcasts!$D$538:'Podcasts'!$D$909,ROW(INDIRECT("1:"&amp;K$2)))=0,ROW(INDIRECT("1:"&amp;K$2))),ROW($A35)),"")</f>
        <v>104</v>
      </c>
      <c r="AY78" s="117">
        <f t="array" aca="1" ref="AY78" ca="1">IFERROR(SMALL(IF(COUNTIF(Podcasts!$D$915:'Podcasts'!$D$981,ROW(INDIRECT("1:"&amp;K$2)))=0,ROW(INDIRECT("1:"&amp;K$2))),ROW($A35)),"")</f>
        <v>57</v>
      </c>
      <c r="AZ78" s="445"/>
      <c r="BA78" s="117">
        <f t="array" aca="1" ref="BA78" ca="1">IFERROR(SMALL(IF(COUNTIF(Podcasts!$D$1001:'Podcasts'!$D$1251,ROW(INDIRECT("1:"&amp;K$2)))=0,ROW(INDIRECT("1:"&amp;K$2))),ROW($A35)),"")</f>
        <v>60</v>
      </c>
      <c r="BB78" s="117">
        <f t="array" aca="1" ref="BB78" ca="1">IFERROR(SMALL(IF(COUNTIF(Podcasts!$D$1257:'Podcasts'!$D$1267,ROW(INDIRECT("1:"&amp;K$2)))=0,ROW(INDIRECT("1:"&amp;K$2))),ROW($A35)),"")</f>
        <v>36</v>
      </c>
      <c r="BC78" s="117">
        <f t="array" aca="1" ref="BC78" ca="1">IFERROR(SMALL(IF(COUNTIF(Podcasts!$D$1273:'Podcasts'!$D$1283,ROW(INDIRECT("1:"&amp;K$2)))=0,ROW(INDIRECT("1:"&amp;K$2))),ROW($A35)),"")</f>
        <v>39</v>
      </c>
      <c r="BD78" s="117">
        <f t="array" aca="1" ref="BD78" ca="1">IFERROR(SMALL(IF(COUNTIF(Podcasts!$D$1289:'Podcasts'!$D$1295,ROW(INDIRECT("1:"&amp;K$2)))=0,ROW(INDIRECT("1:"&amp;K$2))),ROW($A35)),"")</f>
        <v>37</v>
      </c>
      <c r="BE78" s="117">
        <f t="array" aca="1" ref="BE78" ca="1">IFERROR(SMALL(IF(COUNTIF(Podcasts!$D$1301:'Podcasts'!$D$1356,ROW(INDIRECT("1:"&amp;K$2)))=0,ROW(INDIRECT("1:"&amp;K$2))),ROW($A35)),"")</f>
        <v>82</v>
      </c>
      <c r="BF78" s="117">
        <f t="array" aca="1" ref="BF78" ca="1">IFERROR(SMALL(IF(COUNTIF(Podcasts!$D$1362:'Podcasts'!$D$1364,ROW(INDIRECT("1:"&amp;K$2)))=0,ROW(INDIRECT("1:"&amp;K$2))),ROW($A35)),"")</f>
        <v>38</v>
      </c>
      <c r="BG78" s="202">
        <f t="array" aca="1" ref="BG78" ca="1">IFERROR(SMALL(IF(COUNTIF(Podcasts!$D$1370:'Podcasts'!$D$1419,ROW(INDIRECT("1:"&amp;K$2)))=0,ROW(INDIRECT("1:"&amp;K$2))),ROW($A35)),"")</f>
        <v>42</v>
      </c>
      <c r="BH78" s="202">
        <f t="array" aca="1" ref="BH78" ca="1">IFERROR(SMALL(IF(COUNTIF(Podcasts!$D$1425:'Podcasts'!$D$1446,ROW(INDIRECT("1:"&amp;K$2)))=0,ROW(INDIRECT("1:"&amp;K$2))),ROW($A35)),"")</f>
        <v>39</v>
      </c>
      <c r="BI78" s="202">
        <f t="array" aca="1" ref="BI78" ca="1">IFERROR(SMALL(IF(COUNTIF(Podcasts!$D$1452:'Podcasts'!$D$1574,ROW(INDIRECT("1:"&amp;K$2)))=0,ROW(INDIRECT("1:"&amp;K$2))),ROW($A35)),"")</f>
        <v>63</v>
      </c>
      <c r="BJ78" s="202">
        <f t="array" aca="1" ref="BJ78" ca="1">IFERROR(SMALL(IF(COUNTIF(Podcasts!$D$1580:'Podcasts'!$D$1705,ROW(INDIRECT("1:"&amp;K$2)))=0,ROW(INDIRECT("1:"&amp;K$2))),ROW($A35)),"")</f>
        <v>64</v>
      </c>
      <c r="BK78" s="202">
        <f t="array" aca="1" ref="BK78" ca="1">IFERROR(SMALL(IF(COUNTIF(Podcasts!$D$1711:'Podcasts'!$D$1833,ROW(INDIRECT("1:"&amp;K$2)))=0,ROW(INDIRECT("1:"&amp;K$2))),ROW($A35)),"")</f>
        <v>75</v>
      </c>
      <c r="BL78" s="202">
        <f t="array" aca="1" ref="BL78" ca="1">IFERROR(SMALL(IF(COUNTIF(Podcasts!$D$1839:'Podcasts'!$D$1855,ROW(INDIRECT("1:"&amp;K$2)))=0,ROW(INDIRECT("1:"&amp;K$2))),ROW($A35)),"")</f>
        <v>40</v>
      </c>
      <c r="BM78" s="567">
        <f t="array" aca="1" ref="BM78" ca="1">IFERROR(SMALL(IF(COUNTIF(Podcasts!$D$1861:'Podcasts'!$D$1994,ROW(INDIRECT("1:"&amp;K$2)))=0,ROW(INDIRECT("1:"&amp;K$2))),ROW($A35)),"")</f>
        <v>45</v>
      </c>
      <c r="BN78" s="567">
        <f t="array" aca="1" ref="BN78" ca="1">IFERROR(SMALL(IF(COUNTIF(Podcasts!$D$2000:'Podcasts'!$D$2057,ROW(INDIRECT("1:"&amp;K$2)))=0,ROW(INDIRECT("1:"&amp;K$2))),ROW($A35)),"")</f>
        <v>90</v>
      </c>
      <c r="BO78" s="567">
        <f t="array" aca="1" ref="BO78" ca="1">IFERROR(SMALL(IF(COUNTIF(Podcasts!$D$2063:'Podcasts'!$D$2071,ROW(INDIRECT("1:"&amp;K$2)))=0,ROW(INDIRECT("1:"&amp;K$2))),ROW($A35)),"")</f>
        <v>35</v>
      </c>
      <c r="BP78" s="202">
        <f t="array" aca="1" ref="BP78" ca="1">IFERROR(SMALL(IF(COUNTIF(Podcasts!$D$2077:'Podcasts'!$D$2092,ROW(INDIRECT("1:"&amp;K$2)))=0,ROW(INDIRECT("1:"&amp;K$2))),ROW($A35)),"")</f>
        <v>43</v>
      </c>
      <c r="BQ78" s="741">
        <f t="array" aca="1" ref="BQ78" ca="1">IFERROR(SMALL(IF(COUNTIF(Podcasts!$D$2098:'Podcasts'!$D$2114,ROW(INDIRECT("1:"&amp;K$2)))=0,ROW(INDIRECT("1:"&amp;K$2))),ROW($A35)),"")</f>
        <v>37</v>
      </c>
      <c r="BR78" s="744">
        <f t="array" aca="1" ref="BR78" ca="1">IFERROR(SMALL(IF(COUNTIF(Podcasts!$D$2120:'Podcasts'!$D$2124,ROW(INDIRECT("1:"&amp;K$2)))=0,ROW(INDIRECT("1:"&amp;K$2))),ROW($A35)),"")</f>
        <v>37</v>
      </c>
      <c r="BS78" s="28"/>
    </row>
    <row r="79" spans="1:71" outlineLevel="1">
      <c r="A79" s="28"/>
      <c r="B79" s="161">
        <v>36</v>
      </c>
      <c r="C79" s="161">
        <f>COUNTIF(Podcasts!$D$10:'Podcasts'!$D$2535,B79)</f>
        <v>6</v>
      </c>
      <c r="D79" s="158" t="s">
        <v>1064</v>
      </c>
      <c r="E79" s="156" t="str">
        <f t="array" ref="E79">IF(F79="","",INDEX(Podcasts!$J$10:'Podcasts'!$J$2535,MATCH(F79&amp;$B79,Podcasts!$E$10:'Podcasts'!$E$2535&amp;Podcasts!$D$10:'Podcasts'!$D$2535,0)))</f>
        <v>Fürst</v>
      </c>
      <c r="F79" s="131">
        <f t="array" ref="F79">IF(COUNTIF(Podcasts!$D$10:'Podcasts'!$D$2535,$B79)&lt;COLUMN(A42),"",SMALL(IF(Podcasts!$D$10:'Podcasts'!$D$2535=$B79,Podcasts!$E$10:'Podcasts'!$E$2535),COLUMN(A42)))</f>
        <v>41936</v>
      </c>
      <c r="G79" s="132">
        <f t="array" ref="G79">IF(F79="","",INDEX(Podcasts!$F$10:'Podcasts'!$F$2535,MATCH(F79&amp;$B79,Podcasts!$E$10:'Podcasts'!$E$2535&amp;Podcasts!$D$10:'Podcasts'!$D$2535,0)))</f>
        <v>4.8611111111111008E-3</v>
      </c>
      <c r="H79" s="136" t="str">
        <f t="array" ref="H79">IF(I79="","",INDEX(Podcasts!$J$10:'Podcasts'!$J$2535,MATCH(I79&amp;$B79,Podcasts!$E$10:'Podcasts'!$E$2535&amp;Podcasts!$D$10:'Podcasts'!$D$2535,0)))</f>
        <v>Kaffee</v>
      </c>
      <c r="I79" s="133">
        <f t="array" ref="I79">IF(COUNTIF(Podcasts!$D$10:'Podcasts'!$D$2535,$B79)&lt;COLUMN(B42),"",SMALL(IF(Podcasts!$D$10:'Podcasts'!$D$2535=$B79,Podcasts!$E$10:'Podcasts'!$E$2535),COLUMN(B42)))</f>
        <v>44158</v>
      </c>
      <c r="J79" s="132">
        <f t="array" ref="J79">IF(I79="","",INDEX(Podcasts!$F$10:'Podcasts'!$F$2535,MATCH(I79&amp;$B79,Podcasts!$E$10:'Podcasts'!$E$2535&amp;Podcasts!$D$10:'Podcasts'!$D$2535,0)))</f>
        <v>1.877314814814815E-2</v>
      </c>
      <c r="K79" s="136" t="str">
        <f t="array" ref="K79">IF(L79="","",INDEX(Podcasts!$J$10:'Podcasts'!$J$2535,MATCH(L79&amp;$B79,Podcasts!$E$10:'Podcasts'!$E$2535&amp;Podcasts!$D$10:'Podcasts'!$D$2535,0)))</f>
        <v>Abfahrt</v>
      </c>
      <c r="L79" s="133">
        <f t="array" ref="L79">IF(COUNTIF(Podcasts!$D$10:'Podcasts'!$D$2535,$B79)&lt;COLUMN(C42),"",SMALL(IF(Podcasts!$D$10:'Podcasts'!$D$2535=$B79,Podcasts!$E$10:'Podcasts'!$E$2535),COLUMN(C42)))</f>
        <v>45065</v>
      </c>
      <c r="M79" s="132">
        <f t="array" ref="M79">IF(L79="","",INDEX(Podcasts!$F$10:'Podcasts'!$F$2535,MATCH(L79&amp;$B79,Podcasts!$E$10:'Podcasts'!$E$2535&amp;Podcasts!$D$10:'Podcasts'!$D$2535,0)))</f>
        <v>7.6111111111111115E-2</v>
      </c>
      <c r="N79" s="136" t="str">
        <f t="array" ref="N79">IF(O79="","",INDEX(Podcasts!$J$10:'Podcasts'!$J$2535,MATCH(O79&amp;$B79,Podcasts!$E$10:'Podcasts'!$E$2535&amp;Podcasts!$D$10:'Podcasts'!$D$2535,0)))</f>
        <v>RBW</v>
      </c>
      <c r="O79" s="133">
        <f t="array" ref="O79">IF(COUNTIF(Podcasts!$D$10:'Podcasts'!$D$2535,$B79)&lt;COLUMN(D42),"",SMALL(IF(Podcasts!$D$10:'Podcasts'!$D$2535=$B79,Podcasts!$E$10:'Podcasts'!$E$2535),COLUMN(D42)))</f>
        <v>45127</v>
      </c>
      <c r="P79" s="132">
        <f t="array" ref="P79">IF(O79="","",INDEX(Podcasts!$F$10:'Podcasts'!$F$2535,MATCH(O79&amp;$B79,Podcasts!$E$10:'Podcasts'!$E$2535&amp;Podcasts!$D$10:'Podcasts'!$D$2535,0)))</f>
        <v>3.2800925925925928E-2</v>
      </c>
      <c r="Q79" s="136" t="str">
        <f t="array" ref="Q79">IF(R79="","",INDEX(Podcasts!$J$10:'Podcasts'!$J$2535,MATCH(R79&amp;$B79,Podcasts!$E$10:'Podcasts'!$E$2535&amp;Podcasts!$D$10:'Podcasts'!$D$2535,0)))</f>
        <v>Bobcast</v>
      </c>
      <c r="R79" s="133">
        <f t="array" ref="R79">IF(COUNTIF(Podcasts!$D$10:'Podcasts'!$D$2535,$B79)&lt;COLUMN(E42),"",SMALL(IF(Podcasts!$D$10:'Podcasts'!$D$2535=$B79,Podcasts!$E$10:'Podcasts'!$E$2535),COLUMN(E42)))</f>
        <v>45243</v>
      </c>
      <c r="S79" s="132">
        <f t="array" ref="S79">IF(R79="","",INDEX(Podcasts!$F$10:'Podcasts'!$F$2535,MATCH(R79&amp;$B79,Podcasts!$E$10:'Podcasts'!$E$2535&amp;Podcasts!$D$10:'Podcasts'!$D$2535,0)))</f>
        <v>3.4618055555555555E-2</v>
      </c>
      <c r="T79" s="136" t="str">
        <f t="array" ref="T79">IF(U79="","",INDEX(Podcasts!$J$10:'Podcasts'!$J$2535,MATCH(U79&amp;$B79,Podcasts!$E$10:'Podcasts'!$E$2535&amp;Podcasts!$D$10:'Podcasts'!$D$2535,0)))</f>
        <v>Verstärker</v>
      </c>
      <c r="U79" s="133">
        <f t="array" ref="U79">IF(COUNTIF(Podcasts!$D$10:'Podcasts'!$D$2535,$B79)&lt;COLUMN(F42),"",SMALL(IF(Podcasts!$D$10:'Podcasts'!$D$2535=$B79,Podcasts!$E$10:'Podcasts'!$E$2535),COLUMN(F42)))</f>
        <v>45294</v>
      </c>
      <c r="V79" s="132">
        <f t="array" ref="V79">IF(U79="","",INDEX(Podcasts!$F$10:'Podcasts'!$F$2535,MATCH(U79&amp;$B79,Podcasts!$E$10:'Podcasts'!$E$2535&amp;Podcasts!$D$10:'Podcasts'!$D$2535,0)))</f>
        <v>1.8796296296296297E-2</v>
      </c>
      <c r="W79" s="136" t="str">
        <f t="array" ref="W79">IF(X79="","",INDEX(Podcasts!$J$10:'Podcasts'!$J$2535,MATCH(X79&amp;$B79,Podcasts!$E$10:'Podcasts'!$E$2535&amp;Podcasts!$D$10:'Podcasts'!$D$2535,0)))</f>
        <v/>
      </c>
      <c r="X79" s="133" t="str">
        <f t="array" ref="X79">IF(COUNTIF(Podcasts!$D$10:'Podcasts'!$D$2535,$B79)&lt;COLUMN(G42),"",SMALL(IF(Podcasts!$D$10:'Podcasts'!$D$2535=$B79,Podcasts!$E$10:'Podcasts'!$E$2535),COLUMN(G42)))</f>
        <v/>
      </c>
      <c r="Y79" s="132" t="str">
        <f t="array" ref="Y79">IF(X79="","",INDEX(Podcasts!$F$10:'Podcasts'!$F$2535,MATCH(X79&amp;$B79,Podcasts!$E$10:'Podcasts'!$E$2535&amp;Podcasts!$D$10:'Podcasts'!$D$2535,0)))</f>
        <v/>
      </c>
      <c r="Z79" s="136" t="str">
        <f t="array" ref="Z79">IF(AA79="","",INDEX(Podcasts!$J$10:'Podcasts'!$J$2535,MATCH(AA79&amp;$B79,Podcasts!$E$10:'Podcasts'!$E$2535&amp;Podcasts!$D$10:'Podcasts'!$D$2535,0)))</f>
        <v/>
      </c>
      <c r="AA79" s="134" t="str">
        <f t="array" ref="AA79">IF(COUNTIF(Podcasts!$D$10:'Podcasts'!$D$2535,$B79)&lt;COLUMN(H42),"",SMALL(IF(Podcasts!$D$10:'Podcasts'!$D$2535=$B79,Podcasts!$E$10:'Podcasts'!$E$2535),COLUMN(H42)))</f>
        <v/>
      </c>
      <c r="AB79" s="404" t="str">
        <f t="array" ref="AB79">IF(AA79="","",INDEX(Podcasts!$F$10:'Podcasts'!$F$2535,MATCH(AA79&amp;$B79,Podcasts!$E$10:'Podcasts'!$E$2535&amp;Podcasts!$D$10:'Podcasts'!$D$2535,0)))</f>
        <v/>
      </c>
      <c r="AC79" s="406" t="str">
        <f t="array" ref="AC79">IF(AD79="","",INDEX(Podcasts!$J$10:'Podcasts'!$J$2535,MATCH(AD79&amp;$B79,Podcasts!$E$10:'Podcasts'!$E$2535&amp;Podcasts!$D$10:'Podcasts'!$D$2535,0)))</f>
        <v/>
      </c>
      <c r="AD79" s="400" t="str">
        <f t="array" ref="AD79">IF(COUNTIF(Podcasts!$D$10:'Podcasts'!$D$2535,$B79)&lt;COLUMN(I42),"",SMALL(IF(Podcasts!$D$10:'Podcasts'!$D$2535=$B79,Podcasts!$E$10:'Podcasts'!$E$2535),COLUMN(I42)))</f>
        <v/>
      </c>
      <c r="AE79" s="401" t="str">
        <f t="array" ref="AE79">IF(AD79="","",INDEX(Podcasts!$F$10:'Podcasts'!$F$2535,MATCH(AD79&amp;$B79,Podcasts!$E$10:'Podcasts'!$E$2535&amp;Podcasts!$D$10:'Podcasts'!$D$2535,0)))</f>
        <v/>
      </c>
      <c r="AF79" s="406" t="str">
        <f t="array" ref="AF79">IF(AG79="","",INDEX(Podcasts!$J$10:'Podcasts'!$J$2535,MATCH(AG79&amp;$B79,Podcasts!$E$10:'Podcasts'!$E$2535&amp;Podcasts!$D$10:'Podcasts'!$D$2535,0)))</f>
        <v/>
      </c>
      <c r="AG79" s="400" t="str">
        <f t="array" ref="AG79">IF(COUNTIF(Podcasts!$D$10:'Podcasts'!$D$2535,$B79)&lt;COLUMN(J42),"",SMALL(IF(Podcasts!$D$10:'Podcasts'!$D$2535=$B79,Podcasts!$E$10:'Podcasts'!$E$2535),COLUMN(J42)))</f>
        <v/>
      </c>
      <c r="AH79" s="401" t="str">
        <f t="array" ref="AH79">IF(AG79="","",INDEX(Podcasts!$F$10:'Podcasts'!$F$2535,MATCH(AG79&amp;$B79,Podcasts!$E$10:'Podcasts'!$E$2535&amp;Podcasts!$D$10:'Podcasts'!$D$2535,0)))</f>
        <v/>
      </c>
      <c r="AI79" s="406" t="str">
        <f t="array" ref="AI79">IF(AJ79="","",INDEX(Podcasts!$J$10:'Podcasts'!$J$2535,MATCH(AJ79&amp;$B79,Podcasts!$E$10:'Podcasts'!$E$2535&amp;Podcasts!$D$10:'Podcasts'!$D$2535,0)))</f>
        <v/>
      </c>
      <c r="AJ79" s="400" t="str">
        <f t="array" ref="AJ79">IF(COUNTIF(Podcasts!$D$10:'Podcasts'!$D$2535,$B79)&lt;COLUMN(K42),"",SMALL(IF(Podcasts!$D$10:'Podcasts'!$D$2535=$B79,Podcasts!$E$10:'Podcasts'!$E$2535),COLUMN(K42)))</f>
        <v/>
      </c>
      <c r="AK79" s="401" t="str">
        <f t="array" ref="AK79">IF(AJ79="","",INDEX(Podcasts!$F$10:'Podcasts'!$F$2535,MATCH(AJ79&amp;$B79,Podcasts!$E$10:'Podcasts'!$E$2535&amp;Podcasts!$D$10:'Podcasts'!$D$2535,0)))</f>
        <v/>
      </c>
      <c r="AL79" s="406" t="str">
        <f t="array" ref="AL79">IF(AM79="","",INDEX(Podcasts!$J$10:'Podcasts'!$J$2535,MATCH(AM79&amp;$B79,Podcasts!$E$10:'Podcasts'!$E$2535&amp;Podcasts!$D$10:'Podcasts'!$D$2535,0)))</f>
        <v/>
      </c>
      <c r="AM79" s="400" t="str">
        <f t="array" ref="AM79">IF(COUNTIF(Podcasts!$D$10:'Podcasts'!$D$2535,$B79)&lt;COLUMN(L42),"",SMALL(IF(Podcasts!$D$10:'Podcasts'!$D$2535=$B79,Podcasts!$E$10:'Podcasts'!$E$2535),COLUMN(L42)))</f>
        <v/>
      </c>
      <c r="AN79" s="401" t="str">
        <f t="array" ref="AN79">IF(AM79="","",INDEX(Podcasts!$F$10:'Podcasts'!$F$2535,MATCH(AM79&amp;$B79,Podcasts!$E$10:'Podcasts'!$E$2535&amp;Podcasts!$D$10:'Podcasts'!$D$2535,0)))</f>
        <v/>
      </c>
      <c r="AO79" s="402"/>
      <c r="AP79" s="119"/>
      <c r="AQ79" s="117">
        <f t="array" aca="1" ref="AQ79" ca="1">IFERROR(SMALL(IF(COUNTIF(Podcasts!$D$10:'Podcasts'!$D$107,ROW(INDIRECT("1:"&amp;K$2)))=0,ROW(INDIRECT("1:"&amp;K$2))),ROW($A36)),"")</f>
        <v>57</v>
      </c>
      <c r="AR79" s="117">
        <f t="array" aca="1" ref="AR79" ca="1">IFERROR(SMALL(IF(COUNTIF(Podcasts!$D$113:'Podcasts'!$D$238,ROW(INDIRECT("1:"&amp;K$2)))=0,ROW(INDIRECT("1:"&amp;K$2))),ROW($A36)),"")</f>
        <v>36</v>
      </c>
      <c r="AS79" s="117">
        <f t="array" aca="1" ref="AS79" ca="1">IFERROR(SMALL(IF(COUNTIF(Podcasts!$D$244:'Podcasts'!$D$299,ROW(INDIRECT("1:"&amp;K$2)))=0,ROW(INDIRECT("1:"&amp;K$2))),ROW($A36)),"")</f>
        <v>52</v>
      </c>
      <c r="AT79" s="117">
        <f t="array" aca="1" ref="AT79" ca="1">IFERROR(SMALL(IF(COUNTIF(Podcasts!$D$305:'Podcasts'!$D$473,ROW(INDIRECT("1:"&amp;K$2)))=0,ROW(INDIRECT("1:"&amp;K$2))),ROW($A36)),"")</f>
        <v>170</v>
      </c>
      <c r="AU79" s="117">
        <f t="array" aca="1" ref="AU79" ca="1">IFERROR(SMALL(IF(COUNTIF(Podcasts!$D$479:'Podcasts'!$D$488,ROW(INDIRECT("1:"&amp;K$2)))=0,ROW(INDIRECT("1:"&amp;K$2))),ROW($A36)),"")</f>
        <v>36</v>
      </c>
      <c r="AV79" s="117">
        <f t="array" aca="1" ref="AV79" ca="1">IFERROR(SMALL(IF(COUNTIF(Podcasts!$D$494:'Podcasts'!$D$518,ROW(INDIRECT("1:"&amp;K$2)))=0,ROW(INDIRECT("1:"&amp;K$2))),ROW($A36)),"")</f>
        <v>52</v>
      </c>
      <c r="AW79" s="117">
        <f t="array" aca="1" ref="AW79" ca="1">IFERROR(SMALL(IF(COUNTIF(Podcasts!$D$524:'Podcasts'!$D$532,ROW(INDIRECT("1:"&amp;K$2)))=0,ROW(INDIRECT("1:"&amp;K$2))),ROW($A36)),"")</f>
        <v>36</v>
      </c>
      <c r="AX79" s="117">
        <f t="array" aca="1" ref="AX79" ca="1">IFERROR(SMALL(IF(COUNTIF(Podcasts!$D$538:'Podcasts'!$D$909,ROW(INDIRECT("1:"&amp;K$2)))=0,ROW(INDIRECT("1:"&amp;K$2))),ROW($A36)),"")</f>
        <v>110</v>
      </c>
      <c r="AY79" s="117">
        <f t="array" aca="1" ref="AY79" ca="1">IFERROR(SMALL(IF(COUNTIF(Podcasts!$D$915:'Podcasts'!$D$981,ROW(INDIRECT("1:"&amp;K$2)))=0,ROW(INDIRECT("1:"&amp;K$2))),ROW($A36)),"")</f>
        <v>58</v>
      </c>
      <c r="AZ79" s="445"/>
      <c r="BA79" s="117">
        <f t="array" aca="1" ref="BA79" ca="1">IFERROR(SMALL(IF(COUNTIF(Podcasts!$D$1001:'Podcasts'!$D$1251,ROW(INDIRECT("1:"&amp;K$2)))=0,ROW(INDIRECT("1:"&amp;K$2))),ROW($A36)),"")</f>
        <v>61</v>
      </c>
      <c r="BB79" s="117">
        <f t="array" aca="1" ref="BB79" ca="1">IFERROR(SMALL(IF(COUNTIF(Podcasts!$D$1257:'Podcasts'!$D$1267,ROW(INDIRECT("1:"&amp;K$2)))=0,ROW(INDIRECT("1:"&amp;K$2))),ROW($A36)),"")</f>
        <v>37</v>
      </c>
      <c r="BC79" s="117">
        <f t="array" aca="1" ref="BC79" ca="1">IFERROR(SMALL(IF(COUNTIF(Podcasts!$D$1273:'Podcasts'!$D$1283,ROW(INDIRECT("1:"&amp;K$2)))=0,ROW(INDIRECT("1:"&amp;K$2))),ROW($A36)),"")</f>
        <v>40</v>
      </c>
      <c r="BD79" s="117">
        <f t="array" aca="1" ref="BD79" ca="1">IFERROR(SMALL(IF(COUNTIF(Podcasts!$D$1289:'Podcasts'!$D$1295,ROW(INDIRECT("1:"&amp;K$2)))=0,ROW(INDIRECT("1:"&amp;K$2))),ROW($A36)),"")</f>
        <v>38</v>
      </c>
      <c r="BE79" s="117">
        <f t="array" aca="1" ref="BE79" ca="1">IFERROR(SMALL(IF(COUNTIF(Podcasts!$D$1301:'Podcasts'!$D$1356,ROW(INDIRECT("1:"&amp;K$2)))=0,ROW(INDIRECT("1:"&amp;K$2))),ROW($A36)),"")</f>
        <v>83</v>
      </c>
      <c r="BF79" s="117">
        <f t="array" aca="1" ref="BF79" ca="1">IFERROR(SMALL(IF(COUNTIF(Podcasts!$D$1362:'Podcasts'!$D$1364,ROW(INDIRECT("1:"&amp;K$2)))=0,ROW(INDIRECT("1:"&amp;K$2))),ROW($A36)),"")</f>
        <v>39</v>
      </c>
      <c r="BG79" s="202">
        <f t="array" aca="1" ref="BG79" ca="1">IFERROR(SMALL(IF(COUNTIF(Podcasts!$D$1370:'Podcasts'!$D$1419,ROW(INDIRECT("1:"&amp;K$2)))=0,ROW(INDIRECT("1:"&amp;K$2))),ROW($A36)),"")</f>
        <v>43</v>
      </c>
      <c r="BH79" s="202">
        <f t="array" aca="1" ref="BH79" ca="1">IFERROR(SMALL(IF(COUNTIF(Podcasts!$D$1425:'Podcasts'!$D$1446,ROW(INDIRECT("1:"&amp;K$2)))=0,ROW(INDIRECT("1:"&amp;K$2))),ROW($A36)),"")</f>
        <v>40</v>
      </c>
      <c r="BI79" s="202">
        <f t="array" aca="1" ref="BI79" ca="1">IFERROR(SMALL(IF(COUNTIF(Podcasts!$D$1452:'Podcasts'!$D$1574,ROW(INDIRECT("1:"&amp;K$2)))=0,ROW(INDIRECT("1:"&amp;K$2))),ROW($A36)),"")</f>
        <v>64</v>
      </c>
      <c r="BJ79" s="202">
        <f t="array" aca="1" ref="BJ79" ca="1">IFERROR(SMALL(IF(COUNTIF(Podcasts!$D$1580:'Podcasts'!$D$1705,ROW(INDIRECT("1:"&amp;K$2)))=0,ROW(INDIRECT("1:"&amp;K$2))),ROW($A36)),"")</f>
        <v>65</v>
      </c>
      <c r="BK79" s="202">
        <f t="array" aca="1" ref="BK79" ca="1">IFERROR(SMALL(IF(COUNTIF(Podcasts!$D$1711:'Podcasts'!$D$1833,ROW(INDIRECT("1:"&amp;K$2)))=0,ROW(INDIRECT("1:"&amp;K$2))),ROW($A36)),"")</f>
        <v>76</v>
      </c>
      <c r="BL79" s="202">
        <f t="array" aca="1" ref="BL79" ca="1">IFERROR(SMALL(IF(COUNTIF(Podcasts!$D$1839:'Podcasts'!$D$1855,ROW(INDIRECT("1:"&amp;K$2)))=0,ROW(INDIRECT("1:"&amp;K$2))),ROW($A36)),"")</f>
        <v>41</v>
      </c>
      <c r="BM79" s="567">
        <f t="array" aca="1" ref="BM79" ca="1">IFERROR(SMALL(IF(COUNTIF(Podcasts!$D$1861:'Podcasts'!$D$1994,ROW(INDIRECT("1:"&amp;K$2)))=0,ROW(INDIRECT("1:"&amp;K$2))),ROW($A36)),"")</f>
        <v>46</v>
      </c>
      <c r="BN79" s="567">
        <f t="array" aca="1" ref="BN79" ca="1">IFERROR(SMALL(IF(COUNTIF(Podcasts!$D$2000:'Podcasts'!$D$2057,ROW(INDIRECT("1:"&amp;K$2)))=0,ROW(INDIRECT("1:"&amp;K$2))),ROW($A36)),"")</f>
        <v>91</v>
      </c>
      <c r="BO79" s="567">
        <f t="array" aca="1" ref="BO79" ca="1">IFERROR(SMALL(IF(COUNTIF(Podcasts!$D$2063:'Podcasts'!$D$2071,ROW(INDIRECT("1:"&amp;K$2)))=0,ROW(INDIRECT("1:"&amp;K$2))),ROW($A36)),"")</f>
        <v>36</v>
      </c>
      <c r="BP79" s="202">
        <f t="array" aca="1" ref="BP79" ca="1">IFERROR(SMALL(IF(COUNTIF(Podcasts!$D$2077:'Podcasts'!$D$2092,ROW(INDIRECT("1:"&amp;K$2)))=0,ROW(INDIRECT("1:"&amp;K$2))),ROW($A36)),"")</f>
        <v>44</v>
      </c>
      <c r="BQ79" s="741">
        <f t="array" aca="1" ref="BQ79" ca="1">IFERROR(SMALL(IF(COUNTIF(Podcasts!$D$2098:'Podcasts'!$D$2114,ROW(INDIRECT("1:"&amp;K$2)))=0,ROW(INDIRECT("1:"&amp;K$2))),ROW($A36)),"")</f>
        <v>38</v>
      </c>
      <c r="BR79" s="744">
        <f t="array" aca="1" ref="BR79" ca="1">IFERROR(SMALL(IF(COUNTIF(Podcasts!$D$2120:'Podcasts'!$D$2124,ROW(INDIRECT("1:"&amp;K$2)))=0,ROW(INDIRECT("1:"&amp;K$2))),ROW($A36)),"")</f>
        <v>38</v>
      </c>
      <c r="BS79" s="28"/>
    </row>
    <row r="80" spans="1:71" outlineLevel="1">
      <c r="A80" s="28"/>
      <c r="B80" s="161">
        <v>37</v>
      </c>
      <c r="C80" s="161">
        <f>COUNTIF(Podcasts!$D$10:'Podcasts'!$D$2535,B80)</f>
        <v>9</v>
      </c>
      <c r="D80" s="158" t="s">
        <v>1065</v>
      </c>
      <c r="E80" s="156" t="str">
        <f t="array" ref="E80">IF(F80="","",INDEX(Podcasts!$J$10:'Podcasts'!$J$2535,MATCH(F80&amp;$B80,Podcasts!$E$10:'Podcasts'!$E$2535&amp;Podcasts!$D$10:'Podcasts'!$D$2535,0)))</f>
        <v>???od</v>
      </c>
      <c r="F80" s="131">
        <f t="array" ref="F80">IF(COUNTIF(Podcasts!$D$10:'Podcasts'!$D$2535,$B80)&lt;COLUMN(A43),"",SMALL(IF(Podcasts!$D$10:'Podcasts'!$D$2535=$B80,Podcasts!$E$10:'Podcasts'!$E$2535),COLUMN(A43)))</f>
        <v>41378</v>
      </c>
      <c r="G80" s="132">
        <f t="array" ref="G80">IF(F80="","",INDEX(Podcasts!$F$10:'Podcasts'!$F$2535,MATCH(F80&amp;$B80,Podcasts!$E$10:'Podcasts'!$E$2535&amp;Podcasts!$D$10:'Podcasts'!$D$2535,0)))</f>
        <v>4.0428240740740744E-2</v>
      </c>
      <c r="H80" s="136" t="str">
        <f t="array" ref="H80">IF(I80="","",INDEX(Podcasts!$J$10:'Podcasts'!$J$2535,MATCH(I80&amp;$B80,Podcasts!$E$10:'Podcasts'!$E$2535&amp;Podcasts!$D$10:'Podcasts'!$D$2535,0)))</f>
        <v>Fürst</v>
      </c>
      <c r="I80" s="133">
        <f t="array" ref="I80">IF(COUNTIF(Podcasts!$D$10:'Podcasts'!$D$2535,$B80)&lt;COLUMN(B43),"",SMALL(IF(Podcasts!$D$10:'Podcasts'!$D$2535=$B80,Podcasts!$E$10:'Podcasts'!$E$2535),COLUMN(B43)))</f>
        <v>42050</v>
      </c>
      <c r="J80" s="132">
        <f t="array" ref="J80">IF(I80="","",INDEX(Podcasts!$F$10:'Podcasts'!$F$2535,MATCH(I80&amp;$B80,Podcasts!$E$10:'Podcasts'!$E$2535&amp;Podcasts!$D$10:'Podcasts'!$D$2535,0)))</f>
        <v>1.0416666666666666E-2</v>
      </c>
      <c r="K80" s="136" t="str">
        <f t="array" ref="K80">IF(L80="","",INDEX(Podcasts!$J$10:'Podcasts'!$J$2535,MATCH(L80&amp;$B80,Podcasts!$E$10:'Podcasts'!$E$2535&amp;Podcasts!$D$10:'Podcasts'!$D$2535,0)))</f>
        <v>SSP</v>
      </c>
      <c r="L80" s="133">
        <f t="array" ref="L80">IF(COUNTIF(Podcasts!$D$10:'Podcasts'!$D$2535,$B80)&lt;COLUMN(C43),"",SMALL(IF(Podcasts!$D$10:'Podcasts'!$D$2535=$B80,Podcasts!$E$10:'Podcasts'!$E$2535),COLUMN(C43)))</f>
        <v>43444</v>
      </c>
      <c r="M80" s="132">
        <f t="array" ref="M80">IF(L80="","",INDEX(Podcasts!$F$10:'Podcasts'!$F$2535,MATCH(L80&amp;$B80,Podcasts!$E$10:'Podcasts'!$E$2535&amp;Podcasts!$D$10:'Podcasts'!$D$2535,0)))</f>
        <v>6.2037037037037036E-2</v>
      </c>
      <c r="N80" s="136" t="str">
        <f t="array" ref="N80">IF(O80="","",INDEX(Podcasts!$J$10:'Podcasts'!$J$2535,MATCH(O80&amp;$B80,Podcasts!$E$10:'Podcasts'!$E$2535&amp;Podcasts!$D$10:'Podcasts'!$D$2535,0)))</f>
        <v>Zw3i</v>
      </c>
      <c r="O80" s="133">
        <f t="array" ref="O80">IF(COUNTIF(Podcasts!$D$10:'Podcasts'!$D$2535,$B80)&lt;COLUMN(D43),"",SMALL(IF(Podcasts!$D$10:'Podcasts'!$D$2535=$B80,Podcasts!$E$10:'Podcasts'!$E$2535),COLUMN(D43)))</f>
        <v>44617</v>
      </c>
      <c r="P80" s="132">
        <f t="array" ref="P80">IF(O80="","",INDEX(Podcasts!$F$10:'Podcasts'!$F$2535,MATCH(O80&amp;$B80,Podcasts!$E$10:'Podcasts'!$E$2535&amp;Podcasts!$D$10:'Podcasts'!$D$2535,0)))</f>
        <v>7.4745370370370365E-2</v>
      </c>
      <c r="Q80" s="136" t="str">
        <f t="array" ref="Q80">IF(R80="","",INDEX(Podcasts!$J$10:'Podcasts'!$J$2535,MATCH(R80&amp;$B80,Podcasts!$E$10:'Podcasts'!$E$2535&amp;Podcasts!$D$10:'Podcasts'!$D$2535,0)))</f>
        <v>Zentrale</v>
      </c>
      <c r="R80" s="133">
        <f t="array" ref="R80">IF(COUNTIF(Podcasts!$D$10:'Podcasts'!$D$2535,$B80)&lt;COLUMN(E43),"",SMALL(IF(Podcasts!$D$10:'Podcasts'!$D$2535=$B80,Podcasts!$E$10:'Podcasts'!$E$2535),COLUMN(E43)))</f>
        <v>44659</v>
      </c>
      <c r="S80" s="132">
        <f t="array" ref="S80">IF(R80="","",INDEX(Podcasts!$F$10:'Podcasts'!$F$2535,MATCH(R80&amp;$B80,Podcasts!$E$10:'Podcasts'!$E$2535&amp;Podcasts!$D$10:'Podcasts'!$D$2535,0)))</f>
        <v>0.12231481481481482</v>
      </c>
      <c r="T80" s="136" t="str">
        <f t="array" ref="T80">IF(U80="","",INDEX(Podcasts!$J$10:'Podcasts'!$J$2535,MATCH(U80&amp;$B80,Podcasts!$E$10:'Podcasts'!$E$2535&amp;Podcasts!$D$10:'Podcasts'!$D$2535,0)))</f>
        <v>Abfahrt</v>
      </c>
      <c r="U80" s="133">
        <f t="array" ref="U80">IF(COUNTIF(Podcasts!$D$10:'Podcasts'!$D$2535,$B80)&lt;COLUMN(F43),"",SMALL(IF(Podcasts!$D$10:'Podcasts'!$D$2535=$B80,Podcasts!$E$10:'Podcasts'!$E$2535),COLUMN(F43)))</f>
        <v>45093</v>
      </c>
      <c r="V80" s="132">
        <f t="array" ref="V80">IF(U80="","",INDEX(Podcasts!$F$10:'Podcasts'!$F$2535,MATCH(U80&amp;$B80,Podcasts!$E$10:'Podcasts'!$E$2535&amp;Podcasts!$D$10:'Podcasts'!$D$2535,0)))</f>
        <v>8.1909722222222217E-2</v>
      </c>
      <c r="W80" s="136" t="str">
        <f t="array" ref="W80">IF(X80="","",INDEX(Podcasts!$J$10:'Podcasts'!$J$2535,MATCH(X80&amp;$B80,Podcasts!$E$10:'Podcasts'!$E$2535&amp;Podcasts!$D$10:'Podcasts'!$D$2535,0)))</f>
        <v>RBW</v>
      </c>
      <c r="X80" s="133">
        <f t="array" ref="X80">IF(COUNTIF(Podcasts!$D$10:'Podcasts'!$D$2535,$B80)&lt;COLUMN(G43),"",SMALL(IF(Podcasts!$D$10:'Podcasts'!$D$2535=$B80,Podcasts!$E$10:'Podcasts'!$E$2535),COLUMN(G43)))</f>
        <v>45141</v>
      </c>
      <c r="Y80" s="132">
        <f t="array" ref="Y80">IF(X80="","",INDEX(Podcasts!$F$10:'Podcasts'!$F$2535,MATCH(X80&amp;$B80,Podcasts!$E$10:'Podcasts'!$E$2535&amp;Podcasts!$D$10:'Podcasts'!$D$2535,0)))</f>
        <v>2.90162037037037E-2</v>
      </c>
      <c r="Z80" s="136" t="str">
        <f t="array" ref="Z80">IF(AA80="","",INDEX(Podcasts!$J$10:'Podcasts'!$J$2535,MATCH(AA80&amp;$B80,Podcasts!$E$10:'Podcasts'!$E$2535&amp;Podcasts!$D$10:'Podcasts'!$D$2535,0)))</f>
        <v>Bobcast</v>
      </c>
      <c r="AA80" s="134">
        <f t="array" ref="AA80">IF(COUNTIF(Podcasts!$D$10:'Podcasts'!$D$2535,$B80)&lt;COLUMN(H43),"",SMALL(IF(Podcasts!$D$10:'Podcasts'!$D$2535=$B80,Podcasts!$E$10:'Podcasts'!$E$2535),COLUMN(H43)))</f>
        <v>45257</v>
      </c>
      <c r="AB80" s="404">
        <f t="array" ref="AB80">IF(AA80="","",INDEX(Podcasts!$F$10:'Podcasts'!$F$2535,MATCH(AA80&amp;$B80,Podcasts!$E$10:'Podcasts'!$E$2535&amp;Podcasts!$D$10:'Podcasts'!$D$2535,0)))</f>
        <v>4.1261574074074069E-2</v>
      </c>
      <c r="AC80" s="406" t="str">
        <f t="array" ref="AC80">IF(AD80="","",INDEX(Podcasts!$J$10:'Podcasts'!$J$2535,MATCH(AD80&amp;$B80,Podcasts!$E$10:'Podcasts'!$E$2535&amp;Podcasts!$D$10:'Podcasts'!$D$2535,0)))</f>
        <v>Verstärker</v>
      </c>
      <c r="AD80" s="400">
        <f t="array" ref="AD80">IF(COUNTIF(Podcasts!$D$10:'Podcasts'!$D$2535,$B80)&lt;COLUMN(I43),"",SMALL(IF(Podcasts!$D$10:'Podcasts'!$D$2535=$B80,Podcasts!$E$10:'Podcasts'!$E$2535),COLUMN(I43)))</f>
        <v>45325</v>
      </c>
      <c r="AE80" s="401">
        <f t="array" ref="AE80">IF(AD80="","",INDEX(Podcasts!$F$10:'Podcasts'!$F$2535,MATCH(AD80&amp;$B80,Podcasts!$E$10:'Podcasts'!$E$2535&amp;Podcasts!$D$10:'Podcasts'!$D$2535,0)))</f>
        <v>2.7789351851851853E-2</v>
      </c>
      <c r="AF80" s="406" t="str">
        <f t="array" ref="AF80">IF(AG80="","",INDEX(Podcasts!$J$10:'Podcasts'!$J$2535,MATCH(AG80&amp;$B80,Podcasts!$E$10:'Podcasts'!$E$2535&amp;Podcasts!$D$10:'Podcasts'!$D$2535,0)))</f>
        <v/>
      </c>
      <c r="AG80" s="400" t="str">
        <f t="array" ref="AG80">IF(COUNTIF(Podcasts!$D$10:'Podcasts'!$D$2535,$B80)&lt;COLUMN(J43),"",SMALL(IF(Podcasts!$D$10:'Podcasts'!$D$2535=$B80,Podcasts!$E$10:'Podcasts'!$E$2535),COLUMN(J43)))</f>
        <v/>
      </c>
      <c r="AH80" s="401" t="str">
        <f t="array" ref="AH80">IF(AG80="","",INDEX(Podcasts!$F$10:'Podcasts'!$F$2535,MATCH(AG80&amp;$B80,Podcasts!$E$10:'Podcasts'!$E$2535&amp;Podcasts!$D$10:'Podcasts'!$D$2535,0)))</f>
        <v/>
      </c>
      <c r="AI80" s="406" t="str">
        <f t="array" ref="AI80">IF(AJ80="","",INDEX(Podcasts!$J$10:'Podcasts'!$J$2535,MATCH(AJ80&amp;$B80,Podcasts!$E$10:'Podcasts'!$E$2535&amp;Podcasts!$D$10:'Podcasts'!$D$2535,0)))</f>
        <v/>
      </c>
      <c r="AJ80" s="400" t="str">
        <f t="array" ref="AJ80">IF(COUNTIF(Podcasts!$D$10:'Podcasts'!$D$2535,$B80)&lt;COLUMN(K43),"",SMALL(IF(Podcasts!$D$10:'Podcasts'!$D$2535=$B80,Podcasts!$E$10:'Podcasts'!$E$2535),COLUMN(K43)))</f>
        <v/>
      </c>
      <c r="AK80" s="401" t="str">
        <f t="array" ref="AK80">IF(AJ80="","",INDEX(Podcasts!$F$10:'Podcasts'!$F$2535,MATCH(AJ80&amp;$B80,Podcasts!$E$10:'Podcasts'!$E$2535&amp;Podcasts!$D$10:'Podcasts'!$D$2535,0)))</f>
        <v/>
      </c>
      <c r="AL80" s="406" t="str">
        <f t="array" ref="AL80">IF(AM80="","",INDEX(Podcasts!$J$10:'Podcasts'!$J$2535,MATCH(AM80&amp;$B80,Podcasts!$E$10:'Podcasts'!$E$2535&amp;Podcasts!$D$10:'Podcasts'!$D$2535,0)))</f>
        <v/>
      </c>
      <c r="AM80" s="400" t="str">
        <f t="array" ref="AM80">IF(COUNTIF(Podcasts!$D$10:'Podcasts'!$D$2535,$B80)&lt;COLUMN(L43),"",SMALL(IF(Podcasts!$D$10:'Podcasts'!$D$2535=$B80,Podcasts!$E$10:'Podcasts'!$E$2535),COLUMN(L43)))</f>
        <v/>
      </c>
      <c r="AN80" s="401" t="str">
        <f t="array" ref="AN80">IF(AM80="","",INDEX(Podcasts!$F$10:'Podcasts'!$F$2535,MATCH(AM80&amp;$B80,Podcasts!$E$10:'Podcasts'!$E$2535&amp;Podcasts!$D$10:'Podcasts'!$D$2535,0)))</f>
        <v/>
      </c>
      <c r="AO80" s="402"/>
      <c r="AP80" s="119"/>
      <c r="AQ80" s="117">
        <f t="array" aca="1" ref="AQ80" ca="1">IFERROR(SMALL(IF(COUNTIF(Podcasts!$D$10:'Podcasts'!$D$107,ROW(INDIRECT("1:"&amp;K$2)))=0,ROW(INDIRECT("1:"&amp;K$2))),ROW($A37)),"")</f>
        <v>58</v>
      </c>
      <c r="AR80" s="117">
        <f t="array" aca="1" ref="AR80" ca="1">IFERROR(SMALL(IF(COUNTIF(Podcasts!$D$113:'Podcasts'!$D$238,ROW(INDIRECT("1:"&amp;K$2)))=0,ROW(INDIRECT("1:"&amp;K$2))),ROW($A37)),"")</f>
        <v>37</v>
      </c>
      <c r="AS80" s="117">
        <f t="array" aca="1" ref="AS80" ca="1">IFERROR(SMALL(IF(COUNTIF(Podcasts!$D$244:'Podcasts'!$D$299,ROW(INDIRECT("1:"&amp;K$2)))=0,ROW(INDIRECT("1:"&amp;K$2))),ROW($A37)),"")</f>
        <v>53</v>
      </c>
      <c r="AT80" s="117">
        <f t="array" aca="1" ref="AT80" ca="1">IFERROR(SMALL(IF(COUNTIF(Podcasts!$D$305:'Podcasts'!$D$473,ROW(INDIRECT("1:"&amp;K$2)))=0,ROW(INDIRECT("1:"&amp;K$2))),ROW($A37)),"")</f>
        <v>171</v>
      </c>
      <c r="AU80" s="117">
        <f t="array" aca="1" ref="AU80" ca="1">IFERROR(SMALL(IF(COUNTIF(Podcasts!$D$479:'Podcasts'!$D$488,ROW(INDIRECT("1:"&amp;K$2)))=0,ROW(INDIRECT("1:"&amp;K$2))),ROW($A37)),"")</f>
        <v>37</v>
      </c>
      <c r="AV80" s="117">
        <f t="array" aca="1" ref="AV80" ca="1">IFERROR(SMALL(IF(COUNTIF(Podcasts!$D$494:'Podcasts'!$D$518,ROW(INDIRECT("1:"&amp;K$2)))=0,ROW(INDIRECT("1:"&amp;K$2))),ROW($A37)),"")</f>
        <v>53</v>
      </c>
      <c r="AW80" s="117">
        <f t="array" aca="1" ref="AW80" ca="1">IFERROR(SMALL(IF(COUNTIF(Podcasts!$D$524:'Podcasts'!$D$532,ROW(INDIRECT("1:"&amp;K$2)))=0,ROW(INDIRECT("1:"&amp;K$2))),ROW($A37)),"")</f>
        <v>37</v>
      </c>
      <c r="AX80" s="117">
        <f t="array" aca="1" ref="AX80" ca="1">IFERROR(SMALL(IF(COUNTIF(Podcasts!$D$538:'Podcasts'!$D$909,ROW(INDIRECT("1:"&amp;K$2)))=0,ROW(INDIRECT("1:"&amp;K$2))),ROW($A37)),"")</f>
        <v>112</v>
      </c>
      <c r="AY80" s="117">
        <f t="array" aca="1" ref="AY80" ca="1">IFERROR(SMALL(IF(COUNTIF(Podcasts!$D$915:'Podcasts'!$D$981,ROW(INDIRECT("1:"&amp;K$2)))=0,ROW(INDIRECT("1:"&amp;K$2))),ROW($A37)),"")</f>
        <v>59</v>
      </c>
      <c r="AZ80" s="445"/>
      <c r="BA80" s="117">
        <f t="array" aca="1" ref="BA80" ca="1">IFERROR(SMALL(IF(COUNTIF(Podcasts!$D$1001:'Podcasts'!$D$1251,ROW(INDIRECT("1:"&amp;K$2)))=0,ROW(INDIRECT("1:"&amp;K$2))),ROW($A37)),"")</f>
        <v>62</v>
      </c>
      <c r="BB80" s="117">
        <f t="array" aca="1" ref="BB80" ca="1">IFERROR(SMALL(IF(COUNTIF(Podcasts!$D$1257:'Podcasts'!$D$1267,ROW(INDIRECT("1:"&amp;K$2)))=0,ROW(INDIRECT("1:"&amp;K$2))),ROW($A37)),"")</f>
        <v>38</v>
      </c>
      <c r="BC80" s="117">
        <f t="array" aca="1" ref="BC80" ca="1">IFERROR(SMALL(IF(COUNTIF(Podcasts!$D$1273:'Podcasts'!$D$1283,ROW(INDIRECT("1:"&amp;K$2)))=0,ROW(INDIRECT("1:"&amp;K$2))),ROW($A37)),"")</f>
        <v>41</v>
      </c>
      <c r="BD80" s="117">
        <f t="array" aca="1" ref="BD80" ca="1">IFERROR(SMALL(IF(COUNTIF(Podcasts!$D$1289:'Podcasts'!$D$1295,ROW(INDIRECT("1:"&amp;K$2)))=0,ROW(INDIRECT("1:"&amp;K$2))),ROW($A37)),"")</f>
        <v>39</v>
      </c>
      <c r="BE80" s="117">
        <f t="array" aca="1" ref="BE80" ca="1">IFERROR(SMALL(IF(COUNTIF(Podcasts!$D$1301:'Podcasts'!$D$1356,ROW(INDIRECT("1:"&amp;K$2)))=0,ROW(INDIRECT("1:"&amp;K$2))),ROW($A37)),"")</f>
        <v>84</v>
      </c>
      <c r="BF80" s="117">
        <f t="array" aca="1" ref="BF80" ca="1">IFERROR(SMALL(IF(COUNTIF(Podcasts!$D$1362:'Podcasts'!$D$1364,ROW(INDIRECT("1:"&amp;K$2)))=0,ROW(INDIRECT("1:"&amp;K$2))),ROW($A37)),"")</f>
        <v>40</v>
      </c>
      <c r="BG80" s="202">
        <f t="array" aca="1" ref="BG80" ca="1">IFERROR(SMALL(IF(COUNTIF(Podcasts!$D$1370:'Podcasts'!$D$1419,ROW(INDIRECT("1:"&amp;K$2)))=0,ROW(INDIRECT("1:"&amp;K$2))),ROW($A37)),"")</f>
        <v>45</v>
      </c>
      <c r="BH80" s="202">
        <f t="array" aca="1" ref="BH80" ca="1">IFERROR(SMALL(IF(COUNTIF(Podcasts!$D$1425:'Podcasts'!$D$1446,ROW(INDIRECT("1:"&amp;K$2)))=0,ROW(INDIRECT("1:"&amp;K$2))),ROW($A37)),"")</f>
        <v>41</v>
      </c>
      <c r="BI80" s="202">
        <f t="array" aca="1" ref="BI80" ca="1">IFERROR(SMALL(IF(COUNTIF(Podcasts!$D$1452:'Podcasts'!$D$1574,ROW(INDIRECT("1:"&amp;K$2)))=0,ROW(INDIRECT("1:"&amp;K$2))),ROW($A37)),"")</f>
        <v>69</v>
      </c>
      <c r="BJ80" s="202">
        <f t="array" aca="1" ref="BJ80" ca="1">IFERROR(SMALL(IF(COUNTIF(Podcasts!$D$1580:'Podcasts'!$D$1705,ROW(INDIRECT("1:"&amp;K$2)))=0,ROW(INDIRECT("1:"&amp;K$2))),ROW($A37)),"")</f>
        <v>66</v>
      </c>
      <c r="BK80" s="202">
        <f t="array" aca="1" ref="BK80" ca="1">IFERROR(SMALL(IF(COUNTIF(Podcasts!$D$1711:'Podcasts'!$D$1833,ROW(INDIRECT("1:"&amp;K$2)))=0,ROW(INDIRECT("1:"&amp;K$2))),ROW($A37)),"")</f>
        <v>77</v>
      </c>
      <c r="BL80" s="202">
        <f t="array" aca="1" ref="BL80" ca="1">IFERROR(SMALL(IF(COUNTIF(Podcasts!$D$1839:'Podcasts'!$D$1855,ROW(INDIRECT("1:"&amp;K$2)))=0,ROW(INDIRECT("1:"&amp;K$2))),ROW($A37)),"")</f>
        <v>42</v>
      </c>
      <c r="BM80" s="567">
        <f t="array" aca="1" ref="BM80" ca="1">IFERROR(SMALL(IF(COUNTIF(Podcasts!$D$1861:'Podcasts'!$D$1994,ROW(INDIRECT("1:"&amp;K$2)))=0,ROW(INDIRECT("1:"&amp;K$2))),ROW($A37)),"")</f>
        <v>48</v>
      </c>
      <c r="BN80" s="567">
        <f t="array" aca="1" ref="BN80" ca="1">IFERROR(SMALL(IF(COUNTIF(Podcasts!$D$2000:'Podcasts'!$D$2057,ROW(INDIRECT("1:"&amp;K$2)))=0,ROW(INDIRECT("1:"&amp;K$2))),ROW($A37)),"")</f>
        <v>92</v>
      </c>
      <c r="BO80" s="567">
        <f t="array" aca="1" ref="BO80" ca="1">IFERROR(SMALL(IF(COUNTIF(Podcasts!$D$2063:'Podcasts'!$D$2071,ROW(INDIRECT("1:"&amp;K$2)))=0,ROW(INDIRECT("1:"&amp;K$2))),ROW($A37)),"")</f>
        <v>37</v>
      </c>
      <c r="BP80" s="202">
        <f t="array" aca="1" ref="BP80" ca="1">IFERROR(SMALL(IF(COUNTIF(Podcasts!$D$2077:'Podcasts'!$D$2092,ROW(INDIRECT("1:"&amp;K$2)))=0,ROW(INDIRECT("1:"&amp;K$2))),ROW($A37)),"")</f>
        <v>46</v>
      </c>
      <c r="BQ80" s="741">
        <f t="array" aca="1" ref="BQ80" ca="1">IFERROR(SMALL(IF(COUNTIF(Podcasts!$D$2098:'Podcasts'!$D$2114,ROW(INDIRECT("1:"&amp;K$2)))=0,ROW(INDIRECT("1:"&amp;K$2))),ROW($A37)),"")</f>
        <v>39</v>
      </c>
      <c r="BR80" s="744">
        <f t="array" aca="1" ref="BR80" ca="1">IFERROR(SMALL(IF(COUNTIF(Podcasts!$D$2120:'Podcasts'!$D$2124,ROW(INDIRECT("1:"&amp;K$2)))=0,ROW(INDIRECT("1:"&amp;K$2))),ROW($A37)),"")</f>
        <v>39</v>
      </c>
      <c r="BS80" s="28"/>
    </row>
    <row r="81" spans="1:71" outlineLevel="1">
      <c r="A81" s="28"/>
      <c r="B81" s="161">
        <v>38</v>
      </c>
      <c r="C81" s="161">
        <f>COUNTIF(Podcasts!$D$10:'Podcasts'!$D$2535,B81)</f>
        <v>7</v>
      </c>
      <c r="D81" s="158" t="s">
        <v>1066</v>
      </c>
      <c r="E81" s="156" t="str">
        <f t="array" ref="E81">IF(F81="","",INDEX(Podcasts!$J$10:'Podcasts'!$J$2535,MATCH(F81&amp;$B81,Podcasts!$E$10:'Podcasts'!$E$2535&amp;Podcasts!$D$10:'Podcasts'!$D$2535,0)))</f>
        <v>Fürst</v>
      </c>
      <c r="F81" s="131">
        <f t="array" ref="F81">IF(COUNTIF(Podcasts!$D$10:'Podcasts'!$D$2535,$B81)&lt;COLUMN(A44),"",SMALL(IF(Podcasts!$D$10:'Podcasts'!$D$2535=$B81,Podcasts!$E$10:'Podcasts'!$E$2535),COLUMN(A44)))</f>
        <v>41811</v>
      </c>
      <c r="G81" s="132">
        <f t="array" ref="G81">IF(F81="","",INDEX(Podcasts!$F$10:'Podcasts'!$F$2535,MATCH(F81&amp;$B81,Podcasts!$E$10:'Podcasts'!$E$2535&amp;Podcasts!$D$10:'Podcasts'!$D$2535,0)))</f>
        <v>4.3981481481481484E-3</v>
      </c>
      <c r="H81" s="136" t="str">
        <f t="array" ref="H81">IF(I81="","",INDEX(Podcasts!$J$10:'Podcasts'!$J$2535,MATCH(I81&amp;$B81,Podcasts!$E$10:'Podcasts'!$E$2535&amp;Podcasts!$D$10:'Podcasts'!$D$2535,0)))</f>
        <v>SSP</v>
      </c>
      <c r="I81" s="133">
        <f t="array" ref="I81">IF(COUNTIF(Podcasts!$D$10:'Podcasts'!$D$2535,$B81)&lt;COLUMN(B44),"",SMALL(IF(Podcasts!$D$10:'Podcasts'!$D$2535=$B81,Podcasts!$E$10:'Podcasts'!$E$2535),COLUMN(B44)))</f>
        <v>42929</v>
      </c>
      <c r="J81" s="132">
        <f t="array" ref="J81">IF(I81="","",INDEX(Podcasts!$F$10:'Podcasts'!$F$2535,MATCH(I81&amp;$B81,Podcasts!$E$10:'Podcasts'!$E$2535&amp;Podcasts!$D$10:'Podcasts'!$D$2535,0)))</f>
        <v>6.5300925925925915E-2</v>
      </c>
      <c r="K81" s="136" t="str">
        <f t="array" ref="K81">IF(L81="","",INDEX(Podcasts!$J$10:'Podcasts'!$J$2535,MATCH(L81&amp;$B81,Podcasts!$E$10:'Podcasts'!$E$2535&amp;Podcasts!$D$10:'Podcasts'!$D$2535,0)))</f>
        <v>Abfahrt</v>
      </c>
      <c r="L81" s="133">
        <f t="array" ref="L81">IF(COUNTIF(Podcasts!$D$10:'Podcasts'!$D$2535,$B81)&lt;COLUMN(C44),"",SMALL(IF(Podcasts!$D$10:'Podcasts'!$D$2535=$B81,Podcasts!$E$10:'Podcasts'!$E$2535),COLUMN(C44)))</f>
        <v>45128</v>
      </c>
      <c r="M81" s="132">
        <f t="array" ref="M81">IF(L81="","",INDEX(Podcasts!$F$10:'Podcasts'!$F$2535,MATCH(L81&amp;$B81,Podcasts!$E$10:'Podcasts'!$E$2535&amp;Podcasts!$D$10:'Podcasts'!$D$2535,0)))</f>
        <v>5.9571759259259262E-2</v>
      </c>
      <c r="N81" s="136" t="str">
        <f t="array" ref="N81">IF(O81="","",INDEX(Podcasts!$J$10:'Podcasts'!$J$2535,MATCH(O81&amp;$B81,Podcasts!$E$10:'Podcasts'!$E$2535&amp;Podcasts!$D$10:'Podcasts'!$D$2535,0)))</f>
        <v>RBW</v>
      </c>
      <c r="O81" s="133">
        <f t="array" ref="O81">IF(COUNTIF(Podcasts!$D$10:'Podcasts'!$D$2535,$B81)&lt;COLUMN(D44),"",SMALL(IF(Podcasts!$D$10:'Podcasts'!$D$2535=$B81,Podcasts!$E$10:'Podcasts'!$E$2535),COLUMN(D44)))</f>
        <v>45148</v>
      </c>
      <c r="P81" s="132">
        <f t="array" ref="P81">IF(O81="","",INDEX(Podcasts!$F$10:'Podcasts'!$F$2535,MATCH(O81&amp;$B81,Podcasts!$E$10:'Podcasts'!$E$2535&amp;Podcasts!$D$10:'Podcasts'!$D$2535,0)))</f>
        <v>3.9560185185185184E-2</v>
      </c>
      <c r="Q81" s="136" t="str">
        <f t="array" ref="Q81">IF(R81="","",INDEX(Podcasts!$J$10:'Podcasts'!$J$2535,MATCH(R81&amp;$B81,Podcasts!$E$10:'Podcasts'!$E$2535&amp;Podcasts!$D$10:'Podcasts'!$D$2535,0)))</f>
        <v>Bobcast</v>
      </c>
      <c r="R81" s="133">
        <f t="array" ref="R81">IF(COUNTIF(Podcasts!$D$10:'Podcasts'!$D$2535,$B81)&lt;COLUMN(E44),"",SMALL(IF(Podcasts!$D$10:'Podcasts'!$D$2535=$B81,Podcasts!$E$10:'Podcasts'!$E$2535),COLUMN(E44)))</f>
        <v>45271</v>
      </c>
      <c r="S81" s="132">
        <f t="array" ref="S81">IF(R81="","",INDEX(Podcasts!$F$10:'Podcasts'!$F$2535,MATCH(R81&amp;$B81,Podcasts!$E$10:'Podcasts'!$E$2535&amp;Podcasts!$D$10:'Podcasts'!$D$2535,0)))</f>
        <v>3.4733796296296297E-2</v>
      </c>
      <c r="T81" s="136" t="str">
        <f t="array" ref="T81">IF(U81="","",INDEX(Podcasts!$J$10:'Podcasts'!$J$2535,MATCH(U81&amp;$B81,Podcasts!$E$10:'Podcasts'!$E$2535&amp;Podcasts!$D$10:'Podcasts'!$D$2535,0)))</f>
        <v>Kaffee</v>
      </c>
      <c r="U81" s="133">
        <f t="array" ref="U81">IF(COUNTIF(Podcasts!$D$10:'Podcasts'!$D$2535,$B81)&lt;COLUMN(F44),"",SMALL(IF(Podcasts!$D$10:'Podcasts'!$D$2535=$B81,Podcasts!$E$10:'Podcasts'!$E$2535),COLUMN(F44)))</f>
        <v>45352</v>
      </c>
      <c r="V81" s="132">
        <f t="array" ref="V81">IF(U81="","",INDEX(Podcasts!$F$10:'Podcasts'!$F$2535,MATCH(U81&amp;$B81,Podcasts!$E$10:'Podcasts'!$E$2535&amp;Podcasts!$D$10:'Podcasts'!$D$2535,0)))</f>
        <v>4.0729166666666664E-2</v>
      </c>
      <c r="W81" s="136" t="str">
        <f t="array" ref="W81">IF(X81="","",INDEX(Podcasts!$J$10:'Podcasts'!$J$2535,MATCH(X81&amp;$B81,Podcasts!$E$10:'Podcasts'!$E$2535&amp;Podcasts!$D$10:'Podcasts'!$D$2535,0)))</f>
        <v>Verstärker</v>
      </c>
      <c r="X81" s="133">
        <f t="array" ref="X81">IF(COUNTIF(Podcasts!$D$10:'Podcasts'!$D$2535,$B81)&lt;COLUMN(G44),"",SMALL(IF(Podcasts!$D$10:'Podcasts'!$D$2535=$B81,Podcasts!$E$10:'Podcasts'!$E$2535),COLUMN(G44)))</f>
        <v>45354</v>
      </c>
      <c r="Y81" s="132">
        <f t="array" ref="Y81">IF(X81="","",INDEX(Podcasts!$F$10:'Podcasts'!$F$2535,MATCH(X81&amp;$B81,Podcasts!$E$10:'Podcasts'!$E$2535&amp;Podcasts!$D$10:'Podcasts'!$D$2535,0)))</f>
        <v>2.2534722222222223E-2</v>
      </c>
      <c r="Z81" s="136" t="str">
        <f t="array" ref="Z81">IF(AA81="","",INDEX(Podcasts!$J$10:'Podcasts'!$J$2535,MATCH(AA81&amp;$B81,Podcasts!$E$10:'Podcasts'!$E$2535&amp;Podcasts!$D$10:'Podcasts'!$D$2535,0)))</f>
        <v/>
      </c>
      <c r="AA81" s="134" t="str">
        <f t="array" ref="AA81">IF(COUNTIF(Podcasts!$D$10:'Podcasts'!$D$2535,$B81)&lt;COLUMN(H44),"",SMALL(IF(Podcasts!$D$10:'Podcasts'!$D$2535=$B81,Podcasts!$E$10:'Podcasts'!$E$2535),COLUMN(H44)))</f>
        <v/>
      </c>
      <c r="AB81" s="404" t="str">
        <f t="array" ref="AB81">IF(AA81="","",INDEX(Podcasts!$F$10:'Podcasts'!$F$2535,MATCH(AA81&amp;$B81,Podcasts!$E$10:'Podcasts'!$E$2535&amp;Podcasts!$D$10:'Podcasts'!$D$2535,0)))</f>
        <v/>
      </c>
      <c r="AC81" s="406" t="str">
        <f t="array" ref="AC81">IF(AD81="","",INDEX(Podcasts!$J$10:'Podcasts'!$J$2535,MATCH(AD81&amp;$B81,Podcasts!$E$10:'Podcasts'!$E$2535&amp;Podcasts!$D$10:'Podcasts'!$D$2535,0)))</f>
        <v/>
      </c>
      <c r="AD81" s="400" t="str">
        <f t="array" ref="AD81">IF(COUNTIF(Podcasts!$D$10:'Podcasts'!$D$2535,$B81)&lt;COLUMN(I44),"",SMALL(IF(Podcasts!$D$10:'Podcasts'!$D$2535=$B81,Podcasts!$E$10:'Podcasts'!$E$2535),COLUMN(I44)))</f>
        <v/>
      </c>
      <c r="AE81" s="401" t="str">
        <f t="array" ref="AE81">IF(AD81="","",INDEX(Podcasts!$F$10:'Podcasts'!$F$2535,MATCH(AD81&amp;$B81,Podcasts!$E$10:'Podcasts'!$E$2535&amp;Podcasts!$D$10:'Podcasts'!$D$2535,0)))</f>
        <v/>
      </c>
      <c r="AF81" s="406" t="str">
        <f t="array" ref="AF81">IF(AG81="","",INDEX(Podcasts!$J$10:'Podcasts'!$J$2535,MATCH(AG81&amp;$B81,Podcasts!$E$10:'Podcasts'!$E$2535&amp;Podcasts!$D$10:'Podcasts'!$D$2535,0)))</f>
        <v/>
      </c>
      <c r="AG81" s="400" t="str">
        <f t="array" ref="AG81">IF(COUNTIF(Podcasts!$D$10:'Podcasts'!$D$2535,$B81)&lt;COLUMN(J44),"",SMALL(IF(Podcasts!$D$10:'Podcasts'!$D$2535=$B81,Podcasts!$E$10:'Podcasts'!$E$2535),COLUMN(J44)))</f>
        <v/>
      </c>
      <c r="AH81" s="401" t="str">
        <f t="array" ref="AH81">IF(AG81="","",INDEX(Podcasts!$F$10:'Podcasts'!$F$2535,MATCH(AG81&amp;$B81,Podcasts!$E$10:'Podcasts'!$E$2535&amp;Podcasts!$D$10:'Podcasts'!$D$2535,0)))</f>
        <v/>
      </c>
      <c r="AI81" s="406" t="str">
        <f t="array" ref="AI81">IF(AJ81="","",INDEX(Podcasts!$J$10:'Podcasts'!$J$2535,MATCH(AJ81&amp;$B81,Podcasts!$E$10:'Podcasts'!$E$2535&amp;Podcasts!$D$10:'Podcasts'!$D$2535,0)))</f>
        <v/>
      </c>
      <c r="AJ81" s="400" t="str">
        <f t="array" ref="AJ81">IF(COUNTIF(Podcasts!$D$10:'Podcasts'!$D$2535,$B81)&lt;COLUMN(K44),"",SMALL(IF(Podcasts!$D$10:'Podcasts'!$D$2535=$B81,Podcasts!$E$10:'Podcasts'!$E$2535),COLUMN(K44)))</f>
        <v/>
      </c>
      <c r="AK81" s="401" t="str">
        <f t="array" ref="AK81">IF(AJ81="","",INDEX(Podcasts!$F$10:'Podcasts'!$F$2535,MATCH(AJ81&amp;$B81,Podcasts!$E$10:'Podcasts'!$E$2535&amp;Podcasts!$D$10:'Podcasts'!$D$2535,0)))</f>
        <v/>
      </c>
      <c r="AL81" s="406" t="str">
        <f t="array" ref="AL81">IF(AM81="","",INDEX(Podcasts!$J$10:'Podcasts'!$J$2535,MATCH(AM81&amp;$B81,Podcasts!$E$10:'Podcasts'!$E$2535&amp;Podcasts!$D$10:'Podcasts'!$D$2535,0)))</f>
        <v/>
      </c>
      <c r="AM81" s="400" t="str">
        <f t="array" ref="AM81">IF(COUNTIF(Podcasts!$D$10:'Podcasts'!$D$2535,$B81)&lt;COLUMN(L44),"",SMALL(IF(Podcasts!$D$10:'Podcasts'!$D$2535=$B81,Podcasts!$E$10:'Podcasts'!$E$2535),COLUMN(L44)))</f>
        <v/>
      </c>
      <c r="AN81" s="401" t="str">
        <f t="array" ref="AN81">IF(AM81="","",INDEX(Podcasts!$F$10:'Podcasts'!$F$2535,MATCH(AM81&amp;$B81,Podcasts!$E$10:'Podcasts'!$E$2535&amp;Podcasts!$D$10:'Podcasts'!$D$2535,0)))</f>
        <v/>
      </c>
      <c r="AO81" s="402"/>
      <c r="AP81" s="119"/>
      <c r="AQ81" s="117">
        <f t="array" aca="1" ref="AQ81" ca="1">IFERROR(SMALL(IF(COUNTIF(Podcasts!$D$10:'Podcasts'!$D$107,ROW(INDIRECT("1:"&amp;K$2)))=0,ROW(INDIRECT("1:"&amp;K$2))),ROW($A38)),"")</f>
        <v>59</v>
      </c>
      <c r="AR81" s="117">
        <f t="array" aca="1" ref="AR81" ca="1">IFERROR(SMALL(IF(COUNTIF(Podcasts!$D$113:'Podcasts'!$D$238,ROW(INDIRECT("1:"&amp;K$2)))=0,ROW(INDIRECT("1:"&amp;K$2))),ROW($A38)),"")</f>
        <v>38</v>
      </c>
      <c r="AS81" s="117">
        <f t="array" aca="1" ref="AS81" ca="1">IFERROR(SMALL(IF(COUNTIF(Podcasts!$D$244:'Podcasts'!$D$299,ROW(INDIRECT("1:"&amp;K$2)))=0,ROW(INDIRECT("1:"&amp;K$2))),ROW($A38)),"")</f>
        <v>54</v>
      </c>
      <c r="AT81" s="117">
        <f t="array" aca="1" ref="AT81" ca="1">IFERROR(SMALL(IF(COUNTIF(Podcasts!$D$305:'Podcasts'!$D$473,ROW(INDIRECT("1:"&amp;K$2)))=0,ROW(INDIRECT("1:"&amp;K$2))),ROW($A38)),"")</f>
        <v>172</v>
      </c>
      <c r="AU81" s="117">
        <f t="array" aca="1" ref="AU81" ca="1">IFERROR(SMALL(IF(COUNTIF(Podcasts!$D$479:'Podcasts'!$D$488,ROW(INDIRECT("1:"&amp;K$2)))=0,ROW(INDIRECT("1:"&amp;K$2))),ROW($A38)),"")</f>
        <v>38</v>
      </c>
      <c r="AV81" s="117">
        <f t="array" aca="1" ref="AV81" ca="1">IFERROR(SMALL(IF(COUNTIF(Podcasts!$D$494:'Podcasts'!$D$518,ROW(INDIRECT("1:"&amp;K$2)))=0,ROW(INDIRECT("1:"&amp;K$2))),ROW($A38)),"")</f>
        <v>54</v>
      </c>
      <c r="AW81" s="117">
        <f t="array" aca="1" ref="AW81" ca="1">IFERROR(SMALL(IF(COUNTIF(Podcasts!$D$524:'Podcasts'!$D$532,ROW(INDIRECT("1:"&amp;K$2)))=0,ROW(INDIRECT("1:"&amp;K$2))),ROW($A38)),"")</f>
        <v>38</v>
      </c>
      <c r="AX81" s="117">
        <f t="array" aca="1" ref="AX81" ca="1">IFERROR(SMALL(IF(COUNTIF(Podcasts!$D$538:'Podcasts'!$D$909,ROW(INDIRECT("1:"&amp;K$2)))=0,ROW(INDIRECT("1:"&amp;K$2))),ROW($A38)),"")</f>
        <v>116</v>
      </c>
      <c r="AY81" s="117">
        <f t="array" aca="1" ref="AY81" ca="1">IFERROR(SMALL(IF(COUNTIF(Podcasts!$D$915:'Podcasts'!$D$981,ROW(INDIRECT("1:"&amp;K$2)))=0,ROW(INDIRECT("1:"&amp;K$2))),ROW($A38)),"")</f>
        <v>60</v>
      </c>
      <c r="AZ81" s="445"/>
      <c r="BA81" s="117">
        <f t="array" aca="1" ref="BA81" ca="1">IFERROR(SMALL(IF(COUNTIF(Podcasts!$D$1001:'Podcasts'!$D$1251,ROW(INDIRECT("1:"&amp;K$2)))=0,ROW(INDIRECT("1:"&amp;K$2))),ROW($A38)),"")</f>
        <v>64</v>
      </c>
      <c r="BB81" s="117">
        <f t="array" aca="1" ref="BB81" ca="1">IFERROR(SMALL(IF(COUNTIF(Podcasts!$D$1257:'Podcasts'!$D$1267,ROW(INDIRECT("1:"&amp;K$2)))=0,ROW(INDIRECT("1:"&amp;K$2))),ROW($A38)),"")</f>
        <v>39</v>
      </c>
      <c r="BC81" s="117">
        <f t="array" aca="1" ref="BC81" ca="1">IFERROR(SMALL(IF(COUNTIF(Podcasts!$D$1273:'Podcasts'!$D$1283,ROW(INDIRECT("1:"&amp;K$2)))=0,ROW(INDIRECT("1:"&amp;K$2))),ROW($A38)),"")</f>
        <v>42</v>
      </c>
      <c r="BD81" s="117">
        <f t="array" aca="1" ref="BD81" ca="1">IFERROR(SMALL(IF(COUNTIF(Podcasts!$D$1289:'Podcasts'!$D$1295,ROW(INDIRECT("1:"&amp;K$2)))=0,ROW(INDIRECT("1:"&amp;K$2))),ROW($A38)),"")</f>
        <v>40</v>
      </c>
      <c r="BE81" s="117">
        <f t="array" aca="1" ref="BE81" ca="1">IFERROR(SMALL(IF(COUNTIF(Podcasts!$D$1301:'Podcasts'!$D$1356,ROW(INDIRECT("1:"&amp;K$2)))=0,ROW(INDIRECT("1:"&amp;K$2))),ROW($A38)),"")</f>
        <v>85</v>
      </c>
      <c r="BF81" s="117">
        <f t="array" aca="1" ref="BF81" ca="1">IFERROR(SMALL(IF(COUNTIF(Podcasts!$D$1362:'Podcasts'!$D$1364,ROW(INDIRECT("1:"&amp;K$2)))=0,ROW(INDIRECT("1:"&amp;K$2))),ROW($A38)),"")</f>
        <v>41</v>
      </c>
      <c r="BG81" s="202">
        <f t="array" aca="1" ref="BG81" ca="1">IFERROR(SMALL(IF(COUNTIF(Podcasts!$D$1370:'Podcasts'!$D$1419,ROW(INDIRECT("1:"&amp;K$2)))=0,ROW(INDIRECT("1:"&amp;K$2))),ROW($A38)),"")</f>
        <v>46</v>
      </c>
      <c r="BH81" s="202">
        <f t="array" aca="1" ref="BH81" ca="1">IFERROR(SMALL(IF(COUNTIF(Podcasts!$D$1425:'Podcasts'!$D$1446,ROW(INDIRECT("1:"&amp;K$2)))=0,ROW(INDIRECT("1:"&amp;K$2))),ROW($A38)),"")</f>
        <v>42</v>
      </c>
      <c r="BI81" s="202">
        <f t="array" aca="1" ref="BI81" ca="1">IFERROR(SMALL(IF(COUNTIF(Podcasts!$D$1452:'Podcasts'!$D$1574,ROW(INDIRECT("1:"&amp;K$2)))=0,ROW(INDIRECT("1:"&amp;K$2))),ROW($A38)),"")</f>
        <v>70</v>
      </c>
      <c r="BJ81" s="202">
        <f t="array" aca="1" ref="BJ81" ca="1">IFERROR(SMALL(IF(COUNTIF(Podcasts!$D$1580:'Podcasts'!$D$1705,ROW(INDIRECT("1:"&amp;K$2)))=0,ROW(INDIRECT("1:"&amp;K$2))),ROW($A38)),"")</f>
        <v>68</v>
      </c>
      <c r="BK81" s="202">
        <f t="array" aca="1" ref="BK81" ca="1">IFERROR(SMALL(IF(COUNTIF(Podcasts!$D$1711:'Podcasts'!$D$1833,ROW(INDIRECT("1:"&amp;K$2)))=0,ROW(INDIRECT("1:"&amp;K$2))),ROW($A38)),"")</f>
        <v>78</v>
      </c>
      <c r="BL81" s="202">
        <f t="array" aca="1" ref="BL81" ca="1">IFERROR(SMALL(IF(COUNTIF(Podcasts!$D$1839:'Podcasts'!$D$1855,ROW(INDIRECT("1:"&amp;K$2)))=0,ROW(INDIRECT("1:"&amp;K$2))),ROW($A38)),"")</f>
        <v>43</v>
      </c>
      <c r="BM81" s="567">
        <f t="array" aca="1" ref="BM81" ca="1">IFERROR(SMALL(IF(COUNTIF(Podcasts!$D$1861:'Podcasts'!$D$1994,ROW(INDIRECT("1:"&amp;K$2)))=0,ROW(INDIRECT("1:"&amp;K$2))),ROW($A38)),"")</f>
        <v>49</v>
      </c>
      <c r="BN81" s="567">
        <f t="array" aca="1" ref="BN81" ca="1">IFERROR(SMALL(IF(COUNTIF(Podcasts!$D$2000:'Podcasts'!$D$2057,ROW(INDIRECT("1:"&amp;K$2)))=0,ROW(INDIRECT("1:"&amp;K$2))),ROW($A38)),"")</f>
        <v>93</v>
      </c>
      <c r="BO81" s="567">
        <f t="array" aca="1" ref="BO81" ca="1">IFERROR(SMALL(IF(COUNTIF(Podcasts!$D$2063:'Podcasts'!$D$2071,ROW(INDIRECT("1:"&amp;K$2)))=0,ROW(INDIRECT("1:"&amp;K$2))),ROW($A38)),"")</f>
        <v>38</v>
      </c>
      <c r="BP81" s="202">
        <f t="array" aca="1" ref="BP81" ca="1">IFERROR(SMALL(IF(COUNTIF(Podcasts!$D$2077:'Podcasts'!$D$2092,ROW(INDIRECT("1:"&amp;K$2)))=0,ROW(INDIRECT("1:"&amp;K$2))),ROW($A38)),"")</f>
        <v>47</v>
      </c>
      <c r="BQ81" s="741">
        <f t="array" aca="1" ref="BQ81" ca="1">IFERROR(SMALL(IF(COUNTIF(Podcasts!$D$2098:'Podcasts'!$D$2114,ROW(INDIRECT("1:"&amp;K$2)))=0,ROW(INDIRECT("1:"&amp;K$2))),ROW($A38)),"")</f>
        <v>40</v>
      </c>
      <c r="BR81" s="744">
        <f t="array" aca="1" ref="BR81" ca="1">IFERROR(SMALL(IF(COUNTIF(Podcasts!$D$2120:'Podcasts'!$D$2124,ROW(INDIRECT("1:"&amp;K$2)))=0,ROW(INDIRECT("1:"&amp;K$2))),ROW($A38)),"")</f>
        <v>40</v>
      </c>
      <c r="BS81" s="28"/>
    </row>
    <row r="82" spans="1:71" outlineLevel="1">
      <c r="A82" s="28"/>
      <c r="B82" s="161">
        <v>39</v>
      </c>
      <c r="C82" s="161">
        <f>COUNTIF(Podcasts!$D$10:'Podcasts'!$D$2535,B82)</f>
        <v>8</v>
      </c>
      <c r="D82" s="158" t="s">
        <v>1067</v>
      </c>
      <c r="E82" s="156" t="str">
        <f t="array" ref="E82">IF(F82="","",INDEX(Podcasts!$J$10:'Podcasts'!$J$2535,MATCH(F82&amp;$B82,Podcasts!$E$10:'Podcasts'!$E$2535&amp;Podcasts!$D$10:'Podcasts'!$D$2535,0)))</f>
        <v>Fürst</v>
      </c>
      <c r="F82" s="131">
        <f t="array" ref="F82">IF(COUNTIF(Podcasts!$D$10:'Podcasts'!$D$2535,$B82)&lt;COLUMN(A45),"",SMALL(IF(Podcasts!$D$10:'Podcasts'!$D$2535=$B82,Podcasts!$E$10:'Podcasts'!$E$2535),COLUMN(A45)))</f>
        <v>41839</v>
      </c>
      <c r="G82" s="132">
        <f t="array" ref="G82">IF(F82="","",INDEX(Podcasts!$F$10:'Podcasts'!$F$2535,MATCH(F82&amp;$B82,Podcasts!$E$10:'Podcasts'!$E$2535&amp;Podcasts!$D$10:'Podcasts'!$D$2535,0)))</f>
        <v>4.2824074074074049E-3</v>
      </c>
      <c r="H82" s="136" t="str">
        <f t="array" ref="H82">IF(I82="","",INDEX(Podcasts!$J$10:'Podcasts'!$J$2535,MATCH(I82&amp;$B82,Podcasts!$E$10:'Podcasts'!$E$2535&amp;Podcasts!$D$10:'Podcasts'!$D$2535,0)))</f>
        <v>R&amp;A</v>
      </c>
      <c r="I82" s="133">
        <f t="array" ref="I82">IF(COUNTIF(Podcasts!$D$10:'Podcasts'!$D$2535,$B82)&lt;COLUMN(B45),"",SMALL(IF(Podcasts!$D$10:'Podcasts'!$D$2535=$B82,Podcasts!$E$10:'Podcasts'!$E$2535),COLUMN(B45)))</f>
        <v>43210.931446759256</v>
      </c>
      <c r="J82" s="132">
        <f t="array" ref="J82">IF(I82="","",INDEX(Podcasts!$F$10:'Podcasts'!$F$2535,MATCH(I82&amp;$B82,Podcasts!$E$10:'Podcasts'!$E$2535&amp;Podcasts!$D$10:'Podcasts'!$D$2535,0)))</f>
        <v>5.8437499999999996E-2</v>
      </c>
      <c r="K82" s="136" t="str">
        <f t="array" ref="K82">IF(L82="","",INDEX(Podcasts!$J$10:'Podcasts'!$J$2535,MATCH(L82&amp;$B82,Podcasts!$E$10:'Podcasts'!$E$2535&amp;Podcasts!$D$10:'Podcasts'!$D$2535,0)))</f>
        <v>Kaffee</v>
      </c>
      <c r="L82" s="133">
        <f t="array" ref="L82">IF(COUNTIF(Podcasts!$D$10:'Podcasts'!$D$2535,$B82)&lt;COLUMN(C45),"",SMALL(IF(Podcasts!$D$10:'Podcasts'!$D$2535=$B82,Podcasts!$E$10:'Podcasts'!$E$2535),COLUMN(C45)))</f>
        <v>44212</v>
      </c>
      <c r="M82" s="132">
        <f t="array" ref="M82">IF(L82="","",INDEX(Podcasts!$F$10:'Podcasts'!$F$2535,MATCH(L82&amp;$B82,Podcasts!$E$10:'Podcasts'!$E$2535&amp;Podcasts!$D$10:'Podcasts'!$D$2535,0)))</f>
        <v>2.2013888888888888E-2</v>
      </c>
      <c r="N82" s="136" t="str">
        <f t="array" ref="N82">IF(O82="","",INDEX(Podcasts!$J$10:'Podcasts'!$J$2535,MATCH(O82&amp;$B82,Podcasts!$E$10:'Podcasts'!$E$2535&amp;Podcasts!$D$10:'Podcasts'!$D$2535,0)))</f>
        <v>RBW</v>
      </c>
      <c r="O82" s="133">
        <f t="array" ref="O82">IF(COUNTIF(Podcasts!$D$10:'Podcasts'!$D$2535,$B82)&lt;COLUMN(D45),"",SMALL(IF(Podcasts!$D$10:'Podcasts'!$D$2535=$B82,Podcasts!$E$10:'Podcasts'!$E$2535),COLUMN(D45)))</f>
        <v>45155</v>
      </c>
      <c r="P82" s="132">
        <f t="array" ref="P82">IF(O82="","",INDEX(Podcasts!$F$10:'Podcasts'!$F$2535,MATCH(O82&amp;$B82,Podcasts!$E$10:'Podcasts'!$E$2535&amp;Podcasts!$D$10:'Podcasts'!$D$2535,0)))</f>
        <v>2.8761574074074075E-2</v>
      </c>
      <c r="Q82" s="136" t="str">
        <f t="array" ref="Q82">IF(R82="","",INDEX(Podcasts!$J$10:'Podcasts'!$J$2535,MATCH(R82&amp;$B82,Podcasts!$E$10:'Podcasts'!$E$2535&amp;Podcasts!$D$10:'Podcasts'!$D$2535,0)))</f>
        <v>Abfahrt</v>
      </c>
      <c r="R82" s="133">
        <f t="array" ref="R82">IF(COUNTIF(Podcasts!$D$10:'Podcasts'!$D$2535,$B82)&lt;COLUMN(E45),"",SMALL(IF(Podcasts!$D$10:'Podcasts'!$D$2535=$B82,Podcasts!$E$10:'Podcasts'!$E$2535),COLUMN(E45)))</f>
        <v>45156</v>
      </c>
      <c r="S82" s="132">
        <f t="array" ref="S82">IF(R82="","",INDEX(Podcasts!$F$10:'Podcasts'!$F$2535,MATCH(R82&amp;$B82,Podcasts!$E$10:'Podcasts'!$E$2535&amp;Podcasts!$D$10:'Podcasts'!$D$2535,0)))</f>
        <v>7.5567129629629637E-2</v>
      </c>
      <c r="T82" s="136" t="str">
        <f t="array" ref="T82">IF(U82="","",INDEX(Podcasts!$J$10:'Podcasts'!$J$2535,MATCH(U82&amp;$B82,Podcasts!$E$10:'Podcasts'!$E$2535&amp;Podcasts!$D$10:'Podcasts'!$D$2535,0)))</f>
        <v>Zeichen</v>
      </c>
      <c r="U82" s="133">
        <f t="array" ref="U82">IF(COUNTIF(Podcasts!$D$10:'Podcasts'!$D$2535,$B82)&lt;COLUMN(F45),"",SMALL(IF(Podcasts!$D$10:'Podcasts'!$D$2535=$B82,Podcasts!$E$10:'Podcasts'!$E$2535),COLUMN(F45)))</f>
        <v>45224</v>
      </c>
      <c r="V82" s="132">
        <f t="array" ref="V82">IF(U82="","",INDEX(Podcasts!$F$10:'Podcasts'!$F$2535,MATCH(U82&amp;$B82,Podcasts!$E$10:'Podcasts'!$E$2535&amp;Podcasts!$D$10:'Podcasts'!$D$2535,0)))</f>
        <v>8.2071759259259261E-2</v>
      </c>
      <c r="W82" s="136" t="str">
        <f t="array" ref="W82">IF(X82="","",INDEX(Podcasts!$J$10:'Podcasts'!$J$2535,MATCH(X82&amp;$B82,Podcasts!$E$10:'Podcasts'!$E$2535&amp;Podcasts!$D$10:'Podcasts'!$D$2535,0)))</f>
        <v>Bobcast</v>
      </c>
      <c r="X82" s="133">
        <f t="array" ref="X82">IF(COUNTIF(Podcasts!$D$10:'Podcasts'!$D$2535,$B82)&lt;COLUMN(G45),"",SMALL(IF(Podcasts!$D$10:'Podcasts'!$D$2535=$B82,Podcasts!$E$10:'Podcasts'!$E$2535),COLUMN(G45)))</f>
        <v>45320</v>
      </c>
      <c r="Y82" s="132">
        <f t="array" ref="Y82">IF(X82="","",INDEX(Podcasts!$F$10:'Podcasts'!$F$2535,MATCH(X82&amp;$B82,Podcasts!$E$10:'Podcasts'!$E$2535&amp;Podcasts!$D$10:'Podcasts'!$D$2535,0)))</f>
        <v>3.8275462962962963E-2</v>
      </c>
      <c r="Z82" s="136" t="str">
        <f t="array" ref="Z82">IF(AA82="","",INDEX(Podcasts!$J$10:'Podcasts'!$J$2535,MATCH(AA82&amp;$B82,Podcasts!$E$10:'Podcasts'!$E$2535&amp;Podcasts!$D$10:'Podcasts'!$D$2535,0)))</f>
        <v>Verstärker</v>
      </c>
      <c r="AA82" s="134">
        <f t="array" ref="AA82">IF(COUNTIF(Podcasts!$D$10:'Podcasts'!$D$2535,$B82)&lt;COLUMN(H45),"",SMALL(IF(Podcasts!$D$10:'Podcasts'!$D$2535=$B82,Podcasts!$E$10:'Podcasts'!$E$2535),COLUMN(H45)))</f>
        <v>45385</v>
      </c>
      <c r="AB82" s="404">
        <f t="array" ref="AB82">IF(AA82="","",INDEX(Podcasts!$F$10:'Podcasts'!$F$2535,MATCH(AA82&amp;$B82,Podcasts!$E$10:'Podcasts'!$E$2535&amp;Podcasts!$D$10:'Podcasts'!$D$2535,0)))</f>
        <v>2.9861111111111113E-2</v>
      </c>
      <c r="AC82" s="406" t="str">
        <f t="array" ref="AC82">IF(AD82="","",INDEX(Podcasts!$J$10:'Podcasts'!$J$2535,MATCH(AD82&amp;$B82,Podcasts!$E$10:'Podcasts'!$E$2535&amp;Podcasts!$D$10:'Podcasts'!$D$2535,0)))</f>
        <v/>
      </c>
      <c r="AD82" s="400" t="str">
        <f t="array" ref="AD82">IF(COUNTIF(Podcasts!$D$10:'Podcasts'!$D$2535,$B82)&lt;COLUMN(I45),"",SMALL(IF(Podcasts!$D$10:'Podcasts'!$D$2535=$B82,Podcasts!$E$10:'Podcasts'!$E$2535),COLUMN(I45)))</f>
        <v/>
      </c>
      <c r="AE82" s="401" t="str">
        <f t="array" ref="AE82">IF(AD82="","",INDEX(Podcasts!$F$10:'Podcasts'!$F$2535,MATCH(AD82&amp;$B82,Podcasts!$E$10:'Podcasts'!$E$2535&amp;Podcasts!$D$10:'Podcasts'!$D$2535,0)))</f>
        <v/>
      </c>
      <c r="AF82" s="406" t="str">
        <f t="array" ref="AF82">IF(AG82="","",INDEX(Podcasts!$J$10:'Podcasts'!$J$2535,MATCH(AG82&amp;$B82,Podcasts!$E$10:'Podcasts'!$E$2535&amp;Podcasts!$D$10:'Podcasts'!$D$2535,0)))</f>
        <v/>
      </c>
      <c r="AG82" s="400" t="str">
        <f t="array" ref="AG82">IF(COUNTIF(Podcasts!$D$10:'Podcasts'!$D$2535,$B82)&lt;COLUMN(J45),"",SMALL(IF(Podcasts!$D$10:'Podcasts'!$D$2535=$B82,Podcasts!$E$10:'Podcasts'!$E$2535),COLUMN(J45)))</f>
        <v/>
      </c>
      <c r="AH82" s="401" t="str">
        <f t="array" ref="AH82">IF(AG82="","",INDEX(Podcasts!$F$10:'Podcasts'!$F$2535,MATCH(AG82&amp;$B82,Podcasts!$E$10:'Podcasts'!$E$2535&amp;Podcasts!$D$10:'Podcasts'!$D$2535,0)))</f>
        <v/>
      </c>
      <c r="AI82" s="406" t="str">
        <f t="array" ref="AI82">IF(AJ82="","",INDEX(Podcasts!$J$10:'Podcasts'!$J$2535,MATCH(AJ82&amp;$B82,Podcasts!$E$10:'Podcasts'!$E$2535&amp;Podcasts!$D$10:'Podcasts'!$D$2535,0)))</f>
        <v/>
      </c>
      <c r="AJ82" s="400" t="str">
        <f t="array" ref="AJ82">IF(COUNTIF(Podcasts!$D$10:'Podcasts'!$D$2535,$B82)&lt;COLUMN(K45),"",SMALL(IF(Podcasts!$D$10:'Podcasts'!$D$2535=$B82,Podcasts!$E$10:'Podcasts'!$E$2535),COLUMN(K45)))</f>
        <v/>
      </c>
      <c r="AK82" s="401" t="str">
        <f t="array" ref="AK82">IF(AJ82="","",INDEX(Podcasts!$F$10:'Podcasts'!$F$2535,MATCH(AJ82&amp;$B82,Podcasts!$E$10:'Podcasts'!$E$2535&amp;Podcasts!$D$10:'Podcasts'!$D$2535,0)))</f>
        <v/>
      </c>
      <c r="AL82" s="406" t="str">
        <f t="array" ref="AL82">IF(AM82="","",INDEX(Podcasts!$J$10:'Podcasts'!$J$2535,MATCH(AM82&amp;$B82,Podcasts!$E$10:'Podcasts'!$E$2535&amp;Podcasts!$D$10:'Podcasts'!$D$2535,0)))</f>
        <v/>
      </c>
      <c r="AM82" s="400" t="str">
        <f t="array" ref="AM82">IF(COUNTIF(Podcasts!$D$10:'Podcasts'!$D$2535,$B82)&lt;COLUMN(L45),"",SMALL(IF(Podcasts!$D$10:'Podcasts'!$D$2535=$B82,Podcasts!$E$10:'Podcasts'!$E$2535),COLUMN(L45)))</f>
        <v/>
      </c>
      <c r="AN82" s="401" t="str">
        <f t="array" ref="AN82">IF(AM82="","",INDEX(Podcasts!$F$10:'Podcasts'!$F$2535,MATCH(AM82&amp;$B82,Podcasts!$E$10:'Podcasts'!$E$2535&amp;Podcasts!$D$10:'Podcasts'!$D$2535,0)))</f>
        <v/>
      </c>
      <c r="AO82" s="402"/>
      <c r="AP82" s="119"/>
      <c r="AQ82" s="117">
        <f t="array" aca="1" ref="AQ82" ca="1">IFERROR(SMALL(IF(COUNTIF(Podcasts!$D$10:'Podcasts'!$D$107,ROW(INDIRECT("1:"&amp;K$2)))=0,ROW(INDIRECT("1:"&amp;K$2))),ROW($A39)),"")</f>
        <v>60</v>
      </c>
      <c r="AR82" s="117">
        <f t="array" aca="1" ref="AR82" ca="1">IFERROR(SMALL(IF(COUNTIF(Podcasts!$D$113:'Podcasts'!$D$238,ROW(INDIRECT("1:"&amp;K$2)))=0,ROW(INDIRECT("1:"&amp;K$2))),ROW($A39)),"")</f>
        <v>39</v>
      </c>
      <c r="AS82" s="117">
        <f t="array" aca="1" ref="AS82" ca="1">IFERROR(SMALL(IF(COUNTIF(Podcasts!$D$244:'Podcasts'!$D$299,ROW(INDIRECT("1:"&amp;K$2)))=0,ROW(INDIRECT("1:"&amp;K$2))),ROW($A39)),"")</f>
        <v>55</v>
      </c>
      <c r="AT82" s="117">
        <f t="array" aca="1" ref="AT82" ca="1">IFERROR(SMALL(IF(COUNTIF(Podcasts!$D$305:'Podcasts'!$D$473,ROW(INDIRECT("1:"&amp;K$2)))=0,ROW(INDIRECT("1:"&amp;K$2))),ROW($A39)),"")</f>
        <v>173</v>
      </c>
      <c r="AU82" s="117">
        <f t="array" aca="1" ref="AU82" ca="1">IFERROR(SMALL(IF(COUNTIF(Podcasts!$D$479:'Podcasts'!$D$488,ROW(INDIRECT("1:"&amp;K$2)))=0,ROW(INDIRECT("1:"&amp;K$2))),ROW($A39)),"")</f>
        <v>39</v>
      </c>
      <c r="AV82" s="117">
        <f t="array" aca="1" ref="AV82" ca="1">IFERROR(SMALL(IF(COUNTIF(Podcasts!$D$494:'Podcasts'!$D$518,ROW(INDIRECT("1:"&amp;K$2)))=0,ROW(INDIRECT("1:"&amp;K$2))),ROW($A39)),"")</f>
        <v>55</v>
      </c>
      <c r="AW82" s="117">
        <f t="array" aca="1" ref="AW82" ca="1">IFERROR(SMALL(IF(COUNTIF(Podcasts!$D$524:'Podcasts'!$D$532,ROW(INDIRECT("1:"&amp;K$2)))=0,ROW(INDIRECT("1:"&amp;K$2))),ROW($A39)),"")</f>
        <v>39</v>
      </c>
      <c r="AX82" s="117">
        <f t="array" aca="1" ref="AX82" ca="1">IFERROR(SMALL(IF(COUNTIF(Podcasts!$D$538:'Podcasts'!$D$909,ROW(INDIRECT("1:"&amp;K$2)))=0,ROW(INDIRECT("1:"&amp;K$2))),ROW($A39)),"")</f>
        <v>117</v>
      </c>
      <c r="AY82" s="117">
        <f t="array" aca="1" ref="AY82" ca="1">IFERROR(SMALL(IF(COUNTIF(Podcasts!$D$915:'Podcasts'!$D$981,ROW(INDIRECT("1:"&amp;K$2)))=0,ROW(INDIRECT("1:"&amp;K$2))),ROW($A39)),"")</f>
        <v>61</v>
      </c>
      <c r="AZ82" s="445"/>
      <c r="BA82" s="117">
        <f t="array" aca="1" ref="BA82" ca="1">IFERROR(SMALL(IF(COUNTIF(Podcasts!$D$1001:'Podcasts'!$D$1251,ROW(INDIRECT("1:"&amp;K$2)))=0,ROW(INDIRECT("1:"&amp;K$2))),ROW($A39)),"")</f>
        <v>65</v>
      </c>
      <c r="BB82" s="117">
        <f t="array" aca="1" ref="BB82" ca="1">IFERROR(SMALL(IF(COUNTIF(Podcasts!$D$1257:'Podcasts'!$D$1267,ROW(INDIRECT("1:"&amp;K$2)))=0,ROW(INDIRECT("1:"&amp;K$2))),ROW($A39)),"")</f>
        <v>40</v>
      </c>
      <c r="BC82" s="117">
        <f t="array" aca="1" ref="BC82" ca="1">IFERROR(SMALL(IF(COUNTIF(Podcasts!$D$1273:'Podcasts'!$D$1283,ROW(INDIRECT("1:"&amp;K$2)))=0,ROW(INDIRECT("1:"&amp;K$2))),ROW($A39)),"")</f>
        <v>43</v>
      </c>
      <c r="BD82" s="117">
        <f t="array" aca="1" ref="BD82" ca="1">IFERROR(SMALL(IF(COUNTIF(Podcasts!$D$1289:'Podcasts'!$D$1295,ROW(INDIRECT("1:"&amp;K$2)))=0,ROW(INDIRECT("1:"&amp;K$2))),ROW($A39)),"")</f>
        <v>41</v>
      </c>
      <c r="BE82" s="117">
        <f t="array" aca="1" ref="BE82" ca="1">IFERROR(SMALL(IF(COUNTIF(Podcasts!$D$1301:'Podcasts'!$D$1356,ROW(INDIRECT("1:"&amp;K$2)))=0,ROW(INDIRECT("1:"&amp;K$2))),ROW($A39)),"")</f>
        <v>86</v>
      </c>
      <c r="BF82" s="117">
        <f t="array" aca="1" ref="BF82" ca="1">IFERROR(SMALL(IF(COUNTIF(Podcasts!$D$1362:'Podcasts'!$D$1364,ROW(INDIRECT("1:"&amp;K$2)))=0,ROW(INDIRECT("1:"&amp;K$2))),ROW($A39)),"")</f>
        <v>42</v>
      </c>
      <c r="BG82" s="202">
        <f t="array" aca="1" ref="BG82" ca="1">IFERROR(SMALL(IF(COUNTIF(Podcasts!$D$1370:'Podcasts'!$D$1419,ROW(INDIRECT("1:"&amp;K$2)))=0,ROW(INDIRECT("1:"&amp;K$2))),ROW($A39)),"")</f>
        <v>47</v>
      </c>
      <c r="BH82" s="202">
        <f t="array" aca="1" ref="BH82" ca="1">IFERROR(SMALL(IF(COUNTIF(Podcasts!$D$1425:'Podcasts'!$D$1446,ROW(INDIRECT("1:"&amp;K$2)))=0,ROW(INDIRECT("1:"&amp;K$2))),ROW($A39)),"")</f>
        <v>43</v>
      </c>
      <c r="BI82" s="202">
        <f t="array" aca="1" ref="BI82" ca="1">IFERROR(SMALL(IF(COUNTIF(Podcasts!$D$1452:'Podcasts'!$D$1574,ROW(INDIRECT("1:"&amp;K$2)))=0,ROW(INDIRECT("1:"&amp;K$2))),ROW($A39)),"")</f>
        <v>72</v>
      </c>
      <c r="BJ82" s="202">
        <f t="array" aca="1" ref="BJ82" ca="1">IFERROR(SMALL(IF(COUNTIF(Podcasts!$D$1580:'Podcasts'!$D$1705,ROW(INDIRECT("1:"&amp;K$2)))=0,ROW(INDIRECT("1:"&amp;K$2))),ROW($A39)),"")</f>
        <v>70</v>
      </c>
      <c r="BK82" s="202">
        <f t="array" aca="1" ref="BK82" ca="1">IFERROR(SMALL(IF(COUNTIF(Podcasts!$D$1711:'Podcasts'!$D$1833,ROW(INDIRECT("1:"&amp;K$2)))=0,ROW(INDIRECT("1:"&amp;K$2))),ROW($A39)),"")</f>
        <v>79</v>
      </c>
      <c r="BL82" s="202">
        <f t="array" aca="1" ref="BL82" ca="1">IFERROR(SMALL(IF(COUNTIF(Podcasts!$D$1839:'Podcasts'!$D$1855,ROW(INDIRECT("1:"&amp;K$2)))=0,ROW(INDIRECT("1:"&amp;K$2))),ROW($A39)),"")</f>
        <v>44</v>
      </c>
      <c r="BM82" s="567">
        <f t="array" aca="1" ref="BM82" ca="1">IFERROR(SMALL(IF(COUNTIF(Podcasts!$D$1861:'Podcasts'!$D$1994,ROW(INDIRECT("1:"&amp;K$2)))=0,ROW(INDIRECT("1:"&amp;K$2))),ROW($A39)),"")</f>
        <v>51</v>
      </c>
      <c r="BN82" s="567">
        <f t="array" aca="1" ref="BN82" ca="1">IFERROR(SMALL(IF(COUNTIF(Podcasts!$D$2000:'Podcasts'!$D$2057,ROW(INDIRECT("1:"&amp;K$2)))=0,ROW(INDIRECT("1:"&amp;K$2))),ROW($A39)),"")</f>
        <v>94</v>
      </c>
      <c r="BO82" s="567">
        <f t="array" aca="1" ref="BO82" ca="1">IFERROR(SMALL(IF(COUNTIF(Podcasts!$D$2063:'Podcasts'!$D$2071,ROW(INDIRECT("1:"&amp;K$2)))=0,ROW(INDIRECT("1:"&amp;K$2))),ROW($A39)),"")</f>
        <v>39</v>
      </c>
      <c r="BP82" s="202">
        <f t="array" aca="1" ref="BP82" ca="1">IFERROR(SMALL(IF(COUNTIF(Podcasts!$D$2077:'Podcasts'!$D$2092,ROW(INDIRECT("1:"&amp;K$2)))=0,ROW(INDIRECT("1:"&amp;K$2))),ROW($A39)),"")</f>
        <v>48</v>
      </c>
      <c r="BQ82" s="741">
        <f t="array" aca="1" ref="BQ82" ca="1">IFERROR(SMALL(IF(COUNTIF(Podcasts!$D$2098:'Podcasts'!$D$2114,ROW(INDIRECT("1:"&amp;K$2)))=0,ROW(INDIRECT("1:"&amp;K$2))),ROW($A39)),"")</f>
        <v>41</v>
      </c>
      <c r="BR82" s="744">
        <f t="array" aca="1" ref="BR82" ca="1">IFERROR(SMALL(IF(COUNTIF(Podcasts!$D$2120:'Podcasts'!$D$2124,ROW(INDIRECT("1:"&amp;K$2)))=0,ROW(INDIRECT("1:"&amp;K$2))),ROW($A39)),"")</f>
        <v>41</v>
      </c>
      <c r="BS82" s="28"/>
    </row>
    <row r="83" spans="1:71" outlineLevel="1">
      <c r="A83" s="28"/>
      <c r="B83" s="161">
        <v>40</v>
      </c>
      <c r="C83" s="161">
        <f>COUNTIF(Podcasts!$D$10:'Podcasts'!$D$2535,B83)</f>
        <v>6</v>
      </c>
      <c r="D83" s="158" t="s">
        <v>1068</v>
      </c>
      <c r="E83" s="156" t="str">
        <f t="array" ref="E83">IF(F83="","",INDEX(Podcasts!$J$10:'Podcasts'!$J$2535,MATCH(F83&amp;$B83,Podcasts!$E$10:'Podcasts'!$E$2535&amp;Podcasts!$D$10:'Podcasts'!$D$2535,0)))</f>
        <v>Fürst</v>
      </c>
      <c r="F83" s="131">
        <f t="array" ref="F83">IF(COUNTIF(Podcasts!$D$10:'Podcasts'!$D$2535,$B83)&lt;COLUMN(A46),"",SMALL(IF(Podcasts!$D$10:'Podcasts'!$D$2535=$B83,Podcasts!$E$10:'Podcasts'!$E$2535),COLUMN(A46)))</f>
        <v>41803</v>
      </c>
      <c r="G83" s="132">
        <f t="array" ref="G83">IF(F83="","",INDEX(Podcasts!$F$10:'Podcasts'!$F$2535,MATCH(F83&amp;$B83,Podcasts!$E$10:'Podcasts'!$E$2535&amp;Podcasts!$D$10:'Podcasts'!$D$2535,0)))</f>
        <v>2.8935185185185201E-3</v>
      </c>
      <c r="H83" s="136" t="str">
        <f t="array" ref="H83">IF(I83="","",INDEX(Podcasts!$J$10:'Podcasts'!$J$2535,MATCH(I83&amp;$B83,Podcasts!$E$10:'Podcasts'!$E$2535&amp;Podcasts!$D$10:'Podcasts'!$D$2535,0)))</f>
        <v>beachcast</v>
      </c>
      <c r="I83" s="133">
        <f t="array" ref="I83">IF(COUNTIF(Podcasts!$D$10:'Podcasts'!$D$2535,$B83)&lt;COLUMN(B46),"",SMALL(IF(Podcasts!$D$10:'Podcasts'!$D$2535=$B83,Podcasts!$E$10:'Podcasts'!$E$2535),COLUMN(B46)))</f>
        <v>45080</v>
      </c>
      <c r="J83" s="132">
        <f t="array" ref="J83">IF(I83="","",INDEX(Podcasts!$F$10:'Podcasts'!$F$2535,MATCH(I83&amp;$B83,Podcasts!$E$10:'Podcasts'!$E$2535&amp;Podcasts!$D$10:'Podcasts'!$D$2535,0)))</f>
        <v>9.3518518518518515E-2</v>
      </c>
      <c r="K83" s="136" t="str">
        <f t="array" ref="K83">IF(L83="","",INDEX(Podcasts!$J$10:'Podcasts'!$J$2535,MATCH(L83&amp;$B83,Podcasts!$E$10:'Podcasts'!$E$2535&amp;Podcasts!$D$10:'Podcasts'!$D$2535,0)))</f>
        <v>RBW</v>
      </c>
      <c r="L83" s="133">
        <f t="array" ref="L83">IF(COUNTIF(Podcasts!$D$10:'Podcasts'!$D$2535,$B83)&lt;COLUMN(C46),"",SMALL(IF(Podcasts!$D$10:'Podcasts'!$D$2535=$B83,Podcasts!$E$10:'Podcasts'!$E$2535),COLUMN(C46)))</f>
        <v>45162</v>
      </c>
      <c r="M83" s="132">
        <f t="array" ref="M83">IF(L83="","",INDEX(Podcasts!$F$10:'Podcasts'!$F$2535,MATCH(L83&amp;$B83,Podcasts!$E$10:'Podcasts'!$E$2535&amp;Podcasts!$D$10:'Podcasts'!$D$2535,0)))</f>
        <v>2.6979166666666669E-2</v>
      </c>
      <c r="N83" s="136" t="str">
        <f t="array" ref="N83">IF(O83="","",INDEX(Podcasts!$J$10:'Podcasts'!$J$2535,MATCH(O83&amp;$B83,Podcasts!$E$10:'Podcasts'!$E$2535&amp;Podcasts!$D$10:'Podcasts'!$D$2535,0)))</f>
        <v>Abfahrt</v>
      </c>
      <c r="O83" s="133">
        <f t="array" ref="O83">IF(COUNTIF(Podcasts!$D$10:'Podcasts'!$D$2535,$B83)&lt;COLUMN(D46),"",SMALL(IF(Podcasts!$D$10:'Podcasts'!$D$2535=$B83,Podcasts!$E$10:'Podcasts'!$E$2535),COLUMN(D46)))</f>
        <v>45184</v>
      </c>
      <c r="P83" s="132">
        <f t="array" ref="P83">IF(O83="","",INDEX(Podcasts!$F$10:'Podcasts'!$F$2535,MATCH(O83&amp;$B83,Podcasts!$E$10:'Podcasts'!$E$2535&amp;Podcasts!$D$10:'Podcasts'!$D$2535,0)))</f>
        <v>7.2835648148148149E-2</v>
      </c>
      <c r="Q83" s="136" t="str">
        <f t="array" ref="Q83">IF(R83="","",INDEX(Podcasts!$J$10:'Podcasts'!$J$2535,MATCH(R83&amp;$B83,Podcasts!$E$10:'Podcasts'!$E$2535&amp;Podcasts!$D$10:'Podcasts'!$D$2535,0)))</f>
        <v>Bobcast</v>
      </c>
      <c r="R83" s="133">
        <f t="array" ref="R83">IF(COUNTIF(Podcasts!$D$10:'Podcasts'!$D$2535,$B83)&lt;COLUMN(E46),"",SMALL(IF(Podcasts!$D$10:'Podcasts'!$D$2535=$B83,Podcasts!$E$10:'Podcasts'!$E$2535),COLUMN(E46)))</f>
        <v>45334</v>
      </c>
      <c r="S83" s="132">
        <f t="array" ref="S83">IF(R83="","",INDEX(Podcasts!$F$10:'Podcasts'!$F$2535,MATCH(R83&amp;$B83,Podcasts!$E$10:'Podcasts'!$E$2535&amp;Podcasts!$D$10:'Podcasts'!$D$2535,0)))</f>
        <v>3.0659722222222224E-2</v>
      </c>
      <c r="T83" s="136" t="str">
        <f t="array" ref="T83">IF(U83="","",INDEX(Podcasts!$J$10:'Podcasts'!$J$2535,MATCH(U83&amp;$B83,Podcasts!$E$10:'Podcasts'!$E$2535&amp;Podcasts!$D$10:'Podcasts'!$D$2535,0)))</f>
        <v>Verstärker</v>
      </c>
      <c r="U83" s="133">
        <f t="array" ref="U83">IF(COUNTIF(Podcasts!$D$10:'Podcasts'!$D$2535,$B83)&lt;COLUMN(F46),"",SMALL(IF(Podcasts!$D$10:'Podcasts'!$D$2535=$B83,Podcasts!$E$10:'Podcasts'!$E$2535),COLUMN(F46)))</f>
        <v>45415</v>
      </c>
      <c r="V83" s="132">
        <f t="array" ref="V83">IF(U83="","",INDEX(Podcasts!$F$10:'Podcasts'!$F$2535,MATCH(U83&amp;$B83,Podcasts!$E$10:'Podcasts'!$E$2535&amp;Podcasts!$D$10:'Podcasts'!$D$2535,0)))</f>
        <v>0</v>
      </c>
      <c r="W83" s="136" t="str">
        <f t="array" ref="W83">IF(X83="","",INDEX(Podcasts!$J$10:'Podcasts'!$J$2535,MATCH(X83&amp;$B83,Podcasts!$E$10:'Podcasts'!$E$2535&amp;Podcasts!$D$10:'Podcasts'!$D$2535,0)))</f>
        <v/>
      </c>
      <c r="X83" s="133" t="str">
        <f t="array" ref="X83">IF(COUNTIF(Podcasts!$D$10:'Podcasts'!$D$2535,$B83)&lt;COLUMN(G46),"",SMALL(IF(Podcasts!$D$10:'Podcasts'!$D$2535=$B83,Podcasts!$E$10:'Podcasts'!$E$2535),COLUMN(G46)))</f>
        <v/>
      </c>
      <c r="Y83" s="132" t="str">
        <f t="array" ref="Y83">IF(X83="","",INDEX(Podcasts!$F$10:'Podcasts'!$F$2535,MATCH(X83&amp;$B83,Podcasts!$E$10:'Podcasts'!$E$2535&amp;Podcasts!$D$10:'Podcasts'!$D$2535,0)))</f>
        <v/>
      </c>
      <c r="Z83" s="136" t="str">
        <f t="array" ref="Z83">IF(AA83="","",INDEX(Podcasts!$J$10:'Podcasts'!$J$2535,MATCH(AA83&amp;$B83,Podcasts!$E$10:'Podcasts'!$E$2535&amp;Podcasts!$D$10:'Podcasts'!$D$2535,0)))</f>
        <v/>
      </c>
      <c r="AA83" s="134" t="str">
        <f t="array" ref="AA83">IF(COUNTIF(Podcasts!$D$10:'Podcasts'!$D$2535,$B83)&lt;COLUMN(H46),"",SMALL(IF(Podcasts!$D$10:'Podcasts'!$D$2535=$B83,Podcasts!$E$10:'Podcasts'!$E$2535),COLUMN(H46)))</f>
        <v/>
      </c>
      <c r="AB83" s="404" t="str">
        <f t="array" ref="AB83">IF(AA83="","",INDEX(Podcasts!$F$10:'Podcasts'!$F$2535,MATCH(AA83&amp;$B83,Podcasts!$E$10:'Podcasts'!$E$2535&amp;Podcasts!$D$10:'Podcasts'!$D$2535,0)))</f>
        <v/>
      </c>
      <c r="AC83" s="406" t="str">
        <f t="array" ref="AC83">IF(AD83="","",INDEX(Podcasts!$J$10:'Podcasts'!$J$2535,MATCH(AD83&amp;$B83,Podcasts!$E$10:'Podcasts'!$E$2535&amp;Podcasts!$D$10:'Podcasts'!$D$2535,0)))</f>
        <v/>
      </c>
      <c r="AD83" s="400" t="str">
        <f t="array" ref="AD83">IF(COUNTIF(Podcasts!$D$10:'Podcasts'!$D$2535,$B83)&lt;COLUMN(I46),"",SMALL(IF(Podcasts!$D$10:'Podcasts'!$D$2535=$B83,Podcasts!$E$10:'Podcasts'!$E$2535),COLUMN(I46)))</f>
        <v/>
      </c>
      <c r="AE83" s="401" t="str">
        <f t="array" ref="AE83">IF(AD83="","",INDEX(Podcasts!$F$10:'Podcasts'!$F$2535,MATCH(AD83&amp;$B83,Podcasts!$E$10:'Podcasts'!$E$2535&amp;Podcasts!$D$10:'Podcasts'!$D$2535,0)))</f>
        <v/>
      </c>
      <c r="AF83" s="406" t="str">
        <f t="array" ref="AF83">IF(AG83="","",INDEX(Podcasts!$J$10:'Podcasts'!$J$2535,MATCH(AG83&amp;$B83,Podcasts!$E$10:'Podcasts'!$E$2535&amp;Podcasts!$D$10:'Podcasts'!$D$2535,0)))</f>
        <v/>
      </c>
      <c r="AG83" s="400" t="str">
        <f t="array" ref="AG83">IF(COUNTIF(Podcasts!$D$10:'Podcasts'!$D$2535,$B83)&lt;COLUMN(J46),"",SMALL(IF(Podcasts!$D$10:'Podcasts'!$D$2535=$B83,Podcasts!$E$10:'Podcasts'!$E$2535),COLUMN(J46)))</f>
        <v/>
      </c>
      <c r="AH83" s="401" t="str">
        <f t="array" ref="AH83">IF(AG83="","",INDEX(Podcasts!$F$10:'Podcasts'!$F$2535,MATCH(AG83&amp;$B83,Podcasts!$E$10:'Podcasts'!$E$2535&amp;Podcasts!$D$10:'Podcasts'!$D$2535,0)))</f>
        <v/>
      </c>
      <c r="AI83" s="406" t="str">
        <f t="array" ref="AI83">IF(AJ83="","",INDEX(Podcasts!$J$10:'Podcasts'!$J$2535,MATCH(AJ83&amp;$B83,Podcasts!$E$10:'Podcasts'!$E$2535&amp;Podcasts!$D$10:'Podcasts'!$D$2535,0)))</f>
        <v/>
      </c>
      <c r="AJ83" s="400" t="str">
        <f t="array" ref="AJ83">IF(COUNTIF(Podcasts!$D$10:'Podcasts'!$D$2535,$B83)&lt;COLUMN(K46),"",SMALL(IF(Podcasts!$D$10:'Podcasts'!$D$2535=$B83,Podcasts!$E$10:'Podcasts'!$E$2535),COLUMN(K46)))</f>
        <v/>
      </c>
      <c r="AK83" s="401" t="str">
        <f t="array" ref="AK83">IF(AJ83="","",INDEX(Podcasts!$F$10:'Podcasts'!$F$2535,MATCH(AJ83&amp;$B83,Podcasts!$E$10:'Podcasts'!$E$2535&amp;Podcasts!$D$10:'Podcasts'!$D$2535,0)))</f>
        <v/>
      </c>
      <c r="AL83" s="406" t="str">
        <f t="array" ref="AL83">IF(AM83="","",INDEX(Podcasts!$J$10:'Podcasts'!$J$2535,MATCH(AM83&amp;$B83,Podcasts!$E$10:'Podcasts'!$E$2535&amp;Podcasts!$D$10:'Podcasts'!$D$2535,0)))</f>
        <v/>
      </c>
      <c r="AM83" s="400" t="str">
        <f t="array" ref="AM83">IF(COUNTIF(Podcasts!$D$10:'Podcasts'!$D$2535,$B83)&lt;COLUMN(L46),"",SMALL(IF(Podcasts!$D$10:'Podcasts'!$D$2535=$B83,Podcasts!$E$10:'Podcasts'!$E$2535),COLUMN(L46)))</f>
        <v/>
      </c>
      <c r="AN83" s="401" t="str">
        <f t="array" ref="AN83">IF(AM83="","",INDEX(Podcasts!$F$10:'Podcasts'!$F$2535,MATCH(AM83&amp;$B83,Podcasts!$E$10:'Podcasts'!$E$2535&amp;Podcasts!$D$10:'Podcasts'!$D$2535,0)))</f>
        <v/>
      </c>
      <c r="AO83" s="402"/>
      <c r="AP83" s="119"/>
      <c r="AQ83" s="117">
        <f t="array" aca="1" ref="AQ83" ca="1">IFERROR(SMALL(IF(COUNTIF(Podcasts!$D$10:'Podcasts'!$D$107,ROW(INDIRECT("1:"&amp;K$2)))=0,ROW(INDIRECT("1:"&amp;K$2))),ROW($A40)),"")</f>
        <v>61</v>
      </c>
      <c r="AR83" s="117">
        <f t="array" aca="1" ref="AR83" ca="1">IFERROR(SMALL(IF(COUNTIF(Podcasts!$D$113:'Podcasts'!$D$238,ROW(INDIRECT("1:"&amp;K$2)))=0,ROW(INDIRECT("1:"&amp;K$2))),ROW($A40)),"")</f>
        <v>40</v>
      </c>
      <c r="AS83" s="117">
        <f t="array" aca="1" ref="AS83" ca="1">IFERROR(SMALL(IF(COUNTIF(Podcasts!$D$244:'Podcasts'!$D$299,ROW(INDIRECT("1:"&amp;K$2)))=0,ROW(INDIRECT("1:"&amp;K$2))),ROW($A40)),"")</f>
        <v>56</v>
      </c>
      <c r="AT83" s="117">
        <f t="array" aca="1" ref="AT83" ca="1">IFERROR(SMALL(IF(COUNTIF(Podcasts!$D$305:'Podcasts'!$D$473,ROW(INDIRECT("1:"&amp;K$2)))=0,ROW(INDIRECT("1:"&amp;K$2))),ROW($A40)),"")</f>
        <v>174</v>
      </c>
      <c r="AU83" s="117">
        <f t="array" aca="1" ref="AU83" ca="1">IFERROR(SMALL(IF(COUNTIF(Podcasts!$D$479:'Podcasts'!$D$488,ROW(INDIRECT("1:"&amp;K$2)))=0,ROW(INDIRECT("1:"&amp;K$2))),ROW($A40)),"")</f>
        <v>40</v>
      </c>
      <c r="AV83" s="117">
        <f t="array" aca="1" ref="AV83" ca="1">IFERROR(SMALL(IF(COUNTIF(Podcasts!$D$494:'Podcasts'!$D$518,ROW(INDIRECT("1:"&amp;K$2)))=0,ROW(INDIRECT("1:"&amp;K$2))),ROW($A40)),"")</f>
        <v>56</v>
      </c>
      <c r="AW83" s="117">
        <f t="array" aca="1" ref="AW83" ca="1">IFERROR(SMALL(IF(COUNTIF(Podcasts!$D$524:'Podcasts'!$D$532,ROW(INDIRECT("1:"&amp;K$2)))=0,ROW(INDIRECT("1:"&amp;K$2))),ROW($A40)),"")</f>
        <v>40</v>
      </c>
      <c r="AX83" s="117">
        <f t="array" aca="1" ref="AX83" ca="1">IFERROR(SMALL(IF(COUNTIF(Podcasts!$D$538:'Podcasts'!$D$909,ROW(INDIRECT("1:"&amp;K$2)))=0,ROW(INDIRECT("1:"&amp;K$2))),ROW($A40)),"")</f>
        <v>118</v>
      </c>
      <c r="AY83" s="117">
        <f t="array" aca="1" ref="AY83" ca="1">IFERROR(SMALL(IF(COUNTIF(Podcasts!$D$915:'Podcasts'!$D$981,ROW(INDIRECT("1:"&amp;K$2)))=0,ROW(INDIRECT("1:"&amp;K$2))),ROW($A40)),"")</f>
        <v>62</v>
      </c>
      <c r="AZ83" s="445"/>
      <c r="BA83" s="117">
        <f t="array" aca="1" ref="BA83" ca="1">IFERROR(SMALL(IF(COUNTIF(Podcasts!$D$1001:'Podcasts'!$D$1251,ROW(INDIRECT("1:"&amp;K$2)))=0,ROW(INDIRECT("1:"&amp;K$2))),ROW($A40)),"")</f>
        <v>66</v>
      </c>
      <c r="BB83" s="117">
        <f t="array" aca="1" ref="BB83" ca="1">IFERROR(SMALL(IF(COUNTIF(Podcasts!$D$1257:'Podcasts'!$D$1267,ROW(INDIRECT("1:"&amp;K$2)))=0,ROW(INDIRECT("1:"&amp;K$2))),ROW($A40)),"")</f>
        <v>41</v>
      </c>
      <c r="BC83" s="117">
        <f t="array" aca="1" ref="BC83" ca="1">IFERROR(SMALL(IF(COUNTIF(Podcasts!$D$1273:'Podcasts'!$D$1283,ROW(INDIRECT("1:"&amp;K$2)))=0,ROW(INDIRECT("1:"&amp;K$2))),ROW($A40)),"")</f>
        <v>44</v>
      </c>
      <c r="BD83" s="117">
        <f t="array" aca="1" ref="BD83" ca="1">IFERROR(SMALL(IF(COUNTIF(Podcasts!$D$1289:'Podcasts'!$D$1295,ROW(INDIRECT("1:"&amp;K$2)))=0,ROW(INDIRECT("1:"&amp;K$2))),ROW($A40)),"")</f>
        <v>42</v>
      </c>
      <c r="BE83" s="117">
        <f t="array" aca="1" ref="BE83" ca="1">IFERROR(SMALL(IF(COUNTIF(Podcasts!$D$1301:'Podcasts'!$D$1356,ROW(INDIRECT("1:"&amp;K$2)))=0,ROW(INDIRECT("1:"&amp;K$2))),ROW($A40)),"")</f>
        <v>87</v>
      </c>
      <c r="BF83" s="117">
        <f t="array" aca="1" ref="BF83" ca="1">IFERROR(SMALL(IF(COUNTIF(Podcasts!$D$1362:'Podcasts'!$D$1364,ROW(INDIRECT("1:"&amp;K$2)))=0,ROW(INDIRECT("1:"&amp;K$2))),ROW($A40)),"")</f>
        <v>43</v>
      </c>
      <c r="BG83" s="202">
        <f t="array" aca="1" ref="BG83" ca="1">IFERROR(SMALL(IF(COUNTIF(Podcasts!$D$1370:'Podcasts'!$D$1419,ROW(INDIRECT("1:"&amp;K$2)))=0,ROW(INDIRECT("1:"&amp;K$2))),ROW($A40)),"")</f>
        <v>48</v>
      </c>
      <c r="BH83" s="202">
        <f t="array" aca="1" ref="BH83" ca="1">IFERROR(SMALL(IF(COUNTIF(Podcasts!$D$1425:'Podcasts'!$D$1446,ROW(INDIRECT("1:"&amp;K$2)))=0,ROW(INDIRECT("1:"&amp;K$2))),ROW($A40)),"")</f>
        <v>44</v>
      </c>
      <c r="BI83" s="202">
        <f t="array" aca="1" ref="BI83" ca="1">IFERROR(SMALL(IF(COUNTIF(Podcasts!$D$1452:'Podcasts'!$D$1574,ROW(INDIRECT("1:"&amp;K$2)))=0,ROW(INDIRECT("1:"&amp;K$2))),ROW($A40)),"")</f>
        <v>74</v>
      </c>
      <c r="BJ83" s="202">
        <f t="array" aca="1" ref="BJ83" ca="1">IFERROR(SMALL(IF(COUNTIF(Podcasts!$D$1580:'Podcasts'!$D$1705,ROW(INDIRECT("1:"&amp;K$2)))=0,ROW(INDIRECT("1:"&amp;K$2))),ROW($A40)),"")</f>
        <v>71</v>
      </c>
      <c r="BK83" s="202">
        <f t="array" aca="1" ref="BK83" ca="1">IFERROR(SMALL(IF(COUNTIF(Podcasts!$D$1711:'Podcasts'!$D$1833,ROW(INDIRECT("1:"&amp;K$2)))=0,ROW(INDIRECT("1:"&amp;K$2))),ROW($A40)),"")</f>
        <v>80</v>
      </c>
      <c r="BL83" s="202">
        <f t="array" aca="1" ref="BL83" ca="1">IFERROR(SMALL(IF(COUNTIF(Podcasts!$D$1839:'Podcasts'!$D$1855,ROW(INDIRECT("1:"&amp;K$2)))=0,ROW(INDIRECT("1:"&amp;K$2))),ROW($A40)),"")</f>
        <v>45</v>
      </c>
      <c r="BM83" s="567">
        <f t="array" aca="1" ref="BM83" ca="1">IFERROR(SMALL(IF(COUNTIF(Podcasts!$D$1861:'Podcasts'!$D$1994,ROW(INDIRECT("1:"&amp;K$2)))=0,ROW(INDIRECT("1:"&amp;K$2))),ROW($A40)),"")</f>
        <v>52</v>
      </c>
      <c r="BN83" s="567">
        <f t="array" aca="1" ref="BN83" ca="1">IFERROR(SMALL(IF(COUNTIF(Podcasts!$D$2000:'Podcasts'!$D$2057,ROW(INDIRECT("1:"&amp;K$2)))=0,ROW(INDIRECT("1:"&amp;K$2))),ROW($A40)),"")</f>
        <v>95</v>
      </c>
      <c r="BO83" s="567">
        <f t="array" aca="1" ref="BO83" ca="1">IFERROR(SMALL(IF(COUNTIF(Podcasts!$D$2063:'Podcasts'!$D$2071,ROW(INDIRECT("1:"&amp;K$2)))=0,ROW(INDIRECT("1:"&amp;K$2))),ROW($A40)),"")</f>
        <v>40</v>
      </c>
      <c r="BP83" s="202">
        <f t="array" aca="1" ref="BP83" ca="1">IFERROR(SMALL(IF(COUNTIF(Podcasts!$D$2077:'Podcasts'!$D$2092,ROW(INDIRECT("1:"&amp;K$2)))=0,ROW(INDIRECT("1:"&amp;K$2))),ROW($A40)),"")</f>
        <v>49</v>
      </c>
      <c r="BQ83" s="741">
        <f t="array" aca="1" ref="BQ83" ca="1">IFERROR(SMALL(IF(COUNTIF(Podcasts!$D$2098:'Podcasts'!$D$2114,ROW(INDIRECT("1:"&amp;K$2)))=0,ROW(INDIRECT("1:"&amp;K$2))),ROW($A40)),"")</f>
        <v>42</v>
      </c>
      <c r="BR83" s="744">
        <f t="array" aca="1" ref="BR83" ca="1">IFERROR(SMALL(IF(COUNTIF(Podcasts!$D$2120:'Podcasts'!$D$2124,ROW(INDIRECT("1:"&amp;K$2)))=0,ROW(INDIRECT("1:"&amp;K$2))),ROW($A40)),"")</f>
        <v>42</v>
      </c>
      <c r="BS83" s="28"/>
    </row>
    <row r="84" spans="1:71" outlineLevel="1">
      <c r="A84" s="28"/>
      <c r="B84" s="161">
        <v>41</v>
      </c>
      <c r="C84" s="161">
        <f>COUNTIF(Podcasts!$D$10:'Podcasts'!$D$2535,B84)</f>
        <v>6</v>
      </c>
      <c r="D84" s="159" t="s">
        <v>1069</v>
      </c>
      <c r="E84" s="156" t="str">
        <f t="array" ref="E84">IF(F84="","",INDEX(Podcasts!$J$10:'Podcasts'!$J$2535,MATCH(F84&amp;$B84,Podcasts!$E$10:'Podcasts'!$E$2535&amp;Podcasts!$D$10:'Podcasts'!$D$2535,0)))</f>
        <v>Fürst</v>
      </c>
      <c r="F84" s="131">
        <f t="array" ref="F84">IF(COUNTIF(Podcasts!$D$10:'Podcasts'!$D$2535,$B84)&lt;COLUMN(A47),"",SMALL(IF(Podcasts!$D$10:'Podcasts'!$D$2535=$B84,Podcasts!$E$10:'Podcasts'!$E$2535),COLUMN(A47)))</f>
        <v>42106</v>
      </c>
      <c r="G84" s="132">
        <f t="array" ref="G84">IF(F84="","",INDEX(Podcasts!$F$10:'Podcasts'!$F$2535,MATCH(F84&amp;$B84,Podcasts!$E$10:'Podcasts'!$E$2535&amp;Podcasts!$D$10:'Podcasts'!$D$2535,0)))</f>
        <v>1.695601851851852E-2</v>
      </c>
      <c r="H84" s="136" t="str">
        <f t="array" ref="H84">IF(I84="","",INDEX(Podcasts!$J$10:'Podcasts'!$J$2535,MATCH(I84&amp;$B84,Podcasts!$E$10:'Podcasts'!$E$2535&amp;Podcasts!$D$10:'Podcasts'!$D$2535,0)))</f>
        <v>Zeichen</v>
      </c>
      <c r="I84" s="133">
        <f t="array" ref="I84">IF(COUNTIF(Podcasts!$D$10:'Podcasts'!$D$2535,$B84)&lt;COLUMN(B47),"",SMALL(IF(Podcasts!$D$10:'Podcasts'!$D$2535=$B84,Podcasts!$E$10:'Podcasts'!$E$2535),COLUMN(B47)))</f>
        <v>44128</v>
      </c>
      <c r="J84" s="132">
        <f t="array" ref="J84">IF(I84="","",INDEX(Podcasts!$F$10:'Podcasts'!$F$2535,MATCH(I84&amp;$B84,Podcasts!$E$10:'Podcasts'!$E$2535&amp;Podcasts!$D$10:'Podcasts'!$D$2535,0)))</f>
        <v>7.1539351851851854E-2</v>
      </c>
      <c r="K84" s="136" t="str">
        <f t="array" ref="K84">IF(L84="","",INDEX(Podcasts!$J$10:'Podcasts'!$J$2535,MATCH(L84&amp;$B84,Podcasts!$E$10:'Podcasts'!$E$2535&amp;Podcasts!$D$10:'Podcasts'!$D$2535,0)))</f>
        <v>SSP</v>
      </c>
      <c r="L84" s="133">
        <f t="array" ref="L84">IF(COUNTIF(Podcasts!$D$10:'Podcasts'!$D$2535,$B84)&lt;COLUMN(C47),"",SMALL(IF(Podcasts!$D$10:'Podcasts'!$D$2535=$B84,Podcasts!$E$10:'Podcasts'!$E$2535),COLUMN(C47)))</f>
        <v>44458</v>
      </c>
      <c r="M84" s="132">
        <f t="array" ref="M84">IF(L84="","",INDEX(Podcasts!$F$10:'Podcasts'!$F$2535,MATCH(L84&amp;$B84,Podcasts!$E$10:'Podcasts'!$E$2535&amp;Podcasts!$D$10:'Podcasts'!$D$2535,0)))</f>
        <v>9.0983796296296285E-2</v>
      </c>
      <c r="N84" s="136" t="str">
        <f t="array" ref="N84">IF(O84="","",INDEX(Podcasts!$J$10:'Podcasts'!$J$2535,MATCH(O84&amp;$B84,Podcasts!$E$10:'Podcasts'!$E$2535&amp;Podcasts!$D$10:'Podcasts'!$D$2535,0)))</f>
        <v>RBW</v>
      </c>
      <c r="O84" s="133">
        <f t="array" ref="O84">IF(COUNTIF(Podcasts!$D$10:'Podcasts'!$D$2535,$B84)&lt;COLUMN(D47),"",SMALL(IF(Podcasts!$D$10:'Podcasts'!$D$2535=$B84,Podcasts!$E$10:'Podcasts'!$E$2535),COLUMN(D47)))</f>
        <v>45176</v>
      </c>
      <c r="P84" s="132">
        <f t="array" ref="P84">IF(O84="","",INDEX(Podcasts!$F$10:'Podcasts'!$F$2535,MATCH(O84&amp;$B84,Podcasts!$E$10:'Podcasts'!$E$2535&amp;Podcasts!$D$10:'Podcasts'!$D$2535,0)))</f>
        <v>4.0092592592592589E-2</v>
      </c>
      <c r="Q84" s="136" t="str">
        <f t="array" ref="Q84">IF(R84="","",INDEX(Podcasts!$J$10:'Podcasts'!$J$2535,MATCH(R84&amp;$B84,Podcasts!$E$10:'Podcasts'!$E$2535&amp;Podcasts!$D$10:'Podcasts'!$D$2535,0)))</f>
        <v>Abfahrt</v>
      </c>
      <c r="R84" s="133">
        <f t="array" ref="R84">IF(COUNTIF(Podcasts!$D$10:'Podcasts'!$D$2535,$B84)&lt;COLUMN(E47),"",SMALL(IF(Podcasts!$D$10:'Podcasts'!$D$2535=$B84,Podcasts!$E$10:'Podcasts'!$E$2535),COLUMN(E47)))</f>
        <v>45219</v>
      </c>
      <c r="S84" s="132">
        <f t="array" ref="S84">IF(R84="","",INDEX(Podcasts!$F$10:'Podcasts'!$F$2535,MATCH(R84&amp;$B84,Podcasts!$E$10:'Podcasts'!$E$2535&amp;Podcasts!$D$10:'Podcasts'!$D$2535,0)))</f>
        <v>7.480324074074074E-2</v>
      </c>
      <c r="T84" s="136" t="str">
        <f t="array" ref="T84">IF(U84="","",INDEX(Podcasts!$J$10:'Podcasts'!$J$2535,MATCH(U84&amp;$B84,Podcasts!$E$10:'Podcasts'!$E$2535&amp;Podcasts!$D$10:'Podcasts'!$D$2535,0)))</f>
        <v>Bobcast</v>
      </c>
      <c r="U84" s="133">
        <f t="array" ref="U84">IF(COUNTIF(Podcasts!$D$10:'Podcasts'!$D$2535,$B84)&lt;COLUMN(F47),"",SMALL(IF(Podcasts!$D$10:'Podcasts'!$D$2535=$B84,Podcasts!$E$10:'Podcasts'!$E$2535),COLUMN(F47)))</f>
        <v>45348</v>
      </c>
      <c r="V84" s="132">
        <f t="array" ref="V84">IF(U84="","",INDEX(Podcasts!$F$10:'Podcasts'!$F$2535,MATCH(U84&amp;$B84,Podcasts!$E$10:'Podcasts'!$E$2535&amp;Podcasts!$D$10:'Podcasts'!$D$2535,0)))</f>
        <v>3.1932870370370368E-2</v>
      </c>
      <c r="W84" s="136" t="str">
        <f t="array" ref="W84">IF(X84="","",INDEX(Podcasts!$J$10:'Podcasts'!$J$2535,MATCH(X84&amp;$B84,Podcasts!$E$10:'Podcasts'!$E$2535&amp;Podcasts!$D$10:'Podcasts'!$D$2535,0)))</f>
        <v/>
      </c>
      <c r="X84" s="133" t="str">
        <f t="array" ref="X84">IF(COUNTIF(Podcasts!$D$10:'Podcasts'!$D$2535,$B84)&lt;COLUMN(G47),"",SMALL(IF(Podcasts!$D$10:'Podcasts'!$D$2535=$B84,Podcasts!$E$10:'Podcasts'!$E$2535),COLUMN(G47)))</f>
        <v/>
      </c>
      <c r="Y84" s="132" t="str">
        <f t="array" ref="Y84">IF(X84="","",INDEX(Podcasts!$F$10:'Podcasts'!$F$2535,MATCH(X84&amp;$B84,Podcasts!$E$10:'Podcasts'!$E$2535&amp;Podcasts!$D$10:'Podcasts'!$D$2535,0)))</f>
        <v/>
      </c>
      <c r="Z84" s="136" t="str">
        <f t="array" ref="Z84">IF(AA84="","",INDEX(Podcasts!$J$10:'Podcasts'!$J$2535,MATCH(AA84&amp;$B84,Podcasts!$E$10:'Podcasts'!$E$2535&amp;Podcasts!$D$10:'Podcasts'!$D$2535,0)))</f>
        <v/>
      </c>
      <c r="AA84" s="134" t="str">
        <f t="array" ref="AA84">IF(COUNTIF(Podcasts!$D$10:'Podcasts'!$D$2535,$B84)&lt;COLUMN(H47),"",SMALL(IF(Podcasts!$D$10:'Podcasts'!$D$2535=$B84,Podcasts!$E$10:'Podcasts'!$E$2535),COLUMN(H47)))</f>
        <v/>
      </c>
      <c r="AB84" s="404" t="str">
        <f t="array" ref="AB84">IF(AA84="","",INDEX(Podcasts!$F$10:'Podcasts'!$F$2535,MATCH(AA84&amp;$B84,Podcasts!$E$10:'Podcasts'!$E$2535&amp;Podcasts!$D$10:'Podcasts'!$D$2535,0)))</f>
        <v/>
      </c>
      <c r="AC84" s="406" t="str">
        <f t="array" ref="AC84">IF(AD84="","",INDEX(Podcasts!$J$10:'Podcasts'!$J$2535,MATCH(AD84&amp;$B84,Podcasts!$E$10:'Podcasts'!$E$2535&amp;Podcasts!$D$10:'Podcasts'!$D$2535,0)))</f>
        <v/>
      </c>
      <c r="AD84" s="400" t="str">
        <f t="array" ref="AD84">IF(COUNTIF(Podcasts!$D$10:'Podcasts'!$D$2535,$B84)&lt;COLUMN(I47),"",SMALL(IF(Podcasts!$D$10:'Podcasts'!$D$2535=$B84,Podcasts!$E$10:'Podcasts'!$E$2535),COLUMN(I47)))</f>
        <v/>
      </c>
      <c r="AE84" s="401" t="str">
        <f t="array" ref="AE84">IF(AD84="","",INDEX(Podcasts!$F$10:'Podcasts'!$F$2535,MATCH(AD84&amp;$B84,Podcasts!$E$10:'Podcasts'!$E$2535&amp;Podcasts!$D$10:'Podcasts'!$D$2535,0)))</f>
        <v/>
      </c>
      <c r="AF84" s="406" t="str">
        <f t="array" ref="AF84">IF(AG84="","",INDEX(Podcasts!$J$10:'Podcasts'!$J$2535,MATCH(AG84&amp;$B84,Podcasts!$E$10:'Podcasts'!$E$2535&amp;Podcasts!$D$10:'Podcasts'!$D$2535,0)))</f>
        <v/>
      </c>
      <c r="AG84" s="400" t="str">
        <f t="array" ref="AG84">IF(COUNTIF(Podcasts!$D$10:'Podcasts'!$D$2535,$B84)&lt;COLUMN(J47),"",SMALL(IF(Podcasts!$D$10:'Podcasts'!$D$2535=$B84,Podcasts!$E$10:'Podcasts'!$E$2535),COLUMN(J47)))</f>
        <v/>
      </c>
      <c r="AH84" s="401" t="str">
        <f t="array" ref="AH84">IF(AG84="","",INDEX(Podcasts!$F$10:'Podcasts'!$F$2535,MATCH(AG84&amp;$B84,Podcasts!$E$10:'Podcasts'!$E$2535&amp;Podcasts!$D$10:'Podcasts'!$D$2535,0)))</f>
        <v/>
      </c>
      <c r="AI84" s="406" t="str">
        <f t="array" ref="AI84">IF(AJ84="","",INDEX(Podcasts!$J$10:'Podcasts'!$J$2535,MATCH(AJ84&amp;$B84,Podcasts!$E$10:'Podcasts'!$E$2535&amp;Podcasts!$D$10:'Podcasts'!$D$2535,0)))</f>
        <v/>
      </c>
      <c r="AJ84" s="400" t="str">
        <f t="array" ref="AJ84">IF(COUNTIF(Podcasts!$D$10:'Podcasts'!$D$2535,$B84)&lt;COLUMN(K47),"",SMALL(IF(Podcasts!$D$10:'Podcasts'!$D$2535=$B84,Podcasts!$E$10:'Podcasts'!$E$2535),COLUMN(K47)))</f>
        <v/>
      </c>
      <c r="AK84" s="401" t="str">
        <f t="array" ref="AK84">IF(AJ84="","",INDEX(Podcasts!$F$10:'Podcasts'!$F$2535,MATCH(AJ84&amp;$B84,Podcasts!$E$10:'Podcasts'!$E$2535&amp;Podcasts!$D$10:'Podcasts'!$D$2535,0)))</f>
        <v/>
      </c>
      <c r="AL84" s="406" t="str">
        <f t="array" ref="AL84">IF(AM84="","",INDEX(Podcasts!$J$10:'Podcasts'!$J$2535,MATCH(AM84&amp;$B84,Podcasts!$E$10:'Podcasts'!$E$2535&amp;Podcasts!$D$10:'Podcasts'!$D$2535,0)))</f>
        <v/>
      </c>
      <c r="AM84" s="400" t="str">
        <f t="array" ref="AM84">IF(COUNTIF(Podcasts!$D$10:'Podcasts'!$D$2535,$B84)&lt;COLUMN(L47),"",SMALL(IF(Podcasts!$D$10:'Podcasts'!$D$2535=$B84,Podcasts!$E$10:'Podcasts'!$E$2535),COLUMN(L47)))</f>
        <v/>
      </c>
      <c r="AN84" s="401" t="str">
        <f t="array" ref="AN84">IF(AM84="","",INDEX(Podcasts!$F$10:'Podcasts'!$F$2535,MATCH(AM84&amp;$B84,Podcasts!$E$10:'Podcasts'!$E$2535&amp;Podcasts!$D$10:'Podcasts'!$D$2535,0)))</f>
        <v/>
      </c>
      <c r="AO84" s="402"/>
      <c r="AP84" s="119"/>
      <c r="AQ84" s="117">
        <f t="array" aca="1" ref="AQ84" ca="1">IFERROR(SMALL(IF(COUNTIF(Podcasts!$D$10:'Podcasts'!$D$107,ROW(INDIRECT("1:"&amp;K$2)))=0,ROW(INDIRECT("1:"&amp;K$2))),ROW($A41)),"")</f>
        <v>62</v>
      </c>
      <c r="AR84" s="117">
        <f t="array" aca="1" ref="AR84" ca="1">IFERROR(SMALL(IF(COUNTIF(Podcasts!$D$113:'Podcasts'!$D$238,ROW(INDIRECT("1:"&amp;K$2)))=0,ROW(INDIRECT("1:"&amp;K$2))),ROW($A41)),"")</f>
        <v>41</v>
      </c>
      <c r="AS84" s="117">
        <f t="array" aca="1" ref="AS84" ca="1">IFERROR(SMALL(IF(COUNTIF(Podcasts!$D$244:'Podcasts'!$D$299,ROW(INDIRECT("1:"&amp;K$2)))=0,ROW(INDIRECT("1:"&amp;K$2))),ROW($A41)),"")</f>
        <v>57</v>
      </c>
      <c r="AT84" s="117">
        <f t="array" aca="1" ref="AT84" ca="1">IFERROR(SMALL(IF(COUNTIF(Podcasts!$D$305:'Podcasts'!$D$473,ROW(INDIRECT("1:"&amp;K$2)))=0,ROW(INDIRECT("1:"&amp;K$2))),ROW($A41)),"")</f>
        <v>176</v>
      </c>
      <c r="AU84" s="117">
        <f t="array" aca="1" ref="AU84" ca="1">IFERROR(SMALL(IF(COUNTIF(Podcasts!$D$479:'Podcasts'!$D$488,ROW(INDIRECT("1:"&amp;K$2)))=0,ROW(INDIRECT("1:"&amp;K$2))),ROW($A41)),"")</f>
        <v>41</v>
      </c>
      <c r="AV84" s="117">
        <f t="array" aca="1" ref="AV84" ca="1">IFERROR(SMALL(IF(COUNTIF(Podcasts!$D$494:'Podcasts'!$D$518,ROW(INDIRECT("1:"&amp;K$2)))=0,ROW(INDIRECT("1:"&amp;K$2))),ROW($A41)),"")</f>
        <v>57</v>
      </c>
      <c r="AW84" s="117">
        <f t="array" aca="1" ref="AW84" ca="1">IFERROR(SMALL(IF(COUNTIF(Podcasts!$D$524:'Podcasts'!$D$532,ROW(INDIRECT("1:"&amp;K$2)))=0,ROW(INDIRECT("1:"&amp;K$2))),ROW($A41)),"")</f>
        <v>41</v>
      </c>
      <c r="AX84" s="117">
        <f t="array" aca="1" ref="AX84" ca="1">IFERROR(SMALL(IF(COUNTIF(Podcasts!$D$538:'Podcasts'!$D$909,ROW(INDIRECT("1:"&amp;K$2)))=0,ROW(INDIRECT("1:"&amp;K$2))),ROW($A41)),"")</f>
        <v>125</v>
      </c>
      <c r="AY84" s="117">
        <f t="array" aca="1" ref="AY84" ca="1">IFERROR(SMALL(IF(COUNTIF(Podcasts!$D$915:'Podcasts'!$D$981,ROW(INDIRECT("1:"&amp;K$2)))=0,ROW(INDIRECT("1:"&amp;K$2))),ROW($A41)),"")</f>
        <v>63</v>
      </c>
      <c r="AZ84" s="445"/>
      <c r="BA84" s="117">
        <f t="array" aca="1" ref="BA84" ca="1">IFERROR(SMALL(IF(COUNTIF(Podcasts!$D$1001:'Podcasts'!$D$1251,ROW(INDIRECT("1:"&amp;K$2)))=0,ROW(INDIRECT("1:"&amp;K$2))),ROW($A41)),"")</f>
        <v>67</v>
      </c>
      <c r="BB84" s="117">
        <f t="array" aca="1" ref="BB84" ca="1">IFERROR(SMALL(IF(COUNTIF(Podcasts!$D$1257:'Podcasts'!$D$1267,ROW(INDIRECT("1:"&amp;K$2)))=0,ROW(INDIRECT("1:"&amp;K$2))),ROW($A41)),"")</f>
        <v>42</v>
      </c>
      <c r="BC84" s="117">
        <f t="array" aca="1" ref="BC84" ca="1">IFERROR(SMALL(IF(COUNTIF(Podcasts!$D$1273:'Podcasts'!$D$1283,ROW(INDIRECT("1:"&amp;K$2)))=0,ROW(INDIRECT("1:"&amp;K$2))),ROW($A41)),"")</f>
        <v>45</v>
      </c>
      <c r="BD84" s="117">
        <f t="array" aca="1" ref="BD84" ca="1">IFERROR(SMALL(IF(COUNTIF(Podcasts!$D$1289:'Podcasts'!$D$1295,ROW(INDIRECT("1:"&amp;K$2)))=0,ROW(INDIRECT("1:"&amp;K$2))),ROW($A41)),"")</f>
        <v>43</v>
      </c>
      <c r="BE84" s="117">
        <f t="array" aca="1" ref="BE84" ca="1">IFERROR(SMALL(IF(COUNTIF(Podcasts!$D$1301:'Podcasts'!$D$1356,ROW(INDIRECT("1:"&amp;K$2)))=0,ROW(INDIRECT("1:"&amp;K$2))),ROW($A41)),"")</f>
        <v>88</v>
      </c>
      <c r="BF84" s="117">
        <f t="array" aca="1" ref="BF84" ca="1">IFERROR(SMALL(IF(COUNTIF(Podcasts!$D$1362:'Podcasts'!$D$1364,ROW(INDIRECT("1:"&amp;K$2)))=0,ROW(INDIRECT("1:"&amp;K$2))),ROW($A41)),"")</f>
        <v>44</v>
      </c>
      <c r="BG84" s="202">
        <f t="array" aca="1" ref="BG84" ca="1">IFERROR(SMALL(IF(COUNTIF(Podcasts!$D$1370:'Podcasts'!$D$1419,ROW(INDIRECT("1:"&amp;K$2)))=0,ROW(INDIRECT("1:"&amp;K$2))),ROW($A41)),"")</f>
        <v>49</v>
      </c>
      <c r="BH84" s="202">
        <f t="array" aca="1" ref="BH84" ca="1">IFERROR(SMALL(IF(COUNTIF(Podcasts!$D$1425:'Podcasts'!$D$1446,ROW(INDIRECT("1:"&amp;K$2)))=0,ROW(INDIRECT("1:"&amp;K$2))),ROW($A41)),"")</f>
        <v>45</v>
      </c>
      <c r="BI84" s="202">
        <f t="array" aca="1" ref="BI84" ca="1">IFERROR(SMALL(IF(COUNTIF(Podcasts!$D$1452:'Podcasts'!$D$1574,ROW(INDIRECT("1:"&amp;K$2)))=0,ROW(INDIRECT("1:"&amp;K$2))),ROW($A41)),"")</f>
        <v>80</v>
      </c>
      <c r="BJ84" s="202">
        <f t="array" aca="1" ref="BJ84" ca="1">IFERROR(SMALL(IF(COUNTIF(Podcasts!$D$1580:'Podcasts'!$D$1705,ROW(INDIRECT("1:"&amp;K$2)))=0,ROW(INDIRECT("1:"&amp;K$2))),ROW($A41)),"")</f>
        <v>73</v>
      </c>
      <c r="BK84" s="202">
        <f t="array" aca="1" ref="BK84" ca="1">IFERROR(SMALL(IF(COUNTIF(Podcasts!$D$1711:'Podcasts'!$D$1833,ROW(INDIRECT("1:"&amp;K$2)))=0,ROW(INDIRECT("1:"&amp;K$2))),ROW($A41)),"")</f>
        <v>81</v>
      </c>
      <c r="BL84" s="202">
        <f t="array" aca="1" ref="BL84" ca="1">IFERROR(SMALL(IF(COUNTIF(Podcasts!$D$1839:'Podcasts'!$D$1855,ROW(INDIRECT("1:"&amp;K$2)))=0,ROW(INDIRECT("1:"&amp;K$2))),ROW($A41)),"")</f>
        <v>46</v>
      </c>
      <c r="BM84" s="567">
        <f t="array" aca="1" ref="BM84" ca="1">IFERROR(SMALL(IF(COUNTIF(Podcasts!$D$1861:'Podcasts'!$D$1994,ROW(INDIRECT("1:"&amp;K$2)))=0,ROW(INDIRECT("1:"&amp;K$2))),ROW($A41)),"")</f>
        <v>53</v>
      </c>
      <c r="BN84" s="567">
        <f t="array" aca="1" ref="BN84" ca="1">IFERROR(SMALL(IF(COUNTIF(Podcasts!$D$2000:'Podcasts'!$D$2057,ROW(INDIRECT("1:"&amp;K$2)))=0,ROW(INDIRECT("1:"&amp;K$2))),ROW($A41)),"")</f>
        <v>96</v>
      </c>
      <c r="BO84" s="567">
        <f t="array" aca="1" ref="BO84" ca="1">IFERROR(SMALL(IF(COUNTIF(Podcasts!$D$2063:'Podcasts'!$D$2071,ROW(INDIRECT("1:"&amp;K$2)))=0,ROW(INDIRECT("1:"&amp;K$2))),ROW($A41)),"")</f>
        <v>41</v>
      </c>
      <c r="BP84" s="202">
        <f t="array" aca="1" ref="BP84" ca="1">IFERROR(SMALL(IF(COUNTIF(Podcasts!$D$2077:'Podcasts'!$D$2092,ROW(INDIRECT("1:"&amp;K$2)))=0,ROW(INDIRECT("1:"&amp;K$2))),ROW($A41)),"")</f>
        <v>50</v>
      </c>
      <c r="BQ84" s="741">
        <f t="array" aca="1" ref="BQ84" ca="1">IFERROR(SMALL(IF(COUNTIF(Podcasts!$D$2098:'Podcasts'!$D$2114,ROW(INDIRECT("1:"&amp;K$2)))=0,ROW(INDIRECT("1:"&amp;K$2))),ROW($A41)),"")</f>
        <v>43</v>
      </c>
      <c r="BR84" s="744">
        <f t="array" aca="1" ref="BR84" ca="1">IFERROR(SMALL(IF(COUNTIF(Podcasts!$D$2120:'Podcasts'!$D$2124,ROW(INDIRECT("1:"&amp;K$2)))=0,ROW(INDIRECT("1:"&amp;K$2))),ROW($A41)),"")</f>
        <v>43</v>
      </c>
      <c r="BS84" s="28"/>
    </row>
    <row r="85" spans="1:71" outlineLevel="1">
      <c r="A85" s="28"/>
      <c r="B85" s="161">
        <v>42</v>
      </c>
      <c r="C85" s="161">
        <f>COUNTIF(Podcasts!$D$10:'Podcasts'!$D$2535,B85)</f>
        <v>8</v>
      </c>
      <c r="D85" s="158" t="s">
        <v>1070</v>
      </c>
      <c r="E85" s="156" t="str">
        <f t="array" ref="E85">IF(F85="","",INDEX(Podcasts!$J$10:'Podcasts'!$J$2535,MATCH(F85&amp;$B85,Podcasts!$E$10:'Podcasts'!$E$2535&amp;Podcasts!$D$10:'Podcasts'!$D$2535,0)))</f>
        <v>Fürst</v>
      </c>
      <c r="F85" s="131">
        <f t="array" ref="F85">IF(COUNTIF(Podcasts!$D$10:'Podcasts'!$D$2535,$B85)&lt;COLUMN(A48),"",SMALL(IF(Podcasts!$D$10:'Podcasts'!$D$2535=$B85,Podcasts!$E$10:'Podcasts'!$E$2535),COLUMN(A48)))</f>
        <v>41839</v>
      </c>
      <c r="G85" s="132">
        <f t="array" ref="G85">IF(F85="","",INDEX(Podcasts!$F$10:'Podcasts'!$F$2535,MATCH(F85&amp;$B85,Podcasts!$E$10:'Podcasts'!$E$2535&amp;Podcasts!$D$10:'Podcasts'!$D$2535,0)))</f>
        <v>4.2245370370370371E-3</v>
      </c>
      <c r="H85" s="136" t="str">
        <f t="array" ref="H85">IF(I85="","",INDEX(Podcasts!$J$10:'Podcasts'!$J$2535,MATCH(I85&amp;$B85,Podcasts!$E$10:'Podcasts'!$E$2535&amp;Podcasts!$D$10:'Podcasts'!$D$2535,0)))</f>
        <v>Kaffee</v>
      </c>
      <c r="I85" s="133">
        <f t="array" ref="I85">IF(COUNTIF(Podcasts!$D$10:'Podcasts'!$D$2535,$B85)&lt;COLUMN(B48),"",SMALL(IF(Podcasts!$D$10:'Podcasts'!$D$2535=$B85,Podcasts!$E$10:'Podcasts'!$E$2535),COLUMN(B48)))</f>
        <v>44526</v>
      </c>
      <c r="J85" s="132">
        <f t="array" ref="J85">IF(I85="","",INDEX(Podcasts!$F$10:'Podcasts'!$F$2535,MATCH(I85&amp;$B85,Podcasts!$E$10:'Podcasts'!$E$2535&amp;Podcasts!$D$10:'Podcasts'!$D$2535,0)))</f>
        <v>1.2268518518518519E-2</v>
      </c>
      <c r="K85" s="136" t="str">
        <f t="array" ref="K85">IF(L85="","",INDEX(Podcasts!$J$10:'Podcasts'!$J$2535,MATCH(L85&amp;$B85,Podcasts!$E$10:'Podcasts'!$E$2535&amp;Podcasts!$D$10:'Podcasts'!$D$2535,0)))</f>
        <v>Kuchen</v>
      </c>
      <c r="L85" s="133">
        <f t="array" ref="L85">IF(COUNTIF(Podcasts!$D$10:'Podcasts'!$D$2535,$B85)&lt;COLUMN(C48),"",SMALL(IF(Podcasts!$D$10:'Podcasts'!$D$2535=$B85,Podcasts!$E$10:'Podcasts'!$E$2535),COLUMN(C48)))</f>
        <v>44640.001226851855</v>
      </c>
      <c r="M85" s="132">
        <f t="array" ref="M85">IF(L85="","",INDEX(Podcasts!$F$10:'Podcasts'!$F$2535,MATCH(L85&amp;$B85,Podcasts!$E$10:'Podcasts'!$E$2535&amp;Podcasts!$D$10:'Podcasts'!$D$2535,0)))</f>
        <v>6.475694444444445E-2</v>
      </c>
      <c r="N85" s="136" t="str">
        <f t="array" ref="N85">IF(O85="","",INDEX(Podcasts!$J$10:'Podcasts'!$J$2535,MATCH(O85&amp;$B85,Podcasts!$E$10:'Podcasts'!$E$2535&amp;Podcasts!$D$10:'Podcasts'!$D$2535,0)))</f>
        <v>Zw3i</v>
      </c>
      <c r="O85" s="133">
        <f t="array" ref="O85">IF(COUNTIF(Podcasts!$D$10:'Podcasts'!$D$2535,$B85)&lt;COLUMN(D48),"",SMALL(IF(Podcasts!$D$10:'Podcasts'!$D$2535=$B85,Podcasts!$E$10:'Podcasts'!$E$2535),COLUMN(D48)))</f>
        <v>44701</v>
      </c>
      <c r="P85" s="132">
        <f t="array" ref="P85">IF(O85="","",INDEX(Podcasts!$F$10:'Podcasts'!$F$2535,MATCH(O85&amp;$B85,Podcasts!$E$10:'Podcasts'!$E$2535&amp;Podcasts!$D$10:'Podcasts'!$D$2535,0)))</f>
        <v>6.834490740740741E-2</v>
      </c>
      <c r="Q85" s="136" t="str">
        <f t="array" ref="Q85">IF(R85="","",INDEX(Podcasts!$J$10:'Podcasts'!$J$2535,MATCH(R85&amp;$B85,Podcasts!$E$10:'Podcasts'!$E$2535&amp;Podcasts!$D$10:'Podcasts'!$D$2535,0)))</f>
        <v>RBW</v>
      </c>
      <c r="R85" s="133">
        <f t="array" ref="R85">IF(COUNTIF(Podcasts!$D$10:'Podcasts'!$D$2535,$B85)&lt;COLUMN(E48),"",SMALL(IF(Podcasts!$D$10:'Podcasts'!$D$2535=$B85,Podcasts!$E$10:'Podcasts'!$E$2535),COLUMN(E48)))</f>
        <v>45183</v>
      </c>
      <c r="S85" s="132">
        <f t="array" ref="S85">IF(R85="","",INDEX(Podcasts!$F$10:'Podcasts'!$F$2535,MATCH(R85&amp;$B85,Podcasts!$E$10:'Podcasts'!$E$2535&amp;Podcasts!$D$10:'Podcasts'!$D$2535,0)))</f>
        <v>4.280092592592593E-2</v>
      </c>
      <c r="T85" s="136" t="str">
        <f t="array" ref="T85">IF(U85="","",INDEX(Podcasts!$J$10:'Podcasts'!$J$2535,MATCH(U85&amp;$B85,Podcasts!$E$10:'Podcasts'!$E$2535&amp;Podcasts!$D$10:'Podcasts'!$D$2535,0)))</f>
        <v>Abfahrt</v>
      </c>
      <c r="U85" s="133">
        <f t="array" ref="U85">IF(COUNTIF(Podcasts!$D$10:'Podcasts'!$D$2535,$B85)&lt;COLUMN(F48),"",SMALL(IF(Podcasts!$D$10:'Podcasts'!$D$2535=$B85,Podcasts!$E$10:'Podcasts'!$E$2535),COLUMN(F48)))</f>
        <v>45247</v>
      </c>
      <c r="V85" s="132">
        <f t="array" ref="V85">IF(U85="","",INDEX(Podcasts!$F$10:'Podcasts'!$F$2535,MATCH(U85&amp;$B85,Podcasts!$E$10:'Podcasts'!$E$2535&amp;Podcasts!$D$10:'Podcasts'!$D$2535,0)))</f>
        <v>7.4537037037037041E-2</v>
      </c>
      <c r="W85" s="136" t="str">
        <f t="array" ref="W85">IF(X85="","",INDEX(Podcasts!$J$10:'Podcasts'!$J$2535,MATCH(X85&amp;$B85,Podcasts!$E$10:'Podcasts'!$E$2535&amp;Podcasts!$D$10:'Podcasts'!$D$2535,0)))</f>
        <v>SSP</v>
      </c>
      <c r="X85" s="133">
        <f t="array" ref="X85">IF(COUNTIF(Podcasts!$D$10:'Podcasts'!$D$2535,$B85)&lt;COLUMN(G48),"",SMALL(IF(Podcasts!$D$10:'Podcasts'!$D$2535=$B85,Podcasts!$E$10:'Podcasts'!$E$2535),COLUMN(G48)))</f>
        <v>45315</v>
      </c>
      <c r="Y85" s="132">
        <f t="array" ref="Y85">IF(X85="","",INDEX(Podcasts!$F$10:'Podcasts'!$F$2535,MATCH(X85&amp;$B85,Podcasts!$E$10:'Podcasts'!$E$2535&amp;Podcasts!$D$10:'Podcasts'!$D$2535,0)))</f>
        <v>0.11057870370370371</v>
      </c>
      <c r="Z85" s="136" t="str">
        <f t="array" ref="Z85">IF(AA85="","",INDEX(Podcasts!$J$10:'Podcasts'!$J$2535,MATCH(AA85&amp;$B85,Podcasts!$E$10:'Podcasts'!$E$2535&amp;Podcasts!$D$10:'Podcasts'!$D$2535,0)))</f>
        <v>Bobcast</v>
      </c>
      <c r="AA85" s="134">
        <f t="array" ref="AA85">IF(COUNTIF(Podcasts!$D$10:'Podcasts'!$D$2535,$B85)&lt;COLUMN(H48),"",SMALL(IF(Podcasts!$D$10:'Podcasts'!$D$2535=$B85,Podcasts!$E$10:'Podcasts'!$E$2535),COLUMN(H48)))</f>
        <v>45362</v>
      </c>
      <c r="AB85" s="404">
        <f t="array" ref="AB85">IF(AA85="","",INDEX(Podcasts!$F$10:'Podcasts'!$F$2535,MATCH(AA85&amp;$B85,Podcasts!$E$10:'Podcasts'!$E$2535&amp;Podcasts!$D$10:'Podcasts'!$D$2535,0)))</f>
        <v>3.9606481481481479E-2</v>
      </c>
      <c r="AC85" s="406" t="str">
        <f t="array" ref="AC85">IF(AD85="","",INDEX(Podcasts!$J$10:'Podcasts'!$J$2535,MATCH(AD85&amp;$B85,Podcasts!$E$10:'Podcasts'!$E$2535&amp;Podcasts!$D$10:'Podcasts'!$D$2535,0)))</f>
        <v/>
      </c>
      <c r="AD85" s="400" t="str">
        <f t="array" ref="AD85">IF(COUNTIF(Podcasts!$D$10:'Podcasts'!$D$2535,$B85)&lt;COLUMN(I48),"",SMALL(IF(Podcasts!$D$10:'Podcasts'!$D$2535=$B85,Podcasts!$E$10:'Podcasts'!$E$2535),COLUMN(I48)))</f>
        <v/>
      </c>
      <c r="AE85" s="401" t="str">
        <f t="array" ref="AE85">IF(AD85="","",INDEX(Podcasts!$F$10:'Podcasts'!$F$2535,MATCH(AD85&amp;$B85,Podcasts!$E$10:'Podcasts'!$E$2535&amp;Podcasts!$D$10:'Podcasts'!$D$2535,0)))</f>
        <v/>
      </c>
      <c r="AF85" s="406" t="str">
        <f t="array" ref="AF85">IF(AG85="","",INDEX(Podcasts!$J$10:'Podcasts'!$J$2535,MATCH(AG85&amp;$B85,Podcasts!$E$10:'Podcasts'!$E$2535&amp;Podcasts!$D$10:'Podcasts'!$D$2535,0)))</f>
        <v/>
      </c>
      <c r="AG85" s="400" t="str">
        <f t="array" ref="AG85">IF(COUNTIF(Podcasts!$D$10:'Podcasts'!$D$2535,$B85)&lt;COLUMN(J48),"",SMALL(IF(Podcasts!$D$10:'Podcasts'!$D$2535=$B85,Podcasts!$E$10:'Podcasts'!$E$2535),COLUMN(J48)))</f>
        <v/>
      </c>
      <c r="AH85" s="401" t="str">
        <f t="array" ref="AH85">IF(AG85="","",INDEX(Podcasts!$F$10:'Podcasts'!$F$2535,MATCH(AG85&amp;$B85,Podcasts!$E$10:'Podcasts'!$E$2535&amp;Podcasts!$D$10:'Podcasts'!$D$2535,0)))</f>
        <v/>
      </c>
      <c r="AI85" s="406" t="str">
        <f t="array" ref="AI85">IF(AJ85="","",INDEX(Podcasts!$J$10:'Podcasts'!$J$2535,MATCH(AJ85&amp;$B85,Podcasts!$E$10:'Podcasts'!$E$2535&amp;Podcasts!$D$10:'Podcasts'!$D$2535,0)))</f>
        <v/>
      </c>
      <c r="AJ85" s="400" t="str">
        <f t="array" ref="AJ85">IF(COUNTIF(Podcasts!$D$10:'Podcasts'!$D$2535,$B85)&lt;COLUMN(K48),"",SMALL(IF(Podcasts!$D$10:'Podcasts'!$D$2535=$B85,Podcasts!$E$10:'Podcasts'!$E$2535),COLUMN(K48)))</f>
        <v/>
      </c>
      <c r="AK85" s="401" t="str">
        <f t="array" ref="AK85">IF(AJ85="","",INDEX(Podcasts!$F$10:'Podcasts'!$F$2535,MATCH(AJ85&amp;$B85,Podcasts!$E$10:'Podcasts'!$E$2535&amp;Podcasts!$D$10:'Podcasts'!$D$2535,0)))</f>
        <v/>
      </c>
      <c r="AL85" s="406" t="str">
        <f t="array" ref="AL85">IF(AM85="","",INDEX(Podcasts!$J$10:'Podcasts'!$J$2535,MATCH(AM85&amp;$B85,Podcasts!$E$10:'Podcasts'!$E$2535&amp;Podcasts!$D$10:'Podcasts'!$D$2535,0)))</f>
        <v/>
      </c>
      <c r="AM85" s="400" t="str">
        <f t="array" ref="AM85">IF(COUNTIF(Podcasts!$D$10:'Podcasts'!$D$2535,$B85)&lt;COLUMN(L48),"",SMALL(IF(Podcasts!$D$10:'Podcasts'!$D$2535=$B85,Podcasts!$E$10:'Podcasts'!$E$2535),COLUMN(L48)))</f>
        <v/>
      </c>
      <c r="AN85" s="401" t="str">
        <f t="array" ref="AN85">IF(AM85="","",INDEX(Podcasts!$F$10:'Podcasts'!$F$2535,MATCH(AM85&amp;$B85,Podcasts!$E$10:'Podcasts'!$E$2535&amp;Podcasts!$D$10:'Podcasts'!$D$2535,0)))</f>
        <v/>
      </c>
      <c r="AO85" s="402"/>
      <c r="AP85" s="119"/>
      <c r="AQ85" s="117">
        <f t="array" aca="1" ref="AQ85" ca="1">IFERROR(SMALL(IF(COUNTIF(Podcasts!$D$10:'Podcasts'!$D$107,ROW(INDIRECT("1:"&amp;K$2)))=0,ROW(INDIRECT("1:"&amp;K$2))),ROW($A42)),"")</f>
        <v>63</v>
      </c>
      <c r="AR85" s="117">
        <f t="array" aca="1" ref="AR85" ca="1">IFERROR(SMALL(IF(COUNTIF(Podcasts!$D$113:'Podcasts'!$D$238,ROW(INDIRECT("1:"&amp;K$2)))=0,ROW(INDIRECT("1:"&amp;K$2))),ROW($A42)),"")</f>
        <v>42</v>
      </c>
      <c r="AS85" s="117">
        <f t="array" aca="1" ref="AS85" ca="1">IFERROR(SMALL(IF(COUNTIF(Podcasts!$D$244:'Podcasts'!$D$299,ROW(INDIRECT("1:"&amp;K$2)))=0,ROW(INDIRECT("1:"&amp;K$2))),ROW($A42)),"")</f>
        <v>58</v>
      </c>
      <c r="AT85" s="117">
        <f t="array" aca="1" ref="AT85" ca="1">IFERROR(SMALL(IF(COUNTIF(Podcasts!$D$305:'Podcasts'!$D$473,ROW(INDIRECT("1:"&amp;K$2)))=0,ROW(INDIRECT("1:"&amp;K$2))),ROW($A42)),"")</f>
        <v>177</v>
      </c>
      <c r="AU85" s="117">
        <f t="array" aca="1" ref="AU85" ca="1">IFERROR(SMALL(IF(COUNTIF(Podcasts!$D$479:'Podcasts'!$D$488,ROW(INDIRECT("1:"&amp;K$2)))=0,ROW(INDIRECT("1:"&amp;K$2))),ROW($A42)),"")</f>
        <v>42</v>
      </c>
      <c r="AV85" s="117">
        <f t="array" aca="1" ref="AV85" ca="1">IFERROR(SMALL(IF(COUNTIF(Podcasts!$D$494:'Podcasts'!$D$518,ROW(INDIRECT("1:"&amp;K$2)))=0,ROW(INDIRECT("1:"&amp;K$2))),ROW($A42)),"")</f>
        <v>58</v>
      </c>
      <c r="AW85" s="117">
        <f t="array" aca="1" ref="AW85" ca="1">IFERROR(SMALL(IF(COUNTIF(Podcasts!$D$524:'Podcasts'!$D$532,ROW(INDIRECT("1:"&amp;K$2)))=0,ROW(INDIRECT("1:"&amp;K$2))),ROW($A42)),"")</f>
        <v>42</v>
      </c>
      <c r="AX85" s="117">
        <f t="array" aca="1" ref="AX85" ca="1">IFERROR(SMALL(IF(COUNTIF(Podcasts!$D$538:'Podcasts'!$D$909,ROW(INDIRECT("1:"&amp;K$2)))=0,ROW(INDIRECT("1:"&amp;K$2))),ROW($A42)),"")</f>
        <v>127</v>
      </c>
      <c r="AY85" s="117">
        <f t="array" aca="1" ref="AY85" ca="1">IFERROR(SMALL(IF(COUNTIF(Podcasts!$D$915:'Podcasts'!$D$981,ROW(INDIRECT("1:"&amp;K$2)))=0,ROW(INDIRECT("1:"&amp;K$2))),ROW($A42)),"")</f>
        <v>64</v>
      </c>
      <c r="AZ85" s="445"/>
      <c r="BA85" s="117">
        <f t="array" aca="1" ref="BA85" ca="1">IFERROR(SMALL(IF(COUNTIF(Podcasts!$D$1001:'Podcasts'!$D$1251,ROW(INDIRECT("1:"&amp;K$2)))=0,ROW(INDIRECT("1:"&amp;K$2))),ROW($A42)),"")</f>
        <v>68</v>
      </c>
      <c r="BB85" s="117">
        <f t="array" aca="1" ref="BB85" ca="1">IFERROR(SMALL(IF(COUNTIF(Podcasts!$D$1257:'Podcasts'!$D$1267,ROW(INDIRECT("1:"&amp;K$2)))=0,ROW(INDIRECT("1:"&amp;K$2))),ROW($A42)),"")</f>
        <v>43</v>
      </c>
      <c r="BC85" s="117">
        <f t="array" aca="1" ref="BC85" ca="1">IFERROR(SMALL(IF(COUNTIF(Podcasts!$D$1273:'Podcasts'!$D$1283,ROW(INDIRECT("1:"&amp;K$2)))=0,ROW(INDIRECT("1:"&amp;K$2))),ROW($A42)),"")</f>
        <v>46</v>
      </c>
      <c r="BD85" s="117">
        <f t="array" aca="1" ref="BD85" ca="1">IFERROR(SMALL(IF(COUNTIF(Podcasts!$D$1289:'Podcasts'!$D$1295,ROW(INDIRECT("1:"&amp;K$2)))=0,ROW(INDIRECT("1:"&amp;K$2))),ROW($A42)),"")</f>
        <v>44</v>
      </c>
      <c r="BE85" s="117">
        <f t="array" aca="1" ref="BE85" ca="1">IFERROR(SMALL(IF(COUNTIF(Podcasts!$D$1301:'Podcasts'!$D$1356,ROW(INDIRECT("1:"&amp;K$2)))=0,ROW(INDIRECT("1:"&amp;K$2))),ROW($A42)),"")</f>
        <v>89</v>
      </c>
      <c r="BF85" s="117">
        <f t="array" aca="1" ref="BF85" ca="1">IFERROR(SMALL(IF(COUNTIF(Podcasts!$D$1362:'Podcasts'!$D$1364,ROW(INDIRECT("1:"&amp;K$2)))=0,ROW(INDIRECT("1:"&amp;K$2))),ROW($A42)),"")</f>
        <v>45</v>
      </c>
      <c r="BG85" s="202">
        <f t="array" aca="1" ref="BG85" ca="1">IFERROR(SMALL(IF(COUNTIF(Podcasts!$D$1370:'Podcasts'!$D$1419,ROW(INDIRECT("1:"&amp;K$2)))=0,ROW(INDIRECT("1:"&amp;K$2))),ROW($A42)),"")</f>
        <v>50</v>
      </c>
      <c r="BH85" s="202">
        <f t="array" aca="1" ref="BH85" ca="1">IFERROR(SMALL(IF(COUNTIF(Podcasts!$D$1425:'Podcasts'!$D$1446,ROW(INDIRECT("1:"&amp;K$2)))=0,ROW(INDIRECT("1:"&amp;K$2))),ROW($A42)),"")</f>
        <v>46</v>
      </c>
      <c r="BI85" s="202">
        <f t="array" aca="1" ref="BI85" ca="1">IFERROR(SMALL(IF(COUNTIF(Podcasts!$D$1452:'Podcasts'!$D$1574,ROW(INDIRECT("1:"&amp;K$2)))=0,ROW(INDIRECT("1:"&amp;K$2))),ROW($A42)),"")</f>
        <v>81</v>
      </c>
      <c r="BJ85" s="202">
        <f t="array" aca="1" ref="BJ85" ca="1">IFERROR(SMALL(IF(COUNTIF(Podcasts!$D$1580:'Podcasts'!$D$1705,ROW(INDIRECT("1:"&amp;K$2)))=0,ROW(INDIRECT("1:"&amp;K$2))),ROW($A42)),"")</f>
        <v>74</v>
      </c>
      <c r="BK85" s="202">
        <f t="array" aca="1" ref="BK85" ca="1">IFERROR(SMALL(IF(COUNTIF(Podcasts!$D$1711:'Podcasts'!$D$1833,ROW(INDIRECT("1:"&amp;K$2)))=0,ROW(INDIRECT("1:"&amp;K$2))),ROW($A42)),"")</f>
        <v>82</v>
      </c>
      <c r="BL85" s="202">
        <f t="array" aca="1" ref="BL85" ca="1">IFERROR(SMALL(IF(COUNTIF(Podcasts!$D$1839:'Podcasts'!$D$1855,ROW(INDIRECT("1:"&amp;K$2)))=0,ROW(INDIRECT("1:"&amp;K$2))),ROW($A42)),"")</f>
        <v>47</v>
      </c>
      <c r="BM85" s="567">
        <f t="array" aca="1" ref="BM85" ca="1">IFERROR(SMALL(IF(COUNTIF(Podcasts!$D$1861:'Podcasts'!$D$1994,ROW(INDIRECT("1:"&amp;K$2)))=0,ROW(INDIRECT("1:"&amp;K$2))),ROW($A42)),"")</f>
        <v>54</v>
      </c>
      <c r="BN85" s="567">
        <f t="array" aca="1" ref="BN85" ca="1">IFERROR(SMALL(IF(COUNTIF(Podcasts!$D$2000:'Podcasts'!$D$2057,ROW(INDIRECT("1:"&amp;K$2)))=0,ROW(INDIRECT("1:"&amp;K$2))),ROW($A42)),"")</f>
        <v>97</v>
      </c>
      <c r="BO85" s="567">
        <f t="array" aca="1" ref="BO85" ca="1">IFERROR(SMALL(IF(COUNTIF(Podcasts!$D$2063:'Podcasts'!$D$2071,ROW(INDIRECT("1:"&amp;K$2)))=0,ROW(INDIRECT("1:"&amp;K$2))),ROW($A42)),"")</f>
        <v>42</v>
      </c>
      <c r="BP85" s="202">
        <f t="array" aca="1" ref="BP85" ca="1">IFERROR(SMALL(IF(COUNTIF(Podcasts!$D$2077:'Podcasts'!$D$2092,ROW(INDIRECT("1:"&amp;K$2)))=0,ROW(INDIRECT("1:"&amp;K$2))),ROW($A42)),"")</f>
        <v>52</v>
      </c>
      <c r="BQ85" s="741">
        <f t="array" aca="1" ref="BQ85" ca="1">IFERROR(SMALL(IF(COUNTIF(Podcasts!$D$2098:'Podcasts'!$D$2114,ROW(INDIRECT("1:"&amp;K$2)))=0,ROW(INDIRECT("1:"&amp;K$2))),ROW($A42)),"")</f>
        <v>44</v>
      </c>
      <c r="BR85" s="744">
        <f t="array" aca="1" ref="BR85" ca="1">IFERROR(SMALL(IF(COUNTIF(Podcasts!$D$2120:'Podcasts'!$D$2124,ROW(INDIRECT("1:"&amp;K$2)))=0,ROW(INDIRECT("1:"&amp;K$2))),ROW($A42)),"")</f>
        <v>44</v>
      </c>
      <c r="BS85" s="28"/>
    </row>
    <row r="86" spans="1:71" outlineLevel="1">
      <c r="A86" s="28"/>
      <c r="B86" s="161">
        <v>43</v>
      </c>
      <c r="C86" s="161">
        <f>COUNTIF(Podcasts!$D$10:'Podcasts'!$D$2535,B86)</f>
        <v>6</v>
      </c>
      <c r="D86" s="158" t="s">
        <v>1071</v>
      </c>
      <c r="E86" s="156" t="str">
        <f t="array" ref="E86">IF(F86="","",INDEX(Podcasts!$J$10:'Podcasts'!$J$2535,MATCH(F86&amp;$B86,Podcasts!$E$10:'Podcasts'!$E$2535&amp;Podcasts!$D$10:'Podcasts'!$D$2535,0)))</f>
        <v>Fürst</v>
      </c>
      <c r="F86" s="131">
        <f t="array" ref="F86">IF(COUNTIF(Podcasts!$D$10:'Podcasts'!$D$2535,$B86)&lt;COLUMN(A49),"",SMALL(IF(Podcasts!$D$10:'Podcasts'!$D$2535=$B86,Podcasts!$E$10:'Podcasts'!$E$2535),COLUMN(A49)))</f>
        <v>41803</v>
      </c>
      <c r="G86" s="132">
        <f t="array" ref="G86">IF(F86="","",INDEX(Podcasts!$F$10:'Podcasts'!$F$2535,MATCH(F86&amp;$B86,Podcasts!$E$10:'Podcasts'!$E$2535&amp;Podcasts!$D$10:'Podcasts'!$D$2535,0)))</f>
        <v>5.9027777777777846E-3</v>
      </c>
      <c r="H86" s="136" t="str">
        <f t="array" ref="H86">IF(I86="","",INDEX(Podcasts!$J$10:'Podcasts'!$J$2535,MATCH(I86&amp;$B86,Podcasts!$E$10:'Podcasts'!$E$2535&amp;Podcasts!$D$10:'Podcasts'!$D$2535,0)))</f>
        <v>Zentrale</v>
      </c>
      <c r="I86" s="133">
        <f t="array" ref="I86">IF(COUNTIF(Podcasts!$D$10:'Podcasts'!$D$2535,$B86)&lt;COLUMN(B49),"",SMALL(IF(Podcasts!$D$10:'Podcasts'!$D$2535=$B86,Podcasts!$E$10:'Podcasts'!$E$2535),COLUMN(B49)))</f>
        <v>43873.403321759259</v>
      </c>
      <c r="J86" s="132">
        <f t="array" ref="J86">IF(I86="","",INDEX(Podcasts!$F$10:'Podcasts'!$F$2535,MATCH(I86&amp;$B86,Podcasts!$E$10:'Podcasts'!$E$2535&amp;Podcasts!$D$10:'Podcasts'!$D$2535,0)))</f>
        <v>0.13048611111111111</v>
      </c>
      <c r="K86" s="136" t="str">
        <f t="array" ref="K86">IF(L86="","",INDEX(Podcasts!$J$10:'Podcasts'!$J$2535,MATCH(L86&amp;$B86,Podcasts!$E$10:'Podcasts'!$E$2535&amp;Podcasts!$D$10:'Podcasts'!$D$2535,0)))</f>
        <v>RBW</v>
      </c>
      <c r="L86" s="133">
        <f t="array" ref="L86">IF(COUNTIF(Podcasts!$D$10:'Podcasts'!$D$2535,$B86)&lt;COLUMN(C49),"",SMALL(IF(Podcasts!$D$10:'Podcasts'!$D$2535=$B86,Podcasts!$E$10:'Podcasts'!$E$2535),COLUMN(C49)))</f>
        <v>45190</v>
      </c>
      <c r="M86" s="132">
        <f t="array" ref="M86">IF(L86="","",INDEX(Podcasts!$F$10:'Podcasts'!$F$2535,MATCH(L86&amp;$B86,Podcasts!$E$10:'Podcasts'!$E$2535&amp;Podcasts!$D$10:'Podcasts'!$D$2535,0)))</f>
        <v>4.8692129629629627E-2</v>
      </c>
      <c r="N86" s="136" t="str">
        <f t="array" ref="N86">IF(O86="","",INDEX(Podcasts!$J$10:'Podcasts'!$J$2535,MATCH(O86&amp;$B86,Podcasts!$E$10:'Podcasts'!$E$2535&amp;Podcasts!$D$10:'Podcasts'!$D$2535,0)))</f>
        <v>???od</v>
      </c>
      <c r="O86" s="133">
        <f t="array" ref="O86">IF(COUNTIF(Podcasts!$D$10:'Podcasts'!$D$2535,$B86)&lt;COLUMN(D49),"",SMALL(IF(Podcasts!$D$10:'Podcasts'!$D$2535=$B86,Podcasts!$E$10:'Podcasts'!$E$2535),COLUMN(D49)))</f>
        <v>45235</v>
      </c>
      <c r="P86" s="132">
        <f t="array" ref="P86">IF(O86="","",INDEX(Podcasts!$F$10:'Podcasts'!$F$2535,MATCH(O86&amp;$B86,Podcasts!$E$10:'Podcasts'!$E$2535&amp;Podcasts!$D$10:'Podcasts'!$D$2535,0)))</f>
        <v>7.0856481481481479E-2</v>
      </c>
      <c r="Q86" s="136" t="str">
        <f t="array" ref="Q86">IF(R86="","",INDEX(Podcasts!$J$10:'Podcasts'!$J$2535,MATCH(R86&amp;$B86,Podcasts!$E$10:'Podcasts'!$E$2535&amp;Podcasts!$D$10:'Podcasts'!$D$2535,0)))</f>
        <v>Abfahrt</v>
      </c>
      <c r="R86" s="133">
        <f t="array" ref="R86">IF(COUNTIF(Podcasts!$D$10:'Podcasts'!$D$2535,$B86)&lt;COLUMN(E49),"",SMALL(IF(Podcasts!$D$10:'Podcasts'!$D$2535=$B86,Podcasts!$E$10:'Podcasts'!$E$2535),COLUMN(E49)))</f>
        <v>45310</v>
      </c>
      <c r="S86" s="132">
        <f t="array" ref="S86">IF(R86="","",INDEX(Podcasts!$F$10:'Podcasts'!$F$2535,MATCH(R86&amp;$B86,Podcasts!$E$10:'Podcasts'!$E$2535&amp;Podcasts!$D$10:'Podcasts'!$D$2535,0)))</f>
        <v>7.0439814814814816E-2</v>
      </c>
      <c r="T86" s="136" t="str">
        <f t="array" ref="T86">IF(U86="","",INDEX(Podcasts!$J$10:'Podcasts'!$J$2535,MATCH(U86&amp;$B86,Podcasts!$E$10:'Podcasts'!$E$2535&amp;Podcasts!$D$10:'Podcasts'!$D$2535,0)))</f>
        <v>Bobcast</v>
      </c>
      <c r="U86" s="133">
        <f t="array" ref="U86">IF(COUNTIF(Podcasts!$D$10:'Podcasts'!$D$2535,$B86)&lt;COLUMN(F49),"",SMALL(IF(Podcasts!$D$10:'Podcasts'!$D$2535=$B86,Podcasts!$E$10:'Podcasts'!$E$2535),COLUMN(F49)))</f>
        <v>45376</v>
      </c>
      <c r="V86" s="132">
        <f t="array" ref="V86">IF(U86="","",INDEX(Podcasts!$F$10:'Podcasts'!$F$2535,MATCH(U86&amp;$B86,Podcasts!$E$10:'Podcasts'!$E$2535&amp;Podcasts!$D$10:'Podcasts'!$D$2535,0)))</f>
        <v>3.9953703703703707E-2</v>
      </c>
      <c r="W86" s="136" t="str">
        <f t="array" ref="W86">IF(X86="","",INDEX(Podcasts!$J$10:'Podcasts'!$J$2535,MATCH(X86&amp;$B86,Podcasts!$E$10:'Podcasts'!$E$2535&amp;Podcasts!$D$10:'Podcasts'!$D$2535,0)))</f>
        <v/>
      </c>
      <c r="X86" s="133" t="str">
        <f t="array" ref="X86">IF(COUNTIF(Podcasts!$D$10:'Podcasts'!$D$2535,$B86)&lt;COLUMN(G49),"",SMALL(IF(Podcasts!$D$10:'Podcasts'!$D$2535=$B86,Podcasts!$E$10:'Podcasts'!$E$2535),COLUMN(G49)))</f>
        <v/>
      </c>
      <c r="Y86" s="132" t="str">
        <f t="array" ref="Y86">IF(X86="","",INDEX(Podcasts!$F$10:'Podcasts'!$F$2535,MATCH(X86&amp;$B86,Podcasts!$E$10:'Podcasts'!$E$2535&amp;Podcasts!$D$10:'Podcasts'!$D$2535,0)))</f>
        <v/>
      </c>
      <c r="Z86" s="136" t="str">
        <f t="array" ref="Z86">IF(AA86="","",INDEX(Podcasts!$J$10:'Podcasts'!$J$2535,MATCH(AA86&amp;$B86,Podcasts!$E$10:'Podcasts'!$E$2535&amp;Podcasts!$D$10:'Podcasts'!$D$2535,0)))</f>
        <v/>
      </c>
      <c r="AA86" s="134" t="str">
        <f t="array" ref="AA86">IF(COUNTIF(Podcasts!$D$10:'Podcasts'!$D$2535,$B86)&lt;COLUMN(H49),"",SMALL(IF(Podcasts!$D$10:'Podcasts'!$D$2535=$B86,Podcasts!$E$10:'Podcasts'!$E$2535),COLUMN(H49)))</f>
        <v/>
      </c>
      <c r="AB86" s="404" t="str">
        <f t="array" ref="AB86">IF(AA86="","",INDEX(Podcasts!$F$10:'Podcasts'!$F$2535,MATCH(AA86&amp;$B86,Podcasts!$E$10:'Podcasts'!$E$2535&amp;Podcasts!$D$10:'Podcasts'!$D$2535,0)))</f>
        <v/>
      </c>
      <c r="AC86" s="406" t="str">
        <f t="array" ref="AC86">IF(AD86="","",INDEX(Podcasts!$J$10:'Podcasts'!$J$2535,MATCH(AD86&amp;$B86,Podcasts!$E$10:'Podcasts'!$E$2535&amp;Podcasts!$D$10:'Podcasts'!$D$2535,0)))</f>
        <v/>
      </c>
      <c r="AD86" s="400" t="str">
        <f t="array" ref="AD86">IF(COUNTIF(Podcasts!$D$10:'Podcasts'!$D$2535,$B86)&lt;COLUMN(I49),"",SMALL(IF(Podcasts!$D$10:'Podcasts'!$D$2535=$B86,Podcasts!$E$10:'Podcasts'!$E$2535),COLUMN(I49)))</f>
        <v/>
      </c>
      <c r="AE86" s="401" t="str">
        <f t="array" ref="AE86">IF(AD86="","",INDEX(Podcasts!$F$10:'Podcasts'!$F$2535,MATCH(AD86&amp;$B86,Podcasts!$E$10:'Podcasts'!$E$2535&amp;Podcasts!$D$10:'Podcasts'!$D$2535,0)))</f>
        <v/>
      </c>
      <c r="AF86" s="406" t="str">
        <f t="array" ref="AF86">IF(AG86="","",INDEX(Podcasts!$J$10:'Podcasts'!$J$2535,MATCH(AG86&amp;$B86,Podcasts!$E$10:'Podcasts'!$E$2535&amp;Podcasts!$D$10:'Podcasts'!$D$2535,0)))</f>
        <v/>
      </c>
      <c r="AG86" s="400" t="str">
        <f t="array" ref="AG86">IF(COUNTIF(Podcasts!$D$10:'Podcasts'!$D$2535,$B86)&lt;COLUMN(J49),"",SMALL(IF(Podcasts!$D$10:'Podcasts'!$D$2535=$B86,Podcasts!$E$10:'Podcasts'!$E$2535),COLUMN(J49)))</f>
        <v/>
      </c>
      <c r="AH86" s="401" t="str">
        <f t="array" ref="AH86">IF(AG86="","",INDEX(Podcasts!$F$10:'Podcasts'!$F$2535,MATCH(AG86&amp;$B86,Podcasts!$E$10:'Podcasts'!$E$2535&amp;Podcasts!$D$10:'Podcasts'!$D$2535,0)))</f>
        <v/>
      </c>
      <c r="AI86" s="406" t="str">
        <f t="array" ref="AI86">IF(AJ86="","",INDEX(Podcasts!$J$10:'Podcasts'!$J$2535,MATCH(AJ86&amp;$B86,Podcasts!$E$10:'Podcasts'!$E$2535&amp;Podcasts!$D$10:'Podcasts'!$D$2535,0)))</f>
        <v/>
      </c>
      <c r="AJ86" s="400" t="str">
        <f t="array" ref="AJ86">IF(COUNTIF(Podcasts!$D$10:'Podcasts'!$D$2535,$B86)&lt;COLUMN(K49),"",SMALL(IF(Podcasts!$D$10:'Podcasts'!$D$2535=$B86,Podcasts!$E$10:'Podcasts'!$E$2535),COLUMN(K49)))</f>
        <v/>
      </c>
      <c r="AK86" s="401" t="str">
        <f t="array" ref="AK86">IF(AJ86="","",INDEX(Podcasts!$F$10:'Podcasts'!$F$2535,MATCH(AJ86&amp;$B86,Podcasts!$E$10:'Podcasts'!$E$2535&amp;Podcasts!$D$10:'Podcasts'!$D$2535,0)))</f>
        <v/>
      </c>
      <c r="AL86" s="406" t="str">
        <f t="array" ref="AL86">IF(AM86="","",INDEX(Podcasts!$J$10:'Podcasts'!$J$2535,MATCH(AM86&amp;$B86,Podcasts!$E$10:'Podcasts'!$E$2535&amp;Podcasts!$D$10:'Podcasts'!$D$2535,0)))</f>
        <v/>
      </c>
      <c r="AM86" s="400" t="str">
        <f t="array" ref="AM86">IF(COUNTIF(Podcasts!$D$10:'Podcasts'!$D$2535,$B86)&lt;COLUMN(L49),"",SMALL(IF(Podcasts!$D$10:'Podcasts'!$D$2535=$B86,Podcasts!$E$10:'Podcasts'!$E$2535),COLUMN(L49)))</f>
        <v/>
      </c>
      <c r="AN86" s="401" t="str">
        <f t="array" ref="AN86">IF(AM86="","",INDEX(Podcasts!$F$10:'Podcasts'!$F$2535,MATCH(AM86&amp;$B86,Podcasts!$E$10:'Podcasts'!$E$2535&amp;Podcasts!$D$10:'Podcasts'!$D$2535,0)))</f>
        <v/>
      </c>
      <c r="AO86" s="402"/>
      <c r="AP86" s="119"/>
      <c r="AQ86" s="117">
        <f t="array" aca="1" ref="AQ86" ca="1">IFERROR(SMALL(IF(COUNTIF(Podcasts!$D$10:'Podcasts'!$D$107,ROW(INDIRECT("1:"&amp;K$2)))=0,ROW(INDIRECT("1:"&amp;K$2))),ROW($A43)),"")</f>
        <v>64</v>
      </c>
      <c r="AR86" s="117">
        <f t="array" aca="1" ref="AR86" ca="1">IFERROR(SMALL(IF(COUNTIF(Podcasts!$D$113:'Podcasts'!$D$238,ROW(INDIRECT("1:"&amp;K$2)))=0,ROW(INDIRECT("1:"&amp;K$2))),ROW($A43)),"")</f>
        <v>43</v>
      </c>
      <c r="AS86" s="117">
        <f t="array" aca="1" ref="AS86" ca="1">IFERROR(SMALL(IF(COUNTIF(Podcasts!$D$244:'Podcasts'!$D$299,ROW(INDIRECT("1:"&amp;K$2)))=0,ROW(INDIRECT("1:"&amp;K$2))),ROW($A43)),"")</f>
        <v>59</v>
      </c>
      <c r="AT86" s="117">
        <f t="array" aca="1" ref="AT86" ca="1">IFERROR(SMALL(IF(COUNTIF(Podcasts!$D$305:'Podcasts'!$D$473,ROW(INDIRECT("1:"&amp;K$2)))=0,ROW(INDIRECT("1:"&amp;K$2))),ROW($A43)),"")</f>
        <v>178</v>
      </c>
      <c r="AU86" s="117">
        <f t="array" aca="1" ref="AU86" ca="1">IFERROR(SMALL(IF(COUNTIF(Podcasts!$D$479:'Podcasts'!$D$488,ROW(INDIRECT("1:"&amp;K$2)))=0,ROW(INDIRECT("1:"&amp;K$2))),ROW($A43)),"")</f>
        <v>43</v>
      </c>
      <c r="AV86" s="117">
        <f t="array" aca="1" ref="AV86" ca="1">IFERROR(SMALL(IF(COUNTIF(Podcasts!$D$494:'Podcasts'!$D$518,ROW(INDIRECT("1:"&amp;K$2)))=0,ROW(INDIRECT("1:"&amp;K$2))),ROW($A43)),"")</f>
        <v>59</v>
      </c>
      <c r="AW86" s="117">
        <f t="array" aca="1" ref="AW86" ca="1">IFERROR(SMALL(IF(COUNTIF(Podcasts!$D$524:'Podcasts'!$D$532,ROW(INDIRECT("1:"&amp;K$2)))=0,ROW(INDIRECT("1:"&amp;K$2))),ROW($A43)),"")</f>
        <v>43</v>
      </c>
      <c r="AX86" s="117">
        <f t="array" aca="1" ref="AX86" ca="1">IFERROR(SMALL(IF(COUNTIF(Podcasts!$D$538:'Podcasts'!$D$909,ROW(INDIRECT("1:"&amp;K$2)))=0,ROW(INDIRECT("1:"&amp;K$2))),ROW($A43)),"")</f>
        <v>133</v>
      </c>
      <c r="AY86" s="117">
        <f t="array" aca="1" ref="AY86" ca="1">IFERROR(SMALL(IF(COUNTIF(Podcasts!$D$915:'Podcasts'!$D$981,ROW(INDIRECT("1:"&amp;K$2)))=0,ROW(INDIRECT("1:"&amp;K$2))),ROW($A43)),"")</f>
        <v>65</v>
      </c>
      <c r="AZ86" s="445"/>
      <c r="BA86" s="117">
        <f t="array" aca="1" ref="BA86" ca="1">IFERROR(SMALL(IF(COUNTIF(Podcasts!$D$1001:'Podcasts'!$D$1251,ROW(INDIRECT("1:"&amp;K$2)))=0,ROW(INDIRECT("1:"&amp;K$2))),ROW($A43)),"")</f>
        <v>71</v>
      </c>
      <c r="BB86" s="117">
        <f t="array" aca="1" ref="BB86" ca="1">IFERROR(SMALL(IF(COUNTIF(Podcasts!$D$1257:'Podcasts'!$D$1267,ROW(INDIRECT("1:"&amp;K$2)))=0,ROW(INDIRECT("1:"&amp;K$2))),ROW($A43)),"")</f>
        <v>44</v>
      </c>
      <c r="BC86" s="117">
        <f t="array" aca="1" ref="BC86" ca="1">IFERROR(SMALL(IF(COUNTIF(Podcasts!$D$1273:'Podcasts'!$D$1283,ROW(INDIRECT("1:"&amp;K$2)))=0,ROW(INDIRECT("1:"&amp;K$2))),ROW($A43)),"")</f>
        <v>47</v>
      </c>
      <c r="BD86" s="117">
        <f t="array" aca="1" ref="BD86" ca="1">IFERROR(SMALL(IF(COUNTIF(Podcasts!$D$1289:'Podcasts'!$D$1295,ROW(INDIRECT("1:"&amp;K$2)))=0,ROW(INDIRECT("1:"&amp;K$2))),ROW($A43)),"")</f>
        <v>45</v>
      </c>
      <c r="BE86" s="117">
        <f t="array" aca="1" ref="BE86" ca="1">IFERROR(SMALL(IF(COUNTIF(Podcasts!$D$1301:'Podcasts'!$D$1356,ROW(INDIRECT("1:"&amp;K$2)))=0,ROW(INDIRECT("1:"&amp;K$2))),ROW($A43)),"")</f>
        <v>90</v>
      </c>
      <c r="BF86" s="117">
        <f t="array" aca="1" ref="BF86" ca="1">IFERROR(SMALL(IF(COUNTIF(Podcasts!$D$1362:'Podcasts'!$D$1364,ROW(INDIRECT("1:"&amp;K$2)))=0,ROW(INDIRECT("1:"&amp;K$2))),ROW($A43)),"")</f>
        <v>46</v>
      </c>
      <c r="BG86" s="202">
        <f t="array" aca="1" ref="BG86" ca="1">IFERROR(SMALL(IF(COUNTIF(Podcasts!$D$1370:'Podcasts'!$D$1419,ROW(INDIRECT("1:"&amp;K$2)))=0,ROW(INDIRECT("1:"&amp;K$2))),ROW($A43)),"")</f>
        <v>51</v>
      </c>
      <c r="BH86" s="202">
        <f t="array" aca="1" ref="BH86" ca="1">IFERROR(SMALL(IF(COUNTIF(Podcasts!$D$1425:'Podcasts'!$D$1446,ROW(INDIRECT("1:"&amp;K$2)))=0,ROW(INDIRECT("1:"&amp;K$2))),ROW($A43)),"")</f>
        <v>47</v>
      </c>
      <c r="BI86" s="202">
        <f t="array" aca="1" ref="BI86" ca="1">IFERROR(SMALL(IF(COUNTIF(Podcasts!$D$1452:'Podcasts'!$D$1574,ROW(INDIRECT("1:"&amp;K$2)))=0,ROW(INDIRECT("1:"&amp;K$2))),ROW($A43)),"")</f>
        <v>82</v>
      </c>
      <c r="BJ86" s="202">
        <f t="array" aca="1" ref="BJ86" ca="1">IFERROR(SMALL(IF(COUNTIF(Podcasts!$D$1580:'Podcasts'!$D$1705,ROW(INDIRECT("1:"&amp;K$2)))=0,ROW(INDIRECT("1:"&amp;K$2))),ROW($A43)),"")</f>
        <v>80</v>
      </c>
      <c r="BK86" s="202">
        <f t="array" aca="1" ref="BK86" ca="1">IFERROR(SMALL(IF(COUNTIF(Podcasts!$D$1711:'Podcasts'!$D$1833,ROW(INDIRECT("1:"&amp;K$2)))=0,ROW(INDIRECT("1:"&amp;K$2))),ROW($A43)),"")</f>
        <v>83</v>
      </c>
      <c r="BL86" s="202">
        <f t="array" aca="1" ref="BL86" ca="1">IFERROR(SMALL(IF(COUNTIF(Podcasts!$D$1839:'Podcasts'!$D$1855,ROW(INDIRECT("1:"&amp;K$2)))=0,ROW(INDIRECT("1:"&amp;K$2))),ROW($A43)),"")</f>
        <v>48</v>
      </c>
      <c r="BM86" s="567">
        <f t="array" aca="1" ref="BM86" ca="1">IFERROR(SMALL(IF(COUNTIF(Podcasts!$D$1861:'Podcasts'!$D$1994,ROW(INDIRECT("1:"&amp;K$2)))=0,ROW(INDIRECT("1:"&amp;K$2))),ROW($A43)),"")</f>
        <v>55</v>
      </c>
      <c r="BN86" s="567">
        <f t="array" aca="1" ref="BN86" ca="1">IFERROR(SMALL(IF(COUNTIF(Podcasts!$D$2000:'Podcasts'!$D$2057,ROW(INDIRECT("1:"&amp;K$2)))=0,ROW(INDIRECT("1:"&amp;K$2))),ROW($A43)),"")</f>
        <v>98</v>
      </c>
      <c r="BO86" s="567">
        <f t="array" aca="1" ref="BO86" ca="1">IFERROR(SMALL(IF(COUNTIF(Podcasts!$D$2063:'Podcasts'!$D$2071,ROW(INDIRECT("1:"&amp;K$2)))=0,ROW(INDIRECT("1:"&amp;K$2))),ROW($A43)),"")</f>
        <v>43</v>
      </c>
      <c r="BP86" s="202">
        <f t="array" aca="1" ref="BP86" ca="1">IFERROR(SMALL(IF(COUNTIF(Podcasts!$D$2077:'Podcasts'!$D$2092,ROW(INDIRECT("1:"&amp;K$2)))=0,ROW(INDIRECT("1:"&amp;K$2))),ROW($A43)),"")</f>
        <v>53</v>
      </c>
      <c r="BQ86" s="741">
        <f t="array" aca="1" ref="BQ86" ca="1">IFERROR(SMALL(IF(COUNTIF(Podcasts!$D$2098:'Podcasts'!$D$2114,ROW(INDIRECT("1:"&amp;K$2)))=0,ROW(INDIRECT("1:"&amp;K$2))),ROW($A43)),"")</f>
        <v>45</v>
      </c>
      <c r="BR86" s="744">
        <f t="array" aca="1" ref="BR86" ca="1">IFERROR(SMALL(IF(COUNTIF(Podcasts!$D$2120:'Podcasts'!$D$2124,ROW(INDIRECT("1:"&amp;K$2)))=0,ROW(INDIRECT("1:"&amp;K$2))),ROW($A43)),"")</f>
        <v>45</v>
      </c>
      <c r="BS86" s="28"/>
    </row>
    <row r="87" spans="1:71" outlineLevel="1">
      <c r="A87" s="28"/>
      <c r="B87" s="161">
        <v>44</v>
      </c>
      <c r="C87" s="161">
        <f>COUNTIF(Podcasts!$D$10:'Podcasts'!$D$2535,B87)</f>
        <v>8</v>
      </c>
      <c r="D87" s="158" t="s">
        <v>1072</v>
      </c>
      <c r="E87" s="156" t="str">
        <f t="array" ref="E87">IF(F87="","",INDEX(Podcasts!$J$10:'Podcasts'!$J$2535,MATCH(F87&amp;$B87,Podcasts!$E$10:'Podcasts'!$E$2535&amp;Podcasts!$D$10:'Podcasts'!$D$2535,0)))</f>
        <v>Fürst</v>
      </c>
      <c r="F87" s="131">
        <f t="array" ref="F87">IF(COUNTIF(Podcasts!$D$10:'Podcasts'!$D$2535,$B87)&lt;COLUMN(A50),"",SMALL(IF(Podcasts!$D$10:'Podcasts'!$D$2535=$B87,Podcasts!$E$10:'Podcasts'!$E$2535),COLUMN(A50)))</f>
        <v>41803</v>
      </c>
      <c r="G87" s="132">
        <f t="array" ref="G87">IF(F87="","",INDEX(Podcasts!$F$10:'Podcasts'!$F$2535,MATCH(F87&amp;$B87,Podcasts!$E$10:'Podcasts'!$E$2535&amp;Podcasts!$D$10:'Podcasts'!$D$2535,0)))</f>
        <v>7.9282407407407426E-3</v>
      </c>
      <c r="H87" s="136" t="str">
        <f t="array" ref="H87">IF(I87="","",INDEX(Podcasts!$J$10:'Podcasts'!$J$2535,MATCH(I87&amp;$B87,Podcasts!$E$10:'Podcasts'!$E$2535&amp;Podcasts!$D$10:'Podcasts'!$D$2535,0)))</f>
        <v>Zentrale</v>
      </c>
      <c r="I87" s="133">
        <f t="array" ref="I87">IF(COUNTIF(Podcasts!$D$10:'Podcasts'!$D$2535,$B87)&lt;COLUMN(B50),"",SMALL(IF(Podcasts!$D$10:'Podcasts'!$D$2535=$B87,Podcasts!$E$10:'Podcasts'!$E$2535),COLUMN(B50)))</f>
        <v>43982</v>
      </c>
      <c r="J87" s="132">
        <f t="array" ref="J87">IF(I87="","",INDEX(Podcasts!$F$10:'Podcasts'!$F$2535,MATCH(I87&amp;$B87,Podcasts!$E$10:'Podcasts'!$E$2535&amp;Podcasts!$D$10:'Podcasts'!$D$2535,0)))</f>
        <v>0.13915509259259259</v>
      </c>
      <c r="K87" s="136" t="str">
        <f t="array" ref="K87">IF(L87="","",INDEX(Podcasts!$J$10:'Podcasts'!$J$2535,MATCH(L87&amp;$B87,Podcasts!$E$10:'Podcasts'!$E$2535&amp;Podcasts!$D$10:'Podcasts'!$D$2535,0)))</f>
        <v>SSP</v>
      </c>
      <c r="L87" s="133">
        <f t="array" ref="L87">IF(COUNTIF(Podcasts!$D$10:'Podcasts'!$D$2535,$B87)&lt;COLUMN(C50),"",SMALL(IF(Podcasts!$D$10:'Podcasts'!$D$2535=$B87,Podcasts!$E$10:'Podcasts'!$E$2535),COLUMN(C50)))</f>
        <v>44054</v>
      </c>
      <c r="M87" s="132">
        <f t="array" ref="M87">IF(L87="","",INDEX(Podcasts!$F$10:'Podcasts'!$F$2535,MATCH(L87&amp;$B87,Podcasts!$E$10:'Podcasts'!$E$2535&amp;Podcasts!$D$10:'Podcasts'!$D$2535,0)))</f>
        <v>9.7719907407407394E-2</v>
      </c>
      <c r="N87" s="136" t="str">
        <f t="array" ref="N87">IF(O87="","",INDEX(Podcasts!$J$10:'Podcasts'!$J$2535,MATCH(O87&amp;$B87,Podcasts!$E$10:'Podcasts'!$E$2535&amp;Podcasts!$D$10:'Podcasts'!$D$2535,0)))</f>
        <v>Zeichen</v>
      </c>
      <c r="O87" s="133">
        <f t="array" ref="O87">IF(COUNTIF(Podcasts!$D$10:'Podcasts'!$D$2535,$B87)&lt;COLUMN(D50),"",SMALL(IF(Podcasts!$D$10:'Podcasts'!$D$2535=$B87,Podcasts!$E$10:'Podcasts'!$E$2535),COLUMN(D50)))</f>
        <v>45169</v>
      </c>
      <c r="P87" s="132">
        <f t="array" ref="P87">IF(O87="","",INDEX(Podcasts!$F$10:'Podcasts'!$F$2535,MATCH(O87&amp;$B87,Podcasts!$E$10:'Podcasts'!$E$2535&amp;Podcasts!$D$10:'Podcasts'!$D$2535,0)))</f>
        <v>8.6990740740740743E-2</v>
      </c>
      <c r="Q87" s="136" t="str">
        <f t="array" ref="Q87">IF(R87="","",INDEX(Podcasts!$J$10:'Podcasts'!$J$2535,MATCH(R87&amp;$B87,Podcasts!$E$10:'Podcasts'!$E$2535&amp;Podcasts!$D$10:'Podcasts'!$D$2535,0)))</f>
        <v>RBW</v>
      </c>
      <c r="R87" s="133">
        <f t="array" ref="R87">IF(COUNTIF(Podcasts!$D$10:'Podcasts'!$D$2535,$B87)&lt;COLUMN(E50),"",SMALL(IF(Podcasts!$D$10:'Podcasts'!$D$2535=$B87,Podcasts!$E$10:'Podcasts'!$E$2535),COLUMN(E50)))</f>
        <v>45197</v>
      </c>
      <c r="S87" s="132">
        <f t="array" ref="S87">IF(R87="","",INDEX(Podcasts!$F$10:'Podcasts'!$F$2535,MATCH(R87&amp;$B87,Podcasts!$E$10:'Podcasts'!$E$2535&amp;Podcasts!$D$10:'Podcasts'!$D$2535,0)))</f>
        <v>3.740740740740741E-2</v>
      </c>
      <c r="T87" s="136" t="str">
        <f t="array" ref="T87">IF(U87="","",INDEX(Podcasts!$J$10:'Podcasts'!$J$2535,MATCH(U87&amp;$B87,Podcasts!$E$10:'Podcasts'!$E$2535&amp;Podcasts!$D$10:'Podcasts'!$D$2535,0)))</f>
        <v>Kaffee</v>
      </c>
      <c r="U87" s="133">
        <f t="array" ref="U87">IF(COUNTIF(Podcasts!$D$10:'Podcasts'!$D$2535,$B87)&lt;COLUMN(F50),"",SMALL(IF(Podcasts!$D$10:'Podcasts'!$D$2535=$B87,Podcasts!$E$10:'Podcasts'!$E$2535),COLUMN(F50)))</f>
        <v>45205</v>
      </c>
      <c r="V87" s="132">
        <f t="array" ref="V87">IF(U87="","",INDEX(Podcasts!$F$10:'Podcasts'!$F$2535,MATCH(U87&amp;$B87,Podcasts!$E$10:'Podcasts'!$E$2535&amp;Podcasts!$D$10:'Podcasts'!$D$2535,0)))</f>
        <v>5.1006944444444445E-2</v>
      </c>
      <c r="W87" s="136" t="str">
        <f t="array" ref="W87">IF(X87="","",INDEX(Podcasts!$J$10:'Podcasts'!$J$2535,MATCH(X87&amp;$B87,Podcasts!$E$10:'Podcasts'!$E$2535&amp;Podcasts!$D$10:'Podcasts'!$D$2535,0)))</f>
        <v>Abfahrt</v>
      </c>
      <c r="X87" s="133">
        <f t="array" ref="X87">IF(COUNTIF(Podcasts!$D$10:'Podcasts'!$D$2535,$B87)&lt;COLUMN(G50),"",SMALL(IF(Podcasts!$D$10:'Podcasts'!$D$2535=$B87,Podcasts!$E$10:'Podcasts'!$E$2535),COLUMN(G50)))</f>
        <v>45338</v>
      </c>
      <c r="Y87" s="132">
        <f t="array" ref="Y87">IF(X87="","",INDEX(Podcasts!$F$10:'Podcasts'!$F$2535,MATCH(X87&amp;$B87,Podcasts!$E$10:'Podcasts'!$E$2535&amp;Podcasts!$D$10:'Podcasts'!$D$2535,0)))</f>
        <v>8.0428240740740745E-2</v>
      </c>
      <c r="Z87" s="136" t="str">
        <f t="array" ref="Z87">IF(AA87="","",INDEX(Podcasts!$J$10:'Podcasts'!$J$2535,MATCH(AA87&amp;$B87,Podcasts!$E$10:'Podcasts'!$E$2535&amp;Podcasts!$D$10:'Podcasts'!$D$2535,0)))</f>
        <v>Bobcast</v>
      </c>
      <c r="AA87" s="134">
        <f t="array" ref="AA87">IF(COUNTIF(Podcasts!$D$10:'Podcasts'!$D$2535,$B87)&lt;COLUMN(H50),"",SMALL(IF(Podcasts!$D$10:'Podcasts'!$D$2535=$B87,Podcasts!$E$10:'Podcasts'!$E$2535),COLUMN(H50)))</f>
        <v>45390</v>
      </c>
      <c r="AB87" s="404">
        <f t="array" ref="AB87">IF(AA87="","",INDEX(Podcasts!$F$10:'Podcasts'!$F$2535,MATCH(AA87&amp;$B87,Podcasts!$E$10:'Podcasts'!$E$2535&amp;Podcasts!$D$10:'Podcasts'!$D$2535,0)))</f>
        <v>3.2754629629629627E-2</v>
      </c>
      <c r="AC87" s="406" t="str">
        <f t="array" ref="AC87">IF(AD87="","",INDEX(Podcasts!$J$10:'Podcasts'!$J$2535,MATCH(AD87&amp;$B87,Podcasts!$E$10:'Podcasts'!$E$2535&amp;Podcasts!$D$10:'Podcasts'!$D$2535,0)))</f>
        <v/>
      </c>
      <c r="AD87" s="400" t="str">
        <f t="array" ref="AD87">IF(COUNTIF(Podcasts!$D$10:'Podcasts'!$D$2535,$B87)&lt;COLUMN(I50),"",SMALL(IF(Podcasts!$D$10:'Podcasts'!$D$2535=$B87,Podcasts!$E$10:'Podcasts'!$E$2535),COLUMN(I50)))</f>
        <v/>
      </c>
      <c r="AE87" s="401" t="str">
        <f t="array" ref="AE87">IF(AD87="","",INDEX(Podcasts!$F$10:'Podcasts'!$F$2535,MATCH(AD87&amp;$B87,Podcasts!$E$10:'Podcasts'!$E$2535&amp;Podcasts!$D$10:'Podcasts'!$D$2535,0)))</f>
        <v/>
      </c>
      <c r="AF87" s="406" t="str">
        <f t="array" ref="AF87">IF(AG87="","",INDEX(Podcasts!$J$10:'Podcasts'!$J$2535,MATCH(AG87&amp;$B87,Podcasts!$E$10:'Podcasts'!$E$2535&amp;Podcasts!$D$10:'Podcasts'!$D$2535,0)))</f>
        <v/>
      </c>
      <c r="AG87" s="400" t="str">
        <f t="array" ref="AG87">IF(COUNTIF(Podcasts!$D$10:'Podcasts'!$D$2535,$B87)&lt;COLUMN(J50),"",SMALL(IF(Podcasts!$D$10:'Podcasts'!$D$2535=$B87,Podcasts!$E$10:'Podcasts'!$E$2535),COLUMN(J50)))</f>
        <v/>
      </c>
      <c r="AH87" s="401" t="str">
        <f t="array" ref="AH87">IF(AG87="","",INDEX(Podcasts!$F$10:'Podcasts'!$F$2535,MATCH(AG87&amp;$B87,Podcasts!$E$10:'Podcasts'!$E$2535&amp;Podcasts!$D$10:'Podcasts'!$D$2535,0)))</f>
        <v/>
      </c>
      <c r="AI87" s="406" t="str">
        <f t="array" ref="AI87">IF(AJ87="","",INDEX(Podcasts!$J$10:'Podcasts'!$J$2535,MATCH(AJ87&amp;$B87,Podcasts!$E$10:'Podcasts'!$E$2535&amp;Podcasts!$D$10:'Podcasts'!$D$2535,0)))</f>
        <v/>
      </c>
      <c r="AJ87" s="400" t="str">
        <f t="array" ref="AJ87">IF(COUNTIF(Podcasts!$D$10:'Podcasts'!$D$2535,$B87)&lt;COLUMN(K50),"",SMALL(IF(Podcasts!$D$10:'Podcasts'!$D$2535=$B87,Podcasts!$E$10:'Podcasts'!$E$2535),COLUMN(K50)))</f>
        <v/>
      </c>
      <c r="AK87" s="401" t="str">
        <f t="array" ref="AK87">IF(AJ87="","",INDEX(Podcasts!$F$10:'Podcasts'!$F$2535,MATCH(AJ87&amp;$B87,Podcasts!$E$10:'Podcasts'!$E$2535&amp;Podcasts!$D$10:'Podcasts'!$D$2535,0)))</f>
        <v/>
      </c>
      <c r="AL87" s="406" t="str">
        <f t="array" ref="AL87">IF(AM87="","",INDEX(Podcasts!$J$10:'Podcasts'!$J$2535,MATCH(AM87&amp;$B87,Podcasts!$E$10:'Podcasts'!$E$2535&amp;Podcasts!$D$10:'Podcasts'!$D$2535,0)))</f>
        <v/>
      </c>
      <c r="AM87" s="400" t="str">
        <f t="array" ref="AM87">IF(COUNTIF(Podcasts!$D$10:'Podcasts'!$D$2535,$B87)&lt;COLUMN(L50),"",SMALL(IF(Podcasts!$D$10:'Podcasts'!$D$2535=$B87,Podcasts!$E$10:'Podcasts'!$E$2535),COLUMN(L50)))</f>
        <v/>
      </c>
      <c r="AN87" s="401" t="str">
        <f t="array" ref="AN87">IF(AM87="","",INDEX(Podcasts!$F$10:'Podcasts'!$F$2535,MATCH(AM87&amp;$B87,Podcasts!$E$10:'Podcasts'!$E$2535&amp;Podcasts!$D$10:'Podcasts'!$D$2535,0)))</f>
        <v/>
      </c>
      <c r="AO87" s="402"/>
      <c r="AP87" s="119"/>
      <c r="AQ87" s="117">
        <f t="array" aca="1" ref="AQ87" ca="1">IFERROR(SMALL(IF(COUNTIF(Podcasts!$D$10:'Podcasts'!$D$107,ROW(INDIRECT("1:"&amp;K$2)))=0,ROW(INDIRECT("1:"&amp;K$2))),ROW($A44)),"")</f>
        <v>65</v>
      </c>
      <c r="AR87" s="117">
        <f t="array" aca="1" ref="AR87" ca="1">IFERROR(SMALL(IF(COUNTIF(Podcasts!$D$113:'Podcasts'!$D$238,ROW(INDIRECT("1:"&amp;K$2)))=0,ROW(INDIRECT("1:"&amp;K$2))),ROW($A44)),"")</f>
        <v>44</v>
      </c>
      <c r="AS87" s="117">
        <f t="array" aca="1" ref="AS87" ca="1">IFERROR(SMALL(IF(COUNTIF(Podcasts!$D$244:'Podcasts'!$D$299,ROW(INDIRECT("1:"&amp;K$2)))=0,ROW(INDIRECT("1:"&amp;K$2))),ROW($A44)),"")</f>
        <v>60</v>
      </c>
      <c r="AT87" s="117">
        <f t="array" aca="1" ref="AT87" ca="1">IFERROR(SMALL(IF(COUNTIF(Podcasts!$D$305:'Podcasts'!$D$473,ROW(INDIRECT("1:"&amp;K$2)))=0,ROW(INDIRECT("1:"&amp;K$2))),ROW($A44)),"")</f>
        <v>179</v>
      </c>
      <c r="AU87" s="117">
        <f t="array" aca="1" ref="AU87" ca="1">IFERROR(SMALL(IF(COUNTIF(Podcasts!$D$479:'Podcasts'!$D$488,ROW(INDIRECT("1:"&amp;K$2)))=0,ROW(INDIRECT("1:"&amp;K$2))),ROW($A44)),"")</f>
        <v>44</v>
      </c>
      <c r="AV87" s="117">
        <f t="array" aca="1" ref="AV87" ca="1">IFERROR(SMALL(IF(COUNTIF(Podcasts!$D$494:'Podcasts'!$D$518,ROW(INDIRECT("1:"&amp;K$2)))=0,ROW(INDIRECT("1:"&amp;K$2))),ROW($A44)),"")</f>
        <v>60</v>
      </c>
      <c r="AW87" s="117">
        <f t="array" aca="1" ref="AW87" ca="1">IFERROR(SMALL(IF(COUNTIF(Podcasts!$D$524:'Podcasts'!$D$532,ROW(INDIRECT("1:"&amp;K$2)))=0,ROW(INDIRECT("1:"&amp;K$2))),ROW($A44)),"")</f>
        <v>44</v>
      </c>
      <c r="AX87" s="117">
        <f t="array" aca="1" ref="AX87" ca="1">IFERROR(SMALL(IF(COUNTIF(Podcasts!$D$538:'Podcasts'!$D$909,ROW(INDIRECT("1:"&amp;K$2)))=0,ROW(INDIRECT("1:"&amp;K$2))),ROW($A44)),"")</f>
        <v>134</v>
      </c>
      <c r="AY87" s="117">
        <f t="array" aca="1" ref="AY87" ca="1">IFERROR(SMALL(IF(COUNTIF(Podcasts!$D$915:'Podcasts'!$D$981,ROW(INDIRECT("1:"&amp;K$2)))=0,ROW(INDIRECT("1:"&amp;K$2))),ROW($A44)),"")</f>
        <v>66</v>
      </c>
      <c r="AZ87" s="445"/>
      <c r="BA87" s="117">
        <f t="array" aca="1" ref="BA87" ca="1">IFERROR(SMALL(IF(COUNTIF(Podcasts!$D$1001:'Podcasts'!$D$1251,ROW(INDIRECT("1:"&amp;K$2)))=0,ROW(INDIRECT("1:"&amp;K$2))),ROW($A44)),"")</f>
        <v>72</v>
      </c>
      <c r="BB87" s="117">
        <f t="array" aca="1" ref="BB87" ca="1">IFERROR(SMALL(IF(COUNTIF(Podcasts!$D$1257:'Podcasts'!$D$1267,ROW(INDIRECT("1:"&amp;K$2)))=0,ROW(INDIRECT("1:"&amp;K$2))),ROW($A44)),"")</f>
        <v>45</v>
      </c>
      <c r="BC87" s="117">
        <f t="array" aca="1" ref="BC87" ca="1">IFERROR(SMALL(IF(COUNTIF(Podcasts!$D$1273:'Podcasts'!$D$1283,ROW(INDIRECT("1:"&amp;K$2)))=0,ROW(INDIRECT("1:"&amp;K$2))),ROW($A44)),"")</f>
        <v>48</v>
      </c>
      <c r="BD87" s="117">
        <f t="array" aca="1" ref="BD87" ca="1">IFERROR(SMALL(IF(COUNTIF(Podcasts!$D$1289:'Podcasts'!$D$1295,ROW(INDIRECT("1:"&amp;K$2)))=0,ROW(INDIRECT("1:"&amp;K$2))),ROW($A44)),"")</f>
        <v>46</v>
      </c>
      <c r="BE87" s="117">
        <f t="array" aca="1" ref="BE87" ca="1">IFERROR(SMALL(IF(COUNTIF(Podcasts!$D$1301:'Podcasts'!$D$1356,ROW(INDIRECT("1:"&amp;K$2)))=0,ROW(INDIRECT("1:"&amp;K$2))),ROW($A44)),"")</f>
        <v>91</v>
      </c>
      <c r="BF87" s="117">
        <f t="array" aca="1" ref="BF87" ca="1">IFERROR(SMALL(IF(COUNTIF(Podcasts!$D$1362:'Podcasts'!$D$1364,ROW(INDIRECT("1:"&amp;K$2)))=0,ROW(INDIRECT("1:"&amp;K$2))),ROW($A44)),"")</f>
        <v>47</v>
      </c>
      <c r="BG87" s="202">
        <f t="array" aca="1" ref="BG87" ca="1">IFERROR(SMALL(IF(COUNTIF(Podcasts!$D$1370:'Podcasts'!$D$1419,ROW(INDIRECT("1:"&amp;K$2)))=0,ROW(INDIRECT("1:"&amp;K$2))),ROW($A44)),"")</f>
        <v>55</v>
      </c>
      <c r="BH87" s="202">
        <f t="array" aca="1" ref="BH87" ca="1">IFERROR(SMALL(IF(COUNTIF(Podcasts!$D$1425:'Podcasts'!$D$1446,ROW(INDIRECT("1:"&amp;K$2)))=0,ROW(INDIRECT("1:"&amp;K$2))),ROW($A44)),"")</f>
        <v>49</v>
      </c>
      <c r="BI87" s="202">
        <f t="array" aca="1" ref="BI87" ca="1">IFERROR(SMALL(IF(COUNTIF(Podcasts!$D$1452:'Podcasts'!$D$1574,ROW(INDIRECT("1:"&amp;K$2)))=0,ROW(INDIRECT("1:"&amp;K$2))),ROW($A44)),"")</f>
        <v>83</v>
      </c>
      <c r="BJ87" s="202">
        <f t="array" aca="1" ref="BJ87" ca="1">IFERROR(SMALL(IF(COUNTIF(Podcasts!$D$1580:'Podcasts'!$D$1705,ROW(INDIRECT("1:"&amp;K$2)))=0,ROW(INDIRECT("1:"&amp;K$2))),ROW($A44)),"")</f>
        <v>81</v>
      </c>
      <c r="BK87" s="202">
        <f t="array" aca="1" ref="BK87" ca="1">IFERROR(SMALL(IF(COUNTIF(Podcasts!$D$1711:'Podcasts'!$D$1833,ROW(INDIRECT("1:"&amp;K$2)))=0,ROW(INDIRECT("1:"&amp;K$2))),ROW($A44)),"")</f>
        <v>84</v>
      </c>
      <c r="BL87" s="202">
        <f t="array" aca="1" ref="BL87" ca="1">IFERROR(SMALL(IF(COUNTIF(Podcasts!$D$1839:'Podcasts'!$D$1855,ROW(INDIRECT("1:"&amp;K$2)))=0,ROW(INDIRECT("1:"&amp;K$2))),ROW($A44)),"")</f>
        <v>49</v>
      </c>
      <c r="BM87" s="567">
        <f t="array" aca="1" ref="BM87" ca="1">IFERROR(SMALL(IF(COUNTIF(Podcasts!$D$1861:'Podcasts'!$D$1994,ROW(INDIRECT("1:"&amp;K$2)))=0,ROW(INDIRECT("1:"&amp;K$2))),ROW($A44)),"")</f>
        <v>57</v>
      </c>
      <c r="BN87" s="567">
        <f t="array" aca="1" ref="BN87" ca="1">IFERROR(SMALL(IF(COUNTIF(Podcasts!$D$2000:'Podcasts'!$D$2057,ROW(INDIRECT("1:"&amp;K$2)))=0,ROW(INDIRECT("1:"&amp;K$2))),ROW($A44)),"")</f>
        <v>99</v>
      </c>
      <c r="BO87" s="567">
        <f t="array" aca="1" ref="BO87" ca="1">IFERROR(SMALL(IF(COUNTIF(Podcasts!$D$2063:'Podcasts'!$D$2071,ROW(INDIRECT("1:"&amp;K$2)))=0,ROW(INDIRECT("1:"&amp;K$2))),ROW($A44)),"")</f>
        <v>44</v>
      </c>
      <c r="BP87" s="202">
        <f t="array" aca="1" ref="BP87" ca="1">IFERROR(SMALL(IF(COUNTIF(Podcasts!$D$2077:'Podcasts'!$D$2092,ROW(INDIRECT("1:"&amp;K$2)))=0,ROW(INDIRECT("1:"&amp;K$2))),ROW($A44)),"")</f>
        <v>54</v>
      </c>
      <c r="BQ87" s="741">
        <f t="array" aca="1" ref="BQ87" ca="1">IFERROR(SMALL(IF(COUNTIF(Podcasts!$D$2098:'Podcasts'!$D$2114,ROW(INDIRECT("1:"&amp;K$2)))=0,ROW(INDIRECT("1:"&amp;K$2))),ROW($A44)),"")</f>
        <v>46</v>
      </c>
      <c r="BR87" s="744">
        <f t="array" aca="1" ref="BR87" ca="1">IFERROR(SMALL(IF(COUNTIF(Podcasts!$D$2120:'Podcasts'!$D$2124,ROW(INDIRECT("1:"&amp;K$2)))=0,ROW(INDIRECT("1:"&amp;K$2))),ROW($A44)),"")</f>
        <v>46</v>
      </c>
      <c r="BS87" s="28"/>
    </row>
    <row r="88" spans="1:71" outlineLevel="1">
      <c r="A88" s="28"/>
      <c r="B88" s="161">
        <v>45</v>
      </c>
      <c r="C88" s="161">
        <f>COUNTIF(Podcasts!$D$10:'Podcasts'!$D$2535,B88)-1</f>
        <v>9</v>
      </c>
      <c r="D88" s="158" t="s">
        <v>1073</v>
      </c>
      <c r="E88" s="156" t="str">
        <f t="array" ref="E88">IF(F88="","",INDEX(Podcasts!$J$10:'Podcasts'!$J$2535,MATCH(F88&amp;$B88,Podcasts!$E$10:'Podcasts'!$E$2535&amp;Podcasts!$D$10:'Podcasts'!$D$2535,0)))</f>
        <v>???od</v>
      </c>
      <c r="F88" s="131">
        <f t="array" ref="F88">IF(COUNTIF(Podcasts!$D$10:'Podcasts'!$D$2535,$B88)&lt;COLUMN(A51),"",SMALL(IF(Podcasts!$D$10:'Podcasts'!$D$2535=$B88,Podcasts!$E$10:'Podcasts'!$E$2535),COLUMN(A51)))</f>
        <v>40981</v>
      </c>
      <c r="G88" s="132">
        <f t="array" ref="G88">IF(F88="","",INDEX(Podcasts!$F$10:'Podcasts'!$F$2535,MATCH(F88&amp;$B88,Podcasts!$E$10:'Podcasts'!$E$2535&amp;Podcasts!$D$10:'Podcasts'!$D$2535,0)))</f>
        <v>1.5717592592592592E-2</v>
      </c>
      <c r="H88" s="136" t="str">
        <f t="array" ref="H88">IF(I88="","",INDEX(Podcasts!$J$10:'Podcasts'!$J$2535,MATCH(I88&amp;$B88,Podcasts!$E$10:'Podcasts'!$E$2535&amp;Podcasts!$D$10:'Podcasts'!$D$2535,0)))</f>
        <v>Fürst</v>
      </c>
      <c r="I88" s="133">
        <f t="array" ref="I88">IF(COUNTIF(Podcasts!$D$10:'Podcasts'!$D$2535,$B88)&lt;COLUMN(B51),"",SMALL(IF(Podcasts!$D$10:'Podcasts'!$D$2535=$B88,Podcasts!$E$10:'Podcasts'!$E$2535),COLUMN(B51)))</f>
        <v>42092</v>
      </c>
      <c r="J88" s="132">
        <f t="array" ref="J88">IF(I88="","",INDEX(Podcasts!$F$10:'Podcasts'!$F$2535,MATCH(I88&amp;$B88,Podcasts!$E$10:'Podcasts'!$E$2535&amp;Podcasts!$D$10:'Podcasts'!$D$2535,0)))</f>
        <v>1.2094907407407408E-2</v>
      </c>
      <c r="K88" s="136" t="str">
        <f t="array" ref="K88">IF(L88="","",INDEX(Podcasts!$J$10:'Podcasts'!$J$2535,MATCH(L88&amp;$B88,Podcasts!$E$10:'Podcasts'!$E$2535&amp;Podcasts!$D$10:'Podcasts'!$D$2535,0)))</f>
        <v>R&amp;A</v>
      </c>
      <c r="L88" s="133">
        <f t="array" ref="L88">IF(COUNTIF(Podcasts!$D$10:'Podcasts'!$D$2535,$B88)&lt;COLUMN(C51),"",SMALL(IF(Podcasts!$D$10:'Podcasts'!$D$2535=$B88,Podcasts!$E$10:'Podcasts'!$E$2535),COLUMN(C51)))</f>
        <v>43951.333333333336</v>
      </c>
      <c r="M88" s="132">
        <f t="array" ref="M88">IF(L88="","",INDEX(Podcasts!$F$10:'Podcasts'!$F$2535,MATCH(L88&amp;$B88,Podcasts!$E$10:'Podcasts'!$E$2535&amp;Podcasts!$D$10:'Podcasts'!$D$2535,0)))</f>
        <v>8.0173611111111112E-2</v>
      </c>
      <c r="N88" s="136" t="str">
        <f t="array" ref="N88">IF(O88="","",INDEX(Podcasts!$J$10:'Podcasts'!$J$2535,MATCH(O88&amp;$B88,Podcasts!$E$10:'Podcasts'!$E$2535&amp;Podcasts!$D$10:'Podcasts'!$D$2535,0)))</f>
        <v>Kuchen</v>
      </c>
      <c r="O88" s="133">
        <f t="array" ref="O88">IF(COUNTIF(Podcasts!$D$10:'Podcasts'!$D$2535,$B88)&lt;COLUMN(D51),"",SMALL(IF(Podcasts!$D$10:'Podcasts'!$D$2535=$B88,Podcasts!$E$10:'Podcasts'!$E$2535),COLUMN(D51)))</f>
        <v>44171</v>
      </c>
      <c r="P88" s="132">
        <f t="array" ref="P88">IF(O88="","",INDEX(Podcasts!$F$10:'Podcasts'!$F$2535,MATCH(O88&amp;$B88,Podcasts!$E$10:'Podcasts'!$E$2535&amp;Podcasts!$D$10:'Podcasts'!$D$2535,0)))</f>
        <v>5.9212962962962967E-2</v>
      </c>
      <c r="Q88" s="136" t="str">
        <f t="array" ref="Q88">IF(R88="","",INDEX(Podcasts!$J$10:'Podcasts'!$J$2535,MATCH(R88&amp;$B88,Podcasts!$E$10:'Podcasts'!$E$2535&amp;Podcasts!$D$10:'Podcasts'!$D$2535,0)))</f>
        <v>Kuchen</v>
      </c>
      <c r="R88" s="133">
        <f t="array" ref="R88">IF(COUNTIF(Podcasts!$D$10:'Podcasts'!$D$2535,$B88)&lt;COLUMN(E51),"",SMALL(IF(Podcasts!$D$10:'Podcasts'!$D$2535=$B88,Podcasts!$E$10:'Podcasts'!$E$2535),COLUMN(E51)))</f>
        <v>44652.001111111109</v>
      </c>
      <c r="S88" s="132">
        <f t="array" ref="S88">IF(R88="","",INDEX(Podcasts!$F$10:'Podcasts'!$F$2535,MATCH(R88&amp;$B88,Podcasts!$E$10:'Podcasts'!$E$2535&amp;Podcasts!$D$10:'Podcasts'!$D$2535,0)))</f>
        <v>6.8298611111111115E-2</v>
      </c>
      <c r="T88" s="136" t="str">
        <f t="array" ref="T88">IF(U88="","",INDEX(Podcasts!$J$10:'Podcasts'!$J$2535,MATCH(U88&amp;$B88,Podcasts!$E$10:'Podcasts'!$E$2535&amp;Podcasts!$D$10:'Podcasts'!$D$2535,0)))</f>
        <v>RBW</v>
      </c>
      <c r="U88" s="133">
        <f t="array" ref="U88">IF(COUNTIF(Podcasts!$D$10:'Podcasts'!$D$2535,$B88)&lt;COLUMN(F51),"",SMALL(IF(Podcasts!$D$10:'Podcasts'!$D$2535=$B88,Podcasts!$E$10:'Podcasts'!$E$2535),COLUMN(F51)))</f>
        <v>45204</v>
      </c>
      <c r="V88" s="132">
        <f t="array" ref="V88">IF(U88="","",INDEX(Podcasts!$F$10:'Podcasts'!$F$2535,MATCH(U88&amp;$B88,Podcasts!$E$10:'Podcasts'!$E$2535&amp;Podcasts!$D$10:'Podcasts'!$D$2535,0)))</f>
        <v>4.3194444444444445E-2</v>
      </c>
      <c r="W88" s="136" t="str">
        <f t="array" ref="W88">IF(X88="","",INDEX(Podcasts!$J$10:'Podcasts'!$J$2535,MATCH(X88&amp;$B88,Podcasts!$E$10:'Podcasts'!$E$2535&amp;Podcasts!$D$10:'Podcasts'!$D$2535,0)))</f>
        <v>SSP</v>
      </c>
      <c r="X88" s="133">
        <f t="array" ref="X88">IF(COUNTIF(Podcasts!$D$10:'Podcasts'!$D$2535,$B88)&lt;COLUMN(G51),"",SMALL(IF(Podcasts!$D$10:'Podcasts'!$D$2535=$B88,Podcasts!$E$10:'Podcasts'!$E$2535),COLUMN(G51)))</f>
        <v>45209</v>
      </c>
      <c r="Y88" s="132">
        <f t="array" ref="Y88">IF(X88="","",INDEX(Podcasts!$F$10:'Podcasts'!$F$2535,MATCH(X88&amp;$B88,Podcasts!$E$10:'Podcasts'!$E$2535&amp;Podcasts!$D$10:'Podcasts'!$D$2535,0)))</f>
        <v>0.10491898148148149</v>
      </c>
      <c r="Z88" s="136" t="str">
        <f t="array" ref="Z88">IF(AA88="","",INDEX(Podcasts!$J$10:'Podcasts'!$J$2535,MATCH(AA88&amp;$B88,Podcasts!$E$10:'Podcasts'!$E$2535&amp;Podcasts!$D$10:'Podcasts'!$D$2535,0)))</f>
        <v>beachcast</v>
      </c>
      <c r="AA88" s="134">
        <f t="array" ref="AA88">IF(COUNTIF(Podcasts!$D$10:'Podcasts'!$D$2535,$B88)&lt;COLUMN(H51),"",SMALL(IF(Podcasts!$D$10:'Podcasts'!$D$2535=$B88,Podcasts!$E$10:'Podcasts'!$E$2535),COLUMN(H51)))</f>
        <v>45234</v>
      </c>
      <c r="AB88" s="404">
        <f t="array" ref="AB88">IF(AA88="","",INDEX(Podcasts!$F$10:'Podcasts'!$F$2535,MATCH(AA88&amp;$B88,Podcasts!$E$10:'Podcasts'!$E$2535&amp;Podcasts!$D$10:'Podcasts'!$D$2535,0)))</f>
        <v>9.0115740740740746E-2</v>
      </c>
      <c r="AC88" s="406" t="str">
        <f t="array" ref="AC88">IF(AD88="","",INDEX(Podcasts!$J$10:'Podcasts'!$J$2535,MATCH(AD88&amp;$B88,Podcasts!$E$10:'Podcasts'!$E$2535&amp;Podcasts!$D$10:'Podcasts'!$D$2535,0)))</f>
        <v>Abfahrt</v>
      </c>
      <c r="AD88" s="400">
        <f t="array" ref="AD88">IF(COUNTIF(Podcasts!$D$10:'Podcasts'!$D$2535,$B88)&lt;COLUMN(I51),"",SMALL(IF(Podcasts!$D$10:'Podcasts'!$D$2535=$B88,Podcasts!$E$10:'Podcasts'!$E$2535),COLUMN(I51)))</f>
        <v>45366</v>
      </c>
      <c r="AE88" s="401">
        <f t="array" ref="AE88">IF(AD88="","",INDEX(Podcasts!$F$10:'Podcasts'!$F$2535,MATCH(AD88&amp;$B88,Podcasts!$E$10:'Podcasts'!$E$2535&amp;Podcasts!$D$10:'Podcasts'!$D$2535,0)))</f>
        <v>8.2071759259259261E-2</v>
      </c>
      <c r="AF88" s="406" t="str">
        <f t="array" ref="AF88">IF(AG88="","",INDEX(Podcasts!$J$10:'Podcasts'!$J$2535,MATCH(AG88&amp;$B88,Podcasts!$E$10:'Podcasts'!$E$2535&amp;Podcasts!$D$10:'Podcasts'!$D$2535,0)))</f>
        <v>Bobcast</v>
      </c>
      <c r="AG88" s="400">
        <f t="array" ref="AG88">IF(COUNTIF(Podcasts!$D$10:'Podcasts'!$D$2535,$B88)&lt;COLUMN(J51),"",SMALL(IF(Podcasts!$D$10:'Podcasts'!$D$2535=$B88,Podcasts!$E$10:'Podcasts'!$E$2535),COLUMN(J51)))</f>
        <v>45418</v>
      </c>
      <c r="AH88" s="401">
        <f t="array" ref="AH88">IF(AG88="","",INDEX(Podcasts!$F$10:'Podcasts'!$F$2535,MATCH(AG88&amp;$B88,Podcasts!$E$10:'Podcasts'!$E$2535&amp;Podcasts!$D$10:'Podcasts'!$D$2535,0)))</f>
        <v>0</v>
      </c>
      <c r="AI88" s="406" t="str">
        <f t="array" ref="AI88">IF(AJ88="","",INDEX(Podcasts!$J$10:'Podcasts'!$J$2535,MATCH(AJ88&amp;$B88,Podcasts!$E$10:'Podcasts'!$E$2535&amp;Podcasts!$D$10:'Podcasts'!$D$2535,0)))</f>
        <v/>
      </c>
      <c r="AJ88" s="400" t="str">
        <f t="array" ref="AJ88">IF(COUNTIF(Podcasts!$D$10:'Podcasts'!$D$2535,$B88)&lt;COLUMN(K51),"",SMALL(IF(Podcasts!$D$10:'Podcasts'!$D$2535=$B88,Podcasts!$E$10:'Podcasts'!$E$2535),COLUMN(K51)))</f>
        <v/>
      </c>
      <c r="AK88" s="401" t="str">
        <f t="array" ref="AK88">IF(AJ88="","",INDEX(Podcasts!$F$10:'Podcasts'!$F$2535,MATCH(AJ88&amp;$B88,Podcasts!$E$10:'Podcasts'!$E$2535&amp;Podcasts!$D$10:'Podcasts'!$D$2535,0)))</f>
        <v/>
      </c>
      <c r="AL88" s="406" t="str">
        <f t="array" ref="AL88">IF(AM88="","",INDEX(Podcasts!$J$10:'Podcasts'!$J$2535,MATCH(AM88&amp;$B88,Podcasts!$E$10:'Podcasts'!$E$2535&amp;Podcasts!$D$10:'Podcasts'!$D$2535,0)))</f>
        <v/>
      </c>
      <c r="AM88" s="400" t="str">
        <f t="array" ref="AM88">IF(COUNTIF(Podcasts!$D$10:'Podcasts'!$D$2535,$B88)&lt;COLUMN(L51),"",SMALL(IF(Podcasts!$D$10:'Podcasts'!$D$2535=$B88,Podcasts!$E$10:'Podcasts'!$E$2535),COLUMN(L51)))</f>
        <v/>
      </c>
      <c r="AN88" s="401" t="str">
        <f t="array" ref="AN88">IF(AM88="","",INDEX(Podcasts!$F$10:'Podcasts'!$F$2535,MATCH(AM88&amp;$B88,Podcasts!$E$10:'Podcasts'!$E$2535&amp;Podcasts!$D$10:'Podcasts'!$D$2535,0)))</f>
        <v/>
      </c>
      <c r="AO88" s="402"/>
      <c r="AP88" s="119"/>
      <c r="AQ88" s="117">
        <f t="array" aca="1" ref="AQ88" ca="1">IFERROR(SMALL(IF(COUNTIF(Podcasts!$D$10:'Podcasts'!$D$107,ROW(INDIRECT("1:"&amp;K$2)))=0,ROW(INDIRECT("1:"&amp;K$2))),ROW($A45)),"")</f>
        <v>66</v>
      </c>
      <c r="AR88" s="117">
        <f t="array" aca="1" ref="AR88" ca="1">IFERROR(SMALL(IF(COUNTIF(Podcasts!$D$113:'Podcasts'!$D$238,ROW(INDIRECT("1:"&amp;K$2)))=0,ROW(INDIRECT("1:"&amp;K$2))),ROW($A45)),"")</f>
        <v>45</v>
      </c>
      <c r="AS88" s="117">
        <f t="array" aca="1" ref="AS88" ca="1">IFERROR(SMALL(IF(COUNTIF(Podcasts!$D$244:'Podcasts'!$D$299,ROW(INDIRECT("1:"&amp;K$2)))=0,ROW(INDIRECT("1:"&amp;K$2))),ROW($A45)),"")</f>
        <v>61</v>
      </c>
      <c r="AT88" s="117">
        <f t="array" aca="1" ref="AT88" ca="1">IFERROR(SMALL(IF(COUNTIF(Podcasts!$D$305:'Podcasts'!$D$473,ROW(INDIRECT("1:"&amp;K$2)))=0,ROW(INDIRECT("1:"&amp;K$2))),ROW($A45)),"")</f>
        <v>180</v>
      </c>
      <c r="AU88" s="117">
        <f t="array" aca="1" ref="AU88" ca="1">IFERROR(SMALL(IF(COUNTIF(Podcasts!$D$479:'Podcasts'!$D$488,ROW(INDIRECT("1:"&amp;K$2)))=0,ROW(INDIRECT("1:"&amp;K$2))),ROW($A45)),"")</f>
        <v>45</v>
      </c>
      <c r="AV88" s="117">
        <f t="array" aca="1" ref="AV88" ca="1">IFERROR(SMALL(IF(COUNTIF(Podcasts!$D$494:'Podcasts'!$D$518,ROW(INDIRECT("1:"&amp;K$2)))=0,ROW(INDIRECT("1:"&amp;K$2))),ROW($A45)),"")</f>
        <v>61</v>
      </c>
      <c r="AW88" s="117">
        <f t="array" aca="1" ref="AW88" ca="1">IFERROR(SMALL(IF(COUNTIF(Podcasts!$D$524:'Podcasts'!$D$532,ROW(INDIRECT("1:"&amp;K$2)))=0,ROW(INDIRECT("1:"&amp;K$2))),ROW($A45)),"")</f>
        <v>45</v>
      </c>
      <c r="AX88" s="117">
        <f t="array" aca="1" ref="AX88" ca="1">IFERROR(SMALL(IF(COUNTIF(Podcasts!$D$538:'Podcasts'!$D$909,ROW(INDIRECT("1:"&amp;K$2)))=0,ROW(INDIRECT("1:"&amp;K$2))),ROW($A45)),"")</f>
        <v>135</v>
      </c>
      <c r="AY88" s="117">
        <f t="array" aca="1" ref="AY88" ca="1">IFERROR(SMALL(IF(COUNTIF(Podcasts!$D$915:'Podcasts'!$D$981,ROW(INDIRECT("1:"&amp;K$2)))=0,ROW(INDIRECT("1:"&amp;K$2))),ROW($A45)),"")</f>
        <v>67</v>
      </c>
      <c r="AZ88" s="445"/>
      <c r="BA88" s="117">
        <f t="array" aca="1" ref="BA88" ca="1">IFERROR(SMALL(IF(COUNTIF(Podcasts!$D$1001:'Podcasts'!$D$1251,ROW(INDIRECT("1:"&amp;K$2)))=0,ROW(INDIRECT("1:"&amp;K$2))),ROW($A45)),"")</f>
        <v>74</v>
      </c>
      <c r="BB88" s="117">
        <f t="array" aca="1" ref="BB88" ca="1">IFERROR(SMALL(IF(COUNTIF(Podcasts!$D$1257:'Podcasts'!$D$1267,ROW(INDIRECT("1:"&amp;K$2)))=0,ROW(INDIRECT("1:"&amp;K$2))),ROW($A45)),"")</f>
        <v>46</v>
      </c>
      <c r="BC88" s="117">
        <f t="array" aca="1" ref="BC88" ca="1">IFERROR(SMALL(IF(COUNTIF(Podcasts!$D$1273:'Podcasts'!$D$1283,ROW(INDIRECT("1:"&amp;K$2)))=0,ROW(INDIRECT("1:"&amp;K$2))),ROW($A45)),"")</f>
        <v>49</v>
      </c>
      <c r="BD88" s="117">
        <f t="array" aca="1" ref="BD88" ca="1">IFERROR(SMALL(IF(COUNTIF(Podcasts!$D$1289:'Podcasts'!$D$1295,ROW(INDIRECT("1:"&amp;K$2)))=0,ROW(INDIRECT("1:"&amp;K$2))),ROW($A45)),"")</f>
        <v>47</v>
      </c>
      <c r="BE88" s="117">
        <f t="array" aca="1" ref="BE88" ca="1">IFERROR(SMALL(IF(COUNTIF(Podcasts!$D$1301:'Podcasts'!$D$1356,ROW(INDIRECT("1:"&amp;K$2)))=0,ROW(INDIRECT("1:"&amp;K$2))),ROW($A45)),"")</f>
        <v>92</v>
      </c>
      <c r="BF88" s="117">
        <f t="array" aca="1" ref="BF88" ca="1">IFERROR(SMALL(IF(COUNTIF(Podcasts!$D$1362:'Podcasts'!$D$1364,ROW(INDIRECT("1:"&amp;K$2)))=0,ROW(INDIRECT("1:"&amp;K$2))),ROW($A45)),"")</f>
        <v>48</v>
      </c>
      <c r="BG88" s="202">
        <f t="array" aca="1" ref="BG88" ca="1">IFERROR(SMALL(IF(COUNTIF(Podcasts!$D$1370:'Podcasts'!$D$1419,ROW(INDIRECT("1:"&amp;K$2)))=0,ROW(INDIRECT("1:"&amp;K$2))),ROW($A45)),"")</f>
        <v>56</v>
      </c>
      <c r="BH88" s="202">
        <f t="array" aca="1" ref="BH88" ca="1">IFERROR(SMALL(IF(COUNTIF(Podcasts!$D$1425:'Podcasts'!$D$1446,ROW(INDIRECT("1:"&amp;K$2)))=0,ROW(INDIRECT("1:"&amp;K$2))),ROW($A45)),"")</f>
        <v>50</v>
      </c>
      <c r="BI88" s="202">
        <f t="array" aca="1" ref="BI88" ca="1">IFERROR(SMALL(IF(COUNTIF(Podcasts!$D$1452:'Podcasts'!$D$1574,ROW(INDIRECT("1:"&amp;K$2)))=0,ROW(INDIRECT("1:"&amp;K$2))),ROW($A45)),"")</f>
        <v>84</v>
      </c>
      <c r="BJ88" s="202">
        <f t="array" aca="1" ref="BJ88" ca="1">IFERROR(SMALL(IF(COUNTIF(Podcasts!$D$1580:'Podcasts'!$D$1705,ROW(INDIRECT("1:"&amp;K$2)))=0,ROW(INDIRECT("1:"&amp;K$2))),ROW($A45)),"")</f>
        <v>82</v>
      </c>
      <c r="BK88" s="202">
        <f t="array" aca="1" ref="BK88" ca="1">IFERROR(SMALL(IF(COUNTIF(Podcasts!$D$1711:'Podcasts'!$D$1833,ROW(INDIRECT("1:"&amp;K$2)))=0,ROW(INDIRECT("1:"&amp;K$2))),ROW($A45)),"")</f>
        <v>85</v>
      </c>
      <c r="BL88" s="202">
        <f t="array" aca="1" ref="BL88" ca="1">IFERROR(SMALL(IF(COUNTIF(Podcasts!$D$1839:'Podcasts'!$D$1855,ROW(INDIRECT("1:"&amp;K$2)))=0,ROW(INDIRECT("1:"&amp;K$2))),ROW($A45)),"")</f>
        <v>50</v>
      </c>
      <c r="BM88" s="567">
        <f t="array" aca="1" ref="BM88" ca="1">IFERROR(SMALL(IF(COUNTIF(Podcasts!$D$1861:'Podcasts'!$D$1994,ROW(INDIRECT("1:"&amp;K$2)))=0,ROW(INDIRECT("1:"&amp;K$2))),ROW($A45)),"")</f>
        <v>58</v>
      </c>
      <c r="BN88" s="567">
        <f t="array" aca="1" ref="BN88" ca="1">IFERROR(SMALL(IF(COUNTIF(Podcasts!$D$2000:'Podcasts'!$D$2057,ROW(INDIRECT("1:"&amp;K$2)))=0,ROW(INDIRECT("1:"&amp;K$2))),ROW($A45)),"")</f>
        <v>100</v>
      </c>
      <c r="BO88" s="567">
        <f t="array" aca="1" ref="BO88" ca="1">IFERROR(SMALL(IF(COUNTIF(Podcasts!$D$2063:'Podcasts'!$D$2071,ROW(INDIRECT("1:"&amp;K$2)))=0,ROW(INDIRECT("1:"&amp;K$2))),ROW($A45)),"")</f>
        <v>45</v>
      </c>
      <c r="BP88" s="202">
        <f t="array" aca="1" ref="BP88" ca="1">IFERROR(SMALL(IF(COUNTIF(Podcasts!$D$2077:'Podcasts'!$D$2092,ROW(INDIRECT("1:"&amp;K$2)))=0,ROW(INDIRECT("1:"&amp;K$2))),ROW($A45)),"")</f>
        <v>55</v>
      </c>
      <c r="BQ88" s="741">
        <f t="array" aca="1" ref="BQ88" ca="1">IFERROR(SMALL(IF(COUNTIF(Podcasts!$D$2098:'Podcasts'!$D$2114,ROW(INDIRECT("1:"&amp;K$2)))=0,ROW(INDIRECT("1:"&amp;K$2))),ROW($A45)),"")</f>
        <v>48</v>
      </c>
      <c r="BR88" s="744">
        <f t="array" aca="1" ref="BR88" ca="1">IFERROR(SMALL(IF(COUNTIF(Podcasts!$D$2120:'Podcasts'!$D$2124,ROW(INDIRECT("1:"&amp;K$2)))=0,ROW(INDIRECT("1:"&amp;K$2))),ROW($A45)),"")</f>
        <v>47</v>
      </c>
      <c r="BS88" s="28"/>
    </row>
    <row r="89" spans="1:71" outlineLevel="1">
      <c r="A89" s="28"/>
      <c r="B89" s="161">
        <v>46</v>
      </c>
      <c r="C89" s="161">
        <f>COUNTIF(Podcasts!$D$10:'Podcasts'!$D$2535,B89)</f>
        <v>7</v>
      </c>
      <c r="D89" s="158" t="s">
        <v>1074</v>
      </c>
      <c r="E89" s="156" t="str">
        <f t="array" ref="E89">IF(F89="","",INDEX(Podcasts!$J$10:'Podcasts'!$J$2535,MATCH(F89&amp;$B89,Podcasts!$E$10:'Podcasts'!$E$2535&amp;Podcasts!$D$10:'Podcasts'!$D$2535,0)))</f>
        <v>Fürst</v>
      </c>
      <c r="F89" s="131">
        <f t="array" ref="F89">IF(COUNTIF(Podcasts!$D$10:'Podcasts'!$D$2535,$B89)&lt;COLUMN(A52),"",SMALL(IF(Podcasts!$D$10:'Podcasts'!$D$2535=$B89,Podcasts!$E$10:'Podcasts'!$E$2535),COLUMN(A52)))</f>
        <v>41896</v>
      </c>
      <c r="G89" s="132">
        <f t="array" ref="G89">IF(F89="","",INDEX(Podcasts!$F$10:'Podcasts'!$F$2535,MATCH(F89&amp;$B89,Podcasts!$E$10:'Podcasts'!$E$2535&amp;Podcasts!$D$10:'Podcasts'!$D$2535,0)))</f>
        <v>6.0763888888888881E-3</v>
      </c>
      <c r="H89" s="136" t="str">
        <f t="array" ref="H89">IF(I89="","",INDEX(Podcasts!$J$10:'Podcasts'!$J$2535,MATCH(I89&amp;$B89,Podcasts!$E$10:'Podcasts'!$E$2535&amp;Podcasts!$D$10:'Podcasts'!$D$2535,0)))</f>
        <v>???od</v>
      </c>
      <c r="I89" s="133">
        <f t="array" ref="I89">IF(COUNTIF(Podcasts!$D$10:'Podcasts'!$D$2535,$B89)&lt;COLUMN(B52),"",SMALL(IF(Podcasts!$D$10:'Podcasts'!$D$2535=$B89,Podcasts!$E$10:'Podcasts'!$E$2535),COLUMN(B52)))</f>
        <v>42577</v>
      </c>
      <c r="J89" s="132">
        <f t="array" ref="J89">IF(I89="","",INDEX(Podcasts!$F$10:'Podcasts'!$F$2535,MATCH(I89&amp;$B89,Podcasts!$E$10:'Podcasts'!$E$2535&amp;Podcasts!$D$10:'Podcasts'!$D$2535,0)))</f>
        <v>5.2685185185185189E-2</v>
      </c>
      <c r="K89" s="136" t="str">
        <f t="array" ref="K89">IF(L89="","",INDEX(Podcasts!$J$10:'Podcasts'!$J$2535,MATCH(L89&amp;$B89,Podcasts!$E$10:'Podcasts'!$E$2535&amp;Podcasts!$D$10:'Podcasts'!$D$2535,0)))</f>
        <v>SSP</v>
      </c>
      <c r="L89" s="133">
        <f t="array" ref="L89">IF(COUNTIF(Podcasts!$D$10:'Podcasts'!$D$2535,$B89)&lt;COLUMN(C52),"",SMALL(IF(Podcasts!$D$10:'Podcasts'!$D$2535=$B89,Podcasts!$E$10:'Podcasts'!$E$2535),COLUMN(C52)))</f>
        <v>44287</v>
      </c>
      <c r="M89" s="132">
        <f t="array" ref="M89">IF(L89="","",INDEX(Podcasts!$F$10:'Podcasts'!$F$2535,MATCH(L89&amp;$B89,Podcasts!$E$10:'Podcasts'!$E$2535&amp;Podcasts!$D$10:'Podcasts'!$D$2535,0)))</f>
        <v>7.6354166666666667E-2</v>
      </c>
      <c r="N89" s="136" t="str">
        <f t="array" ref="N89">IF(O89="","",INDEX(Podcasts!$J$10:'Podcasts'!$J$2535,MATCH(O89&amp;$B89,Podcasts!$E$10:'Podcasts'!$E$2535&amp;Podcasts!$D$10:'Podcasts'!$D$2535,0)))</f>
        <v>RBW</v>
      </c>
      <c r="O89" s="133">
        <f t="array" ref="O89">IF(COUNTIF(Podcasts!$D$10:'Podcasts'!$D$2535,$B89)&lt;COLUMN(D52),"",SMALL(IF(Podcasts!$D$10:'Podcasts'!$D$2535=$B89,Podcasts!$E$10:'Podcasts'!$E$2535),COLUMN(D52)))</f>
        <v>45211</v>
      </c>
      <c r="P89" s="132">
        <f t="array" ref="P89">IF(O89="","",INDEX(Podcasts!$F$10:'Podcasts'!$F$2535,MATCH(O89&amp;$B89,Podcasts!$E$10:'Podcasts'!$E$2535&amp;Podcasts!$D$10:'Podcasts'!$D$2535,0)))</f>
        <v>4.3611111111111107E-2</v>
      </c>
      <c r="Q89" s="136" t="str">
        <f t="array" ref="Q89">IF(R89="","",INDEX(Podcasts!$J$10:'Podcasts'!$J$2535,MATCH(R89&amp;$B89,Podcasts!$E$10:'Podcasts'!$E$2535&amp;Podcasts!$D$10:'Podcasts'!$D$2535,0)))</f>
        <v>Kuchen</v>
      </c>
      <c r="R89" s="133">
        <f t="array" ref="R89">IF(COUNTIF(Podcasts!$D$10:'Podcasts'!$D$2535,$B89)&lt;COLUMN(E52),"",SMALL(IF(Podcasts!$D$10:'Podcasts'!$D$2535=$B89,Podcasts!$E$10:'Podcasts'!$E$2535),COLUMN(E52)))</f>
        <v>45230.519594907404</v>
      </c>
      <c r="S89" s="132">
        <f t="array" ref="S89">IF(R89="","",INDEX(Podcasts!$F$10:'Podcasts'!$F$2535,MATCH(R89&amp;$B89,Podcasts!$E$10:'Podcasts'!$E$2535&amp;Podcasts!$D$10:'Podcasts'!$D$2535,0)))</f>
        <v>4.3807870370370372E-2</v>
      </c>
      <c r="T89" s="136" t="str">
        <f t="array" ref="T89">IF(U89="","",INDEX(Podcasts!$J$10:'Podcasts'!$J$2535,MATCH(U89&amp;$B89,Podcasts!$E$10:'Podcasts'!$E$2535&amp;Podcasts!$D$10:'Podcasts'!$D$2535,0)))</f>
        <v>Abfahrt</v>
      </c>
      <c r="U89" s="133">
        <f t="array" ref="U89">IF(COUNTIF(Podcasts!$D$10:'Podcasts'!$D$2535,$B89)&lt;COLUMN(F52),"",SMALL(IF(Podcasts!$D$10:'Podcasts'!$D$2535=$B89,Podcasts!$E$10:'Podcasts'!$E$2535),COLUMN(F52)))</f>
        <v>45401</v>
      </c>
      <c r="V89" s="132">
        <f t="array" ref="V89">IF(U89="","",INDEX(Podcasts!$F$10:'Podcasts'!$F$2535,MATCH(U89&amp;$B89,Podcasts!$E$10:'Podcasts'!$E$2535&amp;Podcasts!$D$10:'Podcasts'!$D$2535,0)))</f>
        <v>7.9710648148148142E-2</v>
      </c>
      <c r="W89" s="136" t="str">
        <f t="array" ref="W89">IF(X89="","",INDEX(Podcasts!$J$10:'Podcasts'!$J$2535,MATCH(X89&amp;$B89,Podcasts!$E$10:'Podcasts'!$E$2535&amp;Podcasts!$D$10:'Podcasts'!$D$2535,0)))</f>
        <v>Bobcast</v>
      </c>
      <c r="X89" s="133">
        <f t="array" ref="X89">IF(COUNTIF(Podcasts!$D$10:'Podcasts'!$D$2535,$B89)&lt;COLUMN(G52),"",SMALL(IF(Podcasts!$D$10:'Podcasts'!$D$2535=$B89,Podcasts!$E$10:'Podcasts'!$E$2535),COLUMN(G52)))</f>
        <v>45432</v>
      </c>
      <c r="Y89" s="132">
        <f t="array" ref="Y89">IF(X89="","",INDEX(Podcasts!$F$10:'Podcasts'!$F$2535,MATCH(X89&amp;$B89,Podcasts!$E$10:'Podcasts'!$E$2535&amp;Podcasts!$D$10:'Podcasts'!$D$2535,0)))</f>
        <v>0</v>
      </c>
      <c r="Z89" s="136" t="str">
        <f t="array" ref="Z89">IF(AA89="","",INDEX(Podcasts!$J$10:'Podcasts'!$J$2535,MATCH(AA89&amp;$B89,Podcasts!$E$10:'Podcasts'!$E$2535&amp;Podcasts!$D$10:'Podcasts'!$D$2535,0)))</f>
        <v/>
      </c>
      <c r="AA89" s="134" t="str">
        <f t="array" ref="AA89">IF(COUNTIF(Podcasts!$D$10:'Podcasts'!$D$2535,$B89)&lt;COLUMN(H52),"",SMALL(IF(Podcasts!$D$10:'Podcasts'!$D$2535=$B89,Podcasts!$E$10:'Podcasts'!$E$2535),COLUMN(H52)))</f>
        <v/>
      </c>
      <c r="AB89" s="404" t="str">
        <f t="array" ref="AB89">IF(AA89="","",INDEX(Podcasts!$F$10:'Podcasts'!$F$2535,MATCH(AA89&amp;$B89,Podcasts!$E$10:'Podcasts'!$E$2535&amp;Podcasts!$D$10:'Podcasts'!$D$2535,0)))</f>
        <v/>
      </c>
      <c r="AC89" s="406" t="str">
        <f t="array" ref="AC89">IF(AD89="","",INDEX(Podcasts!$J$10:'Podcasts'!$J$2535,MATCH(AD89&amp;$B89,Podcasts!$E$10:'Podcasts'!$E$2535&amp;Podcasts!$D$10:'Podcasts'!$D$2535,0)))</f>
        <v/>
      </c>
      <c r="AD89" s="400" t="str">
        <f t="array" ref="AD89">IF(COUNTIF(Podcasts!$D$10:'Podcasts'!$D$2535,$B89)&lt;COLUMN(I52),"",SMALL(IF(Podcasts!$D$10:'Podcasts'!$D$2535=$B89,Podcasts!$E$10:'Podcasts'!$E$2535),COLUMN(I52)))</f>
        <v/>
      </c>
      <c r="AE89" s="401" t="str">
        <f t="array" ref="AE89">IF(AD89="","",INDEX(Podcasts!$F$10:'Podcasts'!$F$2535,MATCH(AD89&amp;$B89,Podcasts!$E$10:'Podcasts'!$E$2535&amp;Podcasts!$D$10:'Podcasts'!$D$2535,0)))</f>
        <v/>
      </c>
      <c r="AF89" s="406" t="str">
        <f t="array" ref="AF89">IF(AG89="","",INDEX(Podcasts!$J$10:'Podcasts'!$J$2535,MATCH(AG89&amp;$B89,Podcasts!$E$10:'Podcasts'!$E$2535&amp;Podcasts!$D$10:'Podcasts'!$D$2535,0)))</f>
        <v/>
      </c>
      <c r="AG89" s="400" t="str">
        <f t="array" ref="AG89">IF(COUNTIF(Podcasts!$D$10:'Podcasts'!$D$2535,$B89)&lt;COLUMN(J52),"",SMALL(IF(Podcasts!$D$10:'Podcasts'!$D$2535=$B89,Podcasts!$E$10:'Podcasts'!$E$2535),COLUMN(J52)))</f>
        <v/>
      </c>
      <c r="AH89" s="401" t="str">
        <f t="array" ref="AH89">IF(AG89="","",INDEX(Podcasts!$F$10:'Podcasts'!$F$2535,MATCH(AG89&amp;$B89,Podcasts!$E$10:'Podcasts'!$E$2535&amp;Podcasts!$D$10:'Podcasts'!$D$2535,0)))</f>
        <v/>
      </c>
      <c r="AI89" s="406" t="str">
        <f t="array" ref="AI89">IF(AJ89="","",INDEX(Podcasts!$J$10:'Podcasts'!$J$2535,MATCH(AJ89&amp;$B89,Podcasts!$E$10:'Podcasts'!$E$2535&amp;Podcasts!$D$10:'Podcasts'!$D$2535,0)))</f>
        <v/>
      </c>
      <c r="AJ89" s="400" t="str">
        <f t="array" ref="AJ89">IF(COUNTIF(Podcasts!$D$10:'Podcasts'!$D$2535,$B89)&lt;COLUMN(K52),"",SMALL(IF(Podcasts!$D$10:'Podcasts'!$D$2535=$B89,Podcasts!$E$10:'Podcasts'!$E$2535),COLUMN(K52)))</f>
        <v/>
      </c>
      <c r="AK89" s="401" t="str">
        <f t="array" ref="AK89">IF(AJ89="","",INDEX(Podcasts!$F$10:'Podcasts'!$F$2535,MATCH(AJ89&amp;$B89,Podcasts!$E$10:'Podcasts'!$E$2535&amp;Podcasts!$D$10:'Podcasts'!$D$2535,0)))</f>
        <v/>
      </c>
      <c r="AL89" s="406" t="str">
        <f t="array" ref="AL89">IF(AM89="","",INDEX(Podcasts!$J$10:'Podcasts'!$J$2535,MATCH(AM89&amp;$B89,Podcasts!$E$10:'Podcasts'!$E$2535&amp;Podcasts!$D$10:'Podcasts'!$D$2535,0)))</f>
        <v/>
      </c>
      <c r="AM89" s="400" t="str">
        <f t="array" ref="AM89">IF(COUNTIF(Podcasts!$D$10:'Podcasts'!$D$2535,$B89)&lt;COLUMN(L52),"",SMALL(IF(Podcasts!$D$10:'Podcasts'!$D$2535=$B89,Podcasts!$E$10:'Podcasts'!$E$2535),COLUMN(L52)))</f>
        <v/>
      </c>
      <c r="AN89" s="401" t="str">
        <f t="array" ref="AN89">IF(AM89="","",INDEX(Podcasts!$F$10:'Podcasts'!$F$2535,MATCH(AM89&amp;$B89,Podcasts!$E$10:'Podcasts'!$E$2535&amp;Podcasts!$D$10:'Podcasts'!$D$2535,0)))</f>
        <v/>
      </c>
      <c r="AO89" s="402"/>
      <c r="AP89" s="119"/>
      <c r="AQ89" s="117">
        <f t="array" aca="1" ref="AQ89" ca="1">IFERROR(SMALL(IF(COUNTIF(Podcasts!$D$10:'Podcasts'!$D$107,ROW(INDIRECT("1:"&amp;K$2)))=0,ROW(INDIRECT("1:"&amp;K$2))),ROW($A46)),"")</f>
        <v>67</v>
      </c>
      <c r="AR89" s="117">
        <f t="array" aca="1" ref="AR89" ca="1">IFERROR(SMALL(IF(COUNTIF(Podcasts!$D$113:'Podcasts'!$D$238,ROW(INDIRECT("1:"&amp;K$2)))=0,ROW(INDIRECT("1:"&amp;K$2))),ROW($A46)),"")</f>
        <v>46</v>
      </c>
      <c r="AS89" s="117">
        <f t="array" aca="1" ref="AS89" ca="1">IFERROR(SMALL(IF(COUNTIF(Podcasts!$D$244:'Podcasts'!$D$299,ROW(INDIRECT("1:"&amp;K$2)))=0,ROW(INDIRECT("1:"&amp;K$2))),ROW($A46)),"")</f>
        <v>62</v>
      </c>
      <c r="AT89" s="117">
        <f t="array" aca="1" ref="AT89" ca="1">IFERROR(SMALL(IF(COUNTIF(Podcasts!$D$305:'Podcasts'!$D$473,ROW(INDIRECT("1:"&amp;K$2)))=0,ROW(INDIRECT("1:"&amp;K$2))),ROW($A46)),"")</f>
        <v>181</v>
      </c>
      <c r="AU89" s="117">
        <f t="array" aca="1" ref="AU89" ca="1">IFERROR(SMALL(IF(COUNTIF(Podcasts!$D$479:'Podcasts'!$D$488,ROW(INDIRECT("1:"&amp;K$2)))=0,ROW(INDIRECT("1:"&amp;K$2))),ROW($A46)),"")</f>
        <v>46</v>
      </c>
      <c r="AV89" s="117">
        <f t="array" aca="1" ref="AV89" ca="1">IFERROR(SMALL(IF(COUNTIF(Podcasts!$D$494:'Podcasts'!$D$518,ROW(INDIRECT("1:"&amp;K$2)))=0,ROW(INDIRECT("1:"&amp;K$2))),ROW($A46)),"")</f>
        <v>62</v>
      </c>
      <c r="AW89" s="117">
        <f t="array" aca="1" ref="AW89" ca="1">IFERROR(SMALL(IF(COUNTIF(Podcasts!$D$524:'Podcasts'!$D$532,ROW(INDIRECT("1:"&amp;K$2)))=0,ROW(INDIRECT("1:"&amp;K$2))),ROW($A46)),"")</f>
        <v>46</v>
      </c>
      <c r="AX89" s="117">
        <f t="array" aca="1" ref="AX89" ca="1">IFERROR(SMALL(IF(COUNTIF(Podcasts!$D$538:'Podcasts'!$D$909,ROW(INDIRECT("1:"&amp;K$2)))=0,ROW(INDIRECT("1:"&amp;K$2))),ROW($A46)),"")</f>
        <v>137</v>
      </c>
      <c r="AY89" s="117">
        <f t="array" aca="1" ref="AY89" ca="1">IFERROR(SMALL(IF(COUNTIF(Podcasts!$D$915:'Podcasts'!$D$981,ROW(INDIRECT("1:"&amp;K$2)))=0,ROW(INDIRECT("1:"&amp;K$2))),ROW($A46)),"")</f>
        <v>68</v>
      </c>
      <c r="AZ89" s="445"/>
      <c r="BA89" s="117">
        <f t="array" aca="1" ref="BA89" ca="1">IFERROR(SMALL(IF(COUNTIF(Podcasts!$D$1001:'Podcasts'!$D$1251,ROW(INDIRECT("1:"&amp;K$2)))=0,ROW(INDIRECT("1:"&amp;K$2))),ROW($A46)),"")</f>
        <v>77</v>
      </c>
      <c r="BB89" s="117">
        <f t="array" aca="1" ref="BB89" ca="1">IFERROR(SMALL(IF(COUNTIF(Podcasts!$D$1257:'Podcasts'!$D$1267,ROW(INDIRECT("1:"&amp;K$2)))=0,ROW(INDIRECT("1:"&amp;K$2))),ROW($A46)),"")</f>
        <v>47</v>
      </c>
      <c r="BC89" s="117">
        <f t="array" aca="1" ref="BC89" ca="1">IFERROR(SMALL(IF(COUNTIF(Podcasts!$D$1273:'Podcasts'!$D$1283,ROW(INDIRECT("1:"&amp;K$2)))=0,ROW(INDIRECT("1:"&amp;K$2))),ROW($A46)),"")</f>
        <v>50</v>
      </c>
      <c r="BD89" s="117">
        <f t="array" aca="1" ref="BD89" ca="1">IFERROR(SMALL(IF(COUNTIF(Podcasts!$D$1289:'Podcasts'!$D$1295,ROW(INDIRECT("1:"&amp;K$2)))=0,ROW(INDIRECT("1:"&amp;K$2))),ROW($A46)),"")</f>
        <v>48</v>
      </c>
      <c r="BE89" s="117">
        <f t="array" aca="1" ref="BE89" ca="1">IFERROR(SMALL(IF(COUNTIF(Podcasts!$D$1301:'Podcasts'!$D$1356,ROW(INDIRECT("1:"&amp;K$2)))=0,ROW(INDIRECT("1:"&amp;K$2))),ROW($A46)),"")</f>
        <v>93</v>
      </c>
      <c r="BF89" s="117">
        <f t="array" aca="1" ref="BF89" ca="1">IFERROR(SMALL(IF(COUNTIF(Podcasts!$D$1362:'Podcasts'!$D$1364,ROW(INDIRECT("1:"&amp;K$2)))=0,ROW(INDIRECT("1:"&amp;K$2))),ROW($A46)),"")</f>
        <v>49</v>
      </c>
      <c r="BG89" s="202">
        <f t="array" aca="1" ref="BG89" ca="1">IFERROR(SMALL(IF(COUNTIF(Podcasts!$D$1370:'Podcasts'!$D$1419,ROW(INDIRECT("1:"&amp;K$2)))=0,ROW(INDIRECT("1:"&amp;K$2))),ROW($A46)),"")</f>
        <v>57</v>
      </c>
      <c r="BH89" s="202">
        <f t="array" aca="1" ref="BH89" ca="1">IFERROR(SMALL(IF(COUNTIF(Podcasts!$D$1425:'Podcasts'!$D$1446,ROW(INDIRECT("1:"&amp;K$2)))=0,ROW(INDIRECT("1:"&amp;K$2))),ROW($A46)),"")</f>
        <v>51</v>
      </c>
      <c r="BI89" s="202">
        <f t="array" aca="1" ref="BI89" ca="1">IFERROR(SMALL(IF(COUNTIF(Podcasts!$D$1452:'Podcasts'!$D$1574,ROW(INDIRECT("1:"&amp;K$2)))=0,ROW(INDIRECT("1:"&amp;K$2))),ROW($A46)),"")</f>
        <v>85</v>
      </c>
      <c r="BJ89" s="202">
        <f t="array" aca="1" ref="BJ89" ca="1">IFERROR(SMALL(IF(COUNTIF(Podcasts!$D$1580:'Podcasts'!$D$1705,ROW(INDIRECT("1:"&amp;K$2)))=0,ROW(INDIRECT("1:"&amp;K$2))),ROW($A46)),"")</f>
        <v>83</v>
      </c>
      <c r="BK89" s="202">
        <f t="array" aca="1" ref="BK89" ca="1">IFERROR(SMALL(IF(COUNTIF(Podcasts!$D$1711:'Podcasts'!$D$1833,ROW(INDIRECT("1:"&amp;K$2)))=0,ROW(INDIRECT("1:"&amp;K$2))),ROW($A46)),"")</f>
        <v>86</v>
      </c>
      <c r="BL89" s="202">
        <f t="array" aca="1" ref="BL89" ca="1">IFERROR(SMALL(IF(COUNTIF(Podcasts!$D$1839:'Podcasts'!$D$1855,ROW(INDIRECT("1:"&amp;K$2)))=0,ROW(INDIRECT("1:"&amp;K$2))),ROW($A46)),"")</f>
        <v>51</v>
      </c>
      <c r="BM89" s="567">
        <f t="array" aca="1" ref="BM89" ca="1">IFERROR(SMALL(IF(COUNTIF(Podcasts!$D$1861:'Podcasts'!$D$1994,ROW(INDIRECT("1:"&amp;K$2)))=0,ROW(INDIRECT("1:"&amp;K$2))),ROW($A46)),"")</f>
        <v>59</v>
      </c>
      <c r="BN89" s="567">
        <f t="array" aca="1" ref="BN89" ca="1">IFERROR(SMALL(IF(COUNTIF(Podcasts!$D$2000:'Podcasts'!$D$2057,ROW(INDIRECT("1:"&amp;K$2)))=0,ROW(INDIRECT("1:"&amp;K$2))),ROW($A46)),"")</f>
        <v>101</v>
      </c>
      <c r="BO89" s="567">
        <f t="array" aca="1" ref="BO89" ca="1">IFERROR(SMALL(IF(COUNTIF(Podcasts!$D$2063:'Podcasts'!$D$2071,ROW(INDIRECT("1:"&amp;K$2)))=0,ROW(INDIRECT("1:"&amp;K$2))),ROW($A46)),"")</f>
        <v>46</v>
      </c>
      <c r="BP89" s="202">
        <f t="array" aca="1" ref="BP89" ca="1">IFERROR(SMALL(IF(COUNTIF(Podcasts!$D$2077:'Podcasts'!$D$2092,ROW(INDIRECT("1:"&amp;K$2)))=0,ROW(INDIRECT("1:"&amp;K$2))),ROW($A46)),"")</f>
        <v>56</v>
      </c>
      <c r="BQ89" s="741">
        <f t="array" aca="1" ref="BQ89" ca="1">IFERROR(SMALL(IF(COUNTIF(Podcasts!$D$2098:'Podcasts'!$D$2114,ROW(INDIRECT("1:"&amp;K$2)))=0,ROW(INDIRECT("1:"&amp;K$2))),ROW($A46)),"")</f>
        <v>49</v>
      </c>
      <c r="BR89" s="744">
        <f t="array" aca="1" ref="BR89" ca="1">IFERROR(SMALL(IF(COUNTIF(Podcasts!$D$2120:'Podcasts'!$D$2124,ROW(INDIRECT("1:"&amp;K$2)))=0,ROW(INDIRECT("1:"&amp;K$2))),ROW($A46)),"")</f>
        <v>48</v>
      </c>
      <c r="BS89" s="28"/>
    </row>
    <row r="90" spans="1:71" outlineLevel="1">
      <c r="A90" s="28"/>
      <c r="B90" s="161">
        <v>47</v>
      </c>
      <c r="C90" s="161">
        <f>COUNTIF(Podcasts!$D$10:'Podcasts'!$D$2535,B90)</f>
        <v>11</v>
      </c>
      <c r="D90" s="159" t="s">
        <v>1075</v>
      </c>
      <c r="E90" s="156" t="str">
        <f t="array" ref="E90">IF(F90="","",INDEX(Podcasts!$J$10:'Podcasts'!$J$2535,MATCH(F90&amp;$B90,Podcasts!$E$10:'Podcasts'!$E$2535&amp;Podcasts!$D$10:'Podcasts'!$D$2535,0)))</f>
        <v>???od</v>
      </c>
      <c r="F90" s="131">
        <f t="array" ref="F90">IF(COUNTIF(Podcasts!$D$10:'Podcasts'!$D$2535,$B90)&lt;COLUMN(A53),"",SMALL(IF(Podcasts!$D$10:'Podcasts'!$D$2535=$B90,Podcasts!$E$10:'Podcasts'!$E$2535),COLUMN(A53)))</f>
        <v>41006</v>
      </c>
      <c r="G90" s="132">
        <f t="array" ref="G90">IF(F90="","",INDEX(Podcasts!$F$10:'Podcasts'!$F$2535,MATCH(F90&amp;$B90,Podcasts!$E$10:'Podcasts'!$E$2535&amp;Podcasts!$D$10:'Podcasts'!$D$2535,0)))</f>
        <v>5.0578703703703709E-2</v>
      </c>
      <c r="H90" s="136" t="str">
        <f t="array" ref="H90">IF(I90="","",INDEX(Podcasts!$J$10:'Podcasts'!$J$2535,MATCH(I90&amp;$B90,Podcasts!$E$10:'Podcasts'!$E$2535&amp;Podcasts!$D$10:'Podcasts'!$D$2535,0)))</f>
        <v>Fürst</v>
      </c>
      <c r="I90" s="133">
        <f t="array" ref="I90">IF(COUNTIF(Podcasts!$D$10:'Podcasts'!$D$2535,$B90)&lt;COLUMN(B53),"",SMALL(IF(Podcasts!$D$10:'Podcasts'!$D$2535=$B90,Podcasts!$E$10:'Podcasts'!$E$2535),COLUMN(B53)))</f>
        <v>42050</v>
      </c>
      <c r="J90" s="132">
        <f t="array" ref="J90">IF(I90="","",INDEX(Podcasts!$F$10:'Podcasts'!$F$2535,MATCH(I90&amp;$B90,Podcasts!$E$10:'Podcasts'!$E$2535&amp;Podcasts!$D$10:'Podcasts'!$D$2535,0)))</f>
        <v>1.3599537037037037E-2</v>
      </c>
      <c r="K90" s="136" t="str">
        <f t="array" ref="K90">IF(L90="","",INDEX(Podcasts!$J$10:'Podcasts'!$J$2535,MATCH(L90&amp;$B90,Podcasts!$E$10:'Podcasts'!$E$2535&amp;Podcasts!$D$10:'Podcasts'!$D$2535,0)))</f>
        <v>SSP</v>
      </c>
      <c r="L90" s="133">
        <f t="array" ref="L90">IF(COUNTIF(Podcasts!$D$10:'Podcasts'!$D$2535,$B90)&lt;COLUMN(C53),"",SMALL(IF(Podcasts!$D$10:'Podcasts'!$D$2535=$B90,Podcasts!$E$10:'Podcasts'!$E$2535),COLUMN(C53)))</f>
        <v>43167</v>
      </c>
      <c r="M90" s="132">
        <f t="array" ref="M90">IF(L90="","",INDEX(Podcasts!$F$10:'Podcasts'!$F$2535,MATCH(L90&amp;$B90,Podcasts!$E$10:'Podcasts'!$E$2535&amp;Podcasts!$D$10:'Podcasts'!$D$2535,0)))</f>
        <v>8.4606481481481477E-2</v>
      </c>
      <c r="N90" s="136" t="str">
        <f t="array" ref="N90">IF(O90="","",INDEX(Podcasts!$J$10:'Podcasts'!$J$2535,MATCH(O90&amp;$B90,Podcasts!$E$10:'Podcasts'!$E$2535&amp;Podcasts!$D$10:'Podcasts'!$D$2535,0)))</f>
        <v>Zentrale</v>
      </c>
      <c r="O90" s="133">
        <f t="array" ref="O90">IF(COUNTIF(Podcasts!$D$10:'Podcasts'!$D$2535,$B90)&lt;COLUMN(D53),"",SMALL(IF(Podcasts!$D$10:'Podcasts'!$D$2535=$B90,Podcasts!$E$10:'Podcasts'!$E$2535),COLUMN(D53)))</f>
        <v>43519.504629629628</v>
      </c>
      <c r="P90" s="132">
        <f t="array" ref="P90">IF(O90="","",INDEX(Podcasts!$F$10:'Podcasts'!$F$2535,MATCH(O90&amp;$B90,Podcasts!$E$10:'Podcasts'!$E$2535&amp;Podcasts!$D$10:'Podcasts'!$D$2535,0)))</f>
        <v>8.9571759259259254E-2</v>
      </c>
      <c r="Q90" s="136" t="str">
        <f t="array" ref="Q90">IF(R90="","",INDEX(Podcasts!$J$10:'Podcasts'!$J$2535,MATCH(R90&amp;$B90,Podcasts!$E$10:'Podcasts'!$E$2535&amp;Podcasts!$D$10:'Podcasts'!$D$2535,0)))</f>
        <v>Kuchen</v>
      </c>
      <c r="R90" s="133">
        <f t="array" ref="R90">IF(COUNTIF(Podcasts!$D$10:'Podcasts'!$D$2535,$B90)&lt;COLUMN(E53),"",SMALL(IF(Podcasts!$D$10:'Podcasts'!$D$2535=$B90,Podcasts!$E$10:'Podcasts'!$E$2535),COLUMN(E53)))</f>
        <v>44189</v>
      </c>
      <c r="S90" s="132">
        <f t="array" ref="S90">IF(R90="","",INDEX(Podcasts!$F$10:'Podcasts'!$F$2535,MATCH(R90&amp;$B90,Podcasts!$E$10:'Podcasts'!$E$2535&amp;Podcasts!$D$10:'Podcasts'!$D$2535,0)))</f>
        <v>4.9988425925925922E-2</v>
      </c>
      <c r="T90" s="136" t="str">
        <f t="array" ref="T90">IF(U90="","",INDEX(Podcasts!$J$10:'Podcasts'!$J$2535,MATCH(U90&amp;$B90,Podcasts!$E$10:'Podcasts'!$E$2535&amp;Podcasts!$D$10:'Podcasts'!$D$2535,0)))</f>
        <v>Zw3i</v>
      </c>
      <c r="U90" s="133">
        <f t="array" ref="U90">IF(COUNTIF(Podcasts!$D$10:'Podcasts'!$D$2535,$B90)&lt;COLUMN(F53),"",SMALL(IF(Podcasts!$D$10:'Podcasts'!$D$2535=$B90,Podcasts!$E$10:'Podcasts'!$E$2535),COLUMN(F53)))</f>
        <v>44673</v>
      </c>
      <c r="V90" s="132">
        <f t="array" ref="V90">IF(U90="","",INDEX(Podcasts!$F$10:'Podcasts'!$F$2535,MATCH(U90&amp;$B90,Podcasts!$E$10:'Podcasts'!$E$2535&amp;Podcasts!$D$10:'Podcasts'!$D$2535,0)))</f>
        <v>7.8136574074074081E-2</v>
      </c>
      <c r="W90" s="136" t="str">
        <f t="array" ref="W90">IF(X90="","",INDEX(Podcasts!$J$10:'Podcasts'!$J$2535,MATCH(X90&amp;$B90,Podcasts!$E$10:'Podcasts'!$E$2535&amp;Podcasts!$D$10:'Podcasts'!$D$2535,0)))</f>
        <v>Kaffee</v>
      </c>
      <c r="X90" s="133">
        <f t="array" ref="X90">IF(COUNTIF(Podcasts!$D$10:'Podcasts'!$D$2535,$B90)&lt;COLUMN(G53),"",SMALL(IF(Podcasts!$D$10:'Podcasts'!$D$2535=$B90,Podcasts!$E$10:'Podcasts'!$E$2535),COLUMN(G53)))</f>
        <v>45044</v>
      </c>
      <c r="Y90" s="132">
        <f t="array" ref="Y90">IF(X90="","",INDEX(Podcasts!$F$10:'Podcasts'!$F$2535,MATCH(X90&amp;$B90,Podcasts!$E$10:'Podcasts'!$E$2535&amp;Podcasts!$D$10:'Podcasts'!$D$2535,0)))</f>
        <v>4.7071759259259265E-2</v>
      </c>
      <c r="Z90" s="136" t="str">
        <f t="array" ref="Z90">IF(AA90="","",INDEX(Podcasts!$J$10:'Podcasts'!$J$2535,MATCH(AA90&amp;$B90,Podcasts!$E$10:'Podcasts'!$E$2535&amp;Podcasts!$D$10:'Podcasts'!$D$2535,0)))</f>
        <v>DGdB</v>
      </c>
      <c r="AA90" s="134">
        <f t="array" ref="AA90">IF(COUNTIF(Podcasts!$D$10:'Podcasts'!$D$2535,$B90)&lt;COLUMN(H53),"",SMALL(IF(Podcasts!$D$10:'Podcasts'!$D$2535=$B90,Podcasts!$E$10:'Podcasts'!$E$2535),COLUMN(H53)))</f>
        <v>45200</v>
      </c>
      <c r="AB90" s="404">
        <f t="array" ref="AB90">IF(AA90="","",INDEX(Podcasts!$F$10:'Podcasts'!$F$2535,MATCH(AA90&amp;$B90,Podcasts!$E$10:'Podcasts'!$E$2535&amp;Podcasts!$D$10:'Podcasts'!$D$2535,0)))</f>
        <v>0.13644675925925925</v>
      </c>
      <c r="AC90" s="406" t="str">
        <f t="array" ref="AC90">IF(AD90="","",INDEX(Podcasts!$J$10:'Podcasts'!$J$2535,MATCH(AD90&amp;$B90,Podcasts!$E$10:'Podcasts'!$E$2535&amp;Podcasts!$D$10:'Podcasts'!$D$2535,0)))</f>
        <v>RBW</v>
      </c>
      <c r="AD90" s="400">
        <f t="array" ref="AD90">IF(COUNTIF(Podcasts!$D$10:'Podcasts'!$D$2535,$B90)&lt;COLUMN(I53),"",SMALL(IF(Podcasts!$D$10:'Podcasts'!$D$2535=$B90,Podcasts!$E$10:'Podcasts'!$E$2535),COLUMN(I53)))</f>
        <v>45225</v>
      </c>
      <c r="AE90" s="401">
        <f t="array" ref="AE90">IF(AD90="","",INDEX(Podcasts!$F$10:'Podcasts'!$F$2535,MATCH(AD90&amp;$B90,Podcasts!$E$10:'Podcasts'!$E$2535&amp;Podcasts!$D$10:'Podcasts'!$D$2535,0)))</f>
        <v>4.8483796296296296E-2</v>
      </c>
      <c r="AF90" s="406" t="str">
        <f t="array" ref="AF90">IF(AG90="","",INDEX(Podcasts!$J$10:'Podcasts'!$J$2535,MATCH(AG90&amp;$B90,Podcasts!$E$10:'Podcasts'!$E$2535&amp;Podcasts!$D$10:'Podcasts'!$D$2535,0)))</f>
        <v>Abfahrt</v>
      </c>
      <c r="AG90" s="400">
        <f t="array" ref="AG90">IF(COUNTIF(Podcasts!$D$10:'Podcasts'!$D$2535,$B90)&lt;COLUMN(J53),"",SMALL(IF(Podcasts!$D$10:'Podcasts'!$D$2535=$B90,Podcasts!$E$10:'Podcasts'!$E$2535),COLUMN(J53)))</f>
        <v>45429</v>
      </c>
      <c r="AH90" s="401">
        <f t="array" ref="AH90">IF(AG90="","",INDEX(Podcasts!$F$10:'Podcasts'!$F$2535,MATCH(AG90&amp;$B90,Podcasts!$E$10:'Podcasts'!$E$2535&amp;Podcasts!$D$10:'Podcasts'!$D$2535,0)))</f>
        <v>0</v>
      </c>
      <c r="AI90" s="406" t="str">
        <f t="array" ref="AI90">IF(AJ90="","",INDEX(Podcasts!$J$10:'Podcasts'!$J$2535,MATCH(AJ90&amp;$B90,Podcasts!$E$10:'Podcasts'!$E$2535&amp;Podcasts!$D$10:'Podcasts'!$D$2535,0)))</f>
        <v>Bobcast</v>
      </c>
      <c r="AJ90" s="400">
        <f t="array" ref="AJ90">IF(COUNTIF(Podcasts!$D$10:'Podcasts'!$D$2535,$B90)&lt;COLUMN(K53),"",SMALL(IF(Podcasts!$D$10:'Podcasts'!$D$2535=$B90,Podcasts!$E$10:'Podcasts'!$E$2535),COLUMN(K53)))</f>
        <v>45446</v>
      </c>
      <c r="AK90" s="401">
        <f t="array" ref="AK90">IF(AJ90="","",INDEX(Podcasts!$F$10:'Podcasts'!$F$2535,MATCH(AJ90&amp;$B90,Podcasts!$E$10:'Podcasts'!$E$2535&amp;Podcasts!$D$10:'Podcasts'!$D$2535,0)))</f>
        <v>0</v>
      </c>
      <c r="AL90" s="406" t="str">
        <f t="array" ref="AL90">IF(AM90="","",INDEX(Podcasts!$J$10:'Podcasts'!$J$2535,MATCH(AM90&amp;$B90,Podcasts!$E$10:'Podcasts'!$E$2535&amp;Podcasts!$D$10:'Podcasts'!$D$2535,0)))</f>
        <v/>
      </c>
      <c r="AM90" s="400" t="str">
        <f t="array" ref="AM90">IF(COUNTIF(Podcasts!$D$10:'Podcasts'!$D$2535,$B90)&lt;COLUMN(L53),"",SMALL(IF(Podcasts!$D$10:'Podcasts'!$D$2535=$B90,Podcasts!$E$10:'Podcasts'!$E$2535),COLUMN(L53)))</f>
        <v/>
      </c>
      <c r="AN90" s="401" t="str">
        <f t="array" ref="AN90">IF(AM90="","",INDEX(Podcasts!$F$10:'Podcasts'!$F$2535,MATCH(AM90&amp;$B90,Podcasts!$E$10:'Podcasts'!$E$2535&amp;Podcasts!$D$10:'Podcasts'!$D$2535,0)))</f>
        <v/>
      </c>
      <c r="AO90" s="402"/>
      <c r="AP90" s="119"/>
      <c r="AQ90" s="117">
        <f t="array" aca="1" ref="AQ90" ca="1">IFERROR(SMALL(IF(COUNTIF(Podcasts!$D$10:'Podcasts'!$D$107,ROW(INDIRECT("1:"&amp;K$2)))=0,ROW(INDIRECT("1:"&amp;K$2))),ROW($A47)),"")</f>
        <v>68</v>
      </c>
      <c r="AR90" s="117">
        <f t="array" aca="1" ref="AR90" ca="1">IFERROR(SMALL(IF(COUNTIF(Podcasts!$D$113:'Podcasts'!$D$238,ROW(INDIRECT("1:"&amp;K$2)))=0,ROW(INDIRECT("1:"&amp;K$2))),ROW($A47)),"")</f>
        <v>47</v>
      </c>
      <c r="AS90" s="117">
        <f t="array" aca="1" ref="AS90" ca="1">IFERROR(SMALL(IF(COUNTIF(Podcasts!$D$244:'Podcasts'!$D$299,ROW(INDIRECT("1:"&amp;K$2)))=0,ROW(INDIRECT("1:"&amp;K$2))),ROW($A47)),"")</f>
        <v>63</v>
      </c>
      <c r="AT90" s="117">
        <f t="array" aca="1" ref="AT90" ca="1">IFERROR(SMALL(IF(COUNTIF(Podcasts!$D$305:'Podcasts'!$D$473,ROW(INDIRECT("1:"&amp;K$2)))=0,ROW(INDIRECT("1:"&amp;K$2))),ROW($A47)),"")</f>
        <v>182</v>
      </c>
      <c r="AU90" s="117">
        <f t="array" aca="1" ref="AU90" ca="1">IFERROR(SMALL(IF(COUNTIF(Podcasts!$D$479:'Podcasts'!$D$488,ROW(INDIRECT("1:"&amp;K$2)))=0,ROW(INDIRECT("1:"&amp;K$2))),ROW($A47)),"")</f>
        <v>47</v>
      </c>
      <c r="AV90" s="117">
        <f t="array" aca="1" ref="AV90" ca="1">IFERROR(SMALL(IF(COUNTIF(Podcasts!$D$494:'Podcasts'!$D$518,ROW(INDIRECT("1:"&amp;K$2)))=0,ROW(INDIRECT("1:"&amp;K$2))),ROW($A47)),"")</f>
        <v>63</v>
      </c>
      <c r="AW90" s="117">
        <f t="array" aca="1" ref="AW90" ca="1">IFERROR(SMALL(IF(COUNTIF(Podcasts!$D$524:'Podcasts'!$D$532,ROW(INDIRECT("1:"&amp;K$2)))=0,ROW(INDIRECT("1:"&amp;K$2))),ROW($A47)),"")</f>
        <v>47</v>
      </c>
      <c r="AX90" s="117">
        <f t="array" aca="1" ref="AX90" ca="1">IFERROR(SMALL(IF(COUNTIF(Podcasts!$D$538:'Podcasts'!$D$909,ROW(INDIRECT("1:"&amp;K$2)))=0,ROW(INDIRECT("1:"&amp;K$2))),ROW($A47)),"")</f>
        <v>139</v>
      </c>
      <c r="AY90" s="117">
        <f t="array" aca="1" ref="AY90" ca="1">IFERROR(SMALL(IF(COUNTIF(Podcasts!$D$915:'Podcasts'!$D$981,ROW(INDIRECT("1:"&amp;K$2)))=0,ROW(INDIRECT("1:"&amp;K$2))),ROW($A47)),"")</f>
        <v>69</v>
      </c>
      <c r="AZ90" s="445"/>
      <c r="BA90" s="117">
        <f t="array" aca="1" ref="BA90" ca="1">IFERROR(SMALL(IF(COUNTIF(Podcasts!$D$1001:'Podcasts'!$D$1251,ROW(INDIRECT("1:"&amp;K$2)))=0,ROW(INDIRECT("1:"&amp;K$2))),ROW($A47)),"")</f>
        <v>78</v>
      </c>
      <c r="BB90" s="117">
        <f t="array" aca="1" ref="BB90" ca="1">IFERROR(SMALL(IF(COUNTIF(Podcasts!$D$1257:'Podcasts'!$D$1267,ROW(INDIRECT("1:"&amp;K$2)))=0,ROW(INDIRECT("1:"&amp;K$2))),ROW($A47)),"")</f>
        <v>48</v>
      </c>
      <c r="BC90" s="117">
        <f t="array" aca="1" ref="BC90" ca="1">IFERROR(SMALL(IF(COUNTIF(Podcasts!$D$1273:'Podcasts'!$D$1283,ROW(INDIRECT("1:"&amp;K$2)))=0,ROW(INDIRECT("1:"&amp;K$2))),ROW($A47)),"")</f>
        <v>51</v>
      </c>
      <c r="BD90" s="117">
        <f t="array" aca="1" ref="BD90" ca="1">IFERROR(SMALL(IF(COUNTIF(Podcasts!$D$1289:'Podcasts'!$D$1295,ROW(INDIRECT("1:"&amp;K$2)))=0,ROW(INDIRECT("1:"&amp;K$2))),ROW($A47)),"")</f>
        <v>49</v>
      </c>
      <c r="BE90" s="117">
        <f t="array" aca="1" ref="BE90" ca="1">IFERROR(SMALL(IF(COUNTIF(Podcasts!$D$1301:'Podcasts'!$D$1356,ROW(INDIRECT("1:"&amp;K$2)))=0,ROW(INDIRECT("1:"&amp;K$2))),ROW($A47)),"")</f>
        <v>94</v>
      </c>
      <c r="BF90" s="117">
        <f t="array" aca="1" ref="BF90" ca="1">IFERROR(SMALL(IF(COUNTIF(Podcasts!$D$1362:'Podcasts'!$D$1364,ROW(INDIRECT("1:"&amp;K$2)))=0,ROW(INDIRECT("1:"&amp;K$2))),ROW($A47)),"")</f>
        <v>50</v>
      </c>
      <c r="BG90" s="202">
        <f t="array" aca="1" ref="BG90" ca="1">IFERROR(SMALL(IF(COUNTIF(Podcasts!$D$1370:'Podcasts'!$D$1419,ROW(INDIRECT("1:"&amp;K$2)))=0,ROW(INDIRECT("1:"&amp;K$2))),ROW($A47)),"")</f>
        <v>58</v>
      </c>
      <c r="BH90" s="202">
        <f t="array" aca="1" ref="BH90" ca="1">IFERROR(SMALL(IF(COUNTIF(Podcasts!$D$1425:'Podcasts'!$D$1446,ROW(INDIRECT("1:"&amp;K$2)))=0,ROW(INDIRECT("1:"&amp;K$2))),ROW($A47)),"")</f>
        <v>52</v>
      </c>
      <c r="BI90" s="202">
        <f t="array" aca="1" ref="BI90" ca="1">IFERROR(SMALL(IF(COUNTIF(Podcasts!$D$1452:'Podcasts'!$D$1574,ROW(INDIRECT("1:"&amp;K$2)))=0,ROW(INDIRECT("1:"&amp;K$2))),ROW($A47)),"")</f>
        <v>87</v>
      </c>
      <c r="BJ90" s="202">
        <f t="array" aca="1" ref="BJ90" ca="1">IFERROR(SMALL(IF(COUNTIF(Podcasts!$D$1580:'Podcasts'!$D$1705,ROW(INDIRECT("1:"&amp;K$2)))=0,ROW(INDIRECT("1:"&amp;K$2))),ROW($A47)),"")</f>
        <v>86</v>
      </c>
      <c r="BK90" s="202">
        <f t="array" aca="1" ref="BK90" ca="1">IFERROR(SMALL(IF(COUNTIF(Podcasts!$D$1711:'Podcasts'!$D$1833,ROW(INDIRECT("1:"&amp;K$2)))=0,ROW(INDIRECT("1:"&amp;K$2))),ROW($A47)),"")</f>
        <v>87</v>
      </c>
      <c r="BL90" s="202">
        <f t="array" aca="1" ref="BL90" ca="1">IFERROR(SMALL(IF(COUNTIF(Podcasts!$D$1839:'Podcasts'!$D$1855,ROW(INDIRECT("1:"&amp;K$2)))=0,ROW(INDIRECT("1:"&amp;K$2))),ROW($A47)),"")</f>
        <v>52</v>
      </c>
      <c r="BM90" s="567">
        <f t="array" aca="1" ref="BM90" ca="1">IFERROR(SMALL(IF(COUNTIF(Podcasts!$D$1861:'Podcasts'!$D$1994,ROW(INDIRECT("1:"&amp;K$2)))=0,ROW(INDIRECT("1:"&amp;K$2))),ROW($A47)),"")</f>
        <v>60</v>
      </c>
      <c r="BN90" s="567">
        <f t="array" aca="1" ref="BN90" ca="1">IFERROR(SMALL(IF(COUNTIF(Podcasts!$D$2000:'Podcasts'!$D$2057,ROW(INDIRECT("1:"&amp;K$2)))=0,ROW(INDIRECT("1:"&amp;K$2))),ROW($A47)),"")</f>
        <v>102</v>
      </c>
      <c r="BO90" s="567">
        <f t="array" aca="1" ref="BO90" ca="1">IFERROR(SMALL(IF(COUNTIF(Podcasts!$D$2063:'Podcasts'!$D$2071,ROW(INDIRECT("1:"&amp;K$2)))=0,ROW(INDIRECT("1:"&amp;K$2))),ROW($A47)),"")</f>
        <v>47</v>
      </c>
      <c r="BP90" s="202">
        <f t="array" aca="1" ref="BP90" ca="1">IFERROR(SMALL(IF(COUNTIF(Podcasts!$D$2077:'Podcasts'!$D$2092,ROW(INDIRECT("1:"&amp;K$2)))=0,ROW(INDIRECT("1:"&amp;K$2))),ROW($A47)),"")</f>
        <v>57</v>
      </c>
      <c r="BQ90" s="741">
        <f t="array" aca="1" ref="BQ90" ca="1">IFERROR(SMALL(IF(COUNTIF(Podcasts!$D$2098:'Podcasts'!$D$2114,ROW(INDIRECT("1:"&amp;K$2)))=0,ROW(INDIRECT("1:"&amp;K$2))),ROW($A47)),"")</f>
        <v>50</v>
      </c>
      <c r="BR90" s="744">
        <f t="array" aca="1" ref="BR90" ca="1">IFERROR(SMALL(IF(COUNTIF(Podcasts!$D$2120:'Podcasts'!$D$2124,ROW(INDIRECT("1:"&amp;K$2)))=0,ROW(INDIRECT("1:"&amp;K$2))),ROW($A47)),"")</f>
        <v>49</v>
      </c>
      <c r="BS90" s="28"/>
    </row>
    <row r="91" spans="1:71" outlineLevel="1">
      <c r="A91" s="28"/>
      <c r="B91" s="161">
        <v>48</v>
      </c>
      <c r="C91" s="161">
        <f>COUNTIF(Podcasts!$D$10:'Podcasts'!$D$2535,B91)</f>
        <v>7</v>
      </c>
      <c r="D91" s="159" t="s">
        <v>1076</v>
      </c>
      <c r="E91" s="156" t="str">
        <f t="array" ref="E91">IF(F91="","",INDEX(Podcasts!$J$10:'Podcasts'!$J$2535,MATCH(F91&amp;$B91,Podcasts!$E$10:'Podcasts'!$E$2535&amp;Podcasts!$D$10:'Podcasts'!$D$2535,0)))</f>
        <v>Fürst</v>
      </c>
      <c r="F91" s="131">
        <f t="array" ref="F91">IF(COUNTIF(Podcasts!$D$10:'Podcasts'!$D$2535,$B91)&lt;COLUMN(A54),"",SMALL(IF(Podcasts!$D$10:'Podcasts'!$D$2535=$B91,Podcasts!$E$10:'Podcasts'!$E$2535),COLUMN(A54)))</f>
        <v>41959</v>
      </c>
      <c r="G91" s="132">
        <f t="array" ref="G91">IF(F91="","",INDEX(Podcasts!$F$10:'Podcasts'!$F$2535,MATCH(F91&amp;$B91,Podcasts!$E$10:'Podcasts'!$E$2535&amp;Podcasts!$D$10:'Podcasts'!$D$2535,0)))</f>
        <v>9.0277777777777787E-3</v>
      </c>
      <c r="H91" s="136" t="str">
        <f t="array" ref="H91">IF(I91="","",INDEX(Podcasts!$J$10:'Podcasts'!$J$2535,MATCH(I91&amp;$B91,Podcasts!$E$10:'Podcasts'!$E$2535&amp;Podcasts!$D$10:'Podcasts'!$D$2535,0)))</f>
        <v>Schrott</v>
      </c>
      <c r="I91" s="133">
        <f t="array" ref="I91">IF(COUNTIF(Podcasts!$D$10:'Podcasts'!$D$2535,$B91)&lt;COLUMN(B54),"",SMALL(IF(Podcasts!$D$10:'Podcasts'!$D$2535=$B91,Podcasts!$E$10:'Podcasts'!$E$2535),COLUMN(B54)))</f>
        <v>42897</v>
      </c>
      <c r="J91" s="132">
        <f t="array" ref="J91">IF(I91="","",INDEX(Podcasts!$F$10:'Podcasts'!$F$2535,MATCH(I91&amp;$B91,Podcasts!$E$10:'Podcasts'!$E$2535&amp;Podcasts!$D$10:'Podcasts'!$D$2535,0)))</f>
        <v>4.5798611111111109E-2</v>
      </c>
      <c r="K91" s="136" t="str">
        <f t="array" ref="K91">IF(L91="","",INDEX(Podcasts!$J$10:'Podcasts'!$J$2535,MATCH(L91&amp;$B91,Podcasts!$E$10:'Podcasts'!$E$2535&amp;Podcasts!$D$10:'Podcasts'!$D$2535,0)))</f>
        <v>R&amp;A</v>
      </c>
      <c r="L91" s="133">
        <f t="array" ref="L91">IF(COUNTIF(Podcasts!$D$10:'Podcasts'!$D$2535,$B91)&lt;COLUMN(C54),"",SMALL(IF(Podcasts!$D$10:'Podcasts'!$D$2535=$B91,Podcasts!$E$10:'Podcasts'!$E$2535),COLUMN(C54)))</f>
        <v>43708.34988425926</v>
      </c>
      <c r="M91" s="132">
        <f t="array" ref="M91">IF(L91="","",INDEX(Podcasts!$F$10:'Podcasts'!$F$2535,MATCH(L91&amp;$B91,Podcasts!$E$10:'Podcasts'!$E$2535&amp;Podcasts!$D$10:'Podcasts'!$D$2535,0)))</f>
        <v>7.6979166666666668E-2</v>
      </c>
      <c r="N91" s="136" t="str">
        <f t="array" ref="N91">IF(O91="","",INDEX(Podcasts!$J$10:'Podcasts'!$J$2535,MATCH(O91&amp;$B91,Podcasts!$E$10:'Podcasts'!$E$2535&amp;Podcasts!$D$10:'Podcasts'!$D$2535,0)))</f>
        <v>Fan</v>
      </c>
      <c r="O91" s="133">
        <f t="array" ref="O91">IF(COUNTIF(Podcasts!$D$10:'Podcasts'!$D$2535,$B91)&lt;COLUMN(D54),"",SMALL(IF(Podcasts!$D$10:'Podcasts'!$D$2535=$B91,Podcasts!$E$10:'Podcasts'!$E$2535),COLUMN(D54)))</f>
        <v>44251</v>
      </c>
      <c r="P91" s="132">
        <f t="array" ref="P91">IF(O91="","",INDEX(Podcasts!$F$10:'Podcasts'!$F$2535,MATCH(O91&amp;$B91,Podcasts!$E$10:'Podcasts'!$E$2535&amp;Podcasts!$D$10:'Podcasts'!$D$2535,0)))</f>
        <v>7.4976851851851864E-2</v>
      </c>
      <c r="Q91" s="136" t="str">
        <f t="array" ref="Q91">IF(R91="","",INDEX(Podcasts!$J$10:'Podcasts'!$J$2535,MATCH(R91&amp;$B91,Podcasts!$E$10:'Podcasts'!$E$2535&amp;Podcasts!$D$10:'Podcasts'!$D$2535,0)))</f>
        <v>Kuchen</v>
      </c>
      <c r="R91" s="133">
        <f t="array" ref="R91">IF(COUNTIF(Podcasts!$D$10:'Podcasts'!$D$2535,$B91)&lt;COLUMN(E54),"",SMALL(IF(Podcasts!$D$10:'Podcasts'!$D$2535=$B91,Podcasts!$E$10:'Podcasts'!$E$2535),COLUMN(E54)))</f>
        <v>45088</v>
      </c>
      <c r="S91" s="132">
        <f t="array" ref="S91">IF(R91="","",INDEX(Podcasts!$F$10:'Podcasts'!$F$2535,MATCH(R91&amp;$B91,Podcasts!$E$10:'Podcasts'!$E$2535&amp;Podcasts!$D$10:'Podcasts'!$D$2535,0)))</f>
        <v>6.9756944444444455E-2</v>
      </c>
      <c r="T91" s="136" t="str">
        <f t="array" ref="T91">IF(U91="","",INDEX(Podcasts!$J$10:'Podcasts'!$J$2535,MATCH(U91&amp;$B91,Podcasts!$E$10:'Podcasts'!$E$2535&amp;Podcasts!$D$10:'Podcasts'!$D$2535,0)))</f>
        <v>RBW</v>
      </c>
      <c r="U91" s="133">
        <f t="array" ref="U91">IF(COUNTIF(Podcasts!$D$10:'Podcasts'!$D$2535,$B91)&lt;COLUMN(F54),"",SMALL(IF(Podcasts!$D$10:'Podcasts'!$D$2535=$B91,Podcasts!$E$10:'Podcasts'!$E$2535),COLUMN(F54)))</f>
        <v>45232</v>
      </c>
      <c r="V91" s="132">
        <f t="array" ref="V91">IF(U91="","",INDEX(Podcasts!$F$10:'Podcasts'!$F$2535,MATCH(U91&amp;$B91,Podcasts!$E$10:'Podcasts'!$E$2535&amp;Podcasts!$D$10:'Podcasts'!$D$2535,0)))</f>
        <v>2.8229166666666666E-2</v>
      </c>
      <c r="W91" s="136" t="str">
        <f t="array" ref="W91">IF(X91="","",INDEX(Podcasts!$J$10:'Podcasts'!$J$2535,MATCH(X91&amp;$B91,Podcasts!$E$10:'Podcasts'!$E$2535&amp;Podcasts!$D$10:'Podcasts'!$D$2535,0)))</f>
        <v>Bobcast</v>
      </c>
      <c r="X91" s="133">
        <f t="array" ref="X91">IF(COUNTIF(Podcasts!$D$10:'Podcasts'!$D$2535,$B91)&lt;COLUMN(G54),"",SMALL(IF(Podcasts!$D$10:'Podcasts'!$D$2535=$B91,Podcasts!$E$10:'Podcasts'!$E$2535),COLUMN(G54)))</f>
        <v>45460</v>
      </c>
      <c r="Y91" s="132">
        <f t="array" ref="Y91">IF(X91="","",INDEX(Podcasts!$F$10:'Podcasts'!$F$2535,MATCH(X91&amp;$B91,Podcasts!$E$10:'Podcasts'!$E$2535&amp;Podcasts!$D$10:'Podcasts'!$D$2535,0)))</f>
        <v>0</v>
      </c>
      <c r="Z91" s="136" t="str">
        <f t="array" ref="Z91">IF(AA91="","",INDEX(Podcasts!$J$10:'Podcasts'!$J$2535,MATCH(AA91&amp;$B91,Podcasts!$E$10:'Podcasts'!$E$2535&amp;Podcasts!$D$10:'Podcasts'!$D$2535,0)))</f>
        <v/>
      </c>
      <c r="AA91" s="134" t="str">
        <f t="array" ref="AA91">IF(COUNTIF(Podcasts!$D$10:'Podcasts'!$D$2535,$B91)&lt;COLUMN(H54),"",SMALL(IF(Podcasts!$D$10:'Podcasts'!$D$2535=$B91,Podcasts!$E$10:'Podcasts'!$E$2535),COLUMN(H54)))</f>
        <v/>
      </c>
      <c r="AB91" s="404" t="str">
        <f t="array" ref="AB91">IF(AA91="","",INDEX(Podcasts!$F$10:'Podcasts'!$F$2535,MATCH(AA91&amp;$B91,Podcasts!$E$10:'Podcasts'!$E$2535&amp;Podcasts!$D$10:'Podcasts'!$D$2535,0)))</f>
        <v/>
      </c>
      <c r="AC91" s="406" t="str">
        <f t="array" ref="AC91">IF(AD91="","",INDEX(Podcasts!$J$10:'Podcasts'!$J$2535,MATCH(AD91&amp;$B91,Podcasts!$E$10:'Podcasts'!$E$2535&amp;Podcasts!$D$10:'Podcasts'!$D$2535,0)))</f>
        <v/>
      </c>
      <c r="AD91" s="400" t="str">
        <f t="array" ref="AD91">IF(COUNTIF(Podcasts!$D$10:'Podcasts'!$D$2535,$B91)&lt;COLUMN(I54),"",SMALL(IF(Podcasts!$D$10:'Podcasts'!$D$2535=$B91,Podcasts!$E$10:'Podcasts'!$E$2535),COLUMN(I54)))</f>
        <v/>
      </c>
      <c r="AE91" s="401" t="str">
        <f t="array" ref="AE91">IF(AD91="","",INDEX(Podcasts!$F$10:'Podcasts'!$F$2535,MATCH(AD91&amp;$B91,Podcasts!$E$10:'Podcasts'!$E$2535&amp;Podcasts!$D$10:'Podcasts'!$D$2535,0)))</f>
        <v/>
      </c>
      <c r="AF91" s="406" t="str">
        <f t="array" ref="AF91">IF(AG91="","",INDEX(Podcasts!$J$10:'Podcasts'!$J$2535,MATCH(AG91&amp;$B91,Podcasts!$E$10:'Podcasts'!$E$2535&amp;Podcasts!$D$10:'Podcasts'!$D$2535,0)))</f>
        <v/>
      </c>
      <c r="AG91" s="400" t="str">
        <f t="array" ref="AG91">IF(COUNTIF(Podcasts!$D$10:'Podcasts'!$D$2535,$B91)&lt;COLUMN(J54),"",SMALL(IF(Podcasts!$D$10:'Podcasts'!$D$2535=$B91,Podcasts!$E$10:'Podcasts'!$E$2535),COLUMN(J54)))</f>
        <v/>
      </c>
      <c r="AH91" s="401" t="str">
        <f t="array" ref="AH91">IF(AG91="","",INDEX(Podcasts!$F$10:'Podcasts'!$F$2535,MATCH(AG91&amp;$B91,Podcasts!$E$10:'Podcasts'!$E$2535&amp;Podcasts!$D$10:'Podcasts'!$D$2535,0)))</f>
        <v/>
      </c>
      <c r="AI91" s="406" t="str">
        <f t="array" ref="AI91">IF(AJ91="","",INDEX(Podcasts!$J$10:'Podcasts'!$J$2535,MATCH(AJ91&amp;$B91,Podcasts!$E$10:'Podcasts'!$E$2535&amp;Podcasts!$D$10:'Podcasts'!$D$2535,0)))</f>
        <v/>
      </c>
      <c r="AJ91" s="400" t="str">
        <f t="array" ref="AJ91">IF(COUNTIF(Podcasts!$D$10:'Podcasts'!$D$2535,$B91)&lt;COLUMN(K54),"",SMALL(IF(Podcasts!$D$10:'Podcasts'!$D$2535=$B91,Podcasts!$E$10:'Podcasts'!$E$2535),COLUMN(K54)))</f>
        <v/>
      </c>
      <c r="AK91" s="401" t="str">
        <f t="array" ref="AK91">IF(AJ91="","",INDEX(Podcasts!$F$10:'Podcasts'!$F$2535,MATCH(AJ91&amp;$B91,Podcasts!$E$10:'Podcasts'!$E$2535&amp;Podcasts!$D$10:'Podcasts'!$D$2535,0)))</f>
        <v/>
      </c>
      <c r="AL91" s="406" t="str">
        <f t="array" ref="AL91">IF(AM91="","",INDEX(Podcasts!$J$10:'Podcasts'!$J$2535,MATCH(AM91&amp;$B91,Podcasts!$E$10:'Podcasts'!$E$2535&amp;Podcasts!$D$10:'Podcasts'!$D$2535,0)))</f>
        <v/>
      </c>
      <c r="AM91" s="400" t="str">
        <f t="array" ref="AM91">IF(COUNTIF(Podcasts!$D$10:'Podcasts'!$D$2535,$B91)&lt;COLUMN(L54),"",SMALL(IF(Podcasts!$D$10:'Podcasts'!$D$2535=$B91,Podcasts!$E$10:'Podcasts'!$E$2535),COLUMN(L54)))</f>
        <v/>
      </c>
      <c r="AN91" s="401" t="str">
        <f t="array" ref="AN91">IF(AM91="","",INDEX(Podcasts!$F$10:'Podcasts'!$F$2535,MATCH(AM91&amp;$B91,Podcasts!$E$10:'Podcasts'!$E$2535&amp;Podcasts!$D$10:'Podcasts'!$D$2535,0)))</f>
        <v/>
      </c>
      <c r="AO91" s="402"/>
      <c r="AP91" s="119"/>
      <c r="AQ91" s="117">
        <f t="array" aca="1" ref="AQ91" ca="1">IFERROR(SMALL(IF(COUNTIF(Podcasts!$D$10:'Podcasts'!$D$107,ROW(INDIRECT("1:"&amp;K$2)))=0,ROW(INDIRECT("1:"&amp;K$2))),ROW($A48)),"")</f>
        <v>69</v>
      </c>
      <c r="AR91" s="117">
        <f t="array" aca="1" ref="AR91" ca="1">IFERROR(SMALL(IF(COUNTIF(Podcasts!$D$113:'Podcasts'!$D$238,ROW(INDIRECT("1:"&amp;K$2)))=0,ROW(INDIRECT("1:"&amp;K$2))),ROW($A48)),"")</f>
        <v>48</v>
      </c>
      <c r="AS91" s="117">
        <f t="array" aca="1" ref="AS91" ca="1">IFERROR(SMALL(IF(COUNTIF(Podcasts!$D$244:'Podcasts'!$D$299,ROW(INDIRECT("1:"&amp;K$2)))=0,ROW(INDIRECT("1:"&amp;K$2))),ROW($A48)),"")</f>
        <v>64</v>
      </c>
      <c r="AT91" s="117">
        <f t="array" aca="1" ref="AT91" ca="1">IFERROR(SMALL(IF(COUNTIF(Podcasts!$D$305:'Podcasts'!$D$473,ROW(INDIRECT("1:"&amp;K$2)))=0,ROW(INDIRECT("1:"&amp;K$2))),ROW($A48)),"")</f>
        <v>183</v>
      </c>
      <c r="AU91" s="117">
        <f t="array" aca="1" ref="AU91" ca="1">IFERROR(SMALL(IF(COUNTIF(Podcasts!$D$479:'Podcasts'!$D$488,ROW(INDIRECT("1:"&amp;K$2)))=0,ROW(INDIRECT("1:"&amp;K$2))),ROW($A48)),"")</f>
        <v>48</v>
      </c>
      <c r="AV91" s="117">
        <f t="array" aca="1" ref="AV91" ca="1">IFERROR(SMALL(IF(COUNTIF(Podcasts!$D$494:'Podcasts'!$D$518,ROW(INDIRECT("1:"&amp;K$2)))=0,ROW(INDIRECT("1:"&amp;K$2))),ROW($A48)),"")</f>
        <v>65</v>
      </c>
      <c r="AW91" s="117">
        <f t="array" aca="1" ref="AW91" ca="1">IFERROR(SMALL(IF(COUNTIF(Podcasts!$D$524:'Podcasts'!$D$532,ROW(INDIRECT("1:"&amp;K$2)))=0,ROW(INDIRECT("1:"&amp;K$2))),ROW($A48)),"")</f>
        <v>48</v>
      </c>
      <c r="AX91" s="117">
        <f t="array" aca="1" ref="AX91" ca="1">IFERROR(SMALL(IF(COUNTIF(Podcasts!$D$538:'Podcasts'!$D$909,ROW(INDIRECT("1:"&amp;K$2)))=0,ROW(INDIRECT("1:"&amp;K$2))),ROW($A48)),"")</f>
        <v>143</v>
      </c>
      <c r="AY91" s="117">
        <f t="array" aca="1" ref="AY91" ca="1">IFERROR(SMALL(IF(COUNTIF(Podcasts!$D$915:'Podcasts'!$D$981,ROW(INDIRECT("1:"&amp;K$2)))=0,ROW(INDIRECT("1:"&amp;K$2))),ROW($A48)),"")</f>
        <v>70</v>
      </c>
      <c r="AZ91" s="445"/>
      <c r="BA91" s="117">
        <f t="array" aca="1" ref="BA91" ca="1">IFERROR(SMALL(IF(COUNTIF(Podcasts!$D$1001:'Podcasts'!$D$1251,ROW(INDIRECT("1:"&amp;K$2)))=0,ROW(INDIRECT("1:"&amp;K$2))),ROW($A48)),"")</f>
        <v>79</v>
      </c>
      <c r="BB91" s="117">
        <f t="array" aca="1" ref="BB91" ca="1">IFERROR(SMALL(IF(COUNTIF(Podcasts!$D$1257:'Podcasts'!$D$1267,ROW(INDIRECT("1:"&amp;K$2)))=0,ROW(INDIRECT("1:"&amp;K$2))),ROW($A48)),"")</f>
        <v>49</v>
      </c>
      <c r="BC91" s="117">
        <f t="array" aca="1" ref="BC91" ca="1">IFERROR(SMALL(IF(COUNTIF(Podcasts!$D$1273:'Podcasts'!$D$1283,ROW(INDIRECT("1:"&amp;K$2)))=0,ROW(INDIRECT("1:"&amp;K$2))),ROW($A48)),"")</f>
        <v>52</v>
      </c>
      <c r="BD91" s="117">
        <f t="array" aca="1" ref="BD91" ca="1">IFERROR(SMALL(IF(COUNTIF(Podcasts!$D$1289:'Podcasts'!$D$1295,ROW(INDIRECT("1:"&amp;K$2)))=0,ROW(INDIRECT("1:"&amp;K$2))),ROW($A48)),"")</f>
        <v>50</v>
      </c>
      <c r="BE91" s="117">
        <f t="array" aca="1" ref="BE91" ca="1">IFERROR(SMALL(IF(COUNTIF(Podcasts!$D$1301:'Podcasts'!$D$1356,ROW(INDIRECT("1:"&amp;K$2)))=0,ROW(INDIRECT("1:"&amp;K$2))),ROW($A48)),"")</f>
        <v>95</v>
      </c>
      <c r="BF91" s="117">
        <f t="array" aca="1" ref="BF91" ca="1">IFERROR(SMALL(IF(COUNTIF(Podcasts!$D$1362:'Podcasts'!$D$1364,ROW(INDIRECT("1:"&amp;K$2)))=0,ROW(INDIRECT("1:"&amp;K$2))),ROW($A48)),"")</f>
        <v>51</v>
      </c>
      <c r="BG91" s="202">
        <f t="array" aca="1" ref="BG91" ca="1">IFERROR(SMALL(IF(COUNTIF(Podcasts!$D$1370:'Podcasts'!$D$1419,ROW(INDIRECT("1:"&amp;K$2)))=0,ROW(INDIRECT("1:"&amp;K$2))),ROW($A48)),"")</f>
        <v>59</v>
      </c>
      <c r="BH91" s="202">
        <f t="array" aca="1" ref="BH91" ca="1">IFERROR(SMALL(IF(COUNTIF(Podcasts!$D$1425:'Podcasts'!$D$1446,ROW(INDIRECT("1:"&amp;K$2)))=0,ROW(INDIRECT("1:"&amp;K$2))),ROW($A48)),"")</f>
        <v>53</v>
      </c>
      <c r="BI91" s="202">
        <f t="array" aca="1" ref="BI91" ca="1">IFERROR(SMALL(IF(COUNTIF(Podcasts!$D$1452:'Podcasts'!$D$1574,ROW(INDIRECT("1:"&amp;K$2)))=0,ROW(INDIRECT("1:"&amp;K$2))),ROW($A48)),"")</f>
        <v>88</v>
      </c>
      <c r="BJ91" s="202">
        <f t="array" aca="1" ref="BJ91" ca="1">IFERROR(SMALL(IF(COUNTIF(Podcasts!$D$1580:'Podcasts'!$D$1705,ROW(INDIRECT("1:"&amp;K$2)))=0,ROW(INDIRECT("1:"&amp;K$2))),ROW($A48)),"")</f>
        <v>89</v>
      </c>
      <c r="BK91" s="202">
        <f t="array" aca="1" ref="BK91" ca="1">IFERROR(SMALL(IF(COUNTIF(Podcasts!$D$1711:'Podcasts'!$D$1833,ROW(INDIRECT("1:"&amp;K$2)))=0,ROW(INDIRECT("1:"&amp;K$2))),ROW($A48)),"")</f>
        <v>88</v>
      </c>
      <c r="BL91" s="202">
        <f t="array" aca="1" ref="BL91" ca="1">IFERROR(SMALL(IF(COUNTIF(Podcasts!$D$1839:'Podcasts'!$D$1855,ROW(INDIRECT("1:"&amp;K$2)))=0,ROW(INDIRECT("1:"&amp;K$2))),ROW($A48)),"")</f>
        <v>53</v>
      </c>
      <c r="BM91" s="567">
        <f t="array" aca="1" ref="BM91" ca="1">IFERROR(SMALL(IF(COUNTIF(Podcasts!$D$1861:'Podcasts'!$D$1994,ROW(INDIRECT("1:"&amp;K$2)))=0,ROW(INDIRECT("1:"&amp;K$2))),ROW($A48)),"")</f>
        <v>63</v>
      </c>
      <c r="BN91" s="567">
        <f t="array" aca="1" ref="BN91" ca="1">IFERROR(SMALL(IF(COUNTIF(Podcasts!$D$2000:'Podcasts'!$D$2057,ROW(INDIRECT("1:"&amp;K$2)))=0,ROW(INDIRECT("1:"&amp;K$2))),ROW($A48)),"")</f>
        <v>103</v>
      </c>
      <c r="BO91" s="567">
        <f t="array" aca="1" ref="BO91" ca="1">IFERROR(SMALL(IF(COUNTIF(Podcasts!$D$2063:'Podcasts'!$D$2071,ROW(INDIRECT("1:"&amp;K$2)))=0,ROW(INDIRECT("1:"&amp;K$2))),ROW($A48)),"")</f>
        <v>48</v>
      </c>
      <c r="BP91" s="202">
        <f t="array" aca="1" ref="BP91" ca="1">IFERROR(SMALL(IF(COUNTIF(Podcasts!$D$2077:'Podcasts'!$D$2092,ROW(INDIRECT("1:"&amp;K$2)))=0,ROW(INDIRECT("1:"&amp;K$2))),ROW($A48)),"")</f>
        <v>58</v>
      </c>
      <c r="BQ91" s="741">
        <f t="array" aca="1" ref="BQ91" ca="1">IFERROR(SMALL(IF(COUNTIF(Podcasts!$D$2098:'Podcasts'!$D$2114,ROW(INDIRECT("1:"&amp;K$2)))=0,ROW(INDIRECT("1:"&amp;K$2))),ROW($A48)),"")</f>
        <v>51</v>
      </c>
      <c r="BR91" s="744">
        <f t="array" aca="1" ref="BR91" ca="1">IFERROR(SMALL(IF(COUNTIF(Podcasts!$D$2120:'Podcasts'!$D$2124,ROW(INDIRECT("1:"&amp;K$2)))=0,ROW(INDIRECT("1:"&amp;K$2))),ROW($A48)),"")</f>
        <v>50</v>
      </c>
      <c r="BS91" s="28"/>
    </row>
    <row r="92" spans="1:71" outlineLevel="1">
      <c r="A92" s="28"/>
      <c r="B92" s="161">
        <v>49</v>
      </c>
      <c r="C92" s="161">
        <f>COUNTIF(Podcasts!$D$10:'Podcasts'!$D$2535,B92)</f>
        <v>6</v>
      </c>
      <c r="D92" s="159" t="s">
        <v>1077</v>
      </c>
      <c r="E92" s="156" t="str">
        <f t="array" ref="E92">IF(F92="","",INDEX(Podcasts!$J$10:'Podcasts'!$J$2535,MATCH(F92&amp;$B92,Podcasts!$E$10:'Podcasts'!$E$2535&amp;Podcasts!$D$10:'Podcasts'!$D$2535,0)))</f>
        <v>???od</v>
      </c>
      <c r="F92" s="131">
        <f t="array" ref="F92">IF(COUNTIF(Podcasts!$D$10:'Podcasts'!$D$2535,$B92)&lt;COLUMN(A55),"",SMALL(IF(Podcasts!$D$10:'Podcasts'!$D$2535=$B92,Podcasts!$E$10:'Podcasts'!$E$2535),COLUMN(A55)))</f>
        <v>41035</v>
      </c>
      <c r="G92" s="132">
        <f t="array" ref="G92">IF(F92="","",INDEX(Podcasts!$F$10:'Podcasts'!$F$2535,MATCH(F92&amp;$B92,Podcasts!$E$10:'Podcasts'!$E$2535&amp;Podcasts!$D$10:'Podcasts'!$D$2535,0)))</f>
        <v>3.3472222222222223E-2</v>
      </c>
      <c r="H92" s="136" t="str">
        <f t="array" ref="H92">IF(I92="","",INDEX(Podcasts!$J$10:'Podcasts'!$J$2535,MATCH(I92&amp;$B92,Podcasts!$E$10:'Podcasts'!$E$2535&amp;Podcasts!$D$10:'Podcasts'!$D$2535,0)))</f>
        <v>Fürst</v>
      </c>
      <c r="I92" s="133">
        <f t="array" ref="I92">IF(COUNTIF(Podcasts!$D$10:'Podcasts'!$D$2535,$B92)&lt;COLUMN(B55),"",SMALL(IF(Podcasts!$D$10:'Podcasts'!$D$2535=$B92,Podcasts!$E$10:'Podcasts'!$E$2535),COLUMN(B55)))</f>
        <v>41980</v>
      </c>
      <c r="J92" s="132">
        <f t="array" ref="J92">IF(I92="","",INDEX(Podcasts!$F$10:'Podcasts'!$F$2535,MATCH(I92&amp;$B92,Podcasts!$E$10:'Podcasts'!$E$2535&amp;Podcasts!$D$10:'Podcasts'!$D$2535,0)))</f>
        <v>5.9027777777777776E-3</v>
      </c>
      <c r="K92" s="136" t="str">
        <f t="array" ref="K92">IF(L92="","",INDEX(Podcasts!$J$10:'Podcasts'!$J$2535,MATCH(L92&amp;$B92,Podcasts!$E$10:'Podcasts'!$E$2535&amp;Podcasts!$D$10:'Podcasts'!$D$2535,0)))</f>
        <v>SSP</v>
      </c>
      <c r="L92" s="133">
        <f t="array" ref="L92">IF(COUNTIF(Podcasts!$D$10:'Podcasts'!$D$2535,$B92)&lt;COLUMN(C55),"",SMALL(IF(Podcasts!$D$10:'Podcasts'!$D$2535=$B92,Podcasts!$E$10:'Podcasts'!$E$2535),COLUMN(C55)))</f>
        <v>43179</v>
      </c>
      <c r="M92" s="132">
        <f t="array" ref="M92">IF(L92="","",INDEX(Podcasts!$F$10:'Podcasts'!$F$2535,MATCH(L92&amp;$B92,Podcasts!$E$10:'Podcasts'!$E$2535&amp;Podcasts!$D$10:'Podcasts'!$D$2535,0)))</f>
        <v>6.6944444444444445E-2</v>
      </c>
      <c r="N92" s="136" t="str">
        <f t="array" ref="N92">IF(O92="","",INDEX(Podcasts!$J$10:'Podcasts'!$J$2535,MATCH(O92&amp;$B92,Podcasts!$E$10:'Podcasts'!$E$2535&amp;Podcasts!$D$10:'Podcasts'!$D$2535,0)))</f>
        <v>Kuchen</v>
      </c>
      <c r="O92" s="133">
        <f t="array" ref="O92">IF(COUNTIF(Podcasts!$D$10:'Podcasts'!$D$2535,$B92)&lt;COLUMN(D55),"",SMALL(IF(Podcasts!$D$10:'Podcasts'!$D$2535=$B92,Podcasts!$E$10:'Podcasts'!$E$2535),COLUMN(D55)))</f>
        <v>44465</v>
      </c>
      <c r="P92" s="132">
        <f t="array" ref="P92">IF(O92="","",INDEX(Podcasts!$F$10:'Podcasts'!$F$2535,MATCH(O92&amp;$B92,Podcasts!$E$10:'Podcasts'!$E$2535&amp;Podcasts!$D$10:'Podcasts'!$D$2535,0)))</f>
        <v>4.9212962962962958E-2</v>
      </c>
      <c r="Q92" s="136" t="str">
        <f t="array" ref="Q92">IF(R92="","",INDEX(Podcasts!$J$10:'Podcasts'!$J$2535,MATCH(R92&amp;$B92,Podcasts!$E$10:'Podcasts'!$E$2535&amp;Podcasts!$D$10:'Podcasts'!$D$2535,0)))</f>
        <v>RBW</v>
      </c>
      <c r="R92" s="133">
        <f t="array" ref="R92">IF(COUNTIF(Podcasts!$D$10:'Podcasts'!$D$2535,$B92)&lt;COLUMN(E55),"",SMALL(IF(Podcasts!$D$10:'Podcasts'!$D$2535=$B92,Podcasts!$E$10:'Podcasts'!$E$2535),COLUMN(E55)))</f>
        <v>45246</v>
      </c>
      <c r="S92" s="132">
        <f t="array" ref="S92">IF(R92="","",INDEX(Podcasts!$F$10:'Podcasts'!$F$2535,MATCH(R92&amp;$B92,Podcasts!$E$10:'Podcasts'!$E$2535&amp;Podcasts!$D$10:'Podcasts'!$D$2535,0)))</f>
        <v>4.1956018518518517E-2</v>
      </c>
      <c r="T92" s="136" t="str">
        <f t="array" ref="T92">IF(U92="","",INDEX(Podcasts!$J$10:'Podcasts'!$J$2535,MATCH(U92&amp;$B92,Podcasts!$E$10:'Podcasts'!$E$2535&amp;Podcasts!$D$10:'Podcasts'!$D$2535,0)))</f>
        <v>Bobcast</v>
      </c>
      <c r="U92" s="133">
        <f t="array" ref="U92">IF(COUNTIF(Podcasts!$D$10:'Podcasts'!$D$2535,$B92)&lt;COLUMN(F55),"",SMALL(IF(Podcasts!$D$10:'Podcasts'!$D$2535=$B92,Podcasts!$E$10:'Podcasts'!$E$2535),COLUMN(F55)))</f>
        <v>45474</v>
      </c>
      <c r="V92" s="132">
        <f t="array" ref="V92">IF(U92="","",INDEX(Podcasts!$F$10:'Podcasts'!$F$2535,MATCH(U92&amp;$B92,Podcasts!$E$10:'Podcasts'!$E$2535&amp;Podcasts!$D$10:'Podcasts'!$D$2535,0)))</f>
        <v>0</v>
      </c>
      <c r="W92" s="136" t="str">
        <f t="array" ref="W92">IF(X92="","",INDEX(Podcasts!$J$10:'Podcasts'!$J$2535,MATCH(X92&amp;$B92,Podcasts!$E$10:'Podcasts'!$E$2535&amp;Podcasts!$D$10:'Podcasts'!$D$2535,0)))</f>
        <v/>
      </c>
      <c r="X92" s="133" t="str">
        <f t="array" ref="X92">IF(COUNTIF(Podcasts!$D$10:'Podcasts'!$D$2535,$B92)&lt;COLUMN(G55),"",SMALL(IF(Podcasts!$D$10:'Podcasts'!$D$2535=$B92,Podcasts!$E$10:'Podcasts'!$E$2535),COLUMN(G55)))</f>
        <v/>
      </c>
      <c r="Y92" s="132" t="str">
        <f t="array" ref="Y92">IF(X92="","",INDEX(Podcasts!$F$10:'Podcasts'!$F$2535,MATCH(X92&amp;$B92,Podcasts!$E$10:'Podcasts'!$E$2535&amp;Podcasts!$D$10:'Podcasts'!$D$2535,0)))</f>
        <v/>
      </c>
      <c r="Z92" s="136" t="str">
        <f t="array" ref="Z92">IF(AA92="","",INDEX(Podcasts!$J$10:'Podcasts'!$J$2535,MATCH(AA92&amp;$B92,Podcasts!$E$10:'Podcasts'!$E$2535&amp;Podcasts!$D$10:'Podcasts'!$D$2535,0)))</f>
        <v/>
      </c>
      <c r="AA92" s="134" t="str">
        <f t="array" ref="AA92">IF(COUNTIF(Podcasts!$D$10:'Podcasts'!$D$2535,$B92)&lt;COLUMN(H55),"",SMALL(IF(Podcasts!$D$10:'Podcasts'!$D$2535=$B92,Podcasts!$E$10:'Podcasts'!$E$2535),COLUMN(H55)))</f>
        <v/>
      </c>
      <c r="AB92" s="404" t="str">
        <f t="array" ref="AB92">IF(AA92="","",INDEX(Podcasts!$F$10:'Podcasts'!$F$2535,MATCH(AA92&amp;$B92,Podcasts!$E$10:'Podcasts'!$E$2535&amp;Podcasts!$D$10:'Podcasts'!$D$2535,0)))</f>
        <v/>
      </c>
      <c r="AC92" s="406" t="str">
        <f t="array" ref="AC92">IF(AD92="","",INDEX(Podcasts!$J$10:'Podcasts'!$J$2535,MATCH(AD92&amp;$B92,Podcasts!$E$10:'Podcasts'!$E$2535&amp;Podcasts!$D$10:'Podcasts'!$D$2535,0)))</f>
        <v/>
      </c>
      <c r="AD92" s="400" t="str">
        <f t="array" ref="AD92">IF(COUNTIF(Podcasts!$D$10:'Podcasts'!$D$2535,$B92)&lt;COLUMN(I55),"",SMALL(IF(Podcasts!$D$10:'Podcasts'!$D$2535=$B92,Podcasts!$E$10:'Podcasts'!$E$2535),COLUMN(I55)))</f>
        <v/>
      </c>
      <c r="AE92" s="401" t="str">
        <f t="array" ref="AE92">IF(AD92="","",INDEX(Podcasts!$F$10:'Podcasts'!$F$2535,MATCH(AD92&amp;$B92,Podcasts!$E$10:'Podcasts'!$E$2535&amp;Podcasts!$D$10:'Podcasts'!$D$2535,0)))</f>
        <v/>
      </c>
      <c r="AF92" s="406" t="str">
        <f t="array" ref="AF92">IF(AG92="","",INDEX(Podcasts!$J$10:'Podcasts'!$J$2535,MATCH(AG92&amp;$B92,Podcasts!$E$10:'Podcasts'!$E$2535&amp;Podcasts!$D$10:'Podcasts'!$D$2535,0)))</f>
        <v/>
      </c>
      <c r="AG92" s="400" t="str">
        <f t="array" ref="AG92">IF(COUNTIF(Podcasts!$D$10:'Podcasts'!$D$2535,$B92)&lt;COLUMN(J55),"",SMALL(IF(Podcasts!$D$10:'Podcasts'!$D$2535=$B92,Podcasts!$E$10:'Podcasts'!$E$2535),COLUMN(J55)))</f>
        <v/>
      </c>
      <c r="AH92" s="401" t="str">
        <f t="array" ref="AH92">IF(AG92="","",INDEX(Podcasts!$F$10:'Podcasts'!$F$2535,MATCH(AG92&amp;$B92,Podcasts!$E$10:'Podcasts'!$E$2535&amp;Podcasts!$D$10:'Podcasts'!$D$2535,0)))</f>
        <v/>
      </c>
      <c r="AI92" s="406" t="str">
        <f t="array" ref="AI92">IF(AJ92="","",INDEX(Podcasts!$J$10:'Podcasts'!$J$2535,MATCH(AJ92&amp;$B92,Podcasts!$E$10:'Podcasts'!$E$2535&amp;Podcasts!$D$10:'Podcasts'!$D$2535,0)))</f>
        <v/>
      </c>
      <c r="AJ92" s="400" t="str">
        <f t="array" ref="AJ92">IF(COUNTIF(Podcasts!$D$10:'Podcasts'!$D$2535,$B92)&lt;COLUMN(K55),"",SMALL(IF(Podcasts!$D$10:'Podcasts'!$D$2535=$B92,Podcasts!$E$10:'Podcasts'!$E$2535),COLUMN(K55)))</f>
        <v/>
      </c>
      <c r="AK92" s="401" t="str">
        <f t="array" ref="AK92">IF(AJ92="","",INDEX(Podcasts!$F$10:'Podcasts'!$F$2535,MATCH(AJ92&amp;$B92,Podcasts!$E$10:'Podcasts'!$E$2535&amp;Podcasts!$D$10:'Podcasts'!$D$2535,0)))</f>
        <v/>
      </c>
      <c r="AL92" s="406" t="str">
        <f t="array" ref="AL92">IF(AM92="","",INDEX(Podcasts!$J$10:'Podcasts'!$J$2535,MATCH(AM92&amp;$B92,Podcasts!$E$10:'Podcasts'!$E$2535&amp;Podcasts!$D$10:'Podcasts'!$D$2535,0)))</f>
        <v/>
      </c>
      <c r="AM92" s="400" t="str">
        <f t="array" ref="AM92">IF(COUNTIF(Podcasts!$D$10:'Podcasts'!$D$2535,$B92)&lt;COLUMN(L55),"",SMALL(IF(Podcasts!$D$10:'Podcasts'!$D$2535=$B92,Podcasts!$E$10:'Podcasts'!$E$2535),COLUMN(L55)))</f>
        <v/>
      </c>
      <c r="AN92" s="401" t="str">
        <f t="array" ref="AN92">IF(AM92="","",INDEX(Podcasts!$F$10:'Podcasts'!$F$2535,MATCH(AM92&amp;$B92,Podcasts!$E$10:'Podcasts'!$E$2535&amp;Podcasts!$D$10:'Podcasts'!$D$2535,0)))</f>
        <v/>
      </c>
      <c r="AO92" s="402"/>
      <c r="AP92" s="119"/>
      <c r="AQ92" s="117">
        <f t="array" aca="1" ref="AQ92" ca="1">IFERROR(SMALL(IF(COUNTIF(Podcasts!$D$10:'Podcasts'!$D$107,ROW(INDIRECT("1:"&amp;K$2)))=0,ROW(INDIRECT("1:"&amp;K$2))),ROW($A49)),"")</f>
        <v>70</v>
      </c>
      <c r="AR92" s="117">
        <f t="array" aca="1" ref="AR92" ca="1">IFERROR(SMALL(IF(COUNTIF(Podcasts!$D$113:'Podcasts'!$D$238,ROW(INDIRECT("1:"&amp;K$2)))=0,ROW(INDIRECT("1:"&amp;K$2))),ROW($A49)),"")</f>
        <v>49</v>
      </c>
      <c r="AS92" s="117">
        <f t="array" aca="1" ref="AS92" ca="1">IFERROR(SMALL(IF(COUNTIF(Podcasts!$D$244:'Podcasts'!$D$299,ROW(INDIRECT("1:"&amp;K$2)))=0,ROW(INDIRECT("1:"&amp;K$2))),ROW($A49)),"")</f>
        <v>65</v>
      </c>
      <c r="AT92" s="117">
        <f t="array" aca="1" ref="AT92" ca="1">IFERROR(SMALL(IF(COUNTIF(Podcasts!$D$305:'Podcasts'!$D$473,ROW(INDIRECT("1:"&amp;K$2)))=0,ROW(INDIRECT("1:"&amp;K$2))),ROW($A49)),"")</f>
        <v>184</v>
      </c>
      <c r="AU92" s="117">
        <f t="array" aca="1" ref="AU92" ca="1">IFERROR(SMALL(IF(COUNTIF(Podcasts!$D$479:'Podcasts'!$D$488,ROW(INDIRECT("1:"&amp;K$2)))=0,ROW(INDIRECT("1:"&amp;K$2))),ROW($A49)),"")</f>
        <v>49</v>
      </c>
      <c r="AV92" s="117">
        <f t="array" aca="1" ref="AV92" ca="1">IFERROR(SMALL(IF(COUNTIF(Podcasts!$D$494:'Podcasts'!$D$518,ROW(INDIRECT("1:"&amp;K$2)))=0,ROW(INDIRECT("1:"&amp;K$2))),ROW($A49)),"")</f>
        <v>66</v>
      </c>
      <c r="AW92" s="117">
        <f t="array" aca="1" ref="AW92" ca="1">IFERROR(SMALL(IF(COUNTIF(Podcasts!$D$524:'Podcasts'!$D$532,ROW(INDIRECT("1:"&amp;K$2)))=0,ROW(INDIRECT("1:"&amp;K$2))),ROW($A49)),"")</f>
        <v>49</v>
      </c>
      <c r="AX92" s="117">
        <f t="array" aca="1" ref="AX92" ca="1">IFERROR(SMALL(IF(COUNTIF(Podcasts!$D$538:'Podcasts'!$D$909,ROW(INDIRECT("1:"&amp;K$2)))=0,ROW(INDIRECT("1:"&amp;K$2))),ROW($A49)),"")</f>
        <v>144</v>
      </c>
      <c r="AY92" s="117">
        <f t="array" aca="1" ref="AY92" ca="1">IFERROR(SMALL(IF(COUNTIF(Podcasts!$D$915:'Podcasts'!$D$981,ROW(INDIRECT("1:"&amp;K$2)))=0,ROW(INDIRECT("1:"&amp;K$2))),ROW($A49)),"")</f>
        <v>71</v>
      </c>
      <c r="AZ92" s="445"/>
      <c r="BA92" s="117">
        <f t="array" aca="1" ref="BA92" ca="1">IFERROR(SMALL(IF(COUNTIF(Podcasts!$D$1001:'Podcasts'!$D$1251,ROW(INDIRECT("1:"&amp;K$2)))=0,ROW(INDIRECT("1:"&amp;K$2))),ROW($A49)),"")</f>
        <v>80</v>
      </c>
      <c r="BB92" s="117">
        <f t="array" aca="1" ref="BB92" ca="1">IFERROR(SMALL(IF(COUNTIF(Podcasts!$D$1257:'Podcasts'!$D$1267,ROW(INDIRECT("1:"&amp;K$2)))=0,ROW(INDIRECT("1:"&amp;K$2))),ROW($A49)),"")</f>
        <v>50</v>
      </c>
      <c r="BC92" s="117">
        <f t="array" aca="1" ref="BC92" ca="1">IFERROR(SMALL(IF(COUNTIF(Podcasts!$D$1273:'Podcasts'!$D$1283,ROW(INDIRECT("1:"&amp;K$2)))=0,ROW(INDIRECT("1:"&amp;K$2))),ROW($A49)),"")</f>
        <v>53</v>
      </c>
      <c r="BD92" s="117">
        <f t="array" aca="1" ref="BD92" ca="1">IFERROR(SMALL(IF(COUNTIF(Podcasts!$D$1289:'Podcasts'!$D$1295,ROW(INDIRECT("1:"&amp;K$2)))=0,ROW(INDIRECT("1:"&amp;K$2))),ROW($A49)),"")</f>
        <v>51</v>
      </c>
      <c r="BE92" s="117">
        <f t="array" aca="1" ref="BE92" ca="1">IFERROR(SMALL(IF(COUNTIF(Podcasts!$D$1301:'Podcasts'!$D$1356,ROW(INDIRECT("1:"&amp;K$2)))=0,ROW(INDIRECT("1:"&amp;K$2))),ROW($A49)),"")</f>
        <v>96</v>
      </c>
      <c r="BF92" s="117">
        <f t="array" aca="1" ref="BF92" ca="1">IFERROR(SMALL(IF(COUNTIF(Podcasts!$D$1362:'Podcasts'!$D$1364,ROW(INDIRECT("1:"&amp;K$2)))=0,ROW(INDIRECT("1:"&amp;K$2))),ROW($A49)),"")</f>
        <v>52</v>
      </c>
      <c r="BG92" s="202">
        <f t="array" aca="1" ref="BG92" ca="1">IFERROR(SMALL(IF(COUNTIF(Podcasts!$D$1370:'Podcasts'!$D$1419,ROW(INDIRECT("1:"&amp;K$2)))=0,ROW(INDIRECT("1:"&amp;K$2))),ROW($A49)),"")</f>
        <v>60</v>
      </c>
      <c r="BH92" s="202">
        <f t="array" aca="1" ref="BH92" ca="1">IFERROR(SMALL(IF(COUNTIF(Podcasts!$D$1425:'Podcasts'!$D$1446,ROW(INDIRECT("1:"&amp;K$2)))=0,ROW(INDIRECT("1:"&amp;K$2))),ROW($A49)),"")</f>
        <v>54</v>
      </c>
      <c r="BI92" s="202">
        <f t="array" aca="1" ref="BI92" ca="1">IFERROR(SMALL(IF(COUNTIF(Podcasts!$D$1452:'Podcasts'!$D$1574,ROW(INDIRECT("1:"&amp;K$2)))=0,ROW(INDIRECT("1:"&amp;K$2))),ROW($A49)),"")</f>
        <v>90</v>
      </c>
      <c r="BJ92" s="202">
        <f t="array" aca="1" ref="BJ92" ca="1">IFERROR(SMALL(IF(COUNTIF(Podcasts!$D$1580:'Podcasts'!$D$1705,ROW(INDIRECT("1:"&amp;K$2)))=0,ROW(INDIRECT("1:"&amp;K$2))),ROW($A49)),"")</f>
        <v>90</v>
      </c>
      <c r="BK92" s="202">
        <f t="array" aca="1" ref="BK92" ca="1">IFERROR(SMALL(IF(COUNTIF(Podcasts!$D$1711:'Podcasts'!$D$1833,ROW(INDIRECT("1:"&amp;K$2)))=0,ROW(INDIRECT("1:"&amp;K$2))),ROW($A49)),"")</f>
        <v>89</v>
      </c>
      <c r="BL92" s="202">
        <f t="array" aca="1" ref="BL92" ca="1">IFERROR(SMALL(IF(COUNTIF(Podcasts!$D$1839:'Podcasts'!$D$1855,ROW(INDIRECT("1:"&amp;K$2)))=0,ROW(INDIRECT("1:"&amp;K$2))),ROW($A49)),"")</f>
        <v>54</v>
      </c>
      <c r="BM92" s="567">
        <f t="array" aca="1" ref="BM92" ca="1">IFERROR(SMALL(IF(COUNTIF(Podcasts!$D$1861:'Podcasts'!$D$1994,ROW(INDIRECT("1:"&amp;K$2)))=0,ROW(INDIRECT("1:"&amp;K$2))),ROW($A49)),"")</f>
        <v>64</v>
      </c>
      <c r="BN92" s="567">
        <f t="array" aca="1" ref="BN92" ca="1">IFERROR(SMALL(IF(COUNTIF(Podcasts!$D$2000:'Podcasts'!$D$2057,ROW(INDIRECT("1:"&amp;K$2)))=0,ROW(INDIRECT("1:"&amp;K$2))),ROW($A49)),"")</f>
        <v>104</v>
      </c>
      <c r="BO92" s="567">
        <f t="array" aca="1" ref="BO92" ca="1">IFERROR(SMALL(IF(COUNTIF(Podcasts!$D$2063:'Podcasts'!$D$2071,ROW(INDIRECT("1:"&amp;K$2)))=0,ROW(INDIRECT("1:"&amp;K$2))),ROW($A49)),"")</f>
        <v>49</v>
      </c>
      <c r="BP92" s="202">
        <f t="array" aca="1" ref="BP92" ca="1">IFERROR(SMALL(IF(COUNTIF(Podcasts!$D$2077:'Podcasts'!$D$2092,ROW(INDIRECT("1:"&amp;K$2)))=0,ROW(INDIRECT("1:"&amp;K$2))),ROW($A49)),"")</f>
        <v>59</v>
      </c>
      <c r="BQ92" s="741">
        <f t="array" aca="1" ref="BQ92" ca="1">IFERROR(SMALL(IF(COUNTIF(Podcasts!$D$2098:'Podcasts'!$D$2114,ROW(INDIRECT("1:"&amp;K$2)))=0,ROW(INDIRECT("1:"&amp;K$2))),ROW($A49)),"")</f>
        <v>52</v>
      </c>
      <c r="BR92" s="744">
        <f t="array" aca="1" ref="BR92" ca="1">IFERROR(SMALL(IF(COUNTIF(Podcasts!$D$2120:'Podcasts'!$D$2124,ROW(INDIRECT("1:"&amp;K$2)))=0,ROW(INDIRECT("1:"&amp;K$2))),ROW($A49)),"")</f>
        <v>51</v>
      </c>
      <c r="BS92" s="28"/>
    </row>
    <row r="93" spans="1:71" outlineLevel="1">
      <c r="A93" s="28"/>
      <c r="B93" s="161">
        <v>50</v>
      </c>
      <c r="C93" s="161">
        <f>COUNTIF(Podcasts!$D$10:'Podcasts'!$D$2535,B93)</f>
        <v>6</v>
      </c>
      <c r="D93" s="158" t="s">
        <v>1078</v>
      </c>
      <c r="E93" s="156" t="str">
        <f t="array" ref="E93">IF(F93="","",INDEX(Podcasts!$J$10:'Podcasts'!$J$2535,MATCH(F93&amp;$B93,Podcasts!$E$10:'Podcasts'!$E$2535&amp;Podcasts!$D$10:'Podcasts'!$D$2535,0)))</f>
        <v>Fürst</v>
      </c>
      <c r="F93" s="131">
        <f t="array" ref="F93">IF(COUNTIF(Podcasts!$D$10:'Podcasts'!$D$2535,$B93)&lt;COLUMN(A56),"",SMALL(IF(Podcasts!$D$10:'Podcasts'!$D$2535=$B93,Podcasts!$E$10:'Podcasts'!$E$2535),COLUMN(A56)))</f>
        <v>41811</v>
      </c>
      <c r="G93" s="132">
        <f t="array" ref="G93">IF(F93="","",INDEX(Podcasts!$F$10:'Podcasts'!$F$2535,MATCH(F93&amp;$B93,Podcasts!$E$10:'Podcasts'!$E$2535&amp;Podcasts!$D$10:'Podcasts'!$D$2535,0)))</f>
        <v>3.703703703703709E-3</v>
      </c>
      <c r="H93" s="136" t="str">
        <f t="array" ref="H93">IF(I93="","",INDEX(Podcasts!$J$10:'Podcasts'!$J$2535,MATCH(I93&amp;$B93,Podcasts!$E$10:'Podcasts'!$E$2535&amp;Podcasts!$D$10:'Podcasts'!$D$2535,0)))</f>
        <v>SSP</v>
      </c>
      <c r="I93" s="133">
        <f t="array" ref="I93">IF(COUNTIF(Podcasts!$D$10:'Podcasts'!$D$2535,$B93)&lt;COLUMN(B56),"",SMALL(IF(Podcasts!$D$10:'Podcasts'!$D$2535=$B93,Podcasts!$E$10:'Podcasts'!$E$2535),COLUMN(B56)))</f>
        <v>43993</v>
      </c>
      <c r="J93" s="132">
        <f t="array" ref="J93">IF(I93="","",INDEX(Podcasts!$F$10:'Podcasts'!$F$2535,MATCH(I93&amp;$B93,Podcasts!$E$10:'Podcasts'!$E$2535&amp;Podcasts!$D$10:'Podcasts'!$D$2535,0)))</f>
        <v>7.5520833333333329E-2</v>
      </c>
      <c r="K93" s="136" t="str">
        <f t="array" ref="K93">IF(L93="","",INDEX(Podcasts!$J$10:'Podcasts'!$J$2535,MATCH(L93&amp;$B93,Podcasts!$E$10:'Podcasts'!$E$2535&amp;Podcasts!$D$10:'Podcasts'!$D$2535,0)))</f>
        <v>Zentrale</v>
      </c>
      <c r="L93" s="133">
        <f t="array" ref="L93">IF(COUNTIF(Podcasts!$D$10:'Podcasts'!$D$2535,$B93)&lt;COLUMN(C56),"",SMALL(IF(Podcasts!$D$10:'Podcasts'!$D$2535=$B93,Podcasts!$E$10:'Podcasts'!$E$2535),COLUMN(C56)))</f>
        <v>44500</v>
      </c>
      <c r="M93" s="132">
        <f t="array" ref="M93">IF(L93="","",INDEX(Podcasts!$F$10:'Podcasts'!$F$2535,MATCH(L93&amp;$B93,Podcasts!$E$10:'Podcasts'!$E$2535&amp;Podcasts!$D$10:'Podcasts'!$D$2535,0)))</f>
        <v>6.6388888888888886E-2</v>
      </c>
      <c r="N93" s="136" t="str">
        <f t="array" ref="N93">IF(O93="","",INDEX(Podcasts!$J$10:'Podcasts'!$J$2535,MATCH(O93&amp;$B93,Podcasts!$E$10:'Podcasts'!$E$2535&amp;Podcasts!$D$10:'Podcasts'!$D$2535,0)))</f>
        <v>Zw3i</v>
      </c>
      <c r="O93" s="133">
        <f t="array" ref="O93">IF(COUNTIF(Podcasts!$D$10:'Podcasts'!$D$2535,$B93)&lt;COLUMN(D56),"",SMALL(IF(Podcasts!$D$10:'Podcasts'!$D$2535=$B93,Podcasts!$E$10:'Podcasts'!$E$2535),COLUMN(D56)))</f>
        <v>45086</v>
      </c>
      <c r="P93" s="132">
        <f t="array" ref="P93">IF(O93="","",INDEX(Podcasts!$F$10:'Podcasts'!$F$2535,MATCH(O93&amp;$B93,Podcasts!$E$10:'Podcasts'!$E$2535&amp;Podcasts!$D$10:'Podcasts'!$D$2535,0)))</f>
        <v>0.17319444444444443</v>
      </c>
      <c r="Q93" s="136" t="str">
        <f t="array" ref="Q93">IF(R93="","",INDEX(Podcasts!$J$10:'Podcasts'!$J$2535,MATCH(R93&amp;$B93,Podcasts!$E$10:'Podcasts'!$E$2535&amp;Podcasts!$D$10:'Podcasts'!$D$2535,0)))</f>
        <v>RBW</v>
      </c>
      <c r="R93" s="133">
        <f t="array" ref="R93">IF(COUNTIF(Podcasts!$D$10:'Podcasts'!$D$2535,$B93)&lt;COLUMN(E56),"",SMALL(IF(Podcasts!$D$10:'Podcasts'!$D$2535=$B93,Podcasts!$E$10:'Podcasts'!$E$2535),COLUMN(E56)))</f>
        <v>45309</v>
      </c>
      <c r="S93" s="132">
        <f t="array" ref="S93">IF(R93="","",INDEX(Podcasts!$F$10:'Podcasts'!$F$2535,MATCH(R93&amp;$B93,Podcasts!$E$10:'Podcasts'!$E$2535&amp;Podcasts!$D$10:'Podcasts'!$D$2535,0)))</f>
        <v>3.8275462962962963E-2</v>
      </c>
      <c r="T93" s="136" t="str">
        <f t="array" ref="T93">IF(U93="","",INDEX(Podcasts!$J$10:'Podcasts'!$J$2535,MATCH(U93&amp;$B93,Podcasts!$E$10:'Podcasts'!$E$2535&amp;Podcasts!$D$10:'Podcasts'!$D$2535,0)))</f>
        <v>Bobcast</v>
      </c>
      <c r="U93" s="133">
        <f t="array" ref="U93">IF(COUNTIF(Podcasts!$D$10:'Podcasts'!$D$2535,$B93)&lt;COLUMN(F56),"",SMALL(IF(Podcasts!$D$10:'Podcasts'!$D$2535=$B93,Podcasts!$E$10:'Podcasts'!$E$2535),COLUMN(F56)))</f>
        <v>45488</v>
      </c>
      <c r="V93" s="132">
        <f t="array" ref="V93">IF(U93="","",INDEX(Podcasts!$F$10:'Podcasts'!$F$2535,MATCH(U93&amp;$B93,Podcasts!$E$10:'Podcasts'!$E$2535&amp;Podcasts!$D$10:'Podcasts'!$D$2535,0)))</f>
        <v>0</v>
      </c>
      <c r="W93" s="136" t="str">
        <f t="array" ref="W93">IF(X93="","",INDEX(Podcasts!$J$10:'Podcasts'!$J$2535,MATCH(X93&amp;$B93,Podcasts!$E$10:'Podcasts'!$E$2535&amp;Podcasts!$D$10:'Podcasts'!$D$2535,0)))</f>
        <v/>
      </c>
      <c r="X93" s="133" t="str">
        <f t="array" ref="X93">IF(COUNTIF(Podcasts!$D$10:'Podcasts'!$D$2535,$B93)&lt;COLUMN(G56),"",SMALL(IF(Podcasts!$D$10:'Podcasts'!$D$2535=$B93,Podcasts!$E$10:'Podcasts'!$E$2535),COLUMN(G56)))</f>
        <v/>
      </c>
      <c r="Y93" s="132" t="str">
        <f t="array" ref="Y93">IF(X93="","",INDEX(Podcasts!$F$10:'Podcasts'!$F$2535,MATCH(X93&amp;$B93,Podcasts!$E$10:'Podcasts'!$E$2535&amp;Podcasts!$D$10:'Podcasts'!$D$2535,0)))</f>
        <v/>
      </c>
      <c r="Z93" s="136" t="str">
        <f t="array" ref="Z93">IF(AA93="","",INDEX(Podcasts!$J$10:'Podcasts'!$J$2535,MATCH(AA93&amp;$B93,Podcasts!$E$10:'Podcasts'!$E$2535&amp;Podcasts!$D$10:'Podcasts'!$D$2535,0)))</f>
        <v/>
      </c>
      <c r="AA93" s="134" t="str">
        <f t="array" ref="AA93">IF(COUNTIF(Podcasts!$D$10:'Podcasts'!$D$2535,$B93)&lt;COLUMN(H56),"",SMALL(IF(Podcasts!$D$10:'Podcasts'!$D$2535=$B93,Podcasts!$E$10:'Podcasts'!$E$2535),COLUMN(H56)))</f>
        <v/>
      </c>
      <c r="AB93" s="404" t="str">
        <f t="array" ref="AB93">IF(AA93="","",INDEX(Podcasts!$F$10:'Podcasts'!$F$2535,MATCH(AA93&amp;$B93,Podcasts!$E$10:'Podcasts'!$E$2535&amp;Podcasts!$D$10:'Podcasts'!$D$2535,0)))</f>
        <v/>
      </c>
      <c r="AC93" s="406" t="str">
        <f t="array" ref="AC93">IF(AD93="","",INDEX(Podcasts!$J$10:'Podcasts'!$J$2535,MATCH(AD93&amp;$B93,Podcasts!$E$10:'Podcasts'!$E$2535&amp;Podcasts!$D$10:'Podcasts'!$D$2535,0)))</f>
        <v/>
      </c>
      <c r="AD93" s="400" t="str">
        <f t="array" ref="AD93">IF(COUNTIF(Podcasts!$D$10:'Podcasts'!$D$2535,$B93)&lt;COLUMN(I56),"",SMALL(IF(Podcasts!$D$10:'Podcasts'!$D$2535=$B93,Podcasts!$E$10:'Podcasts'!$E$2535),COLUMN(I56)))</f>
        <v/>
      </c>
      <c r="AE93" s="401" t="str">
        <f t="array" ref="AE93">IF(AD93="","",INDEX(Podcasts!$F$10:'Podcasts'!$F$2535,MATCH(AD93&amp;$B93,Podcasts!$E$10:'Podcasts'!$E$2535&amp;Podcasts!$D$10:'Podcasts'!$D$2535,0)))</f>
        <v/>
      </c>
      <c r="AF93" s="406" t="str">
        <f t="array" ref="AF93">IF(AG93="","",INDEX(Podcasts!$J$10:'Podcasts'!$J$2535,MATCH(AG93&amp;$B93,Podcasts!$E$10:'Podcasts'!$E$2535&amp;Podcasts!$D$10:'Podcasts'!$D$2535,0)))</f>
        <v/>
      </c>
      <c r="AG93" s="400" t="str">
        <f t="array" ref="AG93">IF(COUNTIF(Podcasts!$D$10:'Podcasts'!$D$2535,$B93)&lt;COLUMN(J56),"",SMALL(IF(Podcasts!$D$10:'Podcasts'!$D$2535=$B93,Podcasts!$E$10:'Podcasts'!$E$2535),COLUMN(J56)))</f>
        <v/>
      </c>
      <c r="AH93" s="401" t="str">
        <f t="array" ref="AH93">IF(AG93="","",INDEX(Podcasts!$F$10:'Podcasts'!$F$2535,MATCH(AG93&amp;$B93,Podcasts!$E$10:'Podcasts'!$E$2535&amp;Podcasts!$D$10:'Podcasts'!$D$2535,0)))</f>
        <v/>
      </c>
      <c r="AI93" s="406" t="str">
        <f t="array" ref="AI93">IF(AJ93="","",INDEX(Podcasts!$J$10:'Podcasts'!$J$2535,MATCH(AJ93&amp;$B93,Podcasts!$E$10:'Podcasts'!$E$2535&amp;Podcasts!$D$10:'Podcasts'!$D$2535,0)))</f>
        <v/>
      </c>
      <c r="AJ93" s="400" t="str">
        <f t="array" ref="AJ93">IF(COUNTIF(Podcasts!$D$10:'Podcasts'!$D$2535,$B93)&lt;COLUMN(K56),"",SMALL(IF(Podcasts!$D$10:'Podcasts'!$D$2535=$B93,Podcasts!$E$10:'Podcasts'!$E$2535),COLUMN(K56)))</f>
        <v/>
      </c>
      <c r="AK93" s="401" t="str">
        <f t="array" ref="AK93">IF(AJ93="","",INDEX(Podcasts!$F$10:'Podcasts'!$F$2535,MATCH(AJ93&amp;$B93,Podcasts!$E$10:'Podcasts'!$E$2535&amp;Podcasts!$D$10:'Podcasts'!$D$2535,0)))</f>
        <v/>
      </c>
      <c r="AL93" s="406" t="str">
        <f t="array" ref="AL93">IF(AM93="","",INDEX(Podcasts!$J$10:'Podcasts'!$J$2535,MATCH(AM93&amp;$B93,Podcasts!$E$10:'Podcasts'!$E$2535&amp;Podcasts!$D$10:'Podcasts'!$D$2535,0)))</f>
        <v/>
      </c>
      <c r="AM93" s="400" t="str">
        <f t="array" ref="AM93">IF(COUNTIF(Podcasts!$D$10:'Podcasts'!$D$2535,$B93)&lt;COLUMN(L56),"",SMALL(IF(Podcasts!$D$10:'Podcasts'!$D$2535=$B93,Podcasts!$E$10:'Podcasts'!$E$2535),COLUMN(L56)))</f>
        <v/>
      </c>
      <c r="AN93" s="401" t="str">
        <f t="array" ref="AN93">IF(AM93="","",INDEX(Podcasts!$F$10:'Podcasts'!$F$2535,MATCH(AM93&amp;$B93,Podcasts!$E$10:'Podcasts'!$E$2535&amp;Podcasts!$D$10:'Podcasts'!$D$2535,0)))</f>
        <v/>
      </c>
      <c r="AO93" s="402"/>
      <c r="AP93" s="119"/>
      <c r="AQ93" s="117">
        <f t="array" aca="1" ref="AQ93" ca="1">IFERROR(SMALL(IF(COUNTIF(Podcasts!$D$10:'Podcasts'!$D$107,ROW(INDIRECT("1:"&amp;K$2)))=0,ROW(INDIRECT("1:"&amp;K$2))),ROW($A50)),"")</f>
        <v>71</v>
      </c>
      <c r="AR93" s="117">
        <f t="array" aca="1" ref="AR93" ca="1">IFERROR(SMALL(IF(COUNTIF(Podcasts!$D$113:'Podcasts'!$D$238,ROW(INDIRECT("1:"&amp;K$2)))=0,ROW(INDIRECT("1:"&amp;K$2))),ROW($A50)),"")</f>
        <v>50</v>
      </c>
      <c r="AS93" s="117">
        <f t="array" aca="1" ref="AS93" ca="1">IFERROR(SMALL(IF(COUNTIF(Podcasts!$D$244:'Podcasts'!$D$299,ROW(INDIRECT("1:"&amp;K$2)))=0,ROW(INDIRECT("1:"&amp;K$2))),ROW($A50)),"")</f>
        <v>66</v>
      </c>
      <c r="AT93" s="117">
        <f t="array" aca="1" ref="AT93" ca="1">IFERROR(SMALL(IF(COUNTIF(Podcasts!$D$305:'Podcasts'!$D$473,ROW(INDIRECT("1:"&amp;K$2)))=0,ROW(INDIRECT("1:"&amp;K$2))),ROW($A50)),"")</f>
        <v>185</v>
      </c>
      <c r="AU93" s="117">
        <f t="array" aca="1" ref="AU93" ca="1">IFERROR(SMALL(IF(COUNTIF(Podcasts!$D$479:'Podcasts'!$D$488,ROW(INDIRECT("1:"&amp;K$2)))=0,ROW(INDIRECT("1:"&amp;K$2))),ROW($A50)),"")</f>
        <v>50</v>
      </c>
      <c r="AV93" s="117">
        <f t="array" aca="1" ref="AV93" ca="1">IFERROR(SMALL(IF(COUNTIF(Podcasts!$D$494:'Podcasts'!$D$518,ROW(INDIRECT("1:"&amp;K$2)))=0,ROW(INDIRECT("1:"&amp;K$2))),ROW($A50)),"")</f>
        <v>67</v>
      </c>
      <c r="AW93" s="117">
        <f t="array" aca="1" ref="AW93" ca="1">IFERROR(SMALL(IF(COUNTIF(Podcasts!$D$524:'Podcasts'!$D$532,ROW(INDIRECT("1:"&amp;K$2)))=0,ROW(INDIRECT("1:"&amp;K$2))),ROW($A50)),"")</f>
        <v>50</v>
      </c>
      <c r="AX93" s="117">
        <f t="array" aca="1" ref="AX93" ca="1">IFERROR(SMALL(IF(COUNTIF(Podcasts!$D$538:'Podcasts'!$D$909,ROW(INDIRECT("1:"&amp;K$2)))=0,ROW(INDIRECT("1:"&amp;K$2))),ROW($A50)),"")</f>
        <v>146</v>
      </c>
      <c r="AY93" s="117">
        <f t="array" aca="1" ref="AY93" ca="1">IFERROR(SMALL(IF(COUNTIF(Podcasts!$D$915:'Podcasts'!$D$981,ROW(INDIRECT("1:"&amp;K$2)))=0,ROW(INDIRECT("1:"&amp;K$2))),ROW($A50)),"")</f>
        <v>75</v>
      </c>
      <c r="AZ93" s="445"/>
      <c r="BA93" s="117">
        <f t="array" aca="1" ref="BA93" ca="1">IFERROR(SMALL(IF(COUNTIF(Podcasts!$D$1001:'Podcasts'!$D$1251,ROW(INDIRECT("1:"&amp;K$2)))=0,ROW(INDIRECT("1:"&amp;K$2))),ROW($A50)),"")</f>
        <v>81</v>
      </c>
      <c r="BB93" s="117">
        <f t="array" aca="1" ref="BB93" ca="1">IFERROR(SMALL(IF(COUNTIF(Podcasts!$D$1257:'Podcasts'!$D$1267,ROW(INDIRECT("1:"&amp;K$2)))=0,ROW(INDIRECT("1:"&amp;K$2))),ROW($A50)),"")</f>
        <v>51</v>
      </c>
      <c r="BC93" s="117">
        <f t="array" aca="1" ref="BC93" ca="1">IFERROR(SMALL(IF(COUNTIF(Podcasts!$D$1273:'Podcasts'!$D$1283,ROW(INDIRECT("1:"&amp;K$2)))=0,ROW(INDIRECT("1:"&amp;K$2))),ROW($A50)),"")</f>
        <v>54</v>
      </c>
      <c r="BD93" s="117">
        <f t="array" aca="1" ref="BD93" ca="1">IFERROR(SMALL(IF(COUNTIF(Podcasts!$D$1289:'Podcasts'!$D$1295,ROW(INDIRECT("1:"&amp;K$2)))=0,ROW(INDIRECT("1:"&amp;K$2))),ROW($A50)),"")</f>
        <v>52</v>
      </c>
      <c r="BE93" s="117">
        <f t="array" aca="1" ref="BE93" ca="1">IFERROR(SMALL(IF(COUNTIF(Podcasts!$D$1301:'Podcasts'!$D$1356,ROW(INDIRECT("1:"&amp;K$2)))=0,ROW(INDIRECT("1:"&amp;K$2))),ROW($A50)),"")</f>
        <v>97</v>
      </c>
      <c r="BF93" s="117">
        <f t="array" aca="1" ref="BF93" ca="1">IFERROR(SMALL(IF(COUNTIF(Podcasts!$D$1362:'Podcasts'!$D$1364,ROW(INDIRECT("1:"&amp;K$2)))=0,ROW(INDIRECT("1:"&amp;K$2))),ROW($A50)),"")</f>
        <v>53</v>
      </c>
      <c r="BG93" s="202">
        <f t="array" aca="1" ref="BG93" ca="1">IFERROR(SMALL(IF(COUNTIF(Podcasts!$D$1370:'Podcasts'!$D$1419,ROW(INDIRECT("1:"&amp;K$2)))=0,ROW(INDIRECT("1:"&amp;K$2))),ROW($A50)),"")</f>
        <v>61</v>
      </c>
      <c r="BH93" s="202">
        <f t="array" aca="1" ref="BH93" ca="1">IFERROR(SMALL(IF(COUNTIF(Podcasts!$D$1425:'Podcasts'!$D$1446,ROW(INDIRECT("1:"&amp;K$2)))=0,ROW(INDIRECT("1:"&amp;K$2))),ROW($A50)),"")</f>
        <v>55</v>
      </c>
      <c r="BI93" s="202">
        <f t="array" aca="1" ref="BI93" ca="1">IFERROR(SMALL(IF(COUNTIF(Podcasts!$D$1452:'Podcasts'!$D$1574,ROW(INDIRECT("1:"&amp;K$2)))=0,ROW(INDIRECT("1:"&amp;K$2))),ROW($A50)),"")</f>
        <v>93</v>
      </c>
      <c r="BJ93" s="202">
        <f t="array" aca="1" ref="BJ93" ca="1">IFERROR(SMALL(IF(COUNTIF(Podcasts!$D$1580:'Podcasts'!$D$1705,ROW(INDIRECT("1:"&amp;K$2)))=0,ROW(INDIRECT("1:"&amp;K$2))),ROW($A50)),"")</f>
        <v>93</v>
      </c>
      <c r="BK93" s="202">
        <f t="array" aca="1" ref="BK93" ca="1">IFERROR(SMALL(IF(COUNTIF(Podcasts!$D$1711:'Podcasts'!$D$1833,ROW(INDIRECT("1:"&amp;K$2)))=0,ROW(INDIRECT("1:"&amp;K$2))),ROW($A50)),"")</f>
        <v>90</v>
      </c>
      <c r="BL93" s="202">
        <f t="array" aca="1" ref="BL93" ca="1">IFERROR(SMALL(IF(COUNTIF(Podcasts!$D$1839:'Podcasts'!$D$1855,ROW(INDIRECT("1:"&amp;K$2)))=0,ROW(INDIRECT("1:"&amp;K$2))),ROW($A50)),"")</f>
        <v>55</v>
      </c>
      <c r="BM93" s="567">
        <f t="array" aca="1" ref="BM93" ca="1">IFERROR(SMALL(IF(COUNTIF(Podcasts!$D$1861:'Podcasts'!$D$1994,ROW(INDIRECT("1:"&amp;K$2)))=0,ROW(INDIRECT("1:"&amp;K$2))),ROW($A50)),"")</f>
        <v>65</v>
      </c>
      <c r="BN93" s="567">
        <f t="array" aca="1" ref="BN93" ca="1">IFERROR(SMALL(IF(COUNTIF(Podcasts!$D$2000:'Podcasts'!$D$2057,ROW(INDIRECT("1:"&amp;K$2)))=0,ROW(INDIRECT("1:"&amp;K$2))),ROW($A50)),"")</f>
        <v>105</v>
      </c>
      <c r="BO93" s="567">
        <f t="array" aca="1" ref="BO93" ca="1">IFERROR(SMALL(IF(COUNTIF(Podcasts!$D$2063:'Podcasts'!$D$2071,ROW(INDIRECT("1:"&amp;K$2)))=0,ROW(INDIRECT("1:"&amp;K$2))),ROW($A50)),"")</f>
        <v>50</v>
      </c>
      <c r="BP93" s="202">
        <f t="array" aca="1" ref="BP93" ca="1">IFERROR(SMALL(IF(COUNTIF(Podcasts!$D$2077:'Podcasts'!$D$2092,ROW(INDIRECT("1:"&amp;K$2)))=0,ROW(INDIRECT("1:"&amp;K$2))),ROW($A50)),"")</f>
        <v>60</v>
      </c>
      <c r="BQ93" s="741">
        <f t="array" aca="1" ref="BQ93" ca="1">IFERROR(SMALL(IF(COUNTIF(Podcasts!$D$2098:'Podcasts'!$D$2114,ROW(INDIRECT("1:"&amp;K$2)))=0,ROW(INDIRECT("1:"&amp;K$2))),ROW($A50)),"")</f>
        <v>53</v>
      </c>
      <c r="BR93" s="744">
        <f t="array" aca="1" ref="BR93" ca="1">IFERROR(SMALL(IF(COUNTIF(Podcasts!$D$2120:'Podcasts'!$D$2124,ROW(INDIRECT("1:"&amp;K$2)))=0,ROW(INDIRECT("1:"&amp;K$2))),ROW($A50)),"")</f>
        <v>52</v>
      </c>
      <c r="BS93" s="28"/>
    </row>
    <row r="94" spans="1:71" outlineLevel="1">
      <c r="A94" s="28"/>
      <c r="B94" s="161">
        <v>51</v>
      </c>
      <c r="C94" s="161">
        <f>COUNTIF(Podcasts!$D$10:'Podcasts'!$D$2535,B94)</f>
        <v>4</v>
      </c>
      <c r="D94" s="158" t="s">
        <v>1079</v>
      </c>
      <c r="E94" s="156" t="str">
        <f t="array" ref="E94">IF(F94="","",INDEX(Podcasts!$J$10:'Podcasts'!$J$2535,MATCH(F94&amp;$B94,Podcasts!$E$10:'Podcasts'!$E$2535&amp;Podcasts!$D$10:'Podcasts'!$D$2535,0)))</f>
        <v>Fürst</v>
      </c>
      <c r="F94" s="131">
        <f t="array" ref="F94">IF(COUNTIF(Podcasts!$D$10:'Podcasts'!$D$2535,$B94)&lt;COLUMN(A57),"",SMALL(IF(Podcasts!$D$10:'Podcasts'!$D$2535=$B94,Podcasts!$E$10:'Podcasts'!$E$2535),COLUMN(A57)))</f>
        <v>41917</v>
      </c>
      <c r="G94" s="132">
        <f t="array" ref="G94">IF(F94="","",INDEX(Podcasts!$F$10:'Podcasts'!$F$2535,MATCH(F94&amp;$B94,Podcasts!$E$10:'Podcasts'!$E$2535&amp;Podcasts!$D$10:'Podcasts'!$D$2535,0)))</f>
        <v>5.9027777777777707E-3</v>
      </c>
      <c r="H94" s="136" t="str">
        <f t="array" ref="H94">IF(I94="","",INDEX(Podcasts!$J$10:'Podcasts'!$J$2535,MATCH(I94&amp;$B94,Podcasts!$E$10:'Podcasts'!$E$2535&amp;Podcasts!$D$10:'Podcasts'!$D$2535,0)))</f>
        <v>R&amp;A</v>
      </c>
      <c r="I94" s="133">
        <f t="array" ref="I94">IF(COUNTIF(Podcasts!$D$10:'Podcasts'!$D$2535,$B94)&lt;COLUMN(B57),"",SMALL(IF(Podcasts!$D$10:'Podcasts'!$D$2535=$B94,Podcasts!$E$10:'Podcasts'!$E$2535),COLUMN(B57)))</f>
        <v>44712.6875</v>
      </c>
      <c r="J94" s="132">
        <f t="array" ref="J94">IF(I94="","",INDEX(Podcasts!$F$10:'Podcasts'!$F$2535,MATCH(I94&amp;$B94,Podcasts!$E$10:'Podcasts'!$E$2535&amp;Podcasts!$D$10:'Podcasts'!$D$2535,0)))</f>
        <v>9.2893518518518514E-2</v>
      </c>
      <c r="K94" s="136" t="str">
        <f t="array" ref="K94">IF(L94="","",INDEX(Podcasts!$J$10:'Podcasts'!$J$2535,MATCH(L94&amp;$B94,Podcasts!$E$10:'Podcasts'!$E$2535&amp;Podcasts!$D$10:'Podcasts'!$D$2535,0)))</f>
        <v>beachcast</v>
      </c>
      <c r="L94" s="133">
        <f t="array" ref="L94">IF(COUNTIF(Podcasts!$D$10:'Podcasts'!$D$2535,$B94)&lt;COLUMN(C57),"",SMALL(IF(Podcasts!$D$10:'Podcasts'!$D$2535=$B94,Podcasts!$E$10:'Podcasts'!$E$2535),COLUMN(C57)))</f>
        <v>45017.354675925926</v>
      </c>
      <c r="M94" s="132">
        <f t="array" ref="M94">IF(L94="","",INDEX(Podcasts!$F$10:'Podcasts'!$F$2535,MATCH(L94&amp;$B94,Podcasts!$E$10:'Podcasts'!$E$2535&amp;Podcasts!$D$10:'Podcasts'!$D$2535,0)))</f>
        <v>6.6423611111111114E-2</v>
      </c>
      <c r="N94" s="136" t="str">
        <f t="array" ref="N94">IF(O94="","",INDEX(Podcasts!$J$10:'Podcasts'!$J$2535,MATCH(O94&amp;$B94,Podcasts!$E$10:'Podcasts'!$E$2535&amp;Podcasts!$D$10:'Podcasts'!$D$2535,0)))</f>
        <v>RBW</v>
      </c>
      <c r="O94" s="133">
        <f t="array" ref="O94">IF(COUNTIF(Podcasts!$D$10:'Podcasts'!$D$2535,$B94)&lt;COLUMN(D57),"",SMALL(IF(Podcasts!$D$10:'Podcasts'!$D$2535=$B94,Podcasts!$E$10:'Podcasts'!$E$2535),COLUMN(D57)))</f>
        <v>45316</v>
      </c>
      <c r="P94" s="132">
        <f t="array" ref="P94">IF(O94="","",INDEX(Podcasts!$F$10:'Podcasts'!$F$2535,MATCH(O94&amp;$B94,Podcasts!$E$10:'Podcasts'!$E$2535&amp;Podcasts!$D$10:'Podcasts'!$D$2535,0)))</f>
        <v>3.2129629629629626E-2</v>
      </c>
      <c r="Q94" s="136" t="str">
        <f t="array" ref="Q94">IF(R94="","",INDEX(Podcasts!$J$10:'Podcasts'!$J$2535,MATCH(R94&amp;$B94,Podcasts!$E$10:'Podcasts'!$E$2535&amp;Podcasts!$D$10:'Podcasts'!$D$2535,0)))</f>
        <v/>
      </c>
      <c r="R94" s="133" t="str">
        <f t="array" ref="R94">IF(COUNTIF(Podcasts!$D$10:'Podcasts'!$D$2535,$B94)&lt;COLUMN(E57),"",SMALL(IF(Podcasts!$D$10:'Podcasts'!$D$2535=$B94,Podcasts!$E$10:'Podcasts'!$E$2535),COLUMN(E57)))</f>
        <v/>
      </c>
      <c r="S94" s="132" t="str">
        <f t="array" ref="S94">IF(R94="","",INDEX(Podcasts!$F$10:'Podcasts'!$F$2535,MATCH(R94&amp;$B94,Podcasts!$E$10:'Podcasts'!$E$2535&amp;Podcasts!$D$10:'Podcasts'!$D$2535,0)))</f>
        <v/>
      </c>
      <c r="T94" s="136" t="str">
        <f t="array" ref="T94">IF(U94="","",INDEX(Podcasts!$J$10:'Podcasts'!$J$2535,MATCH(U94&amp;$B94,Podcasts!$E$10:'Podcasts'!$E$2535&amp;Podcasts!$D$10:'Podcasts'!$D$2535,0)))</f>
        <v/>
      </c>
      <c r="U94" s="133" t="str">
        <f t="array" ref="U94">IF(COUNTIF(Podcasts!$D$10:'Podcasts'!$D$2535,$B94)&lt;COLUMN(F57),"",SMALL(IF(Podcasts!$D$10:'Podcasts'!$D$2535=$B94,Podcasts!$E$10:'Podcasts'!$E$2535),COLUMN(F57)))</f>
        <v/>
      </c>
      <c r="V94" s="132" t="str">
        <f t="array" ref="V94">IF(U94="","",INDEX(Podcasts!$F$10:'Podcasts'!$F$2535,MATCH(U94&amp;$B94,Podcasts!$E$10:'Podcasts'!$E$2535&amp;Podcasts!$D$10:'Podcasts'!$D$2535,0)))</f>
        <v/>
      </c>
      <c r="W94" s="136" t="str">
        <f t="array" ref="W94">IF(X94="","",INDEX(Podcasts!$J$10:'Podcasts'!$J$2535,MATCH(X94&amp;$B94,Podcasts!$E$10:'Podcasts'!$E$2535&amp;Podcasts!$D$10:'Podcasts'!$D$2535,0)))</f>
        <v/>
      </c>
      <c r="X94" s="133" t="str">
        <f t="array" ref="X94">IF(COUNTIF(Podcasts!$D$10:'Podcasts'!$D$2535,$B94)&lt;COLUMN(G57),"",SMALL(IF(Podcasts!$D$10:'Podcasts'!$D$2535=$B94,Podcasts!$E$10:'Podcasts'!$E$2535),COLUMN(G57)))</f>
        <v/>
      </c>
      <c r="Y94" s="132" t="str">
        <f t="array" ref="Y94">IF(X94="","",INDEX(Podcasts!$F$10:'Podcasts'!$F$2535,MATCH(X94&amp;$B94,Podcasts!$E$10:'Podcasts'!$E$2535&amp;Podcasts!$D$10:'Podcasts'!$D$2535,0)))</f>
        <v/>
      </c>
      <c r="Z94" s="136" t="str">
        <f t="array" ref="Z94">IF(AA94="","",INDEX(Podcasts!$J$10:'Podcasts'!$J$2535,MATCH(AA94&amp;$B94,Podcasts!$E$10:'Podcasts'!$E$2535&amp;Podcasts!$D$10:'Podcasts'!$D$2535,0)))</f>
        <v/>
      </c>
      <c r="AA94" s="134" t="str">
        <f t="array" ref="AA94">IF(COUNTIF(Podcasts!$D$10:'Podcasts'!$D$2535,$B94)&lt;COLUMN(H57),"",SMALL(IF(Podcasts!$D$10:'Podcasts'!$D$2535=$B94,Podcasts!$E$10:'Podcasts'!$E$2535),COLUMN(H57)))</f>
        <v/>
      </c>
      <c r="AB94" s="404" t="str">
        <f t="array" ref="AB94">IF(AA94="","",INDEX(Podcasts!$F$10:'Podcasts'!$F$2535,MATCH(AA94&amp;$B94,Podcasts!$E$10:'Podcasts'!$E$2535&amp;Podcasts!$D$10:'Podcasts'!$D$2535,0)))</f>
        <v/>
      </c>
      <c r="AC94" s="406" t="str">
        <f t="array" ref="AC94">IF(AD94="","",INDEX(Podcasts!$J$10:'Podcasts'!$J$2535,MATCH(AD94&amp;$B94,Podcasts!$E$10:'Podcasts'!$E$2535&amp;Podcasts!$D$10:'Podcasts'!$D$2535,0)))</f>
        <v/>
      </c>
      <c r="AD94" s="400" t="str">
        <f t="array" ref="AD94">IF(COUNTIF(Podcasts!$D$10:'Podcasts'!$D$2535,$B94)&lt;COLUMN(I57),"",SMALL(IF(Podcasts!$D$10:'Podcasts'!$D$2535=$B94,Podcasts!$E$10:'Podcasts'!$E$2535),COLUMN(I57)))</f>
        <v/>
      </c>
      <c r="AE94" s="401" t="str">
        <f t="array" ref="AE94">IF(AD94="","",INDEX(Podcasts!$F$10:'Podcasts'!$F$2535,MATCH(AD94&amp;$B94,Podcasts!$E$10:'Podcasts'!$E$2535&amp;Podcasts!$D$10:'Podcasts'!$D$2535,0)))</f>
        <v/>
      </c>
      <c r="AF94" s="406" t="str">
        <f t="array" ref="AF94">IF(AG94="","",INDEX(Podcasts!$J$10:'Podcasts'!$J$2535,MATCH(AG94&amp;$B94,Podcasts!$E$10:'Podcasts'!$E$2535&amp;Podcasts!$D$10:'Podcasts'!$D$2535,0)))</f>
        <v/>
      </c>
      <c r="AG94" s="400" t="str">
        <f t="array" ref="AG94">IF(COUNTIF(Podcasts!$D$10:'Podcasts'!$D$2535,$B94)&lt;COLUMN(J57),"",SMALL(IF(Podcasts!$D$10:'Podcasts'!$D$2535=$B94,Podcasts!$E$10:'Podcasts'!$E$2535),COLUMN(J57)))</f>
        <v/>
      </c>
      <c r="AH94" s="401" t="str">
        <f t="array" ref="AH94">IF(AG94="","",INDEX(Podcasts!$F$10:'Podcasts'!$F$2535,MATCH(AG94&amp;$B94,Podcasts!$E$10:'Podcasts'!$E$2535&amp;Podcasts!$D$10:'Podcasts'!$D$2535,0)))</f>
        <v/>
      </c>
      <c r="AI94" s="406" t="str">
        <f t="array" ref="AI94">IF(AJ94="","",INDEX(Podcasts!$J$10:'Podcasts'!$J$2535,MATCH(AJ94&amp;$B94,Podcasts!$E$10:'Podcasts'!$E$2535&amp;Podcasts!$D$10:'Podcasts'!$D$2535,0)))</f>
        <v/>
      </c>
      <c r="AJ94" s="400" t="str">
        <f t="array" ref="AJ94">IF(COUNTIF(Podcasts!$D$10:'Podcasts'!$D$2535,$B94)&lt;COLUMN(K57),"",SMALL(IF(Podcasts!$D$10:'Podcasts'!$D$2535=$B94,Podcasts!$E$10:'Podcasts'!$E$2535),COLUMN(K57)))</f>
        <v/>
      </c>
      <c r="AK94" s="401" t="str">
        <f t="array" ref="AK94">IF(AJ94="","",INDEX(Podcasts!$F$10:'Podcasts'!$F$2535,MATCH(AJ94&amp;$B94,Podcasts!$E$10:'Podcasts'!$E$2535&amp;Podcasts!$D$10:'Podcasts'!$D$2535,0)))</f>
        <v/>
      </c>
      <c r="AL94" s="406" t="str">
        <f t="array" ref="AL94">IF(AM94="","",INDEX(Podcasts!$J$10:'Podcasts'!$J$2535,MATCH(AM94&amp;$B94,Podcasts!$E$10:'Podcasts'!$E$2535&amp;Podcasts!$D$10:'Podcasts'!$D$2535,0)))</f>
        <v/>
      </c>
      <c r="AM94" s="400" t="str">
        <f t="array" ref="AM94">IF(COUNTIF(Podcasts!$D$10:'Podcasts'!$D$2535,$B94)&lt;COLUMN(L57),"",SMALL(IF(Podcasts!$D$10:'Podcasts'!$D$2535=$B94,Podcasts!$E$10:'Podcasts'!$E$2535),COLUMN(L57)))</f>
        <v/>
      </c>
      <c r="AN94" s="401" t="str">
        <f t="array" ref="AN94">IF(AM94="","",INDEX(Podcasts!$F$10:'Podcasts'!$F$2535,MATCH(AM94&amp;$B94,Podcasts!$E$10:'Podcasts'!$E$2535&amp;Podcasts!$D$10:'Podcasts'!$D$2535,0)))</f>
        <v/>
      </c>
      <c r="AO94" s="402"/>
      <c r="AP94" s="119"/>
      <c r="AQ94" s="117">
        <f t="array" aca="1" ref="AQ94" ca="1">IFERROR(SMALL(IF(COUNTIF(Podcasts!$D$10:'Podcasts'!$D$107,ROW(INDIRECT("1:"&amp;K$2)))=0,ROW(INDIRECT("1:"&amp;K$2))),ROW($A51)),"")</f>
        <v>72</v>
      </c>
      <c r="AR94" s="117">
        <f t="array" aca="1" ref="AR94" ca="1">IFERROR(SMALL(IF(COUNTIF(Podcasts!$D$113:'Podcasts'!$D$238,ROW(INDIRECT("1:"&amp;K$2)))=0,ROW(INDIRECT("1:"&amp;K$2))),ROW($A51)),"")</f>
        <v>51</v>
      </c>
      <c r="AS94" s="117">
        <f t="array" aca="1" ref="AS94" ca="1">IFERROR(SMALL(IF(COUNTIF(Podcasts!$D$244:'Podcasts'!$D$299,ROW(INDIRECT("1:"&amp;K$2)))=0,ROW(INDIRECT("1:"&amp;K$2))),ROW($A51)),"")</f>
        <v>67</v>
      </c>
      <c r="AT94" s="117">
        <f t="array" aca="1" ref="AT94" ca="1">IFERROR(SMALL(IF(COUNTIF(Podcasts!$D$305:'Podcasts'!$D$473,ROW(INDIRECT("1:"&amp;K$2)))=0,ROW(INDIRECT("1:"&amp;K$2))),ROW($A51)),"")</f>
        <v>186</v>
      </c>
      <c r="AU94" s="117">
        <f t="array" aca="1" ref="AU94" ca="1">IFERROR(SMALL(IF(COUNTIF(Podcasts!$D$479:'Podcasts'!$D$488,ROW(INDIRECT("1:"&amp;K$2)))=0,ROW(INDIRECT("1:"&amp;K$2))),ROW($A51)),"")</f>
        <v>51</v>
      </c>
      <c r="AV94" s="117">
        <f t="array" aca="1" ref="AV94" ca="1">IFERROR(SMALL(IF(COUNTIF(Podcasts!$D$494:'Podcasts'!$D$518,ROW(INDIRECT("1:"&amp;K$2)))=0,ROW(INDIRECT("1:"&amp;K$2))),ROW($A51)),"")</f>
        <v>68</v>
      </c>
      <c r="AW94" s="117">
        <f t="array" aca="1" ref="AW94" ca="1">IFERROR(SMALL(IF(COUNTIF(Podcasts!$D$524:'Podcasts'!$D$532,ROW(INDIRECT("1:"&amp;K$2)))=0,ROW(INDIRECT("1:"&amp;K$2))),ROW($A51)),"")</f>
        <v>51</v>
      </c>
      <c r="AX94" s="117">
        <f t="array" aca="1" ref="AX94" ca="1">IFERROR(SMALL(IF(COUNTIF(Podcasts!$D$538:'Podcasts'!$D$909,ROW(INDIRECT("1:"&amp;K$2)))=0,ROW(INDIRECT("1:"&amp;K$2))),ROW($A51)),"")</f>
        <v>148</v>
      </c>
      <c r="AY94" s="117">
        <f t="array" aca="1" ref="AY94" ca="1">IFERROR(SMALL(IF(COUNTIF(Podcasts!$D$915:'Podcasts'!$D$981,ROW(INDIRECT("1:"&amp;K$2)))=0,ROW(INDIRECT("1:"&amp;K$2))),ROW($A51)),"")</f>
        <v>77</v>
      </c>
      <c r="AZ94" s="445"/>
      <c r="BA94" s="117">
        <f t="array" aca="1" ref="BA94" ca="1">IFERROR(SMALL(IF(COUNTIF(Podcasts!$D$1001:'Podcasts'!$D$1251,ROW(INDIRECT("1:"&amp;K$2)))=0,ROW(INDIRECT("1:"&amp;K$2))),ROW($A51)),"")</f>
        <v>82</v>
      </c>
      <c r="BB94" s="117">
        <f t="array" aca="1" ref="BB94" ca="1">IFERROR(SMALL(IF(COUNTIF(Podcasts!$D$1257:'Podcasts'!$D$1267,ROW(INDIRECT("1:"&amp;K$2)))=0,ROW(INDIRECT("1:"&amp;K$2))),ROW($A51)),"")</f>
        <v>52</v>
      </c>
      <c r="BC94" s="117">
        <f t="array" aca="1" ref="BC94" ca="1">IFERROR(SMALL(IF(COUNTIF(Podcasts!$D$1273:'Podcasts'!$D$1283,ROW(INDIRECT("1:"&amp;K$2)))=0,ROW(INDIRECT("1:"&amp;K$2))),ROW($A51)),"")</f>
        <v>55</v>
      </c>
      <c r="BD94" s="117">
        <f t="array" aca="1" ref="BD94" ca="1">IFERROR(SMALL(IF(COUNTIF(Podcasts!$D$1289:'Podcasts'!$D$1295,ROW(INDIRECT("1:"&amp;K$2)))=0,ROW(INDIRECT("1:"&amp;K$2))),ROW($A51)),"")</f>
        <v>53</v>
      </c>
      <c r="BE94" s="117">
        <f t="array" aca="1" ref="BE94" ca="1">IFERROR(SMALL(IF(COUNTIF(Podcasts!$D$1301:'Podcasts'!$D$1356,ROW(INDIRECT("1:"&amp;K$2)))=0,ROW(INDIRECT("1:"&amp;K$2))),ROW($A51)),"")</f>
        <v>98</v>
      </c>
      <c r="BF94" s="117">
        <f t="array" aca="1" ref="BF94" ca="1">IFERROR(SMALL(IF(COUNTIF(Podcasts!$D$1362:'Podcasts'!$D$1364,ROW(INDIRECT("1:"&amp;K$2)))=0,ROW(INDIRECT("1:"&amp;K$2))),ROW($A51)),"")</f>
        <v>54</v>
      </c>
      <c r="BG94" s="202">
        <f t="array" aca="1" ref="BG94" ca="1">IFERROR(SMALL(IF(COUNTIF(Podcasts!$D$1370:'Podcasts'!$D$1419,ROW(INDIRECT("1:"&amp;K$2)))=0,ROW(INDIRECT("1:"&amp;K$2))),ROW($A51)),"")</f>
        <v>62</v>
      </c>
      <c r="BH94" s="202">
        <f t="array" aca="1" ref="BH94" ca="1">IFERROR(SMALL(IF(COUNTIF(Podcasts!$D$1425:'Podcasts'!$D$1446,ROW(INDIRECT("1:"&amp;K$2)))=0,ROW(INDIRECT("1:"&amp;K$2))),ROW($A51)),"")</f>
        <v>56</v>
      </c>
      <c r="BI94" s="202">
        <f t="array" aca="1" ref="BI94" ca="1">IFERROR(SMALL(IF(COUNTIF(Podcasts!$D$1452:'Podcasts'!$D$1574,ROW(INDIRECT("1:"&amp;K$2)))=0,ROW(INDIRECT("1:"&amp;K$2))),ROW($A51)),"")</f>
        <v>94</v>
      </c>
      <c r="BJ94" s="202">
        <f t="array" aca="1" ref="BJ94" ca="1">IFERROR(SMALL(IF(COUNTIF(Podcasts!$D$1580:'Podcasts'!$D$1705,ROW(INDIRECT("1:"&amp;K$2)))=0,ROW(INDIRECT("1:"&amp;K$2))),ROW($A51)),"")</f>
        <v>95</v>
      </c>
      <c r="BK94" s="202">
        <f t="array" aca="1" ref="BK94" ca="1">IFERROR(SMALL(IF(COUNTIF(Podcasts!$D$1711:'Podcasts'!$D$1833,ROW(INDIRECT("1:"&amp;K$2)))=0,ROW(INDIRECT("1:"&amp;K$2))),ROW($A51)),"")</f>
        <v>91</v>
      </c>
      <c r="BL94" s="202">
        <f t="array" aca="1" ref="BL94" ca="1">IFERROR(SMALL(IF(COUNTIF(Podcasts!$D$1839:'Podcasts'!$D$1855,ROW(INDIRECT("1:"&amp;K$2)))=0,ROW(INDIRECT("1:"&amp;K$2))),ROW($A51)),"")</f>
        <v>57</v>
      </c>
      <c r="BM94" s="567">
        <f t="array" aca="1" ref="BM94" ca="1">IFERROR(SMALL(IF(COUNTIF(Podcasts!$D$1861:'Podcasts'!$D$1994,ROW(INDIRECT("1:"&amp;K$2)))=0,ROW(INDIRECT("1:"&amp;K$2))),ROW($A51)),"")</f>
        <v>66</v>
      </c>
      <c r="BN94" s="567">
        <f t="array" aca="1" ref="BN94" ca="1">IFERROR(SMALL(IF(COUNTIF(Podcasts!$D$2000:'Podcasts'!$D$2057,ROW(INDIRECT("1:"&amp;K$2)))=0,ROW(INDIRECT("1:"&amp;K$2))),ROW($A51)),"")</f>
        <v>106</v>
      </c>
      <c r="BO94" s="567">
        <f t="array" aca="1" ref="BO94" ca="1">IFERROR(SMALL(IF(COUNTIF(Podcasts!$D$2063:'Podcasts'!$D$2071,ROW(INDIRECT("1:"&amp;K$2)))=0,ROW(INDIRECT("1:"&amp;K$2))),ROW($A51)),"")</f>
        <v>51</v>
      </c>
      <c r="BP94" s="202">
        <f t="array" aca="1" ref="BP94" ca="1">IFERROR(SMALL(IF(COUNTIF(Podcasts!$D$2077:'Podcasts'!$D$2092,ROW(INDIRECT("1:"&amp;K$2)))=0,ROW(INDIRECT("1:"&amp;K$2))),ROW($A51)),"")</f>
        <v>61</v>
      </c>
      <c r="BQ94" s="741">
        <f t="array" aca="1" ref="BQ94" ca="1">IFERROR(SMALL(IF(COUNTIF(Podcasts!$D$2098:'Podcasts'!$D$2114,ROW(INDIRECT("1:"&amp;K$2)))=0,ROW(INDIRECT("1:"&amp;K$2))),ROW($A51)),"")</f>
        <v>54</v>
      </c>
      <c r="BR94" s="744">
        <f t="array" aca="1" ref="BR94" ca="1">IFERROR(SMALL(IF(COUNTIF(Podcasts!$D$2120:'Podcasts'!$D$2124,ROW(INDIRECT("1:"&amp;K$2)))=0,ROW(INDIRECT("1:"&amp;K$2))),ROW($A51)),"")</f>
        <v>53</v>
      </c>
      <c r="BS94" s="28"/>
    </row>
    <row r="95" spans="1:71" outlineLevel="1">
      <c r="A95" s="28"/>
      <c r="B95" s="161">
        <v>52</v>
      </c>
      <c r="C95" s="161">
        <f>COUNTIF(Podcasts!$D$10:'Podcasts'!$D$2535,B95)</f>
        <v>6</v>
      </c>
      <c r="D95" s="158" t="s">
        <v>1080</v>
      </c>
      <c r="E95" s="156" t="str">
        <f t="array" ref="E95">IF(F95="","",INDEX(Podcasts!$J$10:'Podcasts'!$J$2535,MATCH(F95&amp;$B95,Podcasts!$E$10:'Podcasts'!$E$2535&amp;Podcasts!$D$10:'Podcasts'!$D$2535,0)))</f>
        <v>Fürst</v>
      </c>
      <c r="F95" s="131">
        <f t="array" ref="F95">IF(COUNTIF(Podcasts!$D$10:'Podcasts'!$D$2535,$B95)&lt;COLUMN(A58),"",SMALL(IF(Podcasts!$D$10:'Podcasts'!$D$2535=$B95,Podcasts!$E$10:'Podcasts'!$E$2535),COLUMN(A58)))</f>
        <v>41803</v>
      </c>
      <c r="G95" s="132">
        <f t="array" ref="G95">IF(F95="","",INDEX(Podcasts!$F$10:'Podcasts'!$F$2535,MATCH(F95&amp;$B95,Podcasts!$E$10:'Podcasts'!$E$2535&amp;Podcasts!$D$10:'Podcasts'!$D$2535,0)))</f>
        <v>3.3564814814814881E-3</v>
      </c>
      <c r="H95" s="136" t="str">
        <f t="array" ref="H95">IF(I95="","",INDEX(Podcasts!$J$10:'Podcasts'!$J$2535,MATCH(I95&amp;$B95,Podcasts!$E$10:'Podcasts'!$E$2535&amp;Podcasts!$D$10:'Podcasts'!$D$2535,0)))</f>
        <v>???od</v>
      </c>
      <c r="I95" s="133">
        <f t="array" ref="I95">IF(COUNTIF(Podcasts!$D$10:'Podcasts'!$D$2535,$B95)&lt;COLUMN(B58),"",SMALL(IF(Podcasts!$D$10:'Podcasts'!$D$2535=$B95,Podcasts!$E$10:'Podcasts'!$E$2535),COLUMN(B58)))</f>
        <v>42463</v>
      </c>
      <c r="J95" s="132">
        <f t="array" ref="J95">IF(I95="","",INDEX(Podcasts!$F$10:'Podcasts'!$F$2535,MATCH(I95&amp;$B95,Podcasts!$E$10:'Podcasts'!$E$2535&amp;Podcasts!$D$10:'Podcasts'!$D$2535,0)))</f>
        <v>5.7951388888888893E-2</v>
      </c>
      <c r="K95" s="136" t="str">
        <f t="array" ref="K95">IF(L95="","",INDEX(Podcasts!$J$10:'Podcasts'!$J$2535,MATCH(L95&amp;$B95,Podcasts!$E$10:'Podcasts'!$E$2535&amp;Podcasts!$D$10:'Podcasts'!$D$2535,0)))</f>
        <v>SSP</v>
      </c>
      <c r="L95" s="133">
        <f t="array" ref="L95">IF(COUNTIF(Podcasts!$D$10:'Podcasts'!$D$2535,$B95)&lt;COLUMN(C58),"",SMALL(IF(Podcasts!$D$10:'Podcasts'!$D$2535=$B95,Podcasts!$E$10:'Podcasts'!$E$2535),COLUMN(C58)))</f>
        <v>43191</v>
      </c>
      <c r="M95" s="132">
        <f t="array" ref="M95">IF(L95="","",INDEX(Podcasts!$F$10:'Podcasts'!$F$2535,MATCH(L95&amp;$B95,Podcasts!$E$10:'Podcasts'!$E$2535&amp;Podcasts!$D$10:'Podcasts'!$D$2535,0)))</f>
        <v>7.9907407407407413E-2</v>
      </c>
      <c r="N95" s="136" t="str">
        <f t="array" ref="N95">IF(O95="","",INDEX(Podcasts!$J$10:'Podcasts'!$J$2535,MATCH(O95&amp;$B95,Podcasts!$E$10:'Podcasts'!$E$2535&amp;Podcasts!$D$10:'Podcasts'!$D$2535,0)))</f>
        <v>Zeichen</v>
      </c>
      <c r="O95" s="133">
        <f t="array" ref="O95">IF(COUNTIF(Podcasts!$D$10:'Podcasts'!$D$2535,$B95)&lt;COLUMN(D58),"",SMALL(IF(Podcasts!$D$10:'Podcasts'!$D$2535=$B95,Podcasts!$E$10:'Podcasts'!$E$2535),COLUMN(D58)))</f>
        <v>44074</v>
      </c>
      <c r="P95" s="132">
        <f t="array" ref="P95">IF(O95="","",INDEX(Podcasts!$F$10:'Podcasts'!$F$2535,MATCH(O95&amp;$B95,Podcasts!$E$10:'Podcasts'!$E$2535&amp;Podcasts!$D$10:'Podcasts'!$D$2535,0)))</f>
        <v>7.631944444444444E-2</v>
      </c>
      <c r="Q95" s="136" t="str">
        <f t="array" ref="Q95">IF(R95="","",INDEX(Podcasts!$J$10:'Podcasts'!$J$2535,MATCH(R95&amp;$B95,Podcasts!$E$10:'Podcasts'!$E$2535&amp;Podcasts!$D$10:'Podcasts'!$D$2535,0)))</f>
        <v>Zentrale</v>
      </c>
      <c r="R95" s="133">
        <f t="array" ref="R95">IF(COUNTIF(Podcasts!$D$10:'Podcasts'!$D$2535,$B95)&lt;COLUMN(E58),"",SMALL(IF(Podcasts!$D$10:'Podcasts'!$D$2535=$B95,Podcasts!$E$10:'Podcasts'!$E$2535),COLUMN(E58)))</f>
        <v>44484</v>
      </c>
      <c r="S95" s="132">
        <f t="array" ref="S95">IF(R95="","",INDEX(Podcasts!$F$10:'Podcasts'!$F$2535,MATCH(R95&amp;$B95,Podcasts!$E$10:'Podcasts'!$E$2535&amp;Podcasts!$D$10:'Podcasts'!$D$2535,0)))</f>
        <v>0.12758101851851852</v>
      </c>
      <c r="T95" s="136" t="str">
        <f t="array" ref="T95">IF(U95="","",INDEX(Podcasts!$J$10:'Podcasts'!$J$2535,MATCH(U95&amp;$B95,Podcasts!$E$10:'Podcasts'!$E$2535&amp;Podcasts!$D$10:'Podcasts'!$D$2535,0)))</f>
        <v>RBW</v>
      </c>
      <c r="U95" s="133">
        <f t="array" ref="U95">IF(COUNTIF(Podcasts!$D$10:'Podcasts'!$D$2535,$B95)&lt;COLUMN(F58),"",SMALL(IF(Podcasts!$D$10:'Podcasts'!$D$2535=$B95,Podcasts!$E$10:'Podcasts'!$E$2535),COLUMN(F58)))</f>
        <v>45323</v>
      </c>
      <c r="V95" s="132">
        <f t="array" ref="V95">IF(U95="","",INDEX(Podcasts!$F$10:'Podcasts'!$F$2535,MATCH(U95&amp;$B95,Podcasts!$E$10:'Podcasts'!$E$2535&amp;Podcasts!$D$10:'Podcasts'!$D$2535,0)))</f>
        <v>4.3252314814814813E-2</v>
      </c>
      <c r="W95" s="136" t="str">
        <f t="array" ref="W95">IF(X95="","",INDEX(Podcasts!$J$10:'Podcasts'!$J$2535,MATCH(X95&amp;$B95,Podcasts!$E$10:'Podcasts'!$E$2535&amp;Podcasts!$D$10:'Podcasts'!$D$2535,0)))</f>
        <v/>
      </c>
      <c r="X95" s="133" t="str">
        <f t="array" ref="X95">IF(COUNTIF(Podcasts!$D$10:'Podcasts'!$D$2535,$B95)&lt;COLUMN(G58),"",SMALL(IF(Podcasts!$D$10:'Podcasts'!$D$2535=$B95,Podcasts!$E$10:'Podcasts'!$E$2535),COLUMN(G58)))</f>
        <v/>
      </c>
      <c r="Y95" s="132" t="str">
        <f t="array" ref="Y95">IF(X95="","",INDEX(Podcasts!$F$10:'Podcasts'!$F$2535,MATCH(X95&amp;$B95,Podcasts!$E$10:'Podcasts'!$E$2535&amp;Podcasts!$D$10:'Podcasts'!$D$2535,0)))</f>
        <v/>
      </c>
      <c r="Z95" s="136" t="str">
        <f t="array" ref="Z95">IF(AA95="","",INDEX(Podcasts!$J$10:'Podcasts'!$J$2535,MATCH(AA95&amp;$B95,Podcasts!$E$10:'Podcasts'!$E$2535&amp;Podcasts!$D$10:'Podcasts'!$D$2535,0)))</f>
        <v/>
      </c>
      <c r="AA95" s="134" t="str">
        <f t="array" ref="AA95">IF(COUNTIF(Podcasts!$D$10:'Podcasts'!$D$2535,$B95)&lt;COLUMN(H58),"",SMALL(IF(Podcasts!$D$10:'Podcasts'!$D$2535=$B95,Podcasts!$E$10:'Podcasts'!$E$2535),COLUMN(H58)))</f>
        <v/>
      </c>
      <c r="AB95" s="404" t="str">
        <f t="array" ref="AB95">IF(AA95="","",INDEX(Podcasts!$F$10:'Podcasts'!$F$2535,MATCH(AA95&amp;$B95,Podcasts!$E$10:'Podcasts'!$E$2535&amp;Podcasts!$D$10:'Podcasts'!$D$2535,0)))</f>
        <v/>
      </c>
      <c r="AC95" s="406" t="str">
        <f t="array" ref="AC95">IF(AD95="","",INDEX(Podcasts!$J$10:'Podcasts'!$J$2535,MATCH(AD95&amp;$B95,Podcasts!$E$10:'Podcasts'!$E$2535&amp;Podcasts!$D$10:'Podcasts'!$D$2535,0)))</f>
        <v/>
      </c>
      <c r="AD95" s="400" t="str">
        <f t="array" ref="AD95">IF(COUNTIF(Podcasts!$D$10:'Podcasts'!$D$2535,$B95)&lt;COLUMN(I58),"",SMALL(IF(Podcasts!$D$10:'Podcasts'!$D$2535=$B95,Podcasts!$E$10:'Podcasts'!$E$2535),COLUMN(I58)))</f>
        <v/>
      </c>
      <c r="AE95" s="401" t="str">
        <f t="array" ref="AE95">IF(AD95="","",INDEX(Podcasts!$F$10:'Podcasts'!$F$2535,MATCH(AD95&amp;$B95,Podcasts!$E$10:'Podcasts'!$E$2535&amp;Podcasts!$D$10:'Podcasts'!$D$2535,0)))</f>
        <v/>
      </c>
      <c r="AF95" s="406" t="str">
        <f t="array" ref="AF95">IF(AG95="","",INDEX(Podcasts!$J$10:'Podcasts'!$J$2535,MATCH(AG95&amp;$B95,Podcasts!$E$10:'Podcasts'!$E$2535&amp;Podcasts!$D$10:'Podcasts'!$D$2535,0)))</f>
        <v/>
      </c>
      <c r="AG95" s="400" t="str">
        <f t="array" ref="AG95">IF(COUNTIF(Podcasts!$D$10:'Podcasts'!$D$2535,$B95)&lt;COLUMN(J58),"",SMALL(IF(Podcasts!$D$10:'Podcasts'!$D$2535=$B95,Podcasts!$E$10:'Podcasts'!$E$2535),COLUMN(J58)))</f>
        <v/>
      </c>
      <c r="AH95" s="401" t="str">
        <f t="array" ref="AH95">IF(AG95="","",INDEX(Podcasts!$F$10:'Podcasts'!$F$2535,MATCH(AG95&amp;$B95,Podcasts!$E$10:'Podcasts'!$E$2535&amp;Podcasts!$D$10:'Podcasts'!$D$2535,0)))</f>
        <v/>
      </c>
      <c r="AI95" s="406" t="str">
        <f t="array" ref="AI95">IF(AJ95="","",INDEX(Podcasts!$J$10:'Podcasts'!$J$2535,MATCH(AJ95&amp;$B95,Podcasts!$E$10:'Podcasts'!$E$2535&amp;Podcasts!$D$10:'Podcasts'!$D$2535,0)))</f>
        <v/>
      </c>
      <c r="AJ95" s="400" t="str">
        <f t="array" ref="AJ95">IF(COUNTIF(Podcasts!$D$10:'Podcasts'!$D$2535,$B95)&lt;COLUMN(K58),"",SMALL(IF(Podcasts!$D$10:'Podcasts'!$D$2535=$B95,Podcasts!$E$10:'Podcasts'!$E$2535),COLUMN(K58)))</f>
        <v/>
      </c>
      <c r="AK95" s="401" t="str">
        <f t="array" ref="AK95">IF(AJ95="","",INDEX(Podcasts!$F$10:'Podcasts'!$F$2535,MATCH(AJ95&amp;$B95,Podcasts!$E$10:'Podcasts'!$E$2535&amp;Podcasts!$D$10:'Podcasts'!$D$2535,0)))</f>
        <v/>
      </c>
      <c r="AL95" s="406" t="str">
        <f t="array" ref="AL95">IF(AM95="","",INDEX(Podcasts!$J$10:'Podcasts'!$J$2535,MATCH(AM95&amp;$B95,Podcasts!$E$10:'Podcasts'!$E$2535&amp;Podcasts!$D$10:'Podcasts'!$D$2535,0)))</f>
        <v/>
      </c>
      <c r="AM95" s="400" t="str">
        <f t="array" ref="AM95">IF(COUNTIF(Podcasts!$D$10:'Podcasts'!$D$2535,$B95)&lt;COLUMN(L58),"",SMALL(IF(Podcasts!$D$10:'Podcasts'!$D$2535=$B95,Podcasts!$E$10:'Podcasts'!$E$2535),COLUMN(L58)))</f>
        <v/>
      </c>
      <c r="AN95" s="401" t="str">
        <f t="array" ref="AN95">IF(AM95="","",INDEX(Podcasts!$F$10:'Podcasts'!$F$2535,MATCH(AM95&amp;$B95,Podcasts!$E$10:'Podcasts'!$E$2535&amp;Podcasts!$D$10:'Podcasts'!$D$2535,0)))</f>
        <v/>
      </c>
      <c r="AO95" s="402"/>
      <c r="AP95" s="119"/>
      <c r="AQ95" s="117">
        <f t="array" aca="1" ref="AQ95" ca="1">IFERROR(SMALL(IF(COUNTIF(Podcasts!$D$10:'Podcasts'!$D$107,ROW(INDIRECT("1:"&amp;K$2)))=0,ROW(INDIRECT("1:"&amp;K$2))),ROW($A52)),"")</f>
        <v>73</v>
      </c>
      <c r="AR95" s="117">
        <f t="array" aca="1" ref="AR95" ca="1">IFERROR(SMALL(IF(COUNTIF(Podcasts!$D$113:'Podcasts'!$D$238,ROW(INDIRECT("1:"&amp;K$2)))=0,ROW(INDIRECT("1:"&amp;K$2))),ROW($A52)),"")</f>
        <v>52</v>
      </c>
      <c r="AS95" s="117">
        <f t="array" aca="1" ref="AS95" ca="1">IFERROR(SMALL(IF(COUNTIF(Podcasts!$D$244:'Podcasts'!$D$299,ROW(INDIRECT("1:"&amp;K$2)))=0,ROW(INDIRECT("1:"&amp;K$2))),ROW($A52)),"")</f>
        <v>68</v>
      </c>
      <c r="AT95" s="117">
        <f t="array" aca="1" ref="AT95" ca="1">IFERROR(SMALL(IF(COUNTIF(Podcasts!$D$305:'Podcasts'!$D$473,ROW(INDIRECT("1:"&amp;K$2)))=0,ROW(INDIRECT("1:"&amp;K$2))),ROW($A52)),"")</f>
        <v>187</v>
      </c>
      <c r="AU95" s="117">
        <f t="array" aca="1" ref="AU95" ca="1">IFERROR(SMALL(IF(COUNTIF(Podcasts!$D$479:'Podcasts'!$D$488,ROW(INDIRECT("1:"&amp;K$2)))=0,ROW(INDIRECT("1:"&amp;K$2))),ROW($A52)),"")</f>
        <v>52</v>
      </c>
      <c r="AV95" s="117">
        <f t="array" aca="1" ref="AV95" ca="1">IFERROR(SMALL(IF(COUNTIF(Podcasts!$D$494:'Podcasts'!$D$518,ROW(INDIRECT("1:"&amp;K$2)))=0,ROW(INDIRECT("1:"&amp;K$2))),ROW($A52)),"")</f>
        <v>69</v>
      </c>
      <c r="AW95" s="117">
        <f t="array" aca="1" ref="AW95" ca="1">IFERROR(SMALL(IF(COUNTIF(Podcasts!$D$524:'Podcasts'!$D$532,ROW(INDIRECT("1:"&amp;K$2)))=0,ROW(INDIRECT("1:"&amp;K$2))),ROW($A52)),"")</f>
        <v>52</v>
      </c>
      <c r="AX95" s="117">
        <f t="array" aca="1" ref="AX95" ca="1">IFERROR(SMALL(IF(COUNTIF(Podcasts!$D$538:'Podcasts'!$D$909,ROW(INDIRECT("1:"&amp;K$2)))=0,ROW(INDIRECT("1:"&amp;K$2))),ROW($A52)),"")</f>
        <v>154</v>
      </c>
      <c r="AY95" s="117">
        <f t="array" aca="1" ref="AY95" ca="1">IFERROR(SMALL(IF(COUNTIF(Podcasts!$D$915:'Podcasts'!$D$981,ROW(INDIRECT("1:"&amp;K$2)))=0,ROW(INDIRECT("1:"&amp;K$2))),ROW($A52)),"")</f>
        <v>81</v>
      </c>
      <c r="AZ95" s="445"/>
      <c r="BA95" s="117">
        <f t="array" aca="1" ref="BA95" ca="1">IFERROR(SMALL(IF(COUNTIF(Podcasts!$D$1001:'Podcasts'!$D$1251,ROW(INDIRECT("1:"&amp;K$2)))=0,ROW(INDIRECT("1:"&amp;K$2))),ROW($A52)),"")</f>
        <v>83</v>
      </c>
      <c r="BB95" s="117">
        <f t="array" aca="1" ref="BB95" ca="1">IFERROR(SMALL(IF(COUNTIF(Podcasts!$D$1257:'Podcasts'!$D$1267,ROW(INDIRECT("1:"&amp;K$2)))=0,ROW(INDIRECT("1:"&amp;K$2))),ROW($A52)),"")</f>
        <v>53</v>
      </c>
      <c r="BC95" s="117">
        <f t="array" aca="1" ref="BC95" ca="1">IFERROR(SMALL(IF(COUNTIF(Podcasts!$D$1273:'Podcasts'!$D$1283,ROW(INDIRECT("1:"&amp;K$2)))=0,ROW(INDIRECT("1:"&amp;K$2))),ROW($A52)),"")</f>
        <v>56</v>
      </c>
      <c r="BD95" s="117">
        <f t="array" aca="1" ref="BD95" ca="1">IFERROR(SMALL(IF(COUNTIF(Podcasts!$D$1289:'Podcasts'!$D$1295,ROW(INDIRECT("1:"&amp;K$2)))=0,ROW(INDIRECT("1:"&amp;K$2))),ROW($A52)),"")</f>
        <v>54</v>
      </c>
      <c r="BE95" s="117">
        <f t="array" aca="1" ref="BE95" ca="1">IFERROR(SMALL(IF(COUNTIF(Podcasts!$D$1301:'Podcasts'!$D$1356,ROW(INDIRECT("1:"&amp;K$2)))=0,ROW(INDIRECT("1:"&amp;K$2))),ROW($A52)),"")</f>
        <v>99</v>
      </c>
      <c r="BF95" s="117">
        <f t="array" aca="1" ref="BF95" ca="1">IFERROR(SMALL(IF(COUNTIF(Podcasts!$D$1362:'Podcasts'!$D$1364,ROW(INDIRECT("1:"&amp;K$2)))=0,ROW(INDIRECT("1:"&amp;K$2))),ROW($A52)),"")</f>
        <v>55</v>
      </c>
      <c r="BG95" s="202">
        <f t="array" aca="1" ref="BG95" ca="1">IFERROR(SMALL(IF(COUNTIF(Podcasts!$D$1370:'Podcasts'!$D$1419,ROW(INDIRECT("1:"&amp;K$2)))=0,ROW(INDIRECT("1:"&amp;K$2))),ROW($A52)),"")</f>
        <v>64</v>
      </c>
      <c r="BH95" s="202">
        <f t="array" aca="1" ref="BH95" ca="1">IFERROR(SMALL(IF(COUNTIF(Podcasts!$D$1425:'Podcasts'!$D$1446,ROW(INDIRECT("1:"&amp;K$2)))=0,ROW(INDIRECT("1:"&amp;K$2))),ROW($A52)),"")</f>
        <v>57</v>
      </c>
      <c r="BI95" s="202">
        <f t="array" aca="1" ref="BI95" ca="1">IFERROR(SMALL(IF(COUNTIF(Podcasts!$D$1452:'Podcasts'!$D$1574,ROW(INDIRECT("1:"&amp;K$2)))=0,ROW(INDIRECT("1:"&amp;K$2))),ROW($A52)),"")</f>
        <v>96</v>
      </c>
      <c r="BJ95" s="202">
        <f t="array" aca="1" ref="BJ95" ca="1">IFERROR(SMALL(IF(COUNTIF(Podcasts!$D$1580:'Podcasts'!$D$1705,ROW(INDIRECT("1:"&amp;K$2)))=0,ROW(INDIRECT("1:"&amp;K$2))),ROW($A52)),"")</f>
        <v>96</v>
      </c>
      <c r="BK95" s="202">
        <f t="array" aca="1" ref="BK95" ca="1">IFERROR(SMALL(IF(COUNTIF(Podcasts!$D$1711:'Podcasts'!$D$1833,ROW(INDIRECT("1:"&amp;K$2)))=0,ROW(INDIRECT("1:"&amp;K$2))),ROW($A52)),"")</f>
        <v>92</v>
      </c>
      <c r="BL95" s="202">
        <f t="array" aca="1" ref="BL95" ca="1">IFERROR(SMALL(IF(COUNTIF(Podcasts!$D$1839:'Podcasts'!$D$1855,ROW(INDIRECT("1:"&amp;K$2)))=0,ROW(INDIRECT("1:"&amp;K$2))),ROW($A52)),"")</f>
        <v>58</v>
      </c>
      <c r="BM95" s="567">
        <f t="array" aca="1" ref="BM95" ca="1">IFERROR(SMALL(IF(COUNTIF(Podcasts!$D$1861:'Podcasts'!$D$1994,ROW(INDIRECT("1:"&amp;K$2)))=0,ROW(INDIRECT("1:"&amp;K$2))),ROW($A52)),"")</f>
        <v>67</v>
      </c>
      <c r="BN95" s="567">
        <f t="array" aca="1" ref="BN95" ca="1">IFERROR(SMALL(IF(COUNTIF(Podcasts!$D$2000:'Podcasts'!$D$2057,ROW(INDIRECT("1:"&amp;K$2)))=0,ROW(INDIRECT("1:"&amp;K$2))),ROW($A52)),"")</f>
        <v>107</v>
      </c>
      <c r="BO95" s="567">
        <f t="array" aca="1" ref="BO95" ca="1">IFERROR(SMALL(IF(COUNTIF(Podcasts!$D$2063:'Podcasts'!$D$2071,ROW(INDIRECT("1:"&amp;K$2)))=0,ROW(INDIRECT("1:"&amp;K$2))),ROW($A52)),"")</f>
        <v>52</v>
      </c>
      <c r="BP95" s="202">
        <f t="array" aca="1" ref="BP95" ca="1">IFERROR(SMALL(IF(COUNTIF(Podcasts!$D$2077:'Podcasts'!$D$2092,ROW(INDIRECT("1:"&amp;K$2)))=0,ROW(INDIRECT("1:"&amp;K$2))),ROW($A52)),"")</f>
        <v>62</v>
      </c>
      <c r="BQ95" s="741">
        <f t="array" aca="1" ref="BQ95" ca="1">IFERROR(SMALL(IF(COUNTIF(Podcasts!$D$2098:'Podcasts'!$D$2114,ROW(INDIRECT("1:"&amp;K$2)))=0,ROW(INDIRECT("1:"&amp;K$2))),ROW($A52)),"")</f>
        <v>55</v>
      </c>
      <c r="BR95" s="744">
        <f t="array" aca="1" ref="BR95" ca="1">IFERROR(SMALL(IF(COUNTIF(Podcasts!$D$2120:'Podcasts'!$D$2124,ROW(INDIRECT("1:"&amp;K$2)))=0,ROW(INDIRECT("1:"&amp;K$2))),ROW($A52)),"")</f>
        <v>54</v>
      </c>
      <c r="BS95" s="28"/>
    </row>
    <row r="96" spans="1:71" outlineLevel="1">
      <c r="A96" s="28"/>
      <c r="B96" s="161">
        <v>53</v>
      </c>
      <c r="C96" s="161">
        <f>COUNTIF(Podcasts!$D$10:'Podcasts'!$D$2535,B96)</f>
        <v>4</v>
      </c>
      <c r="D96" s="159" t="s">
        <v>1081</v>
      </c>
      <c r="E96" s="156" t="str">
        <f t="array" ref="E96">IF(F96="","",INDEX(Podcasts!$J$10:'Podcasts'!$J$2535,MATCH(F96&amp;$B96,Podcasts!$E$10:'Podcasts'!$E$2535&amp;Podcasts!$D$10:'Podcasts'!$D$2535,0)))</f>
        <v>Fürst</v>
      </c>
      <c r="F96" s="131">
        <f t="array" ref="F96">IF(COUNTIF(Podcasts!$D$10:'Podcasts'!$D$2535,$B96)&lt;COLUMN(A59),"",SMALL(IF(Podcasts!$D$10:'Podcasts'!$D$2535=$B96,Podcasts!$E$10:'Podcasts'!$E$2535),COLUMN(A59)))</f>
        <v>41745</v>
      </c>
      <c r="G96" s="132">
        <f t="array" ref="G96">IF(F96="","",INDEX(Podcasts!$F$10:'Podcasts'!$F$2535,MATCH(F96&amp;$B96,Podcasts!$E$10:'Podcasts'!$E$2535&amp;Podcasts!$D$10:'Podcasts'!$D$2535,0)))</f>
        <v>4.4560185185185189E-3</v>
      </c>
      <c r="H96" s="136" t="str">
        <f t="array" ref="H96">IF(I96="","",INDEX(Podcasts!$J$10:'Podcasts'!$J$2535,MATCH(I96&amp;$B96,Podcasts!$E$10:'Podcasts'!$E$2535&amp;Podcasts!$D$10:'Podcasts'!$D$2535,0)))</f>
        <v>SSP</v>
      </c>
      <c r="I96" s="133">
        <f t="array" ref="I96">IF(COUNTIF(Podcasts!$D$10:'Podcasts'!$D$2535,$B96)&lt;COLUMN(B59),"",SMALL(IF(Podcasts!$D$10:'Podcasts'!$D$2535=$B96,Podcasts!$E$10:'Podcasts'!$E$2535),COLUMN(B59)))</f>
        <v>44651</v>
      </c>
      <c r="J96" s="132">
        <f t="array" ref="J96">IF(I96="","",INDEX(Podcasts!$F$10:'Podcasts'!$F$2535,MATCH(I96&amp;$B96,Podcasts!$E$10:'Podcasts'!$E$2535&amp;Podcasts!$D$10:'Podcasts'!$D$2535,0)))</f>
        <v>9.4525462962962978E-2</v>
      </c>
      <c r="K96" s="136" t="str">
        <f t="array" ref="K96">IF(L96="","",INDEX(Podcasts!$J$10:'Podcasts'!$J$2535,MATCH(L96&amp;$B96,Podcasts!$E$10:'Podcasts'!$E$2535&amp;Podcasts!$D$10:'Podcasts'!$D$2535,0)))</f>
        <v>Zeichen</v>
      </c>
      <c r="L96" s="133">
        <f t="array" ref="L96">IF(COUNTIF(Podcasts!$D$10:'Podcasts'!$D$2535,$B96)&lt;COLUMN(C59),"",SMALL(IF(Podcasts!$D$10:'Podcasts'!$D$2535=$B96,Podcasts!$E$10:'Podcasts'!$E$2535),COLUMN(C59)))</f>
        <v>44986</v>
      </c>
      <c r="M96" s="132">
        <f t="array" ref="M96">IF(L96="","",INDEX(Podcasts!$F$10:'Podcasts'!$F$2535,MATCH(L96&amp;$B96,Podcasts!$E$10:'Podcasts'!$E$2535&amp;Podcasts!$D$10:'Podcasts'!$D$2535,0)))</f>
        <v>8.3587962962962961E-2</v>
      </c>
      <c r="N96" s="136" t="str">
        <f t="array" ref="N96">IF(O96="","",INDEX(Podcasts!$J$10:'Podcasts'!$J$2535,MATCH(O96&amp;$B96,Podcasts!$E$10:'Podcasts'!$E$2535&amp;Podcasts!$D$10:'Podcasts'!$D$2535,0)))</f>
        <v>RBW</v>
      </c>
      <c r="O96" s="133">
        <f t="array" ref="O96">IF(COUNTIF(Podcasts!$D$10:'Podcasts'!$D$2535,$B96)&lt;COLUMN(D59),"",SMALL(IF(Podcasts!$D$10:'Podcasts'!$D$2535=$B96,Podcasts!$E$10:'Podcasts'!$E$2535),COLUMN(D59)))</f>
        <v>45330</v>
      </c>
      <c r="P96" s="132">
        <f t="array" ref="P96">IF(O96="","",INDEX(Podcasts!$F$10:'Podcasts'!$F$2535,MATCH(O96&amp;$B96,Podcasts!$E$10:'Podcasts'!$E$2535&amp;Podcasts!$D$10:'Podcasts'!$D$2535,0)))</f>
        <v>4.1238425925925921E-2</v>
      </c>
      <c r="Q96" s="136" t="str">
        <f t="array" ref="Q96">IF(R96="","",INDEX(Podcasts!$J$10:'Podcasts'!$J$2535,MATCH(R96&amp;$B96,Podcasts!$E$10:'Podcasts'!$E$2535&amp;Podcasts!$D$10:'Podcasts'!$D$2535,0)))</f>
        <v/>
      </c>
      <c r="R96" s="133" t="str">
        <f t="array" ref="R96">IF(COUNTIF(Podcasts!$D$10:'Podcasts'!$D$2535,$B96)&lt;COLUMN(E59),"",SMALL(IF(Podcasts!$D$10:'Podcasts'!$D$2535=$B96,Podcasts!$E$10:'Podcasts'!$E$2535),COLUMN(E59)))</f>
        <v/>
      </c>
      <c r="S96" s="132" t="str">
        <f t="array" ref="S96">IF(R96="","",INDEX(Podcasts!$F$10:'Podcasts'!$F$2535,MATCH(R96&amp;$B96,Podcasts!$E$10:'Podcasts'!$E$2535&amp;Podcasts!$D$10:'Podcasts'!$D$2535,0)))</f>
        <v/>
      </c>
      <c r="T96" s="136" t="str">
        <f t="array" ref="T96">IF(U96="","",INDEX(Podcasts!$J$10:'Podcasts'!$J$2535,MATCH(U96&amp;$B96,Podcasts!$E$10:'Podcasts'!$E$2535&amp;Podcasts!$D$10:'Podcasts'!$D$2535,0)))</f>
        <v/>
      </c>
      <c r="U96" s="133" t="str">
        <f t="array" ref="U96">IF(COUNTIF(Podcasts!$D$10:'Podcasts'!$D$2535,$B96)&lt;COLUMN(F59),"",SMALL(IF(Podcasts!$D$10:'Podcasts'!$D$2535=$B96,Podcasts!$E$10:'Podcasts'!$E$2535),COLUMN(F59)))</f>
        <v/>
      </c>
      <c r="V96" s="132" t="str">
        <f t="array" ref="V96">IF(U96="","",INDEX(Podcasts!$F$10:'Podcasts'!$F$2535,MATCH(U96&amp;$B96,Podcasts!$E$10:'Podcasts'!$E$2535&amp;Podcasts!$D$10:'Podcasts'!$D$2535,0)))</f>
        <v/>
      </c>
      <c r="W96" s="136" t="str">
        <f t="array" ref="W96">IF(X96="","",INDEX(Podcasts!$J$10:'Podcasts'!$J$2535,MATCH(X96&amp;$B96,Podcasts!$E$10:'Podcasts'!$E$2535&amp;Podcasts!$D$10:'Podcasts'!$D$2535,0)))</f>
        <v/>
      </c>
      <c r="X96" s="133" t="str">
        <f t="array" ref="X96">IF(COUNTIF(Podcasts!$D$10:'Podcasts'!$D$2535,$B96)&lt;COLUMN(G59),"",SMALL(IF(Podcasts!$D$10:'Podcasts'!$D$2535=$B96,Podcasts!$E$10:'Podcasts'!$E$2535),COLUMN(G59)))</f>
        <v/>
      </c>
      <c r="Y96" s="132" t="str">
        <f t="array" ref="Y96">IF(X96="","",INDEX(Podcasts!$F$10:'Podcasts'!$F$2535,MATCH(X96&amp;$B96,Podcasts!$E$10:'Podcasts'!$E$2535&amp;Podcasts!$D$10:'Podcasts'!$D$2535,0)))</f>
        <v/>
      </c>
      <c r="Z96" s="136" t="str">
        <f t="array" ref="Z96">IF(AA96="","",INDEX(Podcasts!$J$10:'Podcasts'!$J$2535,MATCH(AA96&amp;$B96,Podcasts!$E$10:'Podcasts'!$E$2535&amp;Podcasts!$D$10:'Podcasts'!$D$2535,0)))</f>
        <v/>
      </c>
      <c r="AA96" s="134" t="str">
        <f t="array" ref="AA96">IF(COUNTIF(Podcasts!$D$10:'Podcasts'!$D$2535,$B96)&lt;COLUMN(H59),"",SMALL(IF(Podcasts!$D$10:'Podcasts'!$D$2535=$B96,Podcasts!$E$10:'Podcasts'!$E$2535),COLUMN(H59)))</f>
        <v/>
      </c>
      <c r="AB96" s="404" t="str">
        <f t="array" ref="AB96">IF(AA96="","",INDEX(Podcasts!$F$10:'Podcasts'!$F$2535,MATCH(AA96&amp;$B96,Podcasts!$E$10:'Podcasts'!$E$2535&amp;Podcasts!$D$10:'Podcasts'!$D$2535,0)))</f>
        <v/>
      </c>
      <c r="AC96" s="406" t="str">
        <f t="array" ref="AC96">IF(AD96="","",INDEX(Podcasts!$J$10:'Podcasts'!$J$2535,MATCH(AD96&amp;$B96,Podcasts!$E$10:'Podcasts'!$E$2535&amp;Podcasts!$D$10:'Podcasts'!$D$2535,0)))</f>
        <v/>
      </c>
      <c r="AD96" s="400" t="str">
        <f t="array" ref="AD96">IF(COUNTIF(Podcasts!$D$10:'Podcasts'!$D$2535,$B96)&lt;COLUMN(I59),"",SMALL(IF(Podcasts!$D$10:'Podcasts'!$D$2535=$B96,Podcasts!$E$10:'Podcasts'!$E$2535),COLUMN(I59)))</f>
        <v/>
      </c>
      <c r="AE96" s="401" t="str">
        <f t="array" ref="AE96">IF(AD96="","",INDEX(Podcasts!$F$10:'Podcasts'!$F$2535,MATCH(AD96&amp;$B96,Podcasts!$E$10:'Podcasts'!$E$2535&amp;Podcasts!$D$10:'Podcasts'!$D$2535,0)))</f>
        <v/>
      </c>
      <c r="AF96" s="406" t="str">
        <f t="array" ref="AF96">IF(AG96="","",INDEX(Podcasts!$J$10:'Podcasts'!$J$2535,MATCH(AG96&amp;$B96,Podcasts!$E$10:'Podcasts'!$E$2535&amp;Podcasts!$D$10:'Podcasts'!$D$2535,0)))</f>
        <v/>
      </c>
      <c r="AG96" s="400" t="str">
        <f t="array" ref="AG96">IF(COUNTIF(Podcasts!$D$10:'Podcasts'!$D$2535,$B96)&lt;COLUMN(J59),"",SMALL(IF(Podcasts!$D$10:'Podcasts'!$D$2535=$B96,Podcasts!$E$10:'Podcasts'!$E$2535),COLUMN(J59)))</f>
        <v/>
      </c>
      <c r="AH96" s="401" t="str">
        <f t="array" ref="AH96">IF(AG96="","",INDEX(Podcasts!$F$10:'Podcasts'!$F$2535,MATCH(AG96&amp;$B96,Podcasts!$E$10:'Podcasts'!$E$2535&amp;Podcasts!$D$10:'Podcasts'!$D$2535,0)))</f>
        <v/>
      </c>
      <c r="AI96" s="406" t="str">
        <f t="array" ref="AI96">IF(AJ96="","",INDEX(Podcasts!$J$10:'Podcasts'!$J$2535,MATCH(AJ96&amp;$B96,Podcasts!$E$10:'Podcasts'!$E$2535&amp;Podcasts!$D$10:'Podcasts'!$D$2535,0)))</f>
        <v/>
      </c>
      <c r="AJ96" s="400" t="str">
        <f t="array" ref="AJ96">IF(COUNTIF(Podcasts!$D$10:'Podcasts'!$D$2535,$B96)&lt;COLUMN(K59),"",SMALL(IF(Podcasts!$D$10:'Podcasts'!$D$2535=$B96,Podcasts!$E$10:'Podcasts'!$E$2535),COLUMN(K59)))</f>
        <v/>
      </c>
      <c r="AK96" s="401" t="str">
        <f t="array" ref="AK96">IF(AJ96="","",INDEX(Podcasts!$F$10:'Podcasts'!$F$2535,MATCH(AJ96&amp;$B96,Podcasts!$E$10:'Podcasts'!$E$2535&amp;Podcasts!$D$10:'Podcasts'!$D$2535,0)))</f>
        <v/>
      </c>
      <c r="AL96" s="406" t="str">
        <f t="array" ref="AL96">IF(AM96="","",INDEX(Podcasts!$J$10:'Podcasts'!$J$2535,MATCH(AM96&amp;$B96,Podcasts!$E$10:'Podcasts'!$E$2535&amp;Podcasts!$D$10:'Podcasts'!$D$2535,0)))</f>
        <v/>
      </c>
      <c r="AM96" s="400" t="str">
        <f t="array" ref="AM96">IF(COUNTIF(Podcasts!$D$10:'Podcasts'!$D$2535,$B96)&lt;COLUMN(L59),"",SMALL(IF(Podcasts!$D$10:'Podcasts'!$D$2535=$B96,Podcasts!$E$10:'Podcasts'!$E$2535),COLUMN(L59)))</f>
        <v/>
      </c>
      <c r="AN96" s="401" t="str">
        <f t="array" ref="AN96">IF(AM96="","",INDEX(Podcasts!$F$10:'Podcasts'!$F$2535,MATCH(AM96&amp;$B96,Podcasts!$E$10:'Podcasts'!$E$2535&amp;Podcasts!$D$10:'Podcasts'!$D$2535,0)))</f>
        <v/>
      </c>
      <c r="AO96" s="402"/>
      <c r="AP96" s="119"/>
      <c r="AQ96" s="117">
        <f t="array" aca="1" ref="AQ96" ca="1">IFERROR(SMALL(IF(COUNTIF(Podcasts!$D$10:'Podcasts'!$D$107,ROW(INDIRECT("1:"&amp;K$2)))=0,ROW(INDIRECT("1:"&amp;K$2))),ROW($A53)),"")</f>
        <v>74</v>
      </c>
      <c r="AR96" s="117">
        <f t="array" aca="1" ref="AR96" ca="1">IFERROR(SMALL(IF(COUNTIF(Podcasts!$D$113:'Podcasts'!$D$238,ROW(INDIRECT("1:"&amp;K$2)))=0,ROW(INDIRECT("1:"&amp;K$2))),ROW($A53)),"")</f>
        <v>53</v>
      </c>
      <c r="AS96" s="117">
        <f t="array" aca="1" ref="AS96" ca="1">IFERROR(SMALL(IF(COUNTIF(Podcasts!$D$244:'Podcasts'!$D$299,ROW(INDIRECT("1:"&amp;K$2)))=0,ROW(INDIRECT("1:"&amp;K$2))),ROW($A53)),"")</f>
        <v>69</v>
      </c>
      <c r="AT96" s="117">
        <f t="array" aca="1" ref="AT96" ca="1">IFERROR(SMALL(IF(COUNTIF(Podcasts!$D$305:'Podcasts'!$D$473,ROW(INDIRECT("1:"&amp;K$2)))=0,ROW(INDIRECT("1:"&amp;K$2))),ROW($A53)),"")</f>
        <v>188</v>
      </c>
      <c r="AU96" s="117">
        <f t="array" aca="1" ref="AU96" ca="1">IFERROR(SMALL(IF(COUNTIF(Podcasts!$D$479:'Podcasts'!$D$488,ROW(INDIRECT("1:"&amp;K$2)))=0,ROW(INDIRECT("1:"&amp;K$2))),ROW($A53)),"")</f>
        <v>53</v>
      </c>
      <c r="AV96" s="117">
        <f t="array" aca="1" ref="AV96" ca="1">IFERROR(SMALL(IF(COUNTIF(Podcasts!$D$494:'Podcasts'!$D$518,ROW(INDIRECT("1:"&amp;K$2)))=0,ROW(INDIRECT("1:"&amp;K$2))),ROW($A53)),"")</f>
        <v>70</v>
      </c>
      <c r="AW96" s="117">
        <f t="array" aca="1" ref="AW96" ca="1">IFERROR(SMALL(IF(COUNTIF(Podcasts!$D$524:'Podcasts'!$D$532,ROW(INDIRECT("1:"&amp;K$2)))=0,ROW(INDIRECT("1:"&amp;K$2))),ROW($A53)),"")</f>
        <v>53</v>
      </c>
      <c r="AX96" s="117">
        <f t="array" aca="1" ref="AX96" ca="1">IFERROR(SMALL(IF(COUNTIF(Podcasts!$D$538:'Podcasts'!$D$909,ROW(INDIRECT("1:"&amp;K$2)))=0,ROW(INDIRECT("1:"&amp;K$2))),ROW($A53)),"")</f>
        <v>155</v>
      </c>
      <c r="AY96" s="117">
        <f t="array" aca="1" ref="AY96" ca="1">IFERROR(SMALL(IF(COUNTIF(Podcasts!$D$915:'Podcasts'!$D$981,ROW(INDIRECT("1:"&amp;K$2)))=0,ROW(INDIRECT("1:"&amp;K$2))),ROW($A53)),"")</f>
        <v>83</v>
      </c>
      <c r="AZ96" s="445"/>
      <c r="BA96" s="117">
        <f t="array" aca="1" ref="BA96" ca="1">IFERROR(SMALL(IF(COUNTIF(Podcasts!$D$1001:'Podcasts'!$D$1251,ROW(INDIRECT("1:"&amp;K$2)))=0,ROW(INDIRECT("1:"&amp;K$2))),ROW($A53)),"")</f>
        <v>86</v>
      </c>
      <c r="BB96" s="117">
        <f t="array" aca="1" ref="BB96" ca="1">IFERROR(SMALL(IF(COUNTIF(Podcasts!$D$1257:'Podcasts'!$D$1267,ROW(INDIRECT("1:"&amp;K$2)))=0,ROW(INDIRECT("1:"&amp;K$2))),ROW($A53)),"")</f>
        <v>54</v>
      </c>
      <c r="BC96" s="117">
        <f t="array" aca="1" ref="BC96" ca="1">IFERROR(SMALL(IF(COUNTIF(Podcasts!$D$1273:'Podcasts'!$D$1283,ROW(INDIRECT("1:"&amp;K$2)))=0,ROW(INDIRECT("1:"&amp;K$2))),ROW($A53)),"")</f>
        <v>57</v>
      </c>
      <c r="BD96" s="117">
        <f t="array" aca="1" ref="BD96" ca="1">IFERROR(SMALL(IF(COUNTIF(Podcasts!$D$1289:'Podcasts'!$D$1295,ROW(INDIRECT("1:"&amp;K$2)))=0,ROW(INDIRECT("1:"&amp;K$2))),ROW($A53)),"")</f>
        <v>55</v>
      </c>
      <c r="BE96" s="117">
        <f t="array" aca="1" ref="BE96" ca="1">IFERROR(SMALL(IF(COUNTIF(Podcasts!$D$1301:'Podcasts'!$D$1356,ROW(INDIRECT("1:"&amp;K$2)))=0,ROW(INDIRECT("1:"&amp;K$2))),ROW($A53)),"")</f>
        <v>100</v>
      </c>
      <c r="BF96" s="117">
        <f t="array" aca="1" ref="BF96" ca="1">IFERROR(SMALL(IF(COUNTIF(Podcasts!$D$1362:'Podcasts'!$D$1364,ROW(INDIRECT("1:"&amp;K$2)))=0,ROW(INDIRECT("1:"&amp;K$2))),ROW($A53)),"")</f>
        <v>56</v>
      </c>
      <c r="BG96" s="202">
        <f t="array" aca="1" ref="BG96" ca="1">IFERROR(SMALL(IF(COUNTIF(Podcasts!$D$1370:'Podcasts'!$D$1419,ROW(INDIRECT("1:"&amp;K$2)))=0,ROW(INDIRECT("1:"&amp;K$2))),ROW($A53)),"")</f>
        <v>65</v>
      </c>
      <c r="BH96" s="202">
        <f t="array" aca="1" ref="BH96" ca="1">IFERROR(SMALL(IF(COUNTIF(Podcasts!$D$1425:'Podcasts'!$D$1446,ROW(INDIRECT("1:"&amp;K$2)))=0,ROW(INDIRECT("1:"&amp;K$2))),ROW($A53)),"")</f>
        <v>58</v>
      </c>
      <c r="BI96" s="202">
        <f t="array" aca="1" ref="BI96" ca="1">IFERROR(SMALL(IF(COUNTIF(Podcasts!$D$1452:'Podcasts'!$D$1574,ROW(INDIRECT("1:"&amp;K$2)))=0,ROW(INDIRECT("1:"&amp;K$2))),ROW($A53)),"")</f>
        <v>98</v>
      </c>
      <c r="BJ96" s="202">
        <f t="array" aca="1" ref="BJ96" ca="1">IFERROR(SMALL(IF(COUNTIF(Podcasts!$D$1580:'Podcasts'!$D$1705,ROW(INDIRECT("1:"&amp;K$2)))=0,ROW(INDIRECT("1:"&amp;K$2))),ROW($A53)),"")</f>
        <v>100</v>
      </c>
      <c r="BK96" s="202">
        <f t="array" aca="1" ref="BK96" ca="1">IFERROR(SMALL(IF(COUNTIF(Podcasts!$D$1711:'Podcasts'!$D$1833,ROW(INDIRECT("1:"&amp;K$2)))=0,ROW(INDIRECT("1:"&amp;K$2))),ROW($A53)),"")</f>
        <v>93</v>
      </c>
      <c r="BL96" s="202">
        <f t="array" aca="1" ref="BL96" ca="1">IFERROR(SMALL(IF(COUNTIF(Podcasts!$D$1839:'Podcasts'!$D$1855,ROW(INDIRECT("1:"&amp;K$2)))=0,ROW(INDIRECT("1:"&amp;K$2))),ROW($A53)),"")</f>
        <v>59</v>
      </c>
      <c r="BM96" s="567">
        <f t="array" aca="1" ref="BM96" ca="1">IFERROR(SMALL(IF(COUNTIF(Podcasts!$D$1861:'Podcasts'!$D$1994,ROW(INDIRECT("1:"&amp;K$2)))=0,ROW(INDIRECT("1:"&amp;K$2))),ROW($A53)),"")</f>
        <v>68</v>
      </c>
      <c r="BN96" s="567">
        <f t="array" aca="1" ref="BN96" ca="1">IFERROR(SMALL(IF(COUNTIF(Podcasts!$D$2000:'Podcasts'!$D$2057,ROW(INDIRECT("1:"&amp;K$2)))=0,ROW(INDIRECT("1:"&amp;K$2))),ROW($A53)),"")</f>
        <v>108</v>
      </c>
      <c r="BO96" s="567">
        <f t="array" aca="1" ref="BO96" ca="1">IFERROR(SMALL(IF(COUNTIF(Podcasts!$D$2063:'Podcasts'!$D$2071,ROW(INDIRECT("1:"&amp;K$2)))=0,ROW(INDIRECT("1:"&amp;K$2))),ROW($A53)),"")</f>
        <v>53</v>
      </c>
      <c r="BP96" s="202">
        <f t="array" aca="1" ref="BP96" ca="1">IFERROR(SMALL(IF(COUNTIF(Podcasts!$D$2077:'Podcasts'!$D$2092,ROW(INDIRECT("1:"&amp;K$2)))=0,ROW(INDIRECT("1:"&amp;K$2))),ROW($A53)),"")</f>
        <v>63</v>
      </c>
      <c r="BQ96" s="741">
        <f t="array" aca="1" ref="BQ96" ca="1">IFERROR(SMALL(IF(COUNTIF(Podcasts!$D$2098:'Podcasts'!$D$2114,ROW(INDIRECT("1:"&amp;K$2)))=0,ROW(INDIRECT("1:"&amp;K$2))),ROW($A53)),"")</f>
        <v>56</v>
      </c>
      <c r="BR96" s="744">
        <f t="array" aca="1" ref="BR96" ca="1">IFERROR(SMALL(IF(COUNTIF(Podcasts!$D$2120:'Podcasts'!$D$2124,ROW(INDIRECT("1:"&amp;K$2)))=0,ROW(INDIRECT("1:"&amp;K$2))),ROW($A53)),"")</f>
        <v>55</v>
      </c>
      <c r="BS96" s="28"/>
    </row>
    <row r="97" spans="1:71" outlineLevel="1">
      <c r="A97" s="28"/>
      <c r="B97" s="161">
        <v>54</v>
      </c>
      <c r="C97" s="161">
        <f>COUNTIF(Podcasts!$D$10:'Podcasts'!$D$2535,B97)</f>
        <v>5</v>
      </c>
      <c r="D97" s="158" t="s">
        <v>1082</v>
      </c>
      <c r="E97" s="156" t="str">
        <f t="array" ref="E97">IF(F97="","",INDEX(Podcasts!$J$10:'Podcasts'!$J$2535,MATCH(F97&amp;$B97,Podcasts!$E$10:'Podcasts'!$E$2535&amp;Podcasts!$D$10:'Podcasts'!$D$2535,0)))</f>
        <v>Fürst</v>
      </c>
      <c r="F97" s="131">
        <f t="array" ref="F97">IF(COUNTIF(Podcasts!$D$10:'Podcasts'!$D$2535,$B97)&lt;COLUMN(A60),"",SMALL(IF(Podcasts!$D$10:'Podcasts'!$D$2535=$B97,Podcasts!$E$10:'Podcasts'!$E$2535),COLUMN(A60)))</f>
        <v>42064</v>
      </c>
      <c r="G97" s="132">
        <f t="array" ref="G97">IF(F97="","",INDEX(Podcasts!$F$10:'Podcasts'!$F$2535,MATCH(F97&amp;$B97,Podcasts!$E$10:'Podcasts'!$E$2535&amp;Podcasts!$D$10:'Podcasts'!$D$2535,0)))</f>
        <v>2.071759259259259E-2</v>
      </c>
      <c r="H97" s="136" t="str">
        <f t="array" ref="H97">IF(I97="","",INDEX(Podcasts!$J$10:'Podcasts'!$J$2535,MATCH(I97&amp;$B97,Podcasts!$E$10:'Podcasts'!$E$2535&amp;Podcasts!$D$10:'Podcasts'!$D$2535,0)))</f>
        <v>SSP</v>
      </c>
      <c r="I97" s="133">
        <f t="array" ref="I97">IF(COUNTIF(Podcasts!$D$10:'Podcasts'!$D$2535,$B97)&lt;COLUMN(B60),"",SMALL(IF(Podcasts!$D$10:'Podcasts'!$D$2535=$B97,Podcasts!$E$10:'Podcasts'!$E$2535),COLUMN(B60)))</f>
        <v>43413</v>
      </c>
      <c r="J97" s="132">
        <f t="array" ref="J97">IF(I97="","",INDEX(Podcasts!$F$10:'Podcasts'!$F$2535,MATCH(I97&amp;$B97,Podcasts!$E$10:'Podcasts'!$E$2535&amp;Podcasts!$D$10:'Podcasts'!$D$2535,0)))</f>
        <v>6.356481481481481E-2</v>
      </c>
      <c r="K97" s="136" t="str">
        <f t="array" ref="K97">IF(L97="","",INDEX(Podcasts!$J$10:'Podcasts'!$J$2535,MATCH(L97&amp;$B97,Podcasts!$E$10:'Podcasts'!$E$2535&amp;Podcasts!$D$10:'Podcasts'!$D$2535,0)))</f>
        <v>Zeichen</v>
      </c>
      <c r="L97" s="133">
        <f t="array" ref="L97">IF(COUNTIF(Podcasts!$D$10:'Podcasts'!$D$2535,$B97)&lt;COLUMN(C60),"",SMALL(IF(Podcasts!$D$10:'Podcasts'!$D$2535=$B97,Podcasts!$E$10:'Podcasts'!$E$2535),COLUMN(C60)))</f>
        <v>44309</v>
      </c>
      <c r="M97" s="132">
        <f t="array" ref="M97">IF(L97="","",INDEX(Podcasts!$F$10:'Podcasts'!$F$2535,MATCH(L97&amp;$B97,Podcasts!$E$10:'Podcasts'!$E$2535&amp;Podcasts!$D$10:'Podcasts'!$D$2535,0)))</f>
        <v>8.1365740740740738E-2</v>
      </c>
      <c r="N97" s="136" t="str">
        <f t="array" ref="N97">IF(O97="","",INDEX(Podcasts!$J$10:'Podcasts'!$J$2535,MATCH(O97&amp;$B97,Podcasts!$E$10:'Podcasts'!$E$2535&amp;Podcasts!$D$10:'Podcasts'!$D$2535,0)))</f>
        <v>Kuchen</v>
      </c>
      <c r="O97" s="133">
        <f t="array" ref="O97">IF(COUNTIF(Podcasts!$D$10:'Podcasts'!$D$2535,$B97)&lt;COLUMN(D60),"",SMALL(IF(Podcasts!$D$10:'Podcasts'!$D$2535=$B97,Podcasts!$E$10:'Podcasts'!$E$2535),COLUMN(D60)))</f>
        <v>44346</v>
      </c>
      <c r="P97" s="132">
        <f t="array" ref="P97">IF(O97="","",INDEX(Podcasts!$F$10:'Podcasts'!$F$2535,MATCH(O97&amp;$B97,Podcasts!$E$10:'Podcasts'!$E$2535&amp;Podcasts!$D$10:'Podcasts'!$D$2535,0)))</f>
        <v>4.7199074074074067E-2</v>
      </c>
      <c r="Q97" s="136" t="str">
        <f t="array" ref="Q97">IF(R97="","",INDEX(Podcasts!$J$10:'Podcasts'!$J$2535,MATCH(R97&amp;$B97,Podcasts!$E$10:'Podcasts'!$E$2535&amp;Podcasts!$D$10:'Podcasts'!$D$2535,0)))</f>
        <v>RBW</v>
      </c>
      <c r="R97" s="133">
        <f t="array" ref="R97">IF(COUNTIF(Podcasts!$D$10:'Podcasts'!$D$2535,$B97)&lt;COLUMN(E60),"",SMALL(IF(Podcasts!$D$10:'Podcasts'!$D$2535=$B97,Podcasts!$E$10:'Podcasts'!$E$2535),COLUMN(E60)))</f>
        <v>45358</v>
      </c>
      <c r="S97" s="132">
        <f t="array" ref="S97">IF(R97="","",INDEX(Podcasts!$F$10:'Podcasts'!$F$2535,MATCH(R97&amp;$B97,Podcasts!$E$10:'Podcasts'!$E$2535&amp;Podcasts!$D$10:'Podcasts'!$D$2535,0)))</f>
        <v>3.7523148148148146E-2</v>
      </c>
      <c r="T97" s="136" t="str">
        <f t="array" ref="T97">IF(U97="","",INDEX(Podcasts!$J$10:'Podcasts'!$J$2535,MATCH(U97&amp;$B97,Podcasts!$E$10:'Podcasts'!$E$2535&amp;Podcasts!$D$10:'Podcasts'!$D$2535,0)))</f>
        <v/>
      </c>
      <c r="U97" s="133" t="str">
        <f t="array" ref="U97">IF(COUNTIF(Podcasts!$D$10:'Podcasts'!$D$2535,$B97)&lt;COLUMN(F60),"",SMALL(IF(Podcasts!$D$10:'Podcasts'!$D$2535=$B97,Podcasts!$E$10:'Podcasts'!$E$2535),COLUMN(F60)))</f>
        <v/>
      </c>
      <c r="V97" s="132" t="str">
        <f t="array" ref="V97">IF(U97="","",INDEX(Podcasts!$F$10:'Podcasts'!$F$2535,MATCH(U97&amp;$B97,Podcasts!$E$10:'Podcasts'!$E$2535&amp;Podcasts!$D$10:'Podcasts'!$D$2535,0)))</f>
        <v/>
      </c>
      <c r="W97" s="136" t="str">
        <f t="array" ref="W97">IF(X97="","",INDEX(Podcasts!$J$10:'Podcasts'!$J$2535,MATCH(X97&amp;$B97,Podcasts!$E$10:'Podcasts'!$E$2535&amp;Podcasts!$D$10:'Podcasts'!$D$2535,0)))</f>
        <v/>
      </c>
      <c r="X97" s="133" t="str">
        <f t="array" ref="X97">IF(COUNTIF(Podcasts!$D$10:'Podcasts'!$D$2535,$B97)&lt;COLUMN(G60),"",SMALL(IF(Podcasts!$D$10:'Podcasts'!$D$2535=$B97,Podcasts!$E$10:'Podcasts'!$E$2535),COLUMN(G60)))</f>
        <v/>
      </c>
      <c r="Y97" s="132" t="str">
        <f t="array" ref="Y97">IF(X97="","",INDEX(Podcasts!$F$10:'Podcasts'!$F$2535,MATCH(X97&amp;$B97,Podcasts!$E$10:'Podcasts'!$E$2535&amp;Podcasts!$D$10:'Podcasts'!$D$2535,0)))</f>
        <v/>
      </c>
      <c r="Z97" s="136" t="str">
        <f t="array" ref="Z97">IF(AA97="","",INDEX(Podcasts!$J$10:'Podcasts'!$J$2535,MATCH(AA97&amp;$B97,Podcasts!$E$10:'Podcasts'!$E$2535&amp;Podcasts!$D$10:'Podcasts'!$D$2535,0)))</f>
        <v/>
      </c>
      <c r="AA97" s="134" t="str">
        <f t="array" ref="AA97">IF(COUNTIF(Podcasts!$D$10:'Podcasts'!$D$2535,$B97)&lt;COLUMN(H60),"",SMALL(IF(Podcasts!$D$10:'Podcasts'!$D$2535=$B97,Podcasts!$E$10:'Podcasts'!$E$2535),COLUMN(H60)))</f>
        <v/>
      </c>
      <c r="AB97" s="404" t="str">
        <f t="array" ref="AB97">IF(AA97="","",INDEX(Podcasts!$F$10:'Podcasts'!$F$2535,MATCH(AA97&amp;$B97,Podcasts!$E$10:'Podcasts'!$E$2535&amp;Podcasts!$D$10:'Podcasts'!$D$2535,0)))</f>
        <v/>
      </c>
      <c r="AC97" s="406" t="str">
        <f t="array" ref="AC97">IF(AD97="","",INDEX(Podcasts!$J$10:'Podcasts'!$J$2535,MATCH(AD97&amp;$B97,Podcasts!$E$10:'Podcasts'!$E$2535&amp;Podcasts!$D$10:'Podcasts'!$D$2535,0)))</f>
        <v/>
      </c>
      <c r="AD97" s="400" t="str">
        <f t="array" ref="AD97">IF(COUNTIF(Podcasts!$D$10:'Podcasts'!$D$2535,$B97)&lt;COLUMN(I60),"",SMALL(IF(Podcasts!$D$10:'Podcasts'!$D$2535=$B97,Podcasts!$E$10:'Podcasts'!$E$2535),COLUMN(I60)))</f>
        <v/>
      </c>
      <c r="AE97" s="401" t="str">
        <f t="array" ref="AE97">IF(AD97="","",INDEX(Podcasts!$F$10:'Podcasts'!$F$2535,MATCH(AD97&amp;$B97,Podcasts!$E$10:'Podcasts'!$E$2535&amp;Podcasts!$D$10:'Podcasts'!$D$2535,0)))</f>
        <v/>
      </c>
      <c r="AF97" s="406" t="str">
        <f t="array" ref="AF97">IF(AG97="","",INDEX(Podcasts!$J$10:'Podcasts'!$J$2535,MATCH(AG97&amp;$B97,Podcasts!$E$10:'Podcasts'!$E$2535&amp;Podcasts!$D$10:'Podcasts'!$D$2535,0)))</f>
        <v/>
      </c>
      <c r="AG97" s="400" t="str">
        <f t="array" ref="AG97">IF(COUNTIF(Podcasts!$D$10:'Podcasts'!$D$2535,$B97)&lt;COLUMN(J60),"",SMALL(IF(Podcasts!$D$10:'Podcasts'!$D$2535=$B97,Podcasts!$E$10:'Podcasts'!$E$2535),COLUMN(J60)))</f>
        <v/>
      </c>
      <c r="AH97" s="401" t="str">
        <f t="array" ref="AH97">IF(AG97="","",INDEX(Podcasts!$F$10:'Podcasts'!$F$2535,MATCH(AG97&amp;$B97,Podcasts!$E$10:'Podcasts'!$E$2535&amp;Podcasts!$D$10:'Podcasts'!$D$2535,0)))</f>
        <v/>
      </c>
      <c r="AI97" s="406" t="str">
        <f t="array" ref="AI97">IF(AJ97="","",INDEX(Podcasts!$J$10:'Podcasts'!$J$2535,MATCH(AJ97&amp;$B97,Podcasts!$E$10:'Podcasts'!$E$2535&amp;Podcasts!$D$10:'Podcasts'!$D$2535,0)))</f>
        <v/>
      </c>
      <c r="AJ97" s="400" t="str">
        <f t="array" ref="AJ97">IF(COUNTIF(Podcasts!$D$10:'Podcasts'!$D$2535,$B97)&lt;COLUMN(K60),"",SMALL(IF(Podcasts!$D$10:'Podcasts'!$D$2535=$B97,Podcasts!$E$10:'Podcasts'!$E$2535),COLUMN(K60)))</f>
        <v/>
      </c>
      <c r="AK97" s="401" t="str">
        <f t="array" ref="AK97">IF(AJ97="","",INDEX(Podcasts!$F$10:'Podcasts'!$F$2535,MATCH(AJ97&amp;$B97,Podcasts!$E$10:'Podcasts'!$E$2535&amp;Podcasts!$D$10:'Podcasts'!$D$2535,0)))</f>
        <v/>
      </c>
      <c r="AL97" s="406" t="str">
        <f t="array" ref="AL97">IF(AM97="","",INDEX(Podcasts!$J$10:'Podcasts'!$J$2535,MATCH(AM97&amp;$B97,Podcasts!$E$10:'Podcasts'!$E$2535&amp;Podcasts!$D$10:'Podcasts'!$D$2535,0)))</f>
        <v/>
      </c>
      <c r="AM97" s="400" t="str">
        <f t="array" ref="AM97">IF(COUNTIF(Podcasts!$D$10:'Podcasts'!$D$2535,$B97)&lt;COLUMN(L60),"",SMALL(IF(Podcasts!$D$10:'Podcasts'!$D$2535=$B97,Podcasts!$E$10:'Podcasts'!$E$2535),COLUMN(L60)))</f>
        <v/>
      </c>
      <c r="AN97" s="401" t="str">
        <f t="array" ref="AN97">IF(AM97="","",INDEX(Podcasts!$F$10:'Podcasts'!$F$2535,MATCH(AM97&amp;$B97,Podcasts!$E$10:'Podcasts'!$E$2535&amp;Podcasts!$D$10:'Podcasts'!$D$2535,0)))</f>
        <v/>
      </c>
      <c r="AO97" s="402"/>
      <c r="AP97" s="119"/>
      <c r="AQ97" s="117">
        <f t="array" aca="1" ref="AQ97" ca="1">IFERROR(SMALL(IF(COUNTIF(Podcasts!$D$10:'Podcasts'!$D$107,ROW(INDIRECT("1:"&amp;K$2)))=0,ROW(INDIRECT("1:"&amp;K$2))),ROW($A54)),"")</f>
        <v>75</v>
      </c>
      <c r="AR97" s="117">
        <f t="array" aca="1" ref="AR97" ca="1">IFERROR(SMALL(IF(COUNTIF(Podcasts!$D$113:'Podcasts'!$D$238,ROW(INDIRECT("1:"&amp;K$2)))=0,ROW(INDIRECT("1:"&amp;K$2))),ROW($A54)),"")</f>
        <v>54</v>
      </c>
      <c r="AS97" s="117">
        <f t="array" aca="1" ref="AS97" ca="1">IFERROR(SMALL(IF(COUNTIF(Podcasts!$D$244:'Podcasts'!$D$299,ROW(INDIRECT("1:"&amp;K$2)))=0,ROW(INDIRECT("1:"&amp;K$2))),ROW($A54)),"")</f>
        <v>70</v>
      </c>
      <c r="AT97" s="117">
        <f t="array" aca="1" ref="AT97" ca="1">IFERROR(SMALL(IF(COUNTIF(Podcasts!$D$305:'Podcasts'!$D$473,ROW(INDIRECT("1:"&amp;K$2)))=0,ROW(INDIRECT("1:"&amp;K$2))),ROW($A54)),"")</f>
        <v>189</v>
      </c>
      <c r="AU97" s="117">
        <f t="array" aca="1" ref="AU97" ca="1">IFERROR(SMALL(IF(COUNTIF(Podcasts!$D$479:'Podcasts'!$D$488,ROW(INDIRECT("1:"&amp;K$2)))=0,ROW(INDIRECT("1:"&amp;K$2))),ROW($A54)),"")</f>
        <v>54</v>
      </c>
      <c r="AV97" s="117">
        <f t="array" aca="1" ref="AV97" ca="1">IFERROR(SMALL(IF(COUNTIF(Podcasts!$D$494:'Podcasts'!$D$518,ROW(INDIRECT("1:"&amp;K$2)))=0,ROW(INDIRECT("1:"&amp;K$2))),ROW($A54)),"")</f>
        <v>71</v>
      </c>
      <c r="AW97" s="117">
        <f t="array" aca="1" ref="AW97" ca="1">IFERROR(SMALL(IF(COUNTIF(Podcasts!$D$524:'Podcasts'!$D$532,ROW(INDIRECT("1:"&amp;K$2)))=0,ROW(INDIRECT("1:"&amp;K$2))),ROW($A54)),"")</f>
        <v>54</v>
      </c>
      <c r="AX97" s="117">
        <f t="array" aca="1" ref="AX97" ca="1">IFERROR(SMALL(IF(COUNTIF(Podcasts!$D$538:'Podcasts'!$D$909,ROW(INDIRECT("1:"&amp;K$2)))=0,ROW(INDIRECT("1:"&amp;K$2))),ROW($A54)),"")</f>
        <v>157</v>
      </c>
      <c r="AY97" s="117">
        <f t="array" aca="1" ref="AY97" ca="1">IFERROR(SMALL(IF(COUNTIF(Podcasts!$D$915:'Podcasts'!$D$981,ROW(INDIRECT("1:"&amp;K$2)))=0,ROW(INDIRECT("1:"&amp;K$2))),ROW($A54)),"")</f>
        <v>85</v>
      </c>
      <c r="AZ97" s="445"/>
      <c r="BA97" s="117">
        <f t="array" aca="1" ref="BA97" ca="1">IFERROR(SMALL(IF(COUNTIF(Podcasts!$D$1001:'Podcasts'!$D$1251,ROW(INDIRECT("1:"&amp;K$2)))=0,ROW(INDIRECT("1:"&amp;K$2))),ROW($A54)),"")</f>
        <v>87</v>
      </c>
      <c r="BB97" s="117">
        <f t="array" aca="1" ref="BB97" ca="1">IFERROR(SMALL(IF(COUNTIF(Podcasts!$D$1257:'Podcasts'!$D$1267,ROW(INDIRECT("1:"&amp;K$2)))=0,ROW(INDIRECT("1:"&amp;K$2))),ROW($A54)),"")</f>
        <v>55</v>
      </c>
      <c r="BC97" s="117">
        <f t="array" aca="1" ref="BC97" ca="1">IFERROR(SMALL(IF(COUNTIF(Podcasts!$D$1273:'Podcasts'!$D$1283,ROW(INDIRECT("1:"&amp;K$2)))=0,ROW(INDIRECT("1:"&amp;K$2))),ROW($A54)),"")</f>
        <v>58</v>
      </c>
      <c r="BD97" s="117">
        <f t="array" aca="1" ref="BD97" ca="1">IFERROR(SMALL(IF(COUNTIF(Podcasts!$D$1289:'Podcasts'!$D$1295,ROW(INDIRECT("1:"&amp;K$2)))=0,ROW(INDIRECT("1:"&amp;K$2))),ROW($A54)),"")</f>
        <v>56</v>
      </c>
      <c r="BE97" s="117">
        <f t="array" aca="1" ref="BE97" ca="1">IFERROR(SMALL(IF(COUNTIF(Podcasts!$D$1301:'Podcasts'!$D$1356,ROW(INDIRECT("1:"&amp;K$2)))=0,ROW(INDIRECT("1:"&amp;K$2))),ROW($A54)),"")</f>
        <v>101</v>
      </c>
      <c r="BF97" s="117">
        <f t="array" aca="1" ref="BF97" ca="1">IFERROR(SMALL(IF(COUNTIF(Podcasts!$D$1362:'Podcasts'!$D$1364,ROW(INDIRECT("1:"&amp;K$2)))=0,ROW(INDIRECT("1:"&amp;K$2))),ROW($A54)),"")</f>
        <v>57</v>
      </c>
      <c r="BG97" s="202">
        <f t="array" aca="1" ref="BG97" ca="1">IFERROR(SMALL(IF(COUNTIF(Podcasts!$D$1370:'Podcasts'!$D$1419,ROW(INDIRECT("1:"&amp;K$2)))=0,ROW(INDIRECT("1:"&amp;K$2))),ROW($A54)),"")</f>
        <v>66</v>
      </c>
      <c r="BH97" s="202">
        <f t="array" aca="1" ref="BH97" ca="1">IFERROR(SMALL(IF(COUNTIF(Podcasts!$D$1425:'Podcasts'!$D$1446,ROW(INDIRECT("1:"&amp;K$2)))=0,ROW(INDIRECT("1:"&amp;K$2))),ROW($A54)),"")</f>
        <v>59</v>
      </c>
      <c r="BI97" s="202">
        <f t="array" aca="1" ref="BI97" ca="1">IFERROR(SMALL(IF(COUNTIF(Podcasts!$D$1452:'Podcasts'!$D$1574,ROW(INDIRECT("1:"&amp;K$2)))=0,ROW(INDIRECT("1:"&amp;K$2))),ROW($A54)),"")</f>
        <v>102</v>
      </c>
      <c r="BJ97" s="202">
        <f t="array" aca="1" ref="BJ97" ca="1">IFERROR(SMALL(IF(COUNTIF(Podcasts!$D$1580:'Podcasts'!$D$1705,ROW(INDIRECT("1:"&amp;K$2)))=0,ROW(INDIRECT("1:"&amp;K$2))),ROW($A54)),"")</f>
        <v>102</v>
      </c>
      <c r="BK97" s="202">
        <f t="array" aca="1" ref="BK97" ca="1">IFERROR(SMALL(IF(COUNTIF(Podcasts!$D$1711:'Podcasts'!$D$1833,ROW(INDIRECT("1:"&amp;K$2)))=0,ROW(INDIRECT("1:"&amp;K$2))),ROW($A54)),"")</f>
        <v>94</v>
      </c>
      <c r="BL97" s="202">
        <f t="array" aca="1" ref="BL97" ca="1">IFERROR(SMALL(IF(COUNTIF(Podcasts!$D$1839:'Podcasts'!$D$1855,ROW(INDIRECT("1:"&amp;K$2)))=0,ROW(INDIRECT("1:"&amp;K$2))),ROW($A54)),"")</f>
        <v>60</v>
      </c>
      <c r="BM97" s="567">
        <f t="array" aca="1" ref="BM97" ca="1">IFERROR(SMALL(IF(COUNTIF(Podcasts!$D$1861:'Podcasts'!$D$1994,ROW(INDIRECT("1:"&amp;K$2)))=0,ROW(INDIRECT("1:"&amp;K$2))),ROW($A54)),"")</f>
        <v>71</v>
      </c>
      <c r="BN97" s="567">
        <f t="array" aca="1" ref="BN97" ca="1">IFERROR(SMALL(IF(COUNTIF(Podcasts!$D$2000:'Podcasts'!$D$2057,ROW(INDIRECT("1:"&amp;K$2)))=0,ROW(INDIRECT("1:"&amp;K$2))),ROW($A54)),"")</f>
        <v>109</v>
      </c>
      <c r="BO97" s="567">
        <f t="array" aca="1" ref="BO97" ca="1">IFERROR(SMALL(IF(COUNTIF(Podcasts!$D$2063:'Podcasts'!$D$2071,ROW(INDIRECT("1:"&amp;K$2)))=0,ROW(INDIRECT("1:"&amp;K$2))),ROW($A54)),"")</f>
        <v>54</v>
      </c>
      <c r="BP97" s="202">
        <f t="array" aca="1" ref="BP97" ca="1">IFERROR(SMALL(IF(COUNTIF(Podcasts!$D$2077:'Podcasts'!$D$2092,ROW(INDIRECT("1:"&amp;K$2)))=0,ROW(INDIRECT("1:"&amp;K$2))),ROW($A54)),"")</f>
        <v>64</v>
      </c>
      <c r="BQ97" s="741">
        <f t="array" aca="1" ref="BQ97" ca="1">IFERROR(SMALL(IF(COUNTIF(Podcasts!$D$2098:'Podcasts'!$D$2114,ROW(INDIRECT("1:"&amp;K$2)))=0,ROW(INDIRECT("1:"&amp;K$2))),ROW($A54)),"")</f>
        <v>57</v>
      </c>
      <c r="BR97" s="744">
        <f t="array" aca="1" ref="BR97" ca="1">IFERROR(SMALL(IF(COUNTIF(Podcasts!$D$2120:'Podcasts'!$D$2124,ROW(INDIRECT("1:"&amp;K$2)))=0,ROW(INDIRECT("1:"&amp;K$2))),ROW($A54)),"")</f>
        <v>56</v>
      </c>
      <c r="BS97" s="28"/>
    </row>
    <row r="98" spans="1:71" outlineLevel="1">
      <c r="A98" s="28"/>
      <c r="B98" s="161">
        <v>55</v>
      </c>
      <c r="C98" s="161">
        <f>COUNTIF(Podcasts!$D$10:'Podcasts'!$D$2535,B98)</f>
        <v>2</v>
      </c>
      <c r="D98" s="158" t="s">
        <v>1083</v>
      </c>
      <c r="E98" s="156" t="str">
        <f t="array" ref="E98">IF(F98="","",INDEX(Podcasts!$J$10:'Podcasts'!$J$2535,MATCH(F98&amp;$B98,Podcasts!$E$10:'Podcasts'!$E$2535&amp;Podcasts!$D$10:'Podcasts'!$D$2535,0)))</f>
        <v>Fürst</v>
      </c>
      <c r="F98" s="131">
        <f t="array" ref="F98">IF(COUNTIF(Podcasts!$D$10:'Podcasts'!$D$2535,$B98)&lt;COLUMN(A61),"",SMALL(IF(Podcasts!$D$10:'Podcasts'!$D$2535=$B98,Podcasts!$E$10:'Podcasts'!$E$2535),COLUMN(A61)))</f>
        <v>41811</v>
      </c>
      <c r="G98" s="132">
        <f t="array" ref="G98">IF(F98="","",INDEX(Podcasts!$F$10:'Podcasts'!$F$2535,MATCH(F98&amp;$B98,Podcasts!$E$10:'Podcasts'!$E$2535&amp;Podcasts!$D$10:'Podcasts'!$D$2535,0)))</f>
        <v>4.2824074074074084E-3</v>
      </c>
      <c r="H98" s="136" t="str">
        <f t="array" ref="H98">IF(I98="","",INDEX(Podcasts!$J$10:'Podcasts'!$J$2535,MATCH(I98&amp;$B98,Podcasts!$E$10:'Podcasts'!$E$2535&amp;Podcasts!$D$10:'Podcasts'!$D$2535,0)))</f>
        <v>RBW</v>
      </c>
      <c r="I98" s="133">
        <f t="array" ref="I98">IF(COUNTIF(Podcasts!$D$10:'Podcasts'!$D$2535,$B98)&lt;COLUMN(B61),"",SMALL(IF(Podcasts!$D$10:'Podcasts'!$D$2535=$B98,Podcasts!$E$10:'Podcasts'!$E$2535),COLUMN(B61)))</f>
        <v>45365</v>
      </c>
      <c r="J98" s="132">
        <f t="array" ref="J98">IF(I98="","",INDEX(Podcasts!$F$10:'Podcasts'!$F$2535,MATCH(I98&amp;$B98,Podcasts!$E$10:'Podcasts'!$E$2535&amp;Podcasts!$D$10:'Podcasts'!$D$2535,0)))</f>
        <v>4.3599537037037034E-2</v>
      </c>
      <c r="K98" s="136" t="str">
        <f t="array" ref="K98">IF(L98="","",INDEX(Podcasts!$J$10:'Podcasts'!$J$2535,MATCH(L98&amp;$B98,Podcasts!$E$10:'Podcasts'!$E$2535&amp;Podcasts!$D$10:'Podcasts'!$D$2535,0)))</f>
        <v/>
      </c>
      <c r="L98" s="133" t="str">
        <f t="array" ref="L98">IF(COUNTIF(Podcasts!$D$10:'Podcasts'!$D$2535,$B98)&lt;COLUMN(C61),"",SMALL(IF(Podcasts!$D$10:'Podcasts'!$D$2535=$B98,Podcasts!$E$10:'Podcasts'!$E$2535),COLUMN(C61)))</f>
        <v/>
      </c>
      <c r="M98" s="132" t="str">
        <f t="array" ref="M98">IF(L98="","",INDEX(Podcasts!$F$10:'Podcasts'!$F$2535,MATCH(L98&amp;$B98,Podcasts!$E$10:'Podcasts'!$E$2535&amp;Podcasts!$D$10:'Podcasts'!$D$2535,0)))</f>
        <v/>
      </c>
      <c r="N98" s="136" t="str">
        <f t="array" ref="N98">IF(O98="","",INDEX(Podcasts!$J$10:'Podcasts'!$J$2535,MATCH(O98&amp;$B98,Podcasts!$E$10:'Podcasts'!$E$2535&amp;Podcasts!$D$10:'Podcasts'!$D$2535,0)))</f>
        <v/>
      </c>
      <c r="O98" s="133" t="str">
        <f t="array" ref="O98">IF(COUNTIF(Podcasts!$D$10:'Podcasts'!$D$2535,$B98)&lt;COLUMN(D61),"",SMALL(IF(Podcasts!$D$10:'Podcasts'!$D$2535=$B98,Podcasts!$E$10:'Podcasts'!$E$2535),COLUMN(D61)))</f>
        <v/>
      </c>
      <c r="P98" s="132" t="str">
        <f t="array" ref="P98">IF(O98="","",INDEX(Podcasts!$F$10:'Podcasts'!$F$2535,MATCH(O98&amp;$B98,Podcasts!$E$10:'Podcasts'!$E$2535&amp;Podcasts!$D$10:'Podcasts'!$D$2535,0)))</f>
        <v/>
      </c>
      <c r="Q98" s="136" t="str">
        <f t="array" ref="Q98">IF(R98="","",INDEX(Podcasts!$J$10:'Podcasts'!$J$2535,MATCH(R98&amp;$B98,Podcasts!$E$10:'Podcasts'!$E$2535&amp;Podcasts!$D$10:'Podcasts'!$D$2535,0)))</f>
        <v/>
      </c>
      <c r="R98" s="133" t="str">
        <f t="array" ref="R98">IF(COUNTIF(Podcasts!$D$10:'Podcasts'!$D$2535,$B98)&lt;COLUMN(E61),"",SMALL(IF(Podcasts!$D$10:'Podcasts'!$D$2535=$B98,Podcasts!$E$10:'Podcasts'!$E$2535),COLUMN(E61)))</f>
        <v/>
      </c>
      <c r="S98" s="132" t="str">
        <f t="array" ref="S98">IF(R98="","",INDEX(Podcasts!$F$10:'Podcasts'!$F$2535,MATCH(R98&amp;$B98,Podcasts!$E$10:'Podcasts'!$E$2535&amp;Podcasts!$D$10:'Podcasts'!$D$2535,0)))</f>
        <v/>
      </c>
      <c r="T98" s="136" t="str">
        <f t="array" ref="T98">IF(U98="","",INDEX(Podcasts!$J$10:'Podcasts'!$J$2535,MATCH(U98&amp;$B98,Podcasts!$E$10:'Podcasts'!$E$2535&amp;Podcasts!$D$10:'Podcasts'!$D$2535,0)))</f>
        <v/>
      </c>
      <c r="U98" s="133" t="str">
        <f t="array" ref="U98">IF(COUNTIF(Podcasts!$D$10:'Podcasts'!$D$2535,$B98)&lt;COLUMN(F61),"",SMALL(IF(Podcasts!$D$10:'Podcasts'!$D$2535=$B98,Podcasts!$E$10:'Podcasts'!$E$2535),COLUMN(F61)))</f>
        <v/>
      </c>
      <c r="V98" s="132" t="str">
        <f t="array" ref="V98">IF(U98="","",INDEX(Podcasts!$F$10:'Podcasts'!$F$2535,MATCH(U98&amp;$B98,Podcasts!$E$10:'Podcasts'!$E$2535&amp;Podcasts!$D$10:'Podcasts'!$D$2535,0)))</f>
        <v/>
      </c>
      <c r="W98" s="136" t="str">
        <f t="array" ref="W98">IF(X98="","",INDEX(Podcasts!$J$10:'Podcasts'!$J$2535,MATCH(X98&amp;$B98,Podcasts!$E$10:'Podcasts'!$E$2535&amp;Podcasts!$D$10:'Podcasts'!$D$2535,0)))</f>
        <v/>
      </c>
      <c r="X98" s="133" t="str">
        <f t="array" ref="X98">IF(COUNTIF(Podcasts!$D$10:'Podcasts'!$D$2535,$B98)&lt;COLUMN(G61),"",SMALL(IF(Podcasts!$D$10:'Podcasts'!$D$2535=$B98,Podcasts!$E$10:'Podcasts'!$E$2535),COLUMN(G61)))</f>
        <v/>
      </c>
      <c r="Y98" s="132" t="str">
        <f t="array" ref="Y98">IF(X98="","",INDEX(Podcasts!$F$10:'Podcasts'!$F$2535,MATCH(X98&amp;$B98,Podcasts!$E$10:'Podcasts'!$E$2535&amp;Podcasts!$D$10:'Podcasts'!$D$2535,0)))</f>
        <v/>
      </c>
      <c r="Z98" s="136" t="str">
        <f t="array" ref="Z98">IF(AA98="","",INDEX(Podcasts!$J$10:'Podcasts'!$J$2535,MATCH(AA98&amp;$B98,Podcasts!$E$10:'Podcasts'!$E$2535&amp;Podcasts!$D$10:'Podcasts'!$D$2535,0)))</f>
        <v/>
      </c>
      <c r="AA98" s="134" t="str">
        <f t="array" ref="AA98">IF(COUNTIF(Podcasts!$D$10:'Podcasts'!$D$2535,$B98)&lt;COLUMN(H61),"",SMALL(IF(Podcasts!$D$10:'Podcasts'!$D$2535=$B98,Podcasts!$E$10:'Podcasts'!$E$2535),COLUMN(H61)))</f>
        <v/>
      </c>
      <c r="AB98" s="404" t="str">
        <f t="array" ref="AB98">IF(AA98="","",INDEX(Podcasts!$F$10:'Podcasts'!$F$2535,MATCH(AA98&amp;$B98,Podcasts!$E$10:'Podcasts'!$E$2535&amp;Podcasts!$D$10:'Podcasts'!$D$2535,0)))</f>
        <v/>
      </c>
      <c r="AC98" s="406" t="str">
        <f t="array" ref="AC98">IF(AD98="","",INDEX(Podcasts!$J$10:'Podcasts'!$J$2535,MATCH(AD98&amp;$B98,Podcasts!$E$10:'Podcasts'!$E$2535&amp;Podcasts!$D$10:'Podcasts'!$D$2535,0)))</f>
        <v/>
      </c>
      <c r="AD98" s="400" t="str">
        <f t="array" ref="AD98">IF(COUNTIF(Podcasts!$D$10:'Podcasts'!$D$2535,$B98)&lt;COLUMN(I61),"",SMALL(IF(Podcasts!$D$10:'Podcasts'!$D$2535=$B98,Podcasts!$E$10:'Podcasts'!$E$2535),COLUMN(I61)))</f>
        <v/>
      </c>
      <c r="AE98" s="401" t="str">
        <f t="array" ref="AE98">IF(AD98="","",INDEX(Podcasts!$F$10:'Podcasts'!$F$2535,MATCH(AD98&amp;$B98,Podcasts!$E$10:'Podcasts'!$E$2535&amp;Podcasts!$D$10:'Podcasts'!$D$2535,0)))</f>
        <v/>
      </c>
      <c r="AF98" s="406" t="str">
        <f t="array" ref="AF98">IF(AG98="","",INDEX(Podcasts!$J$10:'Podcasts'!$J$2535,MATCH(AG98&amp;$B98,Podcasts!$E$10:'Podcasts'!$E$2535&amp;Podcasts!$D$10:'Podcasts'!$D$2535,0)))</f>
        <v/>
      </c>
      <c r="AG98" s="400" t="str">
        <f t="array" ref="AG98">IF(COUNTIF(Podcasts!$D$10:'Podcasts'!$D$2535,$B98)&lt;COLUMN(J61),"",SMALL(IF(Podcasts!$D$10:'Podcasts'!$D$2535=$B98,Podcasts!$E$10:'Podcasts'!$E$2535),COLUMN(J61)))</f>
        <v/>
      </c>
      <c r="AH98" s="401" t="str">
        <f t="array" ref="AH98">IF(AG98="","",INDEX(Podcasts!$F$10:'Podcasts'!$F$2535,MATCH(AG98&amp;$B98,Podcasts!$E$10:'Podcasts'!$E$2535&amp;Podcasts!$D$10:'Podcasts'!$D$2535,0)))</f>
        <v/>
      </c>
      <c r="AI98" s="406" t="str">
        <f t="array" ref="AI98">IF(AJ98="","",INDEX(Podcasts!$J$10:'Podcasts'!$J$2535,MATCH(AJ98&amp;$B98,Podcasts!$E$10:'Podcasts'!$E$2535&amp;Podcasts!$D$10:'Podcasts'!$D$2535,0)))</f>
        <v/>
      </c>
      <c r="AJ98" s="400" t="str">
        <f t="array" ref="AJ98">IF(COUNTIF(Podcasts!$D$10:'Podcasts'!$D$2535,$B98)&lt;COLUMN(K61),"",SMALL(IF(Podcasts!$D$10:'Podcasts'!$D$2535=$B98,Podcasts!$E$10:'Podcasts'!$E$2535),COLUMN(K61)))</f>
        <v/>
      </c>
      <c r="AK98" s="401" t="str">
        <f t="array" ref="AK98">IF(AJ98="","",INDEX(Podcasts!$F$10:'Podcasts'!$F$2535,MATCH(AJ98&amp;$B98,Podcasts!$E$10:'Podcasts'!$E$2535&amp;Podcasts!$D$10:'Podcasts'!$D$2535,0)))</f>
        <v/>
      </c>
      <c r="AL98" s="406" t="str">
        <f t="array" ref="AL98">IF(AM98="","",INDEX(Podcasts!$J$10:'Podcasts'!$J$2535,MATCH(AM98&amp;$B98,Podcasts!$E$10:'Podcasts'!$E$2535&amp;Podcasts!$D$10:'Podcasts'!$D$2535,0)))</f>
        <v/>
      </c>
      <c r="AM98" s="400" t="str">
        <f t="array" ref="AM98">IF(COUNTIF(Podcasts!$D$10:'Podcasts'!$D$2535,$B98)&lt;COLUMN(L61),"",SMALL(IF(Podcasts!$D$10:'Podcasts'!$D$2535=$B98,Podcasts!$E$10:'Podcasts'!$E$2535),COLUMN(L61)))</f>
        <v/>
      </c>
      <c r="AN98" s="401" t="str">
        <f t="array" ref="AN98">IF(AM98="","",INDEX(Podcasts!$F$10:'Podcasts'!$F$2535,MATCH(AM98&amp;$B98,Podcasts!$E$10:'Podcasts'!$E$2535&amp;Podcasts!$D$10:'Podcasts'!$D$2535,0)))</f>
        <v/>
      </c>
      <c r="AO98" s="402"/>
      <c r="AP98" s="119"/>
      <c r="AQ98" s="117">
        <f t="array" aca="1" ref="AQ98" ca="1">IFERROR(SMALL(IF(COUNTIF(Podcasts!$D$10:'Podcasts'!$D$107,ROW(INDIRECT("1:"&amp;K$2)))=0,ROW(INDIRECT("1:"&amp;K$2))),ROW($A55)),"")</f>
        <v>77</v>
      </c>
      <c r="AR98" s="117">
        <f t="array" aca="1" ref="AR98" ca="1">IFERROR(SMALL(IF(COUNTIF(Podcasts!$D$113:'Podcasts'!$D$238,ROW(INDIRECT("1:"&amp;K$2)))=0,ROW(INDIRECT("1:"&amp;K$2))),ROW($A55)),"")</f>
        <v>55</v>
      </c>
      <c r="AS98" s="117">
        <f t="array" aca="1" ref="AS98" ca="1">IFERROR(SMALL(IF(COUNTIF(Podcasts!$D$244:'Podcasts'!$D$299,ROW(INDIRECT("1:"&amp;K$2)))=0,ROW(INDIRECT("1:"&amp;K$2))),ROW($A55)),"")</f>
        <v>71</v>
      </c>
      <c r="AT98" s="117">
        <f t="array" aca="1" ref="AT98" ca="1">IFERROR(SMALL(IF(COUNTIF(Podcasts!$D$305:'Podcasts'!$D$473,ROW(INDIRECT("1:"&amp;K$2)))=0,ROW(INDIRECT("1:"&amp;K$2))),ROW($A55)),"")</f>
        <v>190</v>
      </c>
      <c r="AU98" s="117">
        <f t="array" aca="1" ref="AU98" ca="1">IFERROR(SMALL(IF(COUNTIF(Podcasts!$D$479:'Podcasts'!$D$488,ROW(INDIRECT("1:"&amp;K$2)))=0,ROW(INDIRECT("1:"&amp;K$2))),ROW($A55)),"")</f>
        <v>55</v>
      </c>
      <c r="AV98" s="117">
        <f t="array" aca="1" ref="AV98" ca="1">IFERROR(SMALL(IF(COUNTIF(Podcasts!$D$494:'Podcasts'!$D$518,ROW(INDIRECT("1:"&amp;K$2)))=0,ROW(INDIRECT("1:"&amp;K$2))),ROW($A55)),"")</f>
        <v>72</v>
      </c>
      <c r="AW98" s="117">
        <f t="array" aca="1" ref="AW98" ca="1">IFERROR(SMALL(IF(COUNTIF(Podcasts!$D$524:'Podcasts'!$D$532,ROW(INDIRECT("1:"&amp;K$2)))=0,ROW(INDIRECT("1:"&amp;K$2))),ROW($A55)),"")</f>
        <v>55</v>
      </c>
      <c r="AX98" s="117">
        <f t="array" aca="1" ref="AX98" ca="1">IFERROR(SMALL(IF(COUNTIF(Podcasts!$D$538:'Podcasts'!$D$909,ROW(INDIRECT("1:"&amp;K$2)))=0,ROW(INDIRECT("1:"&amp;K$2))),ROW($A55)),"")</f>
        <v>160</v>
      </c>
      <c r="AY98" s="117">
        <f t="array" aca="1" ref="AY98" ca="1">IFERROR(SMALL(IF(COUNTIF(Podcasts!$D$915:'Podcasts'!$D$981,ROW(INDIRECT("1:"&amp;K$2)))=0,ROW(INDIRECT("1:"&amp;K$2))),ROW($A55)),"")</f>
        <v>87</v>
      </c>
      <c r="AZ98" s="445"/>
      <c r="BA98" s="117">
        <f t="array" aca="1" ref="BA98" ca="1">IFERROR(SMALL(IF(COUNTIF(Podcasts!$D$1001:'Podcasts'!$D$1251,ROW(INDIRECT("1:"&amp;K$2)))=0,ROW(INDIRECT("1:"&amp;K$2))),ROW($A55)),"")</f>
        <v>89</v>
      </c>
      <c r="BB98" s="117">
        <f t="array" aca="1" ref="BB98" ca="1">IFERROR(SMALL(IF(COUNTIF(Podcasts!$D$1257:'Podcasts'!$D$1267,ROW(INDIRECT("1:"&amp;K$2)))=0,ROW(INDIRECT("1:"&amp;K$2))),ROW($A55)),"")</f>
        <v>56</v>
      </c>
      <c r="BC98" s="117">
        <f t="array" aca="1" ref="BC98" ca="1">IFERROR(SMALL(IF(COUNTIF(Podcasts!$D$1273:'Podcasts'!$D$1283,ROW(INDIRECT("1:"&amp;K$2)))=0,ROW(INDIRECT("1:"&amp;K$2))),ROW($A55)),"")</f>
        <v>59</v>
      </c>
      <c r="BD98" s="117">
        <f t="array" aca="1" ref="BD98" ca="1">IFERROR(SMALL(IF(COUNTIF(Podcasts!$D$1289:'Podcasts'!$D$1295,ROW(INDIRECT("1:"&amp;K$2)))=0,ROW(INDIRECT("1:"&amp;K$2))),ROW($A55)),"")</f>
        <v>57</v>
      </c>
      <c r="BE98" s="117">
        <f t="array" aca="1" ref="BE98" ca="1">IFERROR(SMALL(IF(COUNTIF(Podcasts!$D$1301:'Podcasts'!$D$1356,ROW(INDIRECT("1:"&amp;K$2)))=0,ROW(INDIRECT("1:"&amp;K$2))),ROW($A55)),"")</f>
        <v>102</v>
      </c>
      <c r="BF98" s="117">
        <f t="array" aca="1" ref="BF98" ca="1">IFERROR(SMALL(IF(COUNTIF(Podcasts!$D$1362:'Podcasts'!$D$1364,ROW(INDIRECT("1:"&amp;K$2)))=0,ROW(INDIRECT("1:"&amp;K$2))),ROW($A55)),"")</f>
        <v>58</v>
      </c>
      <c r="BG98" s="202">
        <f t="array" aca="1" ref="BG98" ca="1">IFERROR(SMALL(IF(COUNTIF(Podcasts!$D$1370:'Podcasts'!$D$1419,ROW(INDIRECT("1:"&amp;K$2)))=0,ROW(INDIRECT("1:"&amp;K$2))),ROW($A55)),"")</f>
        <v>67</v>
      </c>
      <c r="BH98" s="202">
        <f t="array" aca="1" ref="BH98" ca="1">IFERROR(SMALL(IF(COUNTIF(Podcasts!$D$1425:'Podcasts'!$D$1446,ROW(INDIRECT("1:"&amp;K$2)))=0,ROW(INDIRECT("1:"&amp;K$2))),ROW($A55)),"")</f>
        <v>60</v>
      </c>
      <c r="BI98" s="202">
        <f t="array" aca="1" ref="BI98" ca="1">IFERROR(SMALL(IF(COUNTIF(Podcasts!$D$1452:'Podcasts'!$D$1574,ROW(INDIRECT("1:"&amp;K$2)))=0,ROW(INDIRECT("1:"&amp;K$2))),ROW($A55)),"")</f>
        <v>103</v>
      </c>
      <c r="BJ98" s="202">
        <f t="array" aca="1" ref="BJ98" ca="1">IFERROR(SMALL(IF(COUNTIF(Podcasts!$D$1580:'Podcasts'!$D$1705,ROW(INDIRECT("1:"&amp;K$2)))=0,ROW(INDIRECT("1:"&amp;K$2))),ROW($A55)),"")</f>
        <v>104</v>
      </c>
      <c r="BK98" s="202">
        <f t="array" aca="1" ref="BK98" ca="1">IFERROR(SMALL(IF(COUNTIF(Podcasts!$D$1711:'Podcasts'!$D$1833,ROW(INDIRECT("1:"&amp;K$2)))=0,ROW(INDIRECT("1:"&amp;K$2))),ROW($A55)),"")</f>
        <v>95</v>
      </c>
      <c r="BL98" s="202">
        <f t="array" aca="1" ref="BL98" ca="1">IFERROR(SMALL(IF(COUNTIF(Podcasts!$D$1839:'Podcasts'!$D$1855,ROW(INDIRECT("1:"&amp;K$2)))=0,ROW(INDIRECT("1:"&amp;K$2))),ROW($A55)),"")</f>
        <v>61</v>
      </c>
      <c r="BM98" s="567">
        <f t="array" aca="1" ref="BM98" ca="1">IFERROR(SMALL(IF(COUNTIF(Podcasts!$D$1861:'Podcasts'!$D$1994,ROW(INDIRECT("1:"&amp;K$2)))=0,ROW(INDIRECT("1:"&amp;K$2))),ROW($A55)),"")</f>
        <v>72</v>
      </c>
      <c r="BN98" s="567">
        <f t="array" aca="1" ref="BN98" ca="1">IFERROR(SMALL(IF(COUNTIF(Podcasts!$D$2000:'Podcasts'!$D$2057,ROW(INDIRECT("1:"&amp;K$2)))=0,ROW(INDIRECT("1:"&amp;K$2))),ROW($A55)),"")</f>
        <v>110</v>
      </c>
      <c r="BO98" s="567">
        <f t="array" aca="1" ref="BO98" ca="1">IFERROR(SMALL(IF(COUNTIF(Podcasts!$D$2063:'Podcasts'!$D$2071,ROW(INDIRECT("1:"&amp;K$2)))=0,ROW(INDIRECT("1:"&amp;K$2))),ROW($A55)),"")</f>
        <v>55</v>
      </c>
      <c r="BP98" s="202">
        <f t="array" aca="1" ref="BP98" ca="1">IFERROR(SMALL(IF(COUNTIF(Podcasts!$D$2077:'Podcasts'!$D$2092,ROW(INDIRECT("1:"&amp;K$2)))=0,ROW(INDIRECT("1:"&amp;K$2))),ROW($A55)),"")</f>
        <v>65</v>
      </c>
      <c r="BQ98" s="741">
        <f t="array" aca="1" ref="BQ98" ca="1">IFERROR(SMALL(IF(COUNTIF(Podcasts!$D$2098:'Podcasts'!$D$2114,ROW(INDIRECT("1:"&amp;K$2)))=0,ROW(INDIRECT("1:"&amp;K$2))),ROW($A55)),"")</f>
        <v>58</v>
      </c>
      <c r="BR98" s="744">
        <f t="array" aca="1" ref="BR98" ca="1">IFERROR(SMALL(IF(COUNTIF(Podcasts!$D$2120:'Podcasts'!$D$2124,ROW(INDIRECT("1:"&amp;K$2)))=0,ROW(INDIRECT("1:"&amp;K$2))),ROW($A55)),"")</f>
        <v>57</v>
      </c>
      <c r="BS98" s="28"/>
    </row>
    <row r="99" spans="1:71" outlineLevel="1">
      <c r="A99" s="28"/>
      <c r="B99" s="161">
        <v>56</v>
      </c>
      <c r="C99" s="161">
        <f>COUNTIF(Podcasts!$D$10:'Podcasts'!$D$2535,B99)</f>
        <v>6</v>
      </c>
      <c r="D99" s="158" t="s">
        <v>1084</v>
      </c>
      <c r="E99" s="156" t="str">
        <f t="array" ref="E99">IF(F99="","",INDEX(Podcasts!$J$10:'Podcasts'!$J$2535,MATCH(F99&amp;$B99,Podcasts!$E$10:'Podcasts'!$E$2535&amp;Podcasts!$D$10:'Podcasts'!$D$2535,0)))</f>
        <v>Fürst</v>
      </c>
      <c r="F99" s="131">
        <f t="array" ref="F99">IF(COUNTIF(Podcasts!$D$10:'Podcasts'!$D$2535,$B99)&lt;COLUMN(A62),"",SMALL(IF(Podcasts!$D$10:'Podcasts'!$D$2535=$B99,Podcasts!$E$10:'Podcasts'!$E$2535),COLUMN(A62)))</f>
        <v>42064</v>
      </c>
      <c r="G99" s="132">
        <f t="array" ref="G99">IF(F99="","",INDEX(Podcasts!$F$10:'Podcasts'!$F$2535,MATCH(F99&amp;$B99,Podcasts!$E$10:'Podcasts'!$E$2535&amp;Podcasts!$D$10:'Podcasts'!$D$2535,0)))</f>
        <v>2.1238425925925924E-2</v>
      </c>
      <c r="H99" s="136" t="str">
        <f t="array" ref="H99">IF(I99="","",INDEX(Podcasts!$J$10:'Podcasts'!$J$2535,MATCH(I99&amp;$B99,Podcasts!$E$10:'Podcasts'!$E$2535&amp;Podcasts!$D$10:'Podcasts'!$D$2535,0)))</f>
        <v>SSP</v>
      </c>
      <c r="I99" s="133">
        <f t="array" ref="I99">IF(COUNTIF(Podcasts!$D$10:'Podcasts'!$D$2535,$B99)&lt;COLUMN(B62),"",SMALL(IF(Podcasts!$D$10:'Podcasts'!$D$2535=$B99,Podcasts!$E$10:'Podcasts'!$E$2535),COLUMN(B62)))</f>
        <v>43874</v>
      </c>
      <c r="J99" s="132">
        <f t="array" ref="J99">IF(I99="","",INDEX(Podcasts!$F$10:'Podcasts'!$F$2535,MATCH(I99&amp;$B99,Podcasts!$E$10:'Podcasts'!$E$2535&amp;Podcasts!$D$10:'Podcasts'!$D$2535,0)))</f>
        <v>6.7685185185185182E-2</v>
      </c>
      <c r="K99" s="136" t="str">
        <f t="array" ref="K99">IF(L99="","",INDEX(Podcasts!$J$10:'Podcasts'!$J$2535,MATCH(L99&amp;$B99,Podcasts!$E$10:'Podcasts'!$E$2535&amp;Podcasts!$D$10:'Podcasts'!$D$2535,0)))</f>
        <v>Kuchen</v>
      </c>
      <c r="L99" s="133">
        <f t="array" ref="L99">IF(COUNTIF(Podcasts!$D$10:'Podcasts'!$D$2535,$B99)&lt;COLUMN(C62),"",SMALL(IF(Podcasts!$D$10:'Podcasts'!$D$2535=$B99,Podcasts!$E$10:'Podcasts'!$E$2535),COLUMN(C62)))</f>
        <v>44213</v>
      </c>
      <c r="M99" s="132">
        <f t="array" ref="M99">IF(L99="","",INDEX(Podcasts!$F$10:'Podcasts'!$F$2535,MATCH(L99&amp;$B99,Podcasts!$E$10:'Podcasts'!$E$2535&amp;Podcasts!$D$10:'Podcasts'!$D$2535,0)))</f>
        <v>4.1608796296296297E-2</v>
      </c>
      <c r="N99" s="136" t="str">
        <f t="array" ref="N99">IF(O99="","",INDEX(Podcasts!$J$10:'Podcasts'!$J$2535,MATCH(O99&amp;$B99,Podcasts!$E$10:'Podcasts'!$E$2535&amp;Podcasts!$D$10:'Podcasts'!$D$2535,0)))</f>
        <v>Zw3i</v>
      </c>
      <c r="O99" s="133">
        <f t="array" ref="O99">IF(COUNTIF(Podcasts!$D$10:'Podcasts'!$D$2535,$B99)&lt;COLUMN(D62),"",SMALL(IF(Podcasts!$D$10:'Podcasts'!$D$2535=$B99,Podcasts!$E$10:'Podcasts'!$E$2535),COLUMN(D62)))</f>
        <v>45016</v>
      </c>
      <c r="P99" s="132">
        <f t="array" ref="P99">IF(O99="","",INDEX(Podcasts!$F$10:'Podcasts'!$F$2535,MATCH(O99&amp;$B99,Podcasts!$E$10:'Podcasts'!$E$2535&amp;Podcasts!$D$10:'Podcasts'!$D$2535,0)))</f>
        <v>0.12472222222222222</v>
      </c>
      <c r="Q99" s="136" t="str">
        <f t="array" ref="Q99">IF(R99="","",INDEX(Podcasts!$J$10:'Podcasts'!$J$2535,MATCH(R99&amp;$B99,Podcasts!$E$10:'Podcasts'!$E$2535&amp;Podcasts!$D$10:'Podcasts'!$D$2535,0)))</f>
        <v>Rose</v>
      </c>
      <c r="R99" s="133">
        <f t="array" ref="R99">IF(COUNTIF(Podcasts!$D$10:'Podcasts'!$D$2535,$B99)&lt;COLUMN(E62),"",SMALL(IF(Podcasts!$D$10:'Podcasts'!$D$2535=$B99,Podcasts!$E$10:'Podcasts'!$E$2535),COLUMN(E62)))</f>
        <v>45284</v>
      </c>
      <c r="S99" s="132">
        <f t="array" ref="S99">IF(R99="","",INDEX(Podcasts!$F$10:'Podcasts'!$F$2535,MATCH(R99&amp;$B99,Podcasts!$E$10:'Podcasts'!$E$2535&amp;Podcasts!$D$10:'Podcasts'!$D$2535,0)))</f>
        <v>5.5509259259259258E-2</v>
      </c>
      <c r="T99" s="136" t="str">
        <f t="array" ref="T99">IF(U99="","",INDEX(Podcasts!$J$10:'Podcasts'!$J$2535,MATCH(U99&amp;$B99,Podcasts!$E$10:'Podcasts'!$E$2535&amp;Podcasts!$D$10:'Podcasts'!$D$2535,0)))</f>
        <v>RBW</v>
      </c>
      <c r="U99" s="133">
        <f t="array" ref="U99">IF(COUNTIF(Podcasts!$D$10:'Podcasts'!$D$2535,$B99)&lt;COLUMN(F62),"",SMALL(IF(Podcasts!$D$10:'Podcasts'!$D$2535=$B99,Podcasts!$E$10:'Podcasts'!$E$2535),COLUMN(F62)))</f>
        <v>45400</v>
      </c>
      <c r="V99" s="132">
        <f t="array" ref="V99">IF(U99="","",INDEX(Podcasts!$F$10:'Podcasts'!$F$2535,MATCH(U99&amp;$B99,Podcasts!$E$10:'Podcasts'!$E$2535&amp;Podcasts!$D$10:'Podcasts'!$D$2535,0)))</f>
        <v>3.5532407407407408E-2</v>
      </c>
      <c r="W99" s="136" t="str">
        <f t="array" ref="W99">IF(X99="","",INDEX(Podcasts!$J$10:'Podcasts'!$J$2535,MATCH(X99&amp;$B99,Podcasts!$E$10:'Podcasts'!$E$2535&amp;Podcasts!$D$10:'Podcasts'!$D$2535,0)))</f>
        <v/>
      </c>
      <c r="X99" s="133" t="str">
        <f t="array" ref="X99">IF(COUNTIF(Podcasts!$D$10:'Podcasts'!$D$2535,$B99)&lt;COLUMN(G62),"",SMALL(IF(Podcasts!$D$10:'Podcasts'!$D$2535=$B99,Podcasts!$E$10:'Podcasts'!$E$2535),COLUMN(G62)))</f>
        <v/>
      </c>
      <c r="Y99" s="132" t="str">
        <f t="array" ref="Y99">IF(X99="","",INDEX(Podcasts!$F$10:'Podcasts'!$F$2535,MATCH(X99&amp;$B99,Podcasts!$E$10:'Podcasts'!$E$2535&amp;Podcasts!$D$10:'Podcasts'!$D$2535,0)))</f>
        <v/>
      </c>
      <c r="Z99" s="136" t="str">
        <f t="array" ref="Z99">IF(AA99="","",INDEX(Podcasts!$J$10:'Podcasts'!$J$2535,MATCH(AA99&amp;$B99,Podcasts!$E$10:'Podcasts'!$E$2535&amp;Podcasts!$D$10:'Podcasts'!$D$2535,0)))</f>
        <v/>
      </c>
      <c r="AA99" s="134" t="str">
        <f t="array" ref="AA99">IF(COUNTIF(Podcasts!$D$10:'Podcasts'!$D$2535,$B99)&lt;COLUMN(H62),"",SMALL(IF(Podcasts!$D$10:'Podcasts'!$D$2535=$B99,Podcasts!$E$10:'Podcasts'!$E$2535),COLUMN(H62)))</f>
        <v/>
      </c>
      <c r="AB99" s="404" t="str">
        <f t="array" ref="AB99">IF(AA99="","",INDEX(Podcasts!$F$10:'Podcasts'!$F$2535,MATCH(AA99&amp;$B99,Podcasts!$E$10:'Podcasts'!$E$2535&amp;Podcasts!$D$10:'Podcasts'!$D$2535,0)))</f>
        <v/>
      </c>
      <c r="AC99" s="406" t="str">
        <f t="array" ref="AC99">IF(AD99="","",INDEX(Podcasts!$J$10:'Podcasts'!$J$2535,MATCH(AD99&amp;$B99,Podcasts!$E$10:'Podcasts'!$E$2535&amp;Podcasts!$D$10:'Podcasts'!$D$2535,0)))</f>
        <v/>
      </c>
      <c r="AD99" s="400" t="str">
        <f t="array" ref="AD99">IF(COUNTIF(Podcasts!$D$10:'Podcasts'!$D$2535,$B99)&lt;COLUMN(I62),"",SMALL(IF(Podcasts!$D$10:'Podcasts'!$D$2535=$B99,Podcasts!$E$10:'Podcasts'!$E$2535),COLUMN(I62)))</f>
        <v/>
      </c>
      <c r="AE99" s="401" t="str">
        <f t="array" ref="AE99">IF(AD99="","",INDEX(Podcasts!$F$10:'Podcasts'!$F$2535,MATCH(AD99&amp;$B99,Podcasts!$E$10:'Podcasts'!$E$2535&amp;Podcasts!$D$10:'Podcasts'!$D$2535,0)))</f>
        <v/>
      </c>
      <c r="AF99" s="406" t="str">
        <f t="array" ref="AF99">IF(AG99="","",INDEX(Podcasts!$J$10:'Podcasts'!$J$2535,MATCH(AG99&amp;$B99,Podcasts!$E$10:'Podcasts'!$E$2535&amp;Podcasts!$D$10:'Podcasts'!$D$2535,0)))</f>
        <v/>
      </c>
      <c r="AG99" s="400" t="str">
        <f t="array" ref="AG99">IF(COUNTIF(Podcasts!$D$10:'Podcasts'!$D$2535,$B99)&lt;COLUMN(J62),"",SMALL(IF(Podcasts!$D$10:'Podcasts'!$D$2535=$B99,Podcasts!$E$10:'Podcasts'!$E$2535),COLUMN(J62)))</f>
        <v/>
      </c>
      <c r="AH99" s="401" t="str">
        <f t="array" ref="AH99">IF(AG99="","",INDEX(Podcasts!$F$10:'Podcasts'!$F$2535,MATCH(AG99&amp;$B99,Podcasts!$E$10:'Podcasts'!$E$2535&amp;Podcasts!$D$10:'Podcasts'!$D$2535,0)))</f>
        <v/>
      </c>
      <c r="AI99" s="406" t="str">
        <f t="array" ref="AI99">IF(AJ99="","",INDEX(Podcasts!$J$10:'Podcasts'!$J$2535,MATCH(AJ99&amp;$B99,Podcasts!$E$10:'Podcasts'!$E$2535&amp;Podcasts!$D$10:'Podcasts'!$D$2535,0)))</f>
        <v/>
      </c>
      <c r="AJ99" s="400" t="str">
        <f t="array" ref="AJ99">IF(COUNTIF(Podcasts!$D$10:'Podcasts'!$D$2535,$B99)&lt;COLUMN(K62),"",SMALL(IF(Podcasts!$D$10:'Podcasts'!$D$2535=$B99,Podcasts!$E$10:'Podcasts'!$E$2535),COLUMN(K62)))</f>
        <v/>
      </c>
      <c r="AK99" s="401" t="str">
        <f t="array" ref="AK99">IF(AJ99="","",INDEX(Podcasts!$F$10:'Podcasts'!$F$2535,MATCH(AJ99&amp;$B99,Podcasts!$E$10:'Podcasts'!$E$2535&amp;Podcasts!$D$10:'Podcasts'!$D$2535,0)))</f>
        <v/>
      </c>
      <c r="AL99" s="406" t="str">
        <f t="array" ref="AL99">IF(AM99="","",INDEX(Podcasts!$J$10:'Podcasts'!$J$2535,MATCH(AM99&amp;$B99,Podcasts!$E$10:'Podcasts'!$E$2535&amp;Podcasts!$D$10:'Podcasts'!$D$2535,0)))</f>
        <v/>
      </c>
      <c r="AM99" s="400" t="str">
        <f t="array" ref="AM99">IF(COUNTIF(Podcasts!$D$10:'Podcasts'!$D$2535,$B99)&lt;COLUMN(L62),"",SMALL(IF(Podcasts!$D$10:'Podcasts'!$D$2535=$B99,Podcasts!$E$10:'Podcasts'!$E$2535),COLUMN(L62)))</f>
        <v/>
      </c>
      <c r="AN99" s="401" t="str">
        <f t="array" ref="AN99">IF(AM99="","",INDEX(Podcasts!$F$10:'Podcasts'!$F$2535,MATCH(AM99&amp;$B99,Podcasts!$E$10:'Podcasts'!$E$2535&amp;Podcasts!$D$10:'Podcasts'!$D$2535,0)))</f>
        <v/>
      </c>
      <c r="AO99" s="402"/>
      <c r="AP99" s="119"/>
      <c r="AQ99" s="117">
        <f t="array" aca="1" ref="AQ99" ca="1">IFERROR(SMALL(IF(COUNTIF(Podcasts!$D$10:'Podcasts'!$D$107,ROW(INDIRECT("1:"&amp;K$2)))=0,ROW(INDIRECT("1:"&amp;K$2))),ROW($A56)),"")</f>
        <v>78</v>
      </c>
      <c r="AR99" s="117">
        <f t="array" aca="1" ref="AR99" ca="1">IFERROR(SMALL(IF(COUNTIF(Podcasts!$D$113:'Podcasts'!$D$238,ROW(INDIRECT("1:"&amp;K$2)))=0,ROW(INDIRECT("1:"&amp;K$2))),ROW($A56)),"")</f>
        <v>56</v>
      </c>
      <c r="AS99" s="117">
        <f t="array" aca="1" ref="AS99" ca="1">IFERROR(SMALL(IF(COUNTIF(Podcasts!$D$244:'Podcasts'!$D$299,ROW(INDIRECT("1:"&amp;K$2)))=0,ROW(INDIRECT("1:"&amp;K$2))),ROW($A56)),"")</f>
        <v>72</v>
      </c>
      <c r="AT99" s="117">
        <f t="array" aca="1" ref="AT99" ca="1">IFERROR(SMALL(IF(COUNTIF(Podcasts!$D$305:'Podcasts'!$D$473,ROW(INDIRECT("1:"&amp;K$2)))=0,ROW(INDIRECT("1:"&amp;K$2))),ROW($A56)),"")</f>
        <v>191</v>
      </c>
      <c r="AU99" s="117">
        <f t="array" aca="1" ref="AU99" ca="1">IFERROR(SMALL(IF(COUNTIF(Podcasts!$D$479:'Podcasts'!$D$488,ROW(INDIRECT("1:"&amp;K$2)))=0,ROW(INDIRECT("1:"&amp;K$2))),ROW($A56)),"")</f>
        <v>56</v>
      </c>
      <c r="AV99" s="117">
        <f t="array" aca="1" ref="AV99" ca="1">IFERROR(SMALL(IF(COUNTIF(Podcasts!$D$494:'Podcasts'!$D$518,ROW(INDIRECT("1:"&amp;K$2)))=0,ROW(INDIRECT("1:"&amp;K$2))),ROW($A56)),"")</f>
        <v>73</v>
      </c>
      <c r="AW99" s="117">
        <f t="array" aca="1" ref="AW99" ca="1">IFERROR(SMALL(IF(COUNTIF(Podcasts!$D$524:'Podcasts'!$D$532,ROW(INDIRECT("1:"&amp;K$2)))=0,ROW(INDIRECT("1:"&amp;K$2))),ROW($A56)),"")</f>
        <v>56</v>
      </c>
      <c r="AX99" s="117">
        <f t="array" aca="1" ref="AX99" ca="1">IFERROR(SMALL(IF(COUNTIF(Podcasts!$D$538:'Podcasts'!$D$909,ROW(INDIRECT("1:"&amp;K$2)))=0,ROW(INDIRECT("1:"&amp;K$2))),ROW($A56)),"")</f>
        <v>162</v>
      </c>
      <c r="AY99" s="117">
        <f t="array" aca="1" ref="AY99" ca="1">IFERROR(SMALL(IF(COUNTIF(Podcasts!$D$915:'Podcasts'!$D$981,ROW(INDIRECT("1:"&amp;K$2)))=0,ROW(INDIRECT("1:"&amp;K$2))),ROW($A56)),"")</f>
        <v>88</v>
      </c>
      <c r="AZ99" s="445"/>
      <c r="BA99" s="117">
        <f t="array" aca="1" ref="BA99" ca="1">IFERROR(SMALL(IF(COUNTIF(Podcasts!$D$1001:'Podcasts'!$D$1251,ROW(INDIRECT("1:"&amp;K$2)))=0,ROW(INDIRECT("1:"&amp;K$2))),ROW($A56)),"")</f>
        <v>91</v>
      </c>
      <c r="BB99" s="117">
        <f t="array" aca="1" ref="BB99" ca="1">IFERROR(SMALL(IF(COUNTIF(Podcasts!$D$1257:'Podcasts'!$D$1267,ROW(INDIRECT("1:"&amp;K$2)))=0,ROW(INDIRECT("1:"&amp;K$2))),ROW($A56)),"")</f>
        <v>57</v>
      </c>
      <c r="BC99" s="117">
        <f t="array" aca="1" ref="BC99" ca="1">IFERROR(SMALL(IF(COUNTIF(Podcasts!$D$1273:'Podcasts'!$D$1283,ROW(INDIRECT("1:"&amp;K$2)))=0,ROW(INDIRECT("1:"&amp;K$2))),ROW($A56)),"")</f>
        <v>60</v>
      </c>
      <c r="BD99" s="117">
        <f t="array" aca="1" ref="BD99" ca="1">IFERROR(SMALL(IF(COUNTIF(Podcasts!$D$1289:'Podcasts'!$D$1295,ROW(INDIRECT("1:"&amp;K$2)))=0,ROW(INDIRECT("1:"&amp;K$2))),ROW($A56)),"")</f>
        <v>58</v>
      </c>
      <c r="BE99" s="117">
        <f t="array" aca="1" ref="BE99" ca="1">IFERROR(SMALL(IF(COUNTIF(Podcasts!$D$1301:'Podcasts'!$D$1356,ROW(INDIRECT("1:"&amp;K$2)))=0,ROW(INDIRECT("1:"&amp;K$2))),ROW($A56)),"")</f>
        <v>103</v>
      </c>
      <c r="BF99" s="117">
        <f t="array" aca="1" ref="BF99" ca="1">IFERROR(SMALL(IF(COUNTIF(Podcasts!$D$1362:'Podcasts'!$D$1364,ROW(INDIRECT("1:"&amp;K$2)))=0,ROW(INDIRECT("1:"&amp;K$2))),ROW($A56)),"")</f>
        <v>59</v>
      </c>
      <c r="BG99" s="202">
        <f t="array" aca="1" ref="BG99" ca="1">IFERROR(SMALL(IF(COUNTIF(Podcasts!$D$1370:'Podcasts'!$D$1419,ROW(INDIRECT("1:"&amp;K$2)))=0,ROW(INDIRECT("1:"&amp;K$2))),ROW($A56)),"")</f>
        <v>68</v>
      </c>
      <c r="BH99" s="202">
        <f t="array" aca="1" ref="BH99" ca="1">IFERROR(SMALL(IF(COUNTIF(Podcasts!$D$1425:'Podcasts'!$D$1446,ROW(INDIRECT("1:"&amp;K$2)))=0,ROW(INDIRECT("1:"&amp;K$2))),ROW($A56)),"")</f>
        <v>61</v>
      </c>
      <c r="BI99" s="202">
        <f t="array" aca="1" ref="BI99" ca="1">IFERROR(SMALL(IF(COUNTIF(Podcasts!$D$1452:'Podcasts'!$D$1574,ROW(INDIRECT("1:"&amp;K$2)))=0,ROW(INDIRECT("1:"&amp;K$2))),ROW($A56)),"")</f>
        <v>105</v>
      </c>
      <c r="BJ99" s="202">
        <f t="array" aca="1" ref="BJ99" ca="1">IFERROR(SMALL(IF(COUNTIF(Podcasts!$D$1580:'Podcasts'!$D$1705,ROW(INDIRECT("1:"&amp;K$2)))=0,ROW(INDIRECT("1:"&amp;K$2))),ROW($A56)),"")</f>
        <v>105</v>
      </c>
      <c r="BK99" s="202">
        <f t="array" aca="1" ref="BK99" ca="1">IFERROR(SMALL(IF(COUNTIF(Podcasts!$D$1711:'Podcasts'!$D$1833,ROW(INDIRECT("1:"&amp;K$2)))=0,ROW(INDIRECT("1:"&amp;K$2))),ROW($A56)),"")</f>
        <v>96</v>
      </c>
      <c r="BL99" s="202">
        <f t="array" aca="1" ref="BL99" ca="1">IFERROR(SMALL(IF(COUNTIF(Podcasts!$D$1839:'Podcasts'!$D$1855,ROW(INDIRECT("1:"&amp;K$2)))=0,ROW(INDIRECT("1:"&amp;K$2))),ROW($A56)),"")</f>
        <v>62</v>
      </c>
      <c r="BM99" s="567">
        <f t="array" aca="1" ref="BM99" ca="1">IFERROR(SMALL(IF(COUNTIF(Podcasts!$D$1861:'Podcasts'!$D$1994,ROW(INDIRECT("1:"&amp;K$2)))=0,ROW(INDIRECT("1:"&amp;K$2))),ROW($A56)),"")</f>
        <v>74</v>
      </c>
      <c r="BN99" s="567">
        <f t="array" aca="1" ref="BN99" ca="1">IFERROR(SMALL(IF(COUNTIF(Podcasts!$D$2000:'Podcasts'!$D$2057,ROW(INDIRECT("1:"&amp;K$2)))=0,ROW(INDIRECT("1:"&amp;K$2))),ROW($A56)),"")</f>
        <v>111</v>
      </c>
      <c r="BO99" s="567">
        <f t="array" aca="1" ref="BO99" ca="1">IFERROR(SMALL(IF(COUNTIF(Podcasts!$D$2063:'Podcasts'!$D$2071,ROW(INDIRECT("1:"&amp;K$2)))=0,ROW(INDIRECT("1:"&amp;K$2))),ROW($A56)),"")</f>
        <v>56</v>
      </c>
      <c r="BP99" s="202">
        <f t="array" aca="1" ref="BP99" ca="1">IFERROR(SMALL(IF(COUNTIF(Podcasts!$D$2077:'Podcasts'!$D$2092,ROW(INDIRECT("1:"&amp;K$2)))=0,ROW(INDIRECT("1:"&amp;K$2))),ROW($A56)),"")</f>
        <v>66</v>
      </c>
      <c r="BQ99" s="741">
        <f t="array" aca="1" ref="BQ99" ca="1">IFERROR(SMALL(IF(COUNTIF(Podcasts!$D$2098:'Podcasts'!$D$2114,ROW(INDIRECT("1:"&amp;K$2)))=0,ROW(INDIRECT("1:"&amp;K$2))),ROW($A56)),"")</f>
        <v>59</v>
      </c>
      <c r="BR99" s="744">
        <f t="array" aca="1" ref="BR99" ca="1">IFERROR(SMALL(IF(COUNTIF(Podcasts!$D$2120:'Podcasts'!$D$2124,ROW(INDIRECT("1:"&amp;K$2)))=0,ROW(INDIRECT("1:"&amp;K$2))),ROW($A56)),"")</f>
        <v>58</v>
      </c>
      <c r="BS99" s="28"/>
    </row>
    <row r="100" spans="1:71" outlineLevel="1">
      <c r="A100" s="28"/>
      <c r="B100" s="161">
        <v>57</v>
      </c>
      <c r="C100" s="161">
        <f>COUNTIF(Podcasts!$D$10:'Podcasts'!$D$2535,B100)</f>
        <v>2</v>
      </c>
      <c r="D100" s="158" t="s">
        <v>1085</v>
      </c>
      <c r="E100" s="156" t="str">
        <f t="array" ref="E100">IF(F100="","",INDEX(Podcasts!$J$10:'Podcasts'!$J$2535,MATCH(F100&amp;$B100,Podcasts!$E$10:'Podcasts'!$E$2535&amp;Podcasts!$D$10:'Podcasts'!$D$2535,0)))</f>
        <v>Fürst</v>
      </c>
      <c r="F100" s="131">
        <f t="array" ref="F100">IF(COUNTIF(Podcasts!$D$10:'Podcasts'!$D$2535,$B100)&lt;COLUMN(A63),"",SMALL(IF(Podcasts!$D$10:'Podcasts'!$D$2535=$B100,Podcasts!$E$10:'Podcasts'!$E$2535),COLUMN(A63)))</f>
        <v>41959</v>
      </c>
      <c r="G100" s="132">
        <f t="array" ref="G100">IF(F100="","",INDEX(Podcasts!$F$10:'Podcasts'!$F$2535,MATCH(F100&amp;$B100,Podcasts!$E$10:'Podcasts'!$E$2535&amp;Podcasts!$D$10:'Podcasts'!$D$2535,0)))</f>
        <v>7.5810185185185182E-3</v>
      </c>
      <c r="H100" s="136" t="str">
        <f t="array" ref="H100">IF(I100="","",INDEX(Podcasts!$J$10:'Podcasts'!$J$2535,MATCH(I100&amp;$B100,Podcasts!$E$10:'Podcasts'!$E$2535&amp;Podcasts!$D$10:'Podcasts'!$D$2535,0)))</f>
        <v>SSP</v>
      </c>
      <c r="I100" s="133">
        <f t="array" ref="I100">IF(COUNTIF(Podcasts!$D$10:'Podcasts'!$D$2535,$B100)&lt;COLUMN(B63),"",SMALL(IF(Podcasts!$D$10:'Podcasts'!$D$2535=$B100,Podcasts!$E$10:'Podcasts'!$E$2535),COLUMN(B63)))</f>
        <v>44817</v>
      </c>
      <c r="J100" s="132">
        <f t="array" ref="J100">IF(I100="","",INDEX(Podcasts!$F$10:'Podcasts'!$F$2535,MATCH(I100&amp;$B100,Podcasts!$E$10:'Podcasts'!$E$2535&amp;Podcasts!$D$10:'Podcasts'!$D$2535,0)))</f>
        <v>0.1038425925925926</v>
      </c>
      <c r="K100" s="136" t="str">
        <f t="array" ref="K100">IF(L100="","",INDEX(Podcasts!$J$10:'Podcasts'!$J$2535,MATCH(L100&amp;$B100,Podcasts!$E$10:'Podcasts'!$E$2535&amp;Podcasts!$D$10:'Podcasts'!$D$2535,0)))</f>
        <v/>
      </c>
      <c r="L100" s="133" t="str">
        <f t="array" ref="L100">IF(COUNTIF(Podcasts!$D$10:'Podcasts'!$D$2535,$B100)&lt;COLUMN(C63),"",SMALL(IF(Podcasts!$D$10:'Podcasts'!$D$2535=$B100,Podcasts!$E$10:'Podcasts'!$E$2535),COLUMN(C63)))</f>
        <v/>
      </c>
      <c r="M100" s="132" t="str">
        <f t="array" ref="M100">IF(L100="","",INDEX(Podcasts!$F$10:'Podcasts'!$F$2535,MATCH(L100&amp;$B100,Podcasts!$E$10:'Podcasts'!$E$2535&amp;Podcasts!$D$10:'Podcasts'!$D$2535,0)))</f>
        <v/>
      </c>
      <c r="N100" s="136" t="str">
        <f t="array" ref="N100">IF(O100="","",INDEX(Podcasts!$J$10:'Podcasts'!$J$2535,MATCH(O100&amp;$B100,Podcasts!$E$10:'Podcasts'!$E$2535&amp;Podcasts!$D$10:'Podcasts'!$D$2535,0)))</f>
        <v/>
      </c>
      <c r="O100" s="133" t="str">
        <f t="array" ref="O100">IF(COUNTIF(Podcasts!$D$10:'Podcasts'!$D$2535,$B100)&lt;COLUMN(D63),"",SMALL(IF(Podcasts!$D$10:'Podcasts'!$D$2535=$B100,Podcasts!$E$10:'Podcasts'!$E$2535),COLUMN(D63)))</f>
        <v/>
      </c>
      <c r="P100" s="132" t="str">
        <f t="array" ref="P100">IF(O100="","",INDEX(Podcasts!$F$10:'Podcasts'!$F$2535,MATCH(O100&amp;$B100,Podcasts!$E$10:'Podcasts'!$E$2535&amp;Podcasts!$D$10:'Podcasts'!$D$2535,0)))</f>
        <v/>
      </c>
      <c r="Q100" s="136" t="str">
        <f t="array" ref="Q100">IF(R100="","",INDEX(Podcasts!$J$10:'Podcasts'!$J$2535,MATCH(R100&amp;$B100,Podcasts!$E$10:'Podcasts'!$E$2535&amp;Podcasts!$D$10:'Podcasts'!$D$2535,0)))</f>
        <v/>
      </c>
      <c r="R100" s="133" t="str">
        <f t="array" ref="R100">IF(COUNTIF(Podcasts!$D$10:'Podcasts'!$D$2535,$B100)&lt;COLUMN(E63),"",SMALL(IF(Podcasts!$D$10:'Podcasts'!$D$2535=$B100,Podcasts!$E$10:'Podcasts'!$E$2535),COLUMN(E63)))</f>
        <v/>
      </c>
      <c r="S100" s="132" t="str">
        <f t="array" ref="S100">IF(R100="","",INDEX(Podcasts!$F$10:'Podcasts'!$F$2535,MATCH(R100&amp;$B100,Podcasts!$E$10:'Podcasts'!$E$2535&amp;Podcasts!$D$10:'Podcasts'!$D$2535,0)))</f>
        <v/>
      </c>
      <c r="T100" s="136" t="str">
        <f t="array" ref="T100">IF(U100="","",INDEX(Podcasts!$J$10:'Podcasts'!$J$2535,MATCH(U100&amp;$B100,Podcasts!$E$10:'Podcasts'!$E$2535&amp;Podcasts!$D$10:'Podcasts'!$D$2535,0)))</f>
        <v/>
      </c>
      <c r="U100" s="133" t="str">
        <f t="array" ref="U100">IF(COUNTIF(Podcasts!$D$10:'Podcasts'!$D$2535,$B100)&lt;COLUMN(F63),"",SMALL(IF(Podcasts!$D$10:'Podcasts'!$D$2535=$B100,Podcasts!$E$10:'Podcasts'!$E$2535),COLUMN(F63)))</f>
        <v/>
      </c>
      <c r="V100" s="132" t="str">
        <f t="array" ref="V100">IF(U100="","",INDEX(Podcasts!$F$10:'Podcasts'!$F$2535,MATCH(U100&amp;$B100,Podcasts!$E$10:'Podcasts'!$E$2535&amp;Podcasts!$D$10:'Podcasts'!$D$2535,0)))</f>
        <v/>
      </c>
      <c r="W100" s="136" t="str">
        <f t="array" ref="W100">IF(X100="","",INDEX(Podcasts!$J$10:'Podcasts'!$J$2535,MATCH(X100&amp;$B100,Podcasts!$E$10:'Podcasts'!$E$2535&amp;Podcasts!$D$10:'Podcasts'!$D$2535,0)))</f>
        <v/>
      </c>
      <c r="X100" s="133" t="str">
        <f t="array" ref="X100">IF(COUNTIF(Podcasts!$D$10:'Podcasts'!$D$2535,$B100)&lt;COLUMN(G63),"",SMALL(IF(Podcasts!$D$10:'Podcasts'!$D$2535=$B100,Podcasts!$E$10:'Podcasts'!$E$2535),COLUMN(G63)))</f>
        <v/>
      </c>
      <c r="Y100" s="132" t="str">
        <f t="array" ref="Y100">IF(X100="","",INDEX(Podcasts!$F$10:'Podcasts'!$F$2535,MATCH(X100&amp;$B100,Podcasts!$E$10:'Podcasts'!$E$2535&amp;Podcasts!$D$10:'Podcasts'!$D$2535,0)))</f>
        <v/>
      </c>
      <c r="Z100" s="136" t="str">
        <f t="array" ref="Z100">IF(AA100="","",INDEX(Podcasts!$J$10:'Podcasts'!$J$2535,MATCH(AA100&amp;$B100,Podcasts!$E$10:'Podcasts'!$E$2535&amp;Podcasts!$D$10:'Podcasts'!$D$2535,0)))</f>
        <v/>
      </c>
      <c r="AA100" s="134" t="str">
        <f t="array" ref="AA100">IF(COUNTIF(Podcasts!$D$10:'Podcasts'!$D$2535,$B100)&lt;COLUMN(H63),"",SMALL(IF(Podcasts!$D$10:'Podcasts'!$D$2535=$B100,Podcasts!$E$10:'Podcasts'!$E$2535),COLUMN(H63)))</f>
        <v/>
      </c>
      <c r="AB100" s="404" t="str">
        <f t="array" ref="AB100">IF(AA100="","",INDEX(Podcasts!$F$10:'Podcasts'!$F$2535,MATCH(AA100&amp;$B100,Podcasts!$E$10:'Podcasts'!$E$2535&amp;Podcasts!$D$10:'Podcasts'!$D$2535,0)))</f>
        <v/>
      </c>
      <c r="AC100" s="406" t="str">
        <f t="array" ref="AC100">IF(AD100="","",INDEX(Podcasts!$J$10:'Podcasts'!$J$2535,MATCH(AD100&amp;$B100,Podcasts!$E$10:'Podcasts'!$E$2535&amp;Podcasts!$D$10:'Podcasts'!$D$2535,0)))</f>
        <v/>
      </c>
      <c r="AD100" s="400" t="str">
        <f t="array" ref="AD100">IF(COUNTIF(Podcasts!$D$10:'Podcasts'!$D$2535,$B100)&lt;COLUMN(I63),"",SMALL(IF(Podcasts!$D$10:'Podcasts'!$D$2535=$B100,Podcasts!$E$10:'Podcasts'!$E$2535),COLUMN(I63)))</f>
        <v/>
      </c>
      <c r="AE100" s="401" t="str">
        <f t="array" ref="AE100">IF(AD100="","",INDEX(Podcasts!$F$10:'Podcasts'!$F$2535,MATCH(AD100&amp;$B100,Podcasts!$E$10:'Podcasts'!$E$2535&amp;Podcasts!$D$10:'Podcasts'!$D$2535,0)))</f>
        <v/>
      </c>
      <c r="AF100" s="406" t="str">
        <f t="array" ref="AF100">IF(AG100="","",INDEX(Podcasts!$J$10:'Podcasts'!$J$2535,MATCH(AG100&amp;$B100,Podcasts!$E$10:'Podcasts'!$E$2535&amp;Podcasts!$D$10:'Podcasts'!$D$2535,0)))</f>
        <v/>
      </c>
      <c r="AG100" s="400" t="str">
        <f t="array" ref="AG100">IF(COUNTIF(Podcasts!$D$10:'Podcasts'!$D$2535,$B100)&lt;COLUMN(J63),"",SMALL(IF(Podcasts!$D$10:'Podcasts'!$D$2535=$B100,Podcasts!$E$10:'Podcasts'!$E$2535),COLUMN(J63)))</f>
        <v/>
      </c>
      <c r="AH100" s="401" t="str">
        <f t="array" ref="AH100">IF(AG100="","",INDEX(Podcasts!$F$10:'Podcasts'!$F$2535,MATCH(AG100&amp;$B100,Podcasts!$E$10:'Podcasts'!$E$2535&amp;Podcasts!$D$10:'Podcasts'!$D$2535,0)))</f>
        <v/>
      </c>
      <c r="AI100" s="406" t="str">
        <f t="array" ref="AI100">IF(AJ100="","",INDEX(Podcasts!$J$10:'Podcasts'!$J$2535,MATCH(AJ100&amp;$B100,Podcasts!$E$10:'Podcasts'!$E$2535&amp;Podcasts!$D$10:'Podcasts'!$D$2535,0)))</f>
        <v/>
      </c>
      <c r="AJ100" s="400" t="str">
        <f t="array" ref="AJ100">IF(COUNTIF(Podcasts!$D$10:'Podcasts'!$D$2535,$B100)&lt;COLUMN(K63),"",SMALL(IF(Podcasts!$D$10:'Podcasts'!$D$2535=$B100,Podcasts!$E$10:'Podcasts'!$E$2535),COLUMN(K63)))</f>
        <v/>
      </c>
      <c r="AK100" s="401" t="str">
        <f t="array" ref="AK100">IF(AJ100="","",INDEX(Podcasts!$F$10:'Podcasts'!$F$2535,MATCH(AJ100&amp;$B100,Podcasts!$E$10:'Podcasts'!$E$2535&amp;Podcasts!$D$10:'Podcasts'!$D$2535,0)))</f>
        <v/>
      </c>
      <c r="AL100" s="406" t="str">
        <f t="array" ref="AL100">IF(AM100="","",INDEX(Podcasts!$J$10:'Podcasts'!$J$2535,MATCH(AM100&amp;$B100,Podcasts!$E$10:'Podcasts'!$E$2535&amp;Podcasts!$D$10:'Podcasts'!$D$2535,0)))</f>
        <v/>
      </c>
      <c r="AM100" s="400" t="str">
        <f t="array" ref="AM100">IF(COUNTIF(Podcasts!$D$10:'Podcasts'!$D$2535,$B100)&lt;COLUMN(L63),"",SMALL(IF(Podcasts!$D$10:'Podcasts'!$D$2535=$B100,Podcasts!$E$10:'Podcasts'!$E$2535),COLUMN(L63)))</f>
        <v/>
      </c>
      <c r="AN100" s="401" t="str">
        <f t="array" ref="AN100">IF(AM100="","",INDEX(Podcasts!$F$10:'Podcasts'!$F$2535,MATCH(AM100&amp;$B100,Podcasts!$E$10:'Podcasts'!$E$2535&amp;Podcasts!$D$10:'Podcasts'!$D$2535,0)))</f>
        <v/>
      </c>
      <c r="AO100" s="402"/>
      <c r="AP100" s="119"/>
      <c r="AQ100" s="117">
        <f t="array" aca="1" ref="AQ100" ca="1">IFERROR(SMALL(IF(COUNTIF(Podcasts!$D$10:'Podcasts'!$D$107,ROW(INDIRECT("1:"&amp;K$2)))=0,ROW(INDIRECT("1:"&amp;K$2))),ROW($A57)),"")</f>
        <v>79</v>
      </c>
      <c r="AR100" s="117">
        <f t="array" aca="1" ref="AR100" ca="1">IFERROR(SMALL(IF(COUNTIF(Podcasts!$D$113:'Podcasts'!$D$238,ROW(INDIRECT("1:"&amp;K$2)))=0,ROW(INDIRECT("1:"&amp;K$2))),ROW($A57)),"")</f>
        <v>57</v>
      </c>
      <c r="AS100" s="117">
        <f t="array" aca="1" ref="AS100" ca="1">IFERROR(SMALL(IF(COUNTIF(Podcasts!$D$244:'Podcasts'!$D$299,ROW(INDIRECT("1:"&amp;K$2)))=0,ROW(INDIRECT("1:"&amp;K$2))),ROW($A57)),"")</f>
        <v>73</v>
      </c>
      <c r="AT100" s="117">
        <f t="array" aca="1" ref="AT100" ca="1">IFERROR(SMALL(IF(COUNTIF(Podcasts!$D$305:'Podcasts'!$D$473,ROW(INDIRECT("1:"&amp;K$2)))=0,ROW(INDIRECT("1:"&amp;K$2))),ROW($A57)),"")</f>
        <v>192</v>
      </c>
      <c r="AU100" s="117">
        <f t="array" aca="1" ref="AU100" ca="1">IFERROR(SMALL(IF(COUNTIF(Podcasts!$D$479:'Podcasts'!$D$488,ROW(INDIRECT("1:"&amp;K$2)))=0,ROW(INDIRECT("1:"&amp;K$2))),ROW($A57)),"")</f>
        <v>57</v>
      </c>
      <c r="AV100" s="117">
        <f t="array" aca="1" ref="AV100" ca="1">IFERROR(SMALL(IF(COUNTIF(Podcasts!$D$494:'Podcasts'!$D$518,ROW(INDIRECT("1:"&amp;K$2)))=0,ROW(INDIRECT("1:"&amp;K$2))),ROW($A57)),"")</f>
        <v>74</v>
      </c>
      <c r="AW100" s="117">
        <f t="array" aca="1" ref="AW100" ca="1">IFERROR(SMALL(IF(COUNTIF(Podcasts!$D$524:'Podcasts'!$D$532,ROW(INDIRECT("1:"&amp;K$2)))=0,ROW(INDIRECT("1:"&amp;K$2))),ROW($A57)),"")</f>
        <v>57</v>
      </c>
      <c r="AX100" s="117">
        <f t="array" aca="1" ref="AX100" ca="1">IFERROR(SMALL(IF(COUNTIF(Podcasts!$D$538:'Podcasts'!$D$909,ROW(INDIRECT("1:"&amp;K$2)))=0,ROW(INDIRECT("1:"&amp;K$2))),ROW($A57)),"")</f>
        <v>163</v>
      </c>
      <c r="AY100" s="117">
        <f t="array" aca="1" ref="AY100" ca="1">IFERROR(SMALL(IF(COUNTIF(Podcasts!$D$915:'Podcasts'!$D$981,ROW(INDIRECT("1:"&amp;K$2)))=0,ROW(INDIRECT("1:"&amp;K$2))),ROW($A57)),"")</f>
        <v>90</v>
      </c>
      <c r="AZ100" s="445"/>
      <c r="BA100" s="117">
        <f t="array" aca="1" ref="BA100" ca="1">IFERROR(SMALL(IF(COUNTIF(Podcasts!$D$1001:'Podcasts'!$D$1251,ROW(INDIRECT("1:"&amp;K$2)))=0,ROW(INDIRECT("1:"&amp;K$2))),ROW($A57)),"")</f>
        <v>94</v>
      </c>
      <c r="BB100" s="117">
        <f t="array" aca="1" ref="BB100" ca="1">IFERROR(SMALL(IF(COUNTIF(Podcasts!$D$1257:'Podcasts'!$D$1267,ROW(INDIRECT("1:"&amp;K$2)))=0,ROW(INDIRECT("1:"&amp;K$2))),ROW($A57)),"")</f>
        <v>58</v>
      </c>
      <c r="BC100" s="117">
        <f t="array" aca="1" ref="BC100" ca="1">IFERROR(SMALL(IF(COUNTIF(Podcasts!$D$1273:'Podcasts'!$D$1283,ROW(INDIRECT("1:"&amp;K$2)))=0,ROW(INDIRECT("1:"&amp;K$2))),ROW($A57)),"")</f>
        <v>61</v>
      </c>
      <c r="BD100" s="117">
        <f t="array" aca="1" ref="BD100" ca="1">IFERROR(SMALL(IF(COUNTIF(Podcasts!$D$1289:'Podcasts'!$D$1295,ROW(INDIRECT("1:"&amp;K$2)))=0,ROW(INDIRECT("1:"&amp;K$2))),ROW($A57)),"")</f>
        <v>59</v>
      </c>
      <c r="BE100" s="117">
        <f t="array" aca="1" ref="BE100" ca="1">IFERROR(SMALL(IF(COUNTIF(Podcasts!$D$1301:'Podcasts'!$D$1356,ROW(INDIRECT("1:"&amp;K$2)))=0,ROW(INDIRECT("1:"&amp;K$2))),ROW($A57)),"")</f>
        <v>104</v>
      </c>
      <c r="BF100" s="117">
        <f t="array" aca="1" ref="BF100" ca="1">IFERROR(SMALL(IF(COUNTIF(Podcasts!$D$1362:'Podcasts'!$D$1364,ROW(INDIRECT("1:"&amp;K$2)))=0,ROW(INDIRECT("1:"&amp;K$2))),ROW($A57)),"")</f>
        <v>60</v>
      </c>
      <c r="BG100" s="202">
        <f t="array" aca="1" ref="BG100" ca="1">IFERROR(SMALL(IF(COUNTIF(Podcasts!$D$1370:'Podcasts'!$D$1419,ROW(INDIRECT("1:"&amp;K$2)))=0,ROW(INDIRECT("1:"&amp;K$2))),ROW($A57)),"")</f>
        <v>69</v>
      </c>
      <c r="BH100" s="202">
        <f t="array" aca="1" ref="BH100" ca="1">IFERROR(SMALL(IF(COUNTIF(Podcasts!$D$1425:'Podcasts'!$D$1446,ROW(INDIRECT("1:"&amp;K$2)))=0,ROW(INDIRECT("1:"&amp;K$2))),ROW($A57)),"")</f>
        <v>62</v>
      </c>
      <c r="BI100" s="202">
        <f t="array" aca="1" ref="BI100" ca="1">IFERROR(SMALL(IF(COUNTIF(Podcasts!$D$1452:'Podcasts'!$D$1574,ROW(INDIRECT("1:"&amp;K$2)))=0,ROW(INDIRECT("1:"&amp;K$2))),ROW($A57)),"")</f>
        <v>106</v>
      </c>
      <c r="BJ100" s="202">
        <f t="array" aca="1" ref="BJ100" ca="1">IFERROR(SMALL(IF(COUNTIF(Podcasts!$D$1580:'Podcasts'!$D$1705,ROW(INDIRECT("1:"&amp;K$2)))=0,ROW(INDIRECT("1:"&amp;K$2))),ROW($A57)),"")</f>
        <v>108</v>
      </c>
      <c r="BK100" s="202">
        <f t="array" aca="1" ref="BK100" ca="1">IFERROR(SMALL(IF(COUNTIF(Podcasts!$D$1711:'Podcasts'!$D$1833,ROW(INDIRECT("1:"&amp;K$2)))=0,ROW(INDIRECT("1:"&amp;K$2))),ROW($A57)),"")</f>
        <v>97</v>
      </c>
      <c r="BL100" s="202">
        <f t="array" aca="1" ref="BL100" ca="1">IFERROR(SMALL(IF(COUNTIF(Podcasts!$D$1839:'Podcasts'!$D$1855,ROW(INDIRECT("1:"&amp;K$2)))=0,ROW(INDIRECT("1:"&amp;K$2))),ROW($A57)),"")</f>
        <v>63</v>
      </c>
      <c r="BM100" s="567">
        <f t="array" aca="1" ref="BM100" ca="1">IFERROR(SMALL(IF(COUNTIF(Podcasts!$D$1861:'Podcasts'!$D$1994,ROW(INDIRECT("1:"&amp;K$2)))=0,ROW(INDIRECT("1:"&amp;K$2))),ROW($A57)),"")</f>
        <v>75</v>
      </c>
      <c r="BN100" s="567">
        <f t="array" aca="1" ref="BN100" ca="1">IFERROR(SMALL(IF(COUNTIF(Podcasts!$D$2000:'Podcasts'!$D$2057,ROW(INDIRECT("1:"&amp;K$2)))=0,ROW(INDIRECT("1:"&amp;K$2))),ROW($A57)),"")</f>
        <v>112</v>
      </c>
      <c r="BO100" s="567">
        <f t="array" aca="1" ref="BO100" ca="1">IFERROR(SMALL(IF(COUNTIF(Podcasts!$D$2063:'Podcasts'!$D$2071,ROW(INDIRECT("1:"&amp;K$2)))=0,ROW(INDIRECT("1:"&amp;K$2))),ROW($A57)),"")</f>
        <v>57</v>
      </c>
      <c r="BP100" s="202">
        <f t="array" aca="1" ref="BP100" ca="1">IFERROR(SMALL(IF(COUNTIF(Podcasts!$D$2077:'Podcasts'!$D$2092,ROW(INDIRECT("1:"&amp;K$2)))=0,ROW(INDIRECT("1:"&amp;K$2))),ROW($A57)),"")</f>
        <v>67</v>
      </c>
      <c r="BQ100" s="741">
        <f t="array" aca="1" ref="BQ100" ca="1">IFERROR(SMALL(IF(COUNTIF(Podcasts!$D$2098:'Podcasts'!$D$2114,ROW(INDIRECT("1:"&amp;K$2)))=0,ROW(INDIRECT("1:"&amp;K$2))),ROW($A57)),"")</f>
        <v>60</v>
      </c>
      <c r="BR100" s="744">
        <f t="array" aca="1" ref="BR100" ca="1">IFERROR(SMALL(IF(COUNTIF(Podcasts!$D$2120:'Podcasts'!$D$2124,ROW(INDIRECT("1:"&amp;K$2)))=0,ROW(INDIRECT("1:"&amp;K$2))),ROW($A57)),"")</f>
        <v>59</v>
      </c>
      <c r="BS100" s="28"/>
    </row>
    <row r="101" spans="1:71" outlineLevel="1">
      <c r="A101" s="28"/>
      <c r="B101" s="161">
        <v>58</v>
      </c>
      <c r="C101" s="161">
        <f>COUNTIF(Podcasts!$D$10:'Podcasts'!$D$2535,B101)</f>
        <v>1</v>
      </c>
      <c r="D101" s="158" t="s">
        <v>1086</v>
      </c>
      <c r="E101" s="156" t="str">
        <f t="array" ref="E101">IF(F101="","",INDEX(Podcasts!$J$10:'Podcasts'!$J$2535,MATCH(F101&amp;$B101,Podcasts!$E$10:'Podcasts'!$E$2535&amp;Podcasts!$D$10:'Podcasts'!$D$2535,0)))</f>
        <v>Fürst</v>
      </c>
      <c r="F101" s="131">
        <f t="array" ref="F101">IF(COUNTIF(Podcasts!$D$10:'Podcasts'!$D$2535,$B101)&lt;COLUMN(A64),"",SMALL(IF(Podcasts!$D$10:'Podcasts'!$D$2535=$B101,Podcasts!$E$10:'Podcasts'!$E$2535),COLUMN(A64)))</f>
        <v>41896</v>
      </c>
      <c r="G101" s="132">
        <f t="array" ref="G101">IF(F101="","",INDEX(Podcasts!$F$10:'Podcasts'!$F$2535,MATCH(F101&amp;$B101,Podcasts!$E$10:'Podcasts'!$E$2535&amp;Podcasts!$D$10:'Podcasts'!$D$2535,0)))</f>
        <v>4.05092592592593E-3</v>
      </c>
      <c r="H101" s="136" t="str">
        <f t="array" ref="H101">IF(I101="","",INDEX(Podcasts!$J$10:'Podcasts'!$J$2535,MATCH(I101&amp;$B101,Podcasts!$E$10:'Podcasts'!$E$2535&amp;Podcasts!$D$10:'Podcasts'!$D$2535,0)))</f>
        <v/>
      </c>
      <c r="I101" s="133" t="str">
        <f t="array" ref="I101">IF(COUNTIF(Podcasts!$D$10:'Podcasts'!$D$2535,$B101)&lt;COLUMN(B64),"",SMALL(IF(Podcasts!$D$10:'Podcasts'!$D$2535=$B101,Podcasts!$E$10:'Podcasts'!$E$2535),COLUMN(B64)))</f>
        <v/>
      </c>
      <c r="J101" s="132" t="str">
        <f t="array" ref="J101">IF(I101="","",INDEX(Podcasts!$F$10:'Podcasts'!$F$2535,MATCH(I101&amp;$B101,Podcasts!$E$10:'Podcasts'!$E$2535&amp;Podcasts!$D$10:'Podcasts'!$D$2535,0)))</f>
        <v/>
      </c>
      <c r="K101" s="136" t="str">
        <f t="array" ref="K101">IF(L101="","",INDEX(Podcasts!$J$10:'Podcasts'!$J$2535,MATCH(L101&amp;$B101,Podcasts!$E$10:'Podcasts'!$E$2535&amp;Podcasts!$D$10:'Podcasts'!$D$2535,0)))</f>
        <v/>
      </c>
      <c r="L101" s="133" t="str">
        <f t="array" ref="L101">IF(COUNTIF(Podcasts!$D$10:'Podcasts'!$D$2535,$B101)&lt;COLUMN(C64),"",SMALL(IF(Podcasts!$D$10:'Podcasts'!$D$2535=$B101,Podcasts!$E$10:'Podcasts'!$E$2535),COLUMN(C64)))</f>
        <v/>
      </c>
      <c r="M101" s="132" t="str">
        <f t="array" ref="M101">IF(L101="","",INDEX(Podcasts!$F$10:'Podcasts'!$F$2535,MATCH(L101&amp;$B101,Podcasts!$E$10:'Podcasts'!$E$2535&amp;Podcasts!$D$10:'Podcasts'!$D$2535,0)))</f>
        <v/>
      </c>
      <c r="N101" s="136" t="str">
        <f t="array" ref="N101">IF(O101="","",INDEX(Podcasts!$J$10:'Podcasts'!$J$2535,MATCH(O101&amp;$B101,Podcasts!$E$10:'Podcasts'!$E$2535&amp;Podcasts!$D$10:'Podcasts'!$D$2535,0)))</f>
        <v/>
      </c>
      <c r="O101" s="133" t="str">
        <f t="array" ref="O101">IF(COUNTIF(Podcasts!$D$10:'Podcasts'!$D$2535,$B101)&lt;COLUMN(D64),"",SMALL(IF(Podcasts!$D$10:'Podcasts'!$D$2535=$B101,Podcasts!$E$10:'Podcasts'!$E$2535),COLUMN(D64)))</f>
        <v/>
      </c>
      <c r="P101" s="132" t="str">
        <f t="array" ref="P101">IF(O101="","",INDEX(Podcasts!$F$10:'Podcasts'!$F$2535,MATCH(O101&amp;$B101,Podcasts!$E$10:'Podcasts'!$E$2535&amp;Podcasts!$D$10:'Podcasts'!$D$2535,0)))</f>
        <v/>
      </c>
      <c r="Q101" s="136" t="str">
        <f t="array" ref="Q101">IF(R101="","",INDEX(Podcasts!$J$10:'Podcasts'!$J$2535,MATCH(R101&amp;$B101,Podcasts!$E$10:'Podcasts'!$E$2535&amp;Podcasts!$D$10:'Podcasts'!$D$2535,0)))</f>
        <v/>
      </c>
      <c r="R101" s="133" t="str">
        <f t="array" ref="R101">IF(COUNTIF(Podcasts!$D$10:'Podcasts'!$D$2535,$B101)&lt;COLUMN(E64),"",SMALL(IF(Podcasts!$D$10:'Podcasts'!$D$2535=$B101,Podcasts!$E$10:'Podcasts'!$E$2535),COLUMN(E64)))</f>
        <v/>
      </c>
      <c r="S101" s="132" t="str">
        <f t="array" ref="S101">IF(R101="","",INDEX(Podcasts!$F$10:'Podcasts'!$F$2535,MATCH(R101&amp;$B101,Podcasts!$E$10:'Podcasts'!$E$2535&amp;Podcasts!$D$10:'Podcasts'!$D$2535,0)))</f>
        <v/>
      </c>
      <c r="T101" s="136" t="str">
        <f t="array" ref="T101">IF(U101="","",INDEX(Podcasts!$J$10:'Podcasts'!$J$2535,MATCH(U101&amp;$B101,Podcasts!$E$10:'Podcasts'!$E$2535&amp;Podcasts!$D$10:'Podcasts'!$D$2535,0)))</f>
        <v/>
      </c>
      <c r="U101" s="133" t="str">
        <f t="array" ref="U101">IF(COUNTIF(Podcasts!$D$10:'Podcasts'!$D$2535,$B101)&lt;COLUMN(F64),"",SMALL(IF(Podcasts!$D$10:'Podcasts'!$D$2535=$B101,Podcasts!$E$10:'Podcasts'!$E$2535),COLUMN(F64)))</f>
        <v/>
      </c>
      <c r="V101" s="132" t="str">
        <f t="array" ref="V101">IF(U101="","",INDEX(Podcasts!$F$10:'Podcasts'!$F$2535,MATCH(U101&amp;$B101,Podcasts!$E$10:'Podcasts'!$E$2535&amp;Podcasts!$D$10:'Podcasts'!$D$2535,0)))</f>
        <v/>
      </c>
      <c r="W101" s="136" t="str">
        <f t="array" ref="W101">IF(X101="","",INDEX(Podcasts!$J$10:'Podcasts'!$J$2535,MATCH(X101&amp;$B101,Podcasts!$E$10:'Podcasts'!$E$2535&amp;Podcasts!$D$10:'Podcasts'!$D$2535,0)))</f>
        <v/>
      </c>
      <c r="X101" s="133" t="str">
        <f t="array" ref="X101">IF(COUNTIF(Podcasts!$D$10:'Podcasts'!$D$2535,$B101)&lt;COLUMN(G64),"",SMALL(IF(Podcasts!$D$10:'Podcasts'!$D$2535=$B101,Podcasts!$E$10:'Podcasts'!$E$2535),COLUMN(G64)))</f>
        <v/>
      </c>
      <c r="Y101" s="132" t="str">
        <f t="array" ref="Y101">IF(X101="","",INDEX(Podcasts!$F$10:'Podcasts'!$F$2535,MATCH(X101&amp;$B101,Podcasts!$E$10:'Podcasts'!$E$2535&amp;Podcasts!$D$10:'Podcasts'!$D$2535,0)))</f>
        <v/>
      </c>
      <c r="Z101" s="136" t="str">
        <f t="array" ref="Z101">IF(AA101="","",INDEX(Podcasts!$J$10:'Podcasts'!$J$2535,MATCH(AA101&amp;$B101,Podcasts!$E$10:'Podcasts'!$E$2535&amp;Podcasts!$D$10:'Podcasts'!$D$2535,0)))</f>
        <v/>
      </c>
      <c r="AA101" s="134" t="str">
        <f t="array" ref="AA101">IF(COUNTIF(Podcasts!$D$10:'Podcasts'!$D$2535,$B101)&lt;COLUMN(H64),"",SMALL(IF(Podcasts!$D$10:'Podcasts'!$D$2535=$B101,Podcasts!$E$10:'Podcasts'!$E$2535),COLUMN(H64)))</f>
        <v/>
      </c>
      <c r="AB101" s="404" t="str">
        <f t="array" ref="AB101">IF(AA101="","",INDEX(Podcasts!$F$10:'Podcasts'!$F$2535,MATCH(AA101&amp;$B101,Podcasts!$E$10:'Podcasts'!$E$2535&amp;Podcasts!$D$10:'Podcasts'!$D$2535,0)))</f>
        <v/>
      </c>
      <c r="AC101" s="406" t="str">
        <f t="array" ref="AC101">IF(AD101="","",INDEX(Podcasts!$J$10:'Podcasts'!$J$2535,MATCH(AD101&amp;$B101,Podcasts!$E$10:'Podcasts'!$E$2535&amp;Podcasts!$D$10:'Podcasts'!$D$2535,0)))</f>
        <v/>
      </c>
      <c r="AD101" s="400" t="str">
        <f t="array" ref="AD101">IF(COUNTIF(Podcasts!$D$10:'Podcasts'!$D$2535,$B101)&lt;COLUMN(I64),"",SMALL(IF(Podcasts!$D$10:'Podcasts'!$D$2535=$B101,Podcasts!$E$10:'Podcasts'!$E$2535),COLUMN(I64)))</f>
        <v/>
      </c>
      <c r="AE101" s="401" t="str">
        <f t="array" ref="AE101">IF(AD101="","",INDEX(Podcasts!$F$10:'Podcasts'!$F$2535,MATCH(AD101&amp;$B101,Podcasts!$E$10:'Podcasts'!$E$2535&amp;Podcasts!$D$10:'Podcasts'!$D$2535,0)))</f>
        <v/>
      </c>
      <c r="AF101" s="406" t="str">
        <f t="array" ref="AF101">IF(AG101="","",INDEX(Podcasts!$J$10:'Podcasts'!$J$2535,MATCH(AG101&amp;$B101,Podcasts!$E$10:'Podcasts'!$E$2535&amp;Podcasts!$D$10:'Podcasts'!$D$2535,0)))</f>
        <v/>
      </c>
      <c r="AG101" s="400" t="str">
        <f t="array" ref="AG101">IF(COUNTIF(Podcasts!$D$10:'Podcasts'!$D$2535,$B101)&lt;COLUMN(J64),"",SMALL(IF(Podcasts!$D$10:'Podcasts'!$D$2535=$B101,Podcasts!$E$10:'Podcasts'!$E$2535),COLUMN(J64)))</f>
        <v/>
      </c>
      <c r="AH101" s="401" t="str">
        <f t="array" ref="AH101">IF(AG101="","",INDEX(Podcasts!$F$10:'Podcasts'!$F$2535,MATCH(AG101&amp;$B101,Podcasts!$E$10:'Podcasts'!$E$2535&amp;Podcasts!$D$10:'Podcasts'!$D$2535,0)))</f>
        <v/>
      </c>
      <c r="AI101" s="406" t="str">
        <f t="array" ref="AI101">IF(AJ101="","",INDEX(Podcasts!$J$10:'Podcasts'!$J$2535,MATCH(AJ101&amp;$B101,Podcasts!$E$10:'Podcasts'!$E$2535&amp;Podcasts!$D$10:'Podcasts'!$D$2535,0)))</f>
        <v/>
      </c>
      <c r="AJ101" s="400" t="str">
        <f t="array" ref="AJ101">IF(COUNTIF(Podcasts!$D$10:'Podcasts'!$D$2535,$B101)&lt;COLUMN(K64),"",SMALL(IF(Podcasts!$D$10:'Podcasts'!$D$2535=$B101,Podcasts!$E$10:'Podcasts'!$E$2535),COLUMN(K64)))</f>
        <v/>
      </c>
      <c r="AK101" s="401" t="str">
        <f t="array" ref="AK101">IF(AJ101="","",INDEX(Podcasts!$F$10:'Podcasts'!$F$2535,MATCH(AJ101&amp;$B101,Podcasts!$E$10:'Podcasts'!$E$2535&amp;Podcasts!$D$10:'Podcasts'!$D$2535,0)))</f>
        <v/>
      </c>
      <c r="AL101" s="406" t="str">
        <f t="array" ref="AL101">IF(AM101="","",INDEX(Podcasts!$J$10:'Podcasts'!$J$2535,MATCH(AM101&amp;$B101,Podcasts!$E$10:'Podcasts'!$E$2535&amp;Podcasts!$D$10:'Podcasts'!$D$2535,0)))</f>
        <v/>
      </c>
      <c r="AM101" s="400" t="str">
        <f t="array" ref="AM101">IF(COUNTIF(Podcasts!$D$10:'Podcasts'!$D$2535,$B101)&lt;COLUMN(L64),"",SMALL(IF(Podcasts!$D$10:'Podcasts'!$D$2535=$B101,Podcasts!$E$10:'Podcasts'!$E$2535),COLUMN(L64)))</f>
        <v/>
      </c>
      <c r="AN101" s="401" t="str">
        <f t="array" ref="AN101">IF(AM101="","",INDEX(Podcasts!$F$10:'Podcasts'!$F$2535,MATCH(AM101&amp;$B101,Podcasts!$E$10:'Podcasts'!$E$2535&amp;Podcasts!$D$10:'Podcasts'!$D$2535,0)))</f>
        <v/>
      </c>
      <c r="AO101" s="402"/>
      <c r="AP101" s="119"/>
      <c r="AQ101" s="117">
        <f t="array" aca="1" ref="AQ101" ca="1">IFERROR(SMALL(IF(COUNTIF(Podcasts!$D$10:'Podcasts'!$D$107,ROW(INDIRECT("1:"&amp;K$2)))=0,ROW(INDIRECT("1:"&amp;K$2))),ROW($A58)),"")</f>
        <v>80</v>
      </c>
      <c r="AR101" s="117">
        <f t="array" aca="1" ref="AR101" ca="1">IFERROR(SMALL(IF(COUNTIF(Podcasts!$D$113:'Podcasts'!$D$238,ROW(INDIRECT("1:"&amp;K$2)))=0,ROW(INDIRECT("1:"&amp;K$2))),ROW($A58)),"")</f>
        <v>58</v>
      </c>
      <c r="AS101" s="117">
        <f t="array" aca="1" ref="AS101" ca="1">IFERROR(SMALL(IF(COUNTIF(Podcasts!$D$244:'Podcasts'!$D$299,ROW(INDIRECT("1:"&amp;K$2)))=0,ROW(INDIRECT("1:"&amp;K$2))),ROW($A58)),"")</f>
        <v>74</v>
      </c>
      <c r="AT101" s="117">
        <f t="array" aca="1" ref="AT101" ca="1">IFERROR(SMALL(IF(COUNTIF(Podcasts!$D$305:'Podcasts'!$D$473,ROW(INDIRECT("1:"&amp;K$2)))=0,ROW(INDIRECT("1:"&amp;K$2))),ROW($A58)),"")</f>
        <v>193</v>
      </c>
      <c r="AU101" s="117">
        <f t="array" aca="1" ref="AU101" ca="1">IFERROR(SMALL(IF(COUNTIF(Podcasts!$D$479:'Podcasts'!$D$488,ROW(INDIRECT("1:"&amp;K$2)))=0,ROW(INDIRECT("1:"&amp;K$2))),ROW($A58)),"")</f>
        <v>58</v>
      </c>
      <c r="AV101" s="117">
        <f t="array" aca="1" ref="AV101" ca="1">IFERROR(SMALL(IF(COUNTIF(Podcasts!$D$494:'Podcasts'!$D$518,ROW(INDIRECT("1:"&amp;K$2)))=0,ROW(INDIRECT("1:"&amp;K$2))),ROW($A58)),"")</f>
        <v>75</v>
      </c>
      <c r="AW101" s="117">
        <f t="array" aca="1" ref="AW101" ca="1">IFERROR(SMALL(IF(COUNTIF(Podcasts!$D$524:'Podcasts'!$D$532,ROW(INDIRECT("1:"&amp;K$2)))=0,ROW(INDIRECT("1:"&amp;K$2))),ROW($A58)),"")</f>
        <v>58</v>
      </c>
      <c r="AX101" s="117">
        <f t="array" aca="1" ref="AX101" ca="1">IFERROR(SMALL(IF(COUNTIF(Podcasts!$D$538:'Podcasts'!$D$909,ROW(INDIRECT("1:"&amp;K$2)))=0,ROW(INDIRECT("1:"&amp;K$2))),ROW($A58)),"")</f>
        <v>164</v>
      </c>
      <c r="AY101" s="117">
        <f t="array" aca="1" ref="AY101" ca="1">IFERROR(SMALL(IF(COUNTIF(Podcasts!$D$915:'Podcasts'!$D$981,ROW(INDIRECT("1:"&amp;K$2)))=0,ROW(INDIRECT("1:"&amp;K$2))),ROW($A58)),"")</f>
        <v>92</v>
      </c>
      <c r="AZ101" s="445"/>
      <c r="BA101" s="117">
        <f t="array" aca="1" ref="BA101" ca="1">IFERROR(SMALL(IF(COUNTIF(Podcasts!$D$1001:'Podcasts'!$D$1251,ROW(INDIRECT("1:"&amp;K$2)))=0,ROW(INDIRECT("1:"&amp;K$2))),ROW($A58)),"")</f>
        <v>95</v>
      </c>
      <c r="BB101" s="117">
        <f t="array" aca="1" ref="BB101" ca="1">IFERROR(SMALL(IF(COUNTIF(Podcasts!$D$1257:'Podcasts'!$D$1267,ROW(INDIRECT("1:"&amp;K$2)))=0,ROW(INDIRECT("1:"&amp;K$2))),ROW($A58)),"")</f>
        <v>59</v>
      </c>
      <c r="BC101" s="117">
        <f t="array" aca="1" ref="BC101" ca="1">IFERROR(SMALL(IF(COUNTIF(Podcasts!$D$1273:'Podcasts'!$D$1283,ROW(INDIRECT("1:"&amp;K$2)))=0,ROW(INDIRECT("1:"&amp;K$2))),ROW($A58)),"")</f>
        <v>62</v>
      </c>
      <c r="BD101" s="117">
        <f t="array" aca="1" ref="BD101" ca="1">IFERROR(SMALL(IF(COUNTIF(Podcasts!$D$1289:'Podcasts'!$D$1295,ROW(INDIRECT("1:"&amp;K$2)))=0,ROW(INDIRECT("1:"&amp;K$2))),ROW($A58)),"")</f>
        <v>60</v>
      </c>
      <c r="BE101" s="117">
        <f t="array" aca="1" ref="BE101" ca="1">IFERROR(SMALL(IF(COUNTIF(Podcasts!$D$1301:'Podcasts'!$D$1356,ROW(INDIRECT("1:"&amp;K$2)))=0,ROW(INDIRECT("1:"&amp;K$2))),ROW($A58)),"")</f>
        <v>105</v>
      </c>
      <c r="BF101" s="117">
        <f t="array" aca="1" ref="BF101" ca="1">IFERROR(SMALL(IF(COUNTIF(Podcasts!$D$1362:'Podcasts'!$D$1364,ROW(INDIRECT("1:"&amp;K$2)))=0,ROW(INDIRECT("1:"&amp;K$2))),ROW($A58)),"")</f>
        <v>61</v>
      </c>
      <c r="BG101" s="202">
        <f t="array" aca="1" ref="BG101" ca="1">IFERROR(SMALL(IF(COUNTIF(Podcasts!$D$1370:'Podcasts'!$D$1419,ROW(INDIRECT("1:"&amp;K$2)))=0,ROW(INDIRECT("1:"&amp;K$2))),ROW($A58)),"")</f>
        <v>70</v>
      </c>
      <c r="BH101" s="202">
        <f t="array" aca="1" ref="BH101" ca="1">IFERROR(SMALL(IF(COUNTIF(Podcasts!$D$1425:'Podcasts'!$D$1446,ROW(INDIRECT("1:"&amp;K$2)))=0,ROW(INDIRECT("1:"&amp;K$2))),ROW($A58)),"")</f>
        <v>63</v>
      </c>
      <c r="BI101" s="202">
        <f t="array" aca="1" ref="BI101" ca="1">IFERROR(SMALL(IF(COUNTIF(Podcasts!$D$1452:'Podcasts'!$D$1574,ROW(INDIRECT("1:"&amp;K$2)))=0,ROW(INDIRECT("1:"&amp;K$2))),ROW($A58)),"")</f>
        <v>110</v>
      </c>
      <c r="BJ101" s="202">
        <f t="array" aca="1" ref="BJ101" ca="1">IFERROR(SMALL(IF(COUNTIF(Podcasts!$D$1580:'Podcasts'!$D$1705,ROW(INDIRECT("1:"&amp;K$2)))=0,ROW(INDIRECT("1:"&amp;K$2))),ROW($A58)),"")</f>
        <v>109</v>
      </c>
      <c r="BK101" s="202">
        <f t="array" aca="1" ref="BK101" ca="1">IFERROR(SMALL(IF(COUNTIF(Podcasts!$D$1711:'Podcasts'!$D$1833,ROW(INDIRECT("1:"&amp;K$2)))=0,ROW(INDIRECT("1:"&amp;K$2))),ROW($A58)),"")</f>
        <v>98</v>
      </c>
      <c r="BL101" s="202">
        <f t="array" aca="1" ref="BL101" ca="1">IFERROR(SMALL(IF(COUNTIF(Podcasts!$D$1839:'Podcasts'!$D$1855,ROW(INDIRECT("1:"&amp;K$2)))=0,ROW(INDIRECT("1:"&amp;K$2))),ROW($A58)),"")</f>
        <v>64</v>
      </c>
      <c r="BM101" s="567">
        <f t="array" aca="1" ref="BM101" ca="1">IFERROR(SMALL(IF(COUNTIF(Podcasts!$D$1861:'Podcasts'!$D$1994,ROW(INDIRECT("1:"&amp;K$2)))=0,ROW(INDIRECT("1:"&amp;K$2))),ROW($A58)),"")</f>
        <v>79</v>
      </c>
      <c r="BN101" s="567">
        <f t="array" aca="1" ref="BN101" ca="1">IFERROR(SMALL(IF(COUNTIF(Podcasts!$D$2000:'Podcasts'!$D$2057,ROW(INDIRECT("1:"&amp;K$2)))=0,ROW(INDIRECT("1:"&amp;K$2))),ROW($A58)),"")</f>
        <v>113</v>
      </c>
      <c r="BO101" s="567">
        <f t="array" aca="1" ref="BO101" ca="1">IFERROR(SMALL(IF(COUNTIF(Podcasts!$D$2063:'Podcasts'!$D$2071,ROW(INDIRECT("1:"&amp;K$2)))=0,ROW(INDIRECT("1:"&amp;K$2))),ROW($A58)),"")</f>
        <v>58</v>
      </c>
      <c r="BP101" s="202">
        <f t="array" aca="1" ref="BP101" ca="1">IFERROR(SMALL(IF(COUNTIF(Podcasts!$D$2077:'Podcasts'!$D$2092,ROW(INDIRECT("1:"&amp;K$2)))=0,ROW(INDIRECT("1:"&amp;K$2))),ROW($A58)),"")</f>
        <v>68</v>
      </c>
      <c r="BQ101" s="741">
        <f t="array" aca="1" ref="BQ101" ca="1">IFERROR(SMALL(IF(COUNTIF(Podcasts!$D$2098:'Podcasts'!$D$2114,ROW(INDIRECT("1:"&amp;K$2)))=0,ROW(INDIRECT("1:"&amp;K$2))),ROW($A58)),"")</f>
        <v>61</v>
      </c>
      <c r="BR101" s="744">
        <f t="array" aca="1" ref="BR101" ca="1">IFERROR(SMALL(IF(COUNTIF(Podcasts!$D$2120:'Podcasts'!$D$2124,ROW(INDIRECT("1:"&amp;K$2)))=0,ROW(INDIRECT("1:"&amp;K$2))),ROW($A58)),"")</f>
        <v>60</v>
      </c>
      <c r="BS101" s="28"/>
    </row>
    <row r="102" spans="1:71" outlineLevel="1">
      <c r="A102" s="28"/>
      <c r="B102" s="161">
        <v>59</v>
      </c>
      <c r="C102" s="161">
        <f>COUNTIF(Podcasts!$D$10:'Podcasts'!$D$2535,B102)</f>
        <v>4</v>
      </c>
      <c r="D102" s="158" t="s">
        <v>1087</v>
      </c>
      <c r="E102" s="156" t="str">
        <f t="array" ref="E102">IF(F102="","",INDEX(Podcasts!$J$10:'Podcasts'!$J$2535,MATCH(F102&amp;$B102,Podcasts!$E$10:'Podcasts'!$E$2535&amp;Podcasts!$D$10:'Podcasts'!$D$2535,0)))</f>
        <v>Fürst</v>
      </c>
      <c r="F102" s="131">
        <f t="array" ref="F102">IF(COUNTIF(Podcasts!$D$10:'Podcasts'!$D$2535,$B102)&lt;COLUMN(A65),"",SMALL(IF(Podcasts!$D$10:'Podcasts'!$D$2535=$B102,Podcasts!$E$10:'Podcasts'!$E$2535),COLUMN(A65)))</f>
        <v>41917</v>
      </c>
      <c r="G102" s="132">
        <f t="array" ref="G102">IF(F102="","",INDEX(Podcasts!$F$10:'Podcasts'!$F$2535,MATCH(F102&amp;$B102,Podcasts!$E$10:'Podcasts'!$E$2535&amp;Podcasts!$D$10:'Podcasts'!$D$2535,0)))</f>
        <v>6.0763888888888899E-3</v>
      </c>
      <c r="H102" s="136" t="str">
        <f t="array" ref="H102">IF(I102="","",INDEX(Podcasts!$J$10:'Podcasts'!$J$2535,MATCH(I102&amp;$B102,Podcasts!$E$10:'Podcasts'!$E$2535&amp;Podcasts!$D$10:'Podcasts'!$D$2535,0)))</f>
        <v>Zentrale</v>
      </c>
      <c r="I102" s="133">
        <f t="array" ref="I102">IF(COUNTIF(Podcasts!$D$10:'Podcasts'!$D$2535,$B102)&lt;COLUMN(B65),"",SMALL(IF(Podcasts!$D$10:'Podcasts'!$D$2535=$B102,Podcasts!$E$10:'Podcasts'!$E$2535),COLUMN(B65)))</f>
        <v>43859.03052083333</v>
      </c>
      <c r="J102" s="132">
        <f t="array" ref="J102">IF(I102="","",INDEX(Podcasts!$F$10:'Podcasts'!$F$2535,MATCH(I102&amp;$B102,Podcasts!$E$10:'Podcasts'!$E$2535&amp;Podcasts!$D$10:'Podcasts'!$D$2535,0)))</f>
        <v>9.2025462962962976E-2</v>
      </c>
      <c r="K102" s="136" t="str">
        <f t="array" ref="K102">IF(L102="","",INDEX(Podcasts!$J$10:'Podcasts'!$J$2535,MATCH(L102&amp;$B102,Podcasts!$E$10:'Podcasts'!$E$2535&amp;Podcasts!$D$10:'Podcasts'!$D$2535,0)))</f>
        <v>Kuchen</v>
      </c>
      <c r="L102" s="133">
        <f t="array" ref="L102">IF(COUNTIF(Podcasts!$D$10:'Podcasts'!$D$2535,$B102)&lt;COLUMN(C65),"",SMALL(IF(Podcasts!$D$10:'Podcasts'!$D$2535=$B102,Podcasts!$E$10:'Podcasts'!$E$2535),COLUMN(C65)))</f>
        <v>44241</v>
      </c>
      <c r="M102" s="132">
        <f t="array" ref="M102">IF(L102="","",INDEX(Podcasts!$F$10:'Podcasts'!$F$2535,MATCH(L102&amp;$B102,Podcasts!$E$10:'Podcasts'!$E$2535&amp;Podcasts!$D$10:'Podcasts'!$D$2535,0)))</f>
        <v>5.814814814814815E-2</v>
      </c>
      <c r="N102" s="136" t="str">
        <f t="array" ref="N102">IF(O102="","",INDEX(Podcasts!$J$10:'Podcasts'!$J$2535,MATCH(O102&amp;$B102,Podcasts!$E$10:'Podcasts'!$E$2535&amp;Podcasts!$D$10:'Podcasts'!$D$2535,0)))</f>
        <v>Kaffee</v>
      </c>
      <c r="O102" s="133">
        <f t="array" ref="O102">IF(COUNTIF(Podcasts!$D$10:'Podcasts'!$D$2535,$B102)&lt;COLUMN(D65),"",SMALL(IF(Podcasts!$D$10:'Podcasts'!$D$2535=$B102,Podcasts!$E$10:'Podcasts'!$E$2535),COLUMN(D65)))</f>
        <v>45044</v>
      </c>
      <c r="P102" s="132">
        <f t="array" ref="P102">IF(O102="","",INDEX(Podcasts!$F$10:'Podcasts'!$F$2535,MATCH(O102&amp;$B102,Podcasts!$E$10:'Podcasts'!$E$2535&amp;Podcasts!$D$10:'Podcasts'!$D$2535,0)))</f>
        <v>3.0000000000000002E-2</v>
      </c>
      <c r="Q102" s="136" t="str">
        <f t="array" ref="Q102">IF(R102="","",INDEX(Podcasts!$J$10:'Podcasts'!$J$2535,MATCH(R102&amp;$B102,Podcasts!$E$10:'Podcasts'!$E$2535&amp;Podcasts!$D$10:'Podcasts'!$D$2535,0)))</f>
        <v/>
      </c>
      <c r="R102" s="133" t="str">
        <f t="array" ref="R102">IF(COUNTIF(Podcasts!$D$10:'Podcasts'!$D$2535,$B102)&lt;COLUMN(E65),"",SMALL(IF(Podcasts!$D$10:'Podcasts'!$D$2535=$B102,Podcasts!$E$10:'Podcasts'!$E$2535),COLUMN(E65)))</f>
        <v/>
      </c>
      <c r="S102" s="132" t="str">
        <f t="array" ref="S102">IF(R102="","",INDEX(Podcasts!$F$10:'Podcasts'!$F$2535,MATCH(R102&amp;$B102,Podcasts!$E$10:'Podcasts'!$E$2535&amp;Podcasts!$D$10:'Podcasts'!$D$2535,0)))</f>
        <v/>
      </c>
      <c r="T102" s="136" t="str">
        <f t="array" ref="T102">IF(U102="","",INDEX(Podcasts!$J$10:'Podcasts'!$J$2535,MATCH(U102&amp;$B102,Podcasts!$E$10:'Podcasts'!$E$2535&amp;Podcasts!$D$10:'Podcasts'!$D$2535,0)))</f>
        <v/>
      </c>
      <c r="U102" s="133" t="str">
        <f t="array" ref="U102">IF(COUNTIF(Podcasts!$D$10:'Podcasts'!$D$2535,$B102)&lt;COLUMN(F65),"",SMALL(IF(Podcasts!$D$10:'Podcasts'!$D$2535=$B102,Podcasts!$E$10:'Podcasts'!$E$2535),COLUMN(F65)))</f>
        <v/>
      </c>
      <c r="V102" s="132" t="str">
        <f t="array" ref="V102">IF(U102="","",INDEX(Podcasts!$F$10:'Podcasts'!$F$2535,MATCH(U102&amp;$B102,Podcasts!$E$10:'Podcasts'!$E$2535&amp;Podcasts!$D$10:'Podcasts'!$D$2535,0)))</f>
        <v/>
      </c>
      <c r="W102" s="136" t="str">
        <f t="array" ref="W102">IF(X102="","",INDEX(Podcasts!$J$10:'Podcasts'!$J$2535,MATCH(X102&amp;$B102,Podcasts!$E$10:'Podcasts'!$E$2535&amp;Podcasts!$D$10:'Podcasts'!$D$2535,0)))</f>
        <v/>
      </c>
      <c r="X102" s="133" t="str">
        <f t="array" ref="X102">IF(COUNTIF(Podcasts!$D$10:'Podcasts'!$D$2535,$B102)&lt;COLUMN(G65),"",SMALL(IF(Podcasts!$D$10:'Podcasts'!$D$2535=$B102,Podcasts!$E$10:'Podcasts'!$E$2535),COLUMN(G65)))</f>
        <v/>
      </c>
      <c r="Y102" s="132" t="str">
        <f t="array" ref="Y102">IF(X102="","",INDEX(Podcasts!$F$10:'Podcasts'!$F$2535,MATCH(X102&amp;$B102,Podcasts!$E$10:'Podcasts'!$E$2535&amp;Podcasts!$D$10:'Podcasts'!$D$2535,0)))</f>
        <v/>
      </c>
      <c r="Z102" s="136" t="str">
        <f t="array" ref="Z102">IF(AA102="","",INDEX(Podcasts!$J$10:'Podcasts'!$J$2535,MATCH(AA102&amp;$B102,Podcasts!$E$10:'Podcasts'!$E$2535&amp;Podcasts!$D$10:'Podcasts'!$D$2535,0)))</f>
        <v/>
      </c>
      <c r="AA102" s="134" t="str">
        <f t="array" ref="AA102">IF(COUNTIF(Podcasts!$D$10:'Podcasts'!$D$2535,$B102)&lt;COLUMN(H65),"",SMALL(IF(Podcasts!$D$10:'Podcasts'!$D$2535=$B102,Podcasts!$E$10:'Podcasts'!$E$2535),COLUMN(H65)))</f>
        <v/>
      </c>
      <c r="AB102" s="404" t="str">
        <f t="array" ref="AB102">IF(AA102="","",INDEX(Podcasts!$F$10:'Podcasts'!$F$2535,MATCH(AA102&amp;$B102,Podcasts!$E$10:'Podcasts'!$E$2535&amp;Podcasts!$D$10:'Podcasts'!$D$2535,0)))</f>
        <v/>
      </c>
      <c r="AC102" s="406" t="str">
        <f t="array" ref="AC102">IF(AD102="","",INDEX(Podcasts!$J$10:'Podcasts'!$J$2535,MATCH(AD102&amp;$B102,Podcasts!$E$10:'Podcasts'!$E$2535&amp;Podcasts!$D$10:'Podcasts'!$D$2535,0)))</f>
        <v/>
      </c>
      <c r="AD102" s="400" t="str">
        <f t="array" ref="AD102">IF(COUNTIF(Podcasts!$D$10:'Podcasts'!$D$2535,$B102)&lt;COLUMN(I65),"",SMALL(IF(Podcasts!$D$10:'Podcasts'!$D$2535=$B102,Podcasts!$E$10:'Podcasts'!$E$2535),COLUMN(I65)))</f>
        <v/>
      </c>
      <c r="AE102" s="401" t="str">
        <f t="array" ref="AE102">IF(AD102="","",INDEX(Podcasts!$F$10:'Podcasts'!$F$2535,MATCH(AD102&amp;$B102,Podcasts!$E$10:'Podcasts'!$E$2535&amp;Podcasts!$D$10:'Podcasts'!$D$2535,0)))</f>
        <v/>
      </c>
      <c r="AF102" s="406" t="str">
        <f t="array" ref="AF102">IF(AG102="","",INDEX(Podcasts!$J$10:'Podcasts'!$J$2535,MATCH(AG102&amp;$B102,Podcasts!$E$10:'Podcasts'!$E$2535&amp;Podcasts!$D$10:'Podcasts'!$D$2535,0)))</f>
        <v/>
      </c>
      <c r="AG102" s="400" t="str">
        <f t="array" ref="AG102">IF(COUNTIF(Podcasts!$D$10:'Podcasts'!$D$2535,$B102)&lt;COLUMN(J65),"",SMALL(IF(Podcasts!$D$10:'Podcasts'!$D$2535=$B102,Podcasts!$E$10:'Podcasts'!$E$2535),COLUMN(J65)))</f>
        <v/>
      </c>
      <c r="AH102" s="401" t="str">
        <f t="array" ref="AH102">IF(AG102="","",INDEX(Podcasts!$F$10:'Podcasts'!$F$2535,MATCH(AG102&amp;$B102,Podcasts!$E$10:'Podcasts'!$E$2535&amp;Podcasts!$D$10:'Podcasts'!$D$2535,0)))</f>
        <v/>
      </c>
      <c r="AI102" s="406" t="str">
        <f t="array" ref="AI102">IF(AJ102="","",INDEX(Podcasts!$J$10:'Podcasts'!$J$2535,MATCH(AJ102&amp;$B102,Podcasts!$E$10:'Podcasts'!$E$2535&amp;Podcasts!$D$10:'Podcasts'!$D$2535,0)))</f>
        <v/>
      </c>
      <c r="AJ102" s="400" t="str">
        <f t="array" ref="AJ102">IF(COUNTIF(Podcasts!$D$10:'Podcasts'!$D$2535,$B102)&lt;COLUMN(K65),"",SMALL(IF(Podcasts!$D$10:'Podcasts'!$D$2535=$B102,Podcasts!$E$10:'Podcasts'!$E$2535),COLUMN(K65)))</f>
        <v/>
      </c>
      <c r="AK102" s="401" t="str">
        <f t="array" ref="AK102">IF(AJ102="","",INDEX(Podcasts!$F$10:'Podcasts'!$F$2535,MATCH(AJ102&amp;$B102,Podcasts!$E$10:'Podcasts'!$E$2535&amp;Podcasts!$D$10:'Podcasts'!$D$2535,0)))</f>
        <v/>
      </c>
      <c r="AL102" s="406" t="str">
        <f t="array" ref="AL102">IF(AM102="","",INDEX(Podcasts!$J$10:'Podcasts'!$J$2535,MATCH(AM102&amp;$B102,Podcasts!$E$10:'Podcasts'!$E$2535&amp;Podcasts!$D$10:'Podcasts'!$D$2535,0)))</f>
        <v/>
      </c>
      <c r="AM102" s="400" t="str">
        <f t="array" ref="AM102">IF(COUNTIF(Podcasts!$D$10:'Podcasts'!$D$2535,$B102)&lt;COLUMN(L65),"",SMALL(IF(Podcasts!$D$10:'Podcasts'!$D$2535=$B102,Podcasts!$E$10:'Podcasts'!$E$2535),COLUMN(L65)))</f>
        <v/>
      </c>
      <c r="AN102" s="401" t="str">
        <f t="array" ref="AN102">IF(AM102="","",INDEX(Podcasts!$F$10:'Podcasts'!$F$2535,MATCH(AM102&amp;$B102,Podcasts!$E$10:'Podcasts'!$E$2535&amp;Podcasts!$D$10:'Podcasts'!$D$2535,0)))</f>
        <v/>
      </c>
      <c r="AO102" s="402"/>
      <c r="AP102" s="119"/>
      <c r="AQ102" s="117">
        <f t="array" aca="1" ref="AQ102" ca="1">IFERROR(SMALL(IF(COUNTIF(Podcasts!$D$10:'Podcasts'!$D$107,ROW(INDIRECT("1:"&amp;K$2)))=0,ROW(INDIRECT("1:"&amp;K$2))),ROW($A59)),"")</f>
        <v>81</v>
      </c>
      <c r="AR102" s="117">
        <f t="array" aca="1" ref="AR102" ca="1">IFERROR(SMALL(IF(COUNTIF(Podcasts!$D$113:'Podcasts'!$D$238,ROW(INDIRECT("1:"&amp;K$2)))=0,ROW(INDIRECT("1:"&amp;K$2))),ROW($A59)),"")</f>
        <v>59</v>
      </c>
      <c r="AS102" s="117">
        <f t="array" aca="1" ref="AS102" ca="1">IFERROR(SMALL(IF(COUNTIF(Podcasts!$D$244:'Podcasts'!$D$299,ROW(INDIRECT("1:"&amp;K$2)))=0,ROW(INDIRECT("1:"&amp;K$2))),ROW($A59)),"")</f>
        <v>75</v>
      </c>
      <c r="AT102" s="117">
        <f t="array" aca="1" ref="AT102" ca="1">IFERROR(SMALL(IF(COUNTIF(Podcasts!$D$305:'Podcasts'!$D$473,ROW(INDIRECT("1:"&amp;K$2)))=0,ROW(INDIRECT("1:"&amp;K$2))),ROW($A59)),"")</f>
        <v>194</v>
      </c>
      <c r="AU102" s="117">
        <f t="array" aca="1" ref="AU102" ca="1">IFERROR(SMALL(IF(COUNTIF(Podcasts!$D$479:'Podcasts'!$D$488,ROW(INDIRECT("1:"&amp;K$2)))=0,ROW(INDIRECT("1:"&amp;K$2))),ROW($A59)),"")</f>
        <v>59</v>
      </c>
      <c r="AV102" s="117">
        <f t="array" aca="1" ref="AV102" ca="1">IFERROR(SMALL(IF(COUNTIF(Podcasts!$D$494:'Podcasts'!$D$518,ROW(INDIRECT("1:"&amp;K$2)))=0,ROW(INDIRECT("1:"&amp;K$2))),ROW($A59)),"")</f>
        <v>76</v>
      </c>
      <c r="AW102" s="117">
        <f t="array" aca="1" ref="AW102" ca="1">IFERROR(SMALL(IF(COUNTIF(Podcasts!$D$524:'Podcasts'!$D$532,ROW(INDIRECT("1:"&amp;K$2)))=0,ROW(INDIRECT("1:"&amp;K$2))),ROW($A59)),"")</f>
        <v>59</v>
      </c>
      <c r="AX102" s="117">
        <f t="array" aca="1" ref="AX102" ca="1">IFERROR(SMALL(IF(COUNTIF(Podcasts!$D$538:'Podcasts'!$D$909,ROW(INDIRECT("1:"&amp;K$2)))=0,ROW(INDIRECT("1:"&amp;K$2))),ROW($A59)),"")</f>
        <v>165</v>
      </c>
      <c r="AY102" s="117">
        <f t="array" aca="1" ref="AY102" ca="1">IFERROR(SMALL(IF(COUNTIF(Podcasts!$D$915:'Podcasts'!$D$981,ROW(INDIRECT("1:"&amp;K$2)))=0,ROW(INDIRECT("1:"&amp;K$2))),ROW($A59)),"")</f>
        <v>93</v>
      </c>
      <c r="AZ102" s="445"/>
      <c r="BA102" s="117">
        <f t="array" aca="1" ref="BA102" ca="1">IFERROR(SMALL(IF(COUNTIF(Podcasts!$D$1001:'Podcasts'!$D$1251,ROW(INDIRECT("1:"&amp;K$2)))=0,ROW(INDIRECT("1:"&amp;K$2))),ROW($A59)),"")</f>
        <v>96</v>
      </c>
      <c r="BB102" s="117">
        <f t="array" aca="1" ref="BB102" ca="1">IFERROR(SMALL(IF(COUNTIF(Podcasts!$D$1257:'Podcasts'!$D$1267,ROW(INDIRECT("1:"&amp;K$2)))=0,ROW(INDIRECT("1:"&amp;K$2))),ROW($A59)),"")</f>
        <v>60</v>
      </c>
      <c r="BC102" s="117">
        <f t="array" aca="1" ref="BC102" ca="1">IFERROR(SMALL(IF(COUNTIF(Podcasts!$D$1273:'Podcasts'!$D$1283,ROW(INDIRECT("1:"&amp;K$2)))=0,ROW(INDIRECT("1:"&amp;K$2))),ROW($A59)),"")</f>
        <v>63</v>
      </c>
      <c r="BD102" s="117">
        <f t="array" aca="1" ref="BD102" ca="1">IFERROR(SMALL(IF(COUNTIF(Podcasts!$D$1289:'Podcasts'!$D$1295,ROW(INDIRECT("1:"&amp;K$2)))=0,ROW(INDIRECT("1:"&amp;K$2))),ROW($A59)),"")</f>
        <v>61</v>
      </c>
      <c r="BE102" s="117">
        <f t="array" aca="1" ref="BE102" ca="1">IFERROR(SMALL(IF(COUNTIF(Podcasts!$D$1301:'Podcasts'!$D$1356,ROW(INDIRECT("1:"&amp;K$2)))=0,ROW(INDIRECT("1:"&amp;K$2))),ROW($A59)),"")</f>
        <v>106</v>
      </c>
      <c r="BF102" s="117">
        <f t="array" aca="1" ref="BF102" ca="1">IFERROR(SMALL(IF(COUNTIF(Podcasts!$D$1362:'Podcasts'!$D$1364,ROW(INDIRECT("1:"&amp;K$2)))=0,ROW(INDIRECT("1:"&amp;K$2))),ROW($A59)),"")</f>
        <v>62</v>
      </c>
      <c r="BG102" s="202">
        <f t="array" aca="1" ref="BG102" ca="1">IFERROR(SMALL(IF(COUNTIF(Podcasts!$D$1370:'Podcasts'!$D$1419,ROW(INDIRECT("1:"&amp;K$2)))=0,ROW(INDIRECT("1:"&amp;K$2))),ROW($A59)),"")</f>
        <v>71</v>
      </c>
      <c r="BH102" s="202">
        <f t="array" aca="1" ref="BH102" ca="1">IFERROR(SMALL(IF(COUNTIF(Podcasts!$D$1425:'Podcasts'!$D$1446,ROW(INDIRECT("1:"&amp;K$2)))=0,ROW(INDIRECT("1:"&amp;K$2))),ROW($A59)),"")</f>
        <v>64</v>
      </c>
      <c r="BI102" s="202">
        <f t="array" aca="1" ref="BI102" ca="1">IFERROR(SMALL(IF(COUNTIF(Podcasts!$D$1452:'Podcasts'!$D$1574,ROW(INDIRECT("1:"&amp;K$2)))=0,ROW(INDIRECT("1:"&amp;K$2))),ROW($A59)),"")</f>
        <v>111</v>
      </c>
      <c r="BJ102" s="202">
        <f t="array" aca="1" ref="BJ102" ca="1">IFERROR(SMALL(IF(COUNTIF(Podcasts!$D$1580:'Podcasts'!$D$1705,ROW(INDIRECT("1:"&amp;K$2)))=0,ROW(INDIRECT("1:"&amp;K$2))),ROW($A59)),"")</f>
        <v>111</v>
      </c>
      <c r="BK102" s="202">
        <f t="array" aca="1" ref="BK102" ca="1">IFERROR(SMALL(IF(COUNTIF(Podcasts!$D$1711:'Podcasts'!$D$1833,ROW(INDIRECT("1:"&amp;K$2)))=0,ROW(INDIRECT("1:"&amp;K$2))),ROW($A59)),"")</f>
        <v>99</v>
      </c>
      <c r="BL102" s="202">
        <f t="array" aca="1" ref="BL102" ca="1">IFERROR(SMALL(IF(COUNTIF(Podcasts!$D$1839:'Podcasts'!$D$1855,ROW(INDIRECT("1:"&amp;K$2)))=0,ROW(INDIRECT("1:"&amp;K$2))),ROW($A59)),"")</f>
        <v>65</v>
      </c>
      <c r="BM102" s="567">
        <f t="array" aca="1" ref="BM102" ca="1">IFERROR(SMALL(IF(COUNTIF(Podcasts!$D$1861:'Podcasts'!$D$1994,ROW(INDIRECT("1:"&amp;K$2)))=0,ROW(INDIRECT("1:"&amp;K$2))),ROW($A59)),"")</f>
        <v>80</v>
      </c>
      <c r="BN102" s="567">
        <f t="array" aca="1" ref="BN102" ca="1">IFERROR(SMALL(IF(COUNTIF(Podcasts!$D$2000:'Podcasts'!$D$2057,ROW(INDIRECT("1:"&amp;K$2)))=0,ROW(INDIRECT("1:"&amp;K$2))),ROW($A59)),"")</f>
        <v>114</v>
      </c>
      <c r="BO102" s="567">
        <f t="array" aca="1" ref="BO102" ca="1">IFERROR(SMALL(IF(COUNTIF(Podcasts!$D$2063:'Podcasts'!$D$2071,ROW(INDIRECT("1:"&amp;K$2)))=0,ROW(INDIRECT("1:"&amp;K$2))),ROW($A59)),"")</f>
        <v>59</v>
      </c>
      <c r="BP102" s="202">
        <f t="array" aca="1" ref="BP102" ca="1">IFERROR(SMALL(IF(COUNTIF(Podcasts!$D$2077:'Podcasts'!$D$2092,ROW(INDIRECT("1:"&amp;K$2)))=0,ROW(INDIRECT("1:"&amp;K$2))),ROW($A59)),"")</f>
        <v>69</v>
      </c>
      <c r="BQ102" s="741">
        <f t="array" aca="1" ref="BQ102" ca="1">IFERROR(SMALL(IF(COUNTIF(Podcasts!$D$2098:'Podcasts'!$D$2114,ROW(INDIRECT("1:"&amp;K$2)))=0,ROW(INDIRECT("1:"&amp;K$2))),ROW($A59)),"")</f>
        <v>62</v>
      </c>
      <c r="BR102" s="744">
        <f t="array" aca="1" ref="BR102" ca="1">IFERROR(SMALL(IF(COUNTIF(Podcasts!$D$2120:'Podcasts'!$D$2124,ROW(INDIRECT("1:"&amp;K$2)))=0,ROW(INDIRECT("1:"&amp;K$2))),ROW($A59)),"")</f>
        <v>61</v>
      </c>
      <c r="BS102" s="28"/>
    </row>
    <row r="103" spans="1:71" outlineLevel="1">
      <c r="A103" s="28"/>
      <c r="B103" s="161">
        <v>60</v>
      </c>
      <c r="C103" s="161">
        <f>COUNTIF(Podcasts!$D$10:'Podcasts'!$D$2535,B103)</f>
        <v>2</v>
      </c>
      <c r="D103" s="158" t="s">
        <v>1088</v>
      </c>
      <c r="E103" s="156" t="str">
        <f t="array" ref="E103">IF(F103="","",INDEX(Podcasts!$J$10:'Podcasts'!$J$2535,MATCH(F103&amp;$B103,Podcasts!$E$10:'Podcasts'!$E$2535&amp;Podcasts!$D$10:'Podcasts'!$D$2535,0)))</f>
        <v>Fürst</v>
      </c>
      <c r="F103" s="131">
        <f t="array" ref="F103">IF(COUNTIF(Podcasts!$D$10:'Podcasts'!$D$2535,$B103)&lt;COLUMN(A66),"",SMALL(IF(Podcasts!$D$10:'Podcasts'!$D$2535=$B103,Podcasts!$E$10:'Podcasts'!$E$2535),COLUMN(A66)))</f>
        <v>41839</v>
      </c>
      <c r="G103" s="132">
        <f t="array" ref="G103">IF(F103="","",INDEX(Podcasts!$F$10:'Podcasts'!$F$2535,MATCH(F103&amp;$B103,Podcasts!$E$10:'Podcasts'!$E$2535&amp;Podcasts!$D$10:'Podcasts'!$D$2535,0)))</f>
        <v>4.1087962962962979E-3</v>
      </c>
      <c r="H103" s="136" t="str">
        <f t="array" ref="H103">IF(I103="","",INDEX(Podcasts!$J$10:'Podcasts'!$J$2535,MATCH(I103&amp;$B103,Podcasts!$E$10:'Podcasts'!$E$2535&amp;Podcasts!$D$10:'Podcasts'!$D$2535,0)))</f>
        <v>Kuchen</v>
      </c>
      <c r="I103" s="133">
        <f t="array" ref="I103">IF(COUNTIF(Podcasts!$D$10:'Podcasts'!$D$2535,$B103)&lt;COLUMN(B66),"",SMALL(IF(Podcasts!$D$10:'Podcasts'!$D$2535=$B103,Podcasts!$E$10:'Podcasts'!$E$2535),COLUMN(B66)))</f>
        <v>45116</v>
      </c>
      <c r="J103" s="132">
        <f t="array" ref="J103">IF(I103="","",INDEX(Podcasts!$F$10:'Podcasts'!$F$2535,MATCH(I103&amp;$B103,Podcasts!$E$10:'Podcasts'!$E$2535&amp;Podcasts!$D$10:'Podcasts'!$D$2535,0)))</f>
        <v>3.9212962962962963E-2</v>
      </c>
      <c r="K103" s="136" t="str">
        <f t="array" ref="K103">IF(L103="","",INDEX(Podcasts!$J$10:'Podcasts'!$J$2535,MATCH(L103&amp;$B103,Podcasts!$E$10:'Podcasts'!$E$2535&amp;Podcasts!$D$10:'Podcasts'!$D$2535,0)))</f>
        <v/>
      </c>
      <c r="L103" s="133" t="str">
        <f t="array" ref="L103">IF(COUNTIF(Podcasts!$D$10:'Podcasts'!$D$2535,$B103)&lt;COLUMN(C66),"",SMALL(IF(Podcasts!$D$10:'Podcasts'!$D$2535=$B103,Podcasts!$E$10:'Podcasts'!$E$2535),COLUMN(C66)))</f>
        <v/>
      </c>
      <c r="M103" s="132" t="str">
        <f t="array" ref="M103">IF(L103="","",INDEX(Podcasts!$F$10:'Podcasts'!$F$2535,MATCH(L103&amp;$B103,Podcasts!$E$10:'Podcasts'!$E$2535&amp;Podcasts!$D$10:'Podcasts'!$D$2535,0)))</f>
        <v/>
      </c>
      <c r="N103" s="136" t="str">
        <f t="array" ref="N103">IF(O103="","",INDEX(Podcasts!$J$10:'Podcasts'!$J$2535,MATCH(O103&amp;$B103,Podcasts!$E$10:'Podcasts'!$E$2535&amp;Podcasts!$D$10:'Podcasts'!$D$2535,0)))</f>
        <v/>
      </c>
      <c r="O103" s="133" t="str">
        <f t="array" ref="O103">IF(COUNTIF(Podcasts!$D$10:'Podcasts'!$D$2535,$B103)&lt;COLUMN(D66),"",SMALL(IF(Podcasts!$D$10:'Podcasts'!$D$2535=$B103,Podcasts!$E$10:'Podcasts'!$E$2535),COLUMN(D66)))</f>
        <v/>
      </c>
      <c r="P103" s="132" t="str">
        <f t="array" ref="P103">IF(O103="","",INDEX(Podcasts!$F$10:'Podcasts'!$F$2535,MATCH(O103&amp;$B103,Podcasts!$E$10:'Podcasts'!$E$2535&amp;Podcasts!$D$10:'Podcasts'!$D$2535,0)))</f>
        <v/>
      </c>
      <c r="Q103" s="136" t="str">
        <f t="array" ref="Q103">IF(R103="","",INDEX(Podcasts!$J$10:'Podcasts'!$J$2535,MATCH(R103&amp;$B103,Podcasts!$E$10:'Podcasts'!$E$2535&amp;Podcasts!$D$10:'Podcasts'!$D$2535,0)))</f>
        <v/>
      </c>
      <c r="R103" s="133" t="str">
        <f t="array" ref="R103">IF(COUNTIF(Podcasts!$D$10:'Podcasts'!$D$2535,$B103)&lt;COLUMN(E66),"",SMALL(IF(Podcasts!$D$10:'Podcasts'!$D$2535=$B103,Podcasts!$E$10:'Podcasts'!$E$2535),COLUMN(E66)))</f>
        <v/>
      </c>
      <c r="S103" s="132" t="str">
        <f t="array" ref="S103">IF(R103="","",INDEX(Podcasts!$F$10:'Podcasts'!$F$2535,MATCH(R103&amp;$B103,Podcasts!$E$10:'Podcasts'!$E$2535&amp;Podcasts!$D$10:'Podcasts'!$D$2535,0)))</f>
        <v/>
      </c>
      <c r="T103" s="136" t="str">
        <f t="array" ref="T103">IF(U103="","",INDEX(Podcasts!$J$10:'Podcasts'!$J$2535,MATCH(U103&amp;$B103,Podcasts!$E$10:'Podcasts'!$E$2535&amp;Podcasts!$D$10:'Podcasts'!$D$2535,0)))</f>
        <v/>
      </c>
      <c r="U103" s="133" t="str">
        <f t="array" ref="U103">IF(COUNTIF(Podcasts!$D$10:'Podcasts'!$D$2535,$B103)&lt;COLUMN(F66),"",SMALL(IF(Podcasts!$D$10:'Podcasts'!$D$2535=$B103,Podcasts!$E$10:'Podcasts'!$E$2535),COLUMN(F66)))</f>
        <v/>
      </c>
      <c r="V103" s="132" t="str">
        <f t="array" ref="V103">IF(U103="","",INDEX(Podcasts!$F$10:'Podcasts'!$F$2535,MATCH(U103&amp;$B103,Podcasts!$E$10:'Podcasts'!$E$2535&amp;Podcasts!$D$10:'Podcasts'!$D$2535,0)))</f>
        <v/>
      </c>
      <c r="W103" s="136" t="str">
        <f t="array" ref="W103">IF(X103="","",INDEX(Podcasts!$J$10:'Podcasts'!$J$2535,MATCH(X103&amp;$B103,Podcasts!$E$10:'Podcasts'!$E$2535&amp;Podcasts!$D$10:'Podcasts'!$D$2535,0)))</f>
        <v/>
      </c>
      <c r="X103" s="133" t="str">
        <f t="array" ref="X103">IF(COUNTIF(Podcasts!$D$10:'Podcasts'!$D$2535,$B103)&lt;COLUMN(G66),"",SMALL(IF(Podcasts!$D$10:'Podcasts'!$D$2535=$B103,Podcasts!$E$10:'Podcasts'!$E$2535),COLUMN(G66)))</f>
        <v/>
      </c>
      <c r="Y103" s="132" t="str">
        <f t="array" ref="Y103">IF(X103="","",INDEX(Podcasts!$F$10:'Podcasts'!$F$2535,MATCH(X103&amp;$B103,Podcasts!$E$10:'Podcasts'!$E$2535&amp;Podcasts!$D$10:'Podcasts'!$D$2535,0)))</f>
        <v/>
      </c>
      <c r="Z103" s="136" t="str">
        <f t="array" ref="Z103">IF(AA103="","",INDEX(Podcasts!$J$10:'Podcasts'!$J$2535,MATCH(AA103&amp;$B103,Podcasts!$E$10:'Podcasts'!$E$2535&amp;Podcasts!$D$10:'Podcasts'!$D$2535,0)))</f>
        <v/>
      </c>
      <c r="AA103" s="134" t="str">
        <f t="array" ref="AA103">IF(COUNTIF(Podcasts!$D$10:'Podcasts'!$D$2535,$B103)&lt;COLUMN(H66),"",SMALL(IF(Podcasts!$D$10:'Podcasts'!$D$2535=$B103,Podcasts!$E$10:'Podcasts'!$E$2535),COLUMN(H66)))</f>
        <v/>
      </c>
      <c r="AB103" s="404" t="str">
        <f t="array" ref="AB103">IF(AA103="","",INDEX(Podcasts!$F$10:'Podcasts'!$F$2535,MATCH(AA103&amp;$B103,Podcasts!$E$10:'Podcasts'!$E$2535&amp;Podcasts!$D$10:'Podcasts'!$D$2535,0)))</f>
        <v/>
      </c>
      <c r="AC103" s="406" t="str">
        <f t="array" ref="AC103">IF(AD103="","",INDEX(Podcasts!$J$10:'Podcasts'!$J$2535,MATCH(AD103&amp;$B103,Podcasts!$E$10:'Podcasts'!$E$2535&amp;Podcasts!$D$10:'Podcasts'!$D$2535,0)))</f>
        <v/>
      </c>
      <c r="AD103" s="400" t="str">
        <f t="array" ref="AD103">IF(COUNTIF(Podcasts!$D$10:'Podcasts'!$D$2535,$B103)&lt;COLUMN(I66),"",SMALL(IF(Podcasts!$D$10:'Podcasts'!$D$2535=$B103,Podcasts!$E$10:'Podcasts'!$E$2535),COLUMN(I66)))</f>
        <v/>
      </c>
      <c r="AE103" s="401" t="str">
        <f t="array" ref="AE103">IF(AD103="","",INDEX(Podcasts!$F$10:'Podcasts'!$F$2535,MATCH(AD103&amp;$B103,Podcasts!$E$10:'Podcasts'!$E$2535&amp;Podcasts!$D$10:'Podcasts'!$D$2535,0)))</f>
        <v/>
      </c>
      <c r="AF103" s="406" t="str">
        <f t="array" ref="AF103">IF(AG103="","",INDEX(Podcasts!$J$10:'Podcasts'!$J$2535,MATCH(AG103&amp;$B103,Podcasts!$E$10:'Podcasts'!$E$2535&amp;Podcasts!$D$10:'Podcasts'!$D$2535,0)))</f>
        <v/>
      </c>
      <c r="AG103" s="400" t="str">
        <f t="array" ref="AG103">IF(COUNTIF(Podcasts!$D$10:'Podcasts'!$D$2535,$B103)&lt;COLUMN(J66),"",SMALL(IF(Podcasts!$D$10:'Podcasts'!$D$2535=$B103,Podcasts!$E$10:'Podcasts'!$E$2535),COLUMN(J66)))</f>
        <v/>
      </c>
      <c r="AH103" s="401" t="str">
        <f t="array" ref="AH103">IF(AG103="","",INDEX(Podcasts!$F$10:'Podcasts'!$F$2535,MATCH(AG103&amp;$B103,Podcasts!$E$10:'Podcasts'!$E$2535&amp;Podcasts!$D$10:'Podcasts'!$D$2535,0)))</f>
        <v/>
      </c>
      <c r="AI103" s="406" t="str">
        <f t="array" ref="AI103">IF(AJ103="","",INDEX(Podcasts!$J$10:'Podcasts'!$J$2535,MATCH(AJ103&amp;$B103,Podcasts!$E$10:'Podcasts'!$E$2535&amp;Podcasts!$D$10:'Podcasts'!$D$2535,0)))</f>
        <v/>
      </c>
      <c r="AJ103" s="400" t="str">
        <f t="array" ref="AJ103">IF(COUNTIF(Podcasts!$D$10:'Podcasts'!$D$2535,$B103)&lt;COLUMN(K66),"",SMALL(IF(Podcasts!$D$10:'Podcasts'!$D$2535=$B103,Podcasts!$E$10:'Podcasts'!$E$2535),COLUMN(K66)))</f>
        <v/>
      </c>
      <c r="AK103" s="401" t="str">
        <f t="array" ref="AK103">IF(AJ103="","",INDEX(Podcasts!$F$10:'Podcasts'!$F$2535,MATCH(AJ103&amp;$B103,Podcasts!$E$10:'Podcasts'!$E$2535&amp;Podcasts!$D$10:'Podcasts'!$D$2535,0)))</f>
        <v/>
      </c>
      <c r="AL103" s="406" t="str">
        <f t="array" ref="AL103">IF(AM103="","",INDEX(Podcasts!$J$10:'Podcasts'!$J$2535,MATCH(AM103&amp;$B103,Podcasts!$E$10:'Podcasts'!$E$2535&amp;Podcasts!$D$10:'Podcasts'!$D$2535,0)))</f>
        <v/>
      </c>
      <c r="AM103" s="400" t="str">
        <f t="array" ref="AM103">IF(COUNTIF(Podcasts!$D$10:'Podcasts'!$D$2535,$B103)&lt;COLUMN(L66),"",SMALL(IF(Podcasts!$D$10:'Podcasts'!$D$2535=$B103,Podcasts!$E$10:'Podcasts'!$E$2535),COLUMN(L66)))</f>
        <v/>
      </c>
      <c r="AN103" s="401" t="str">
        <f t="array" ref="AN103">IF(AM103="","",INDEX(Podcasts!$F$10:'Podcasts'!$F$2535,MATCH(AM103&amp;$B103,Podcasts!$E$10:'Podcasts'!$E$2535&amp;Podcasts!$D$10:'Podcasts'!$D$2535,0)))</f>
        <v/>
      </c>
      <c r="AO103" s="402"/>
      <c r="AP103" s="119"/>
      <c r="AQ103" s="117">
        <f t="array" aca="1" ref="AQ103" ca="1">IFERROR(SMALL(IF(COUNTIF(Podcasts!$D$10:'Podcasts'!$D$107,ROW(INDIRECT("1:"&amp;K$2)))=0,ROW(INDIRECT("1:"&amp;K$2))),ROW($A60)),"")</f>
        <v>82</v>
      </c>
      <c r="AR103" s="117">
        <f t="array" aca="1" ref="AR103" ca="1">IFERROR(SMALL(IF(COUNTIF(Podcasts!$D$113:'Podcasts'!$D$238,ROW(INDIRECT("1:"&amp;K$2)))=0,ROW(INDIRECT("1:"&amp;K$2))),ROW($A60)),"")</f>
        <v>60</v>
      </c>
      <c r="AS103" s="117">
        <f t="array" aca="1" ref="AS103" ca="1">IFERROR(SMALL(IF(COUNTIF(Podcasts!$D$244:'Podcasts'!$D$299,ROW(INDIRECT("1:"&amp;K$2)))=0,ROW(INDIRECT("1:"&amp;K$2))),ROW($A60)),"")</f>
        <v>77</v>
      </c>
      <c r="AT103" s="117">
        <f t="array" aca="1" ref="AT103" ca="1">IFERROR(SMALL(IF(COUNTIF(Podcasts!$D$305:'Podcasts'!$D$473,ROW(INDIRECT("1:"&amp;K$2)))=0,ROW(INDIRECT("1:"&amp;K$2))),ROW($A60)),"")</f>
        <v>195</v>
      </c>
      <c r="AU103" s="117">
        <f t="array" aca="1" ref="AU103" ca="1">IFERROR(SMALL(IF(COUNTIF(Podcasts!$D$479:'Podcasts'!$D$488,ROW(INDIRECT("1:"&amp;K$2)))=0,ROW(INDIRECT("1:"&amp;K$2))),ROW($A60)),"")</f>
        <v>60</v>
      </c>
      <c r="AV103" s="117">
        <f t="array" aca="1" ref="AV103" ca="1">IFERROR(SMALL(IF(COUNTIF(Podcasts!$D$494:'Podcasts'!$D$518,ROW(INDIRECT("1:"&amp;K$2)))=0,ROW(INDIRECT("1:"&amp;K$2))),ROW($A60)),"")</f>
        <v>77</v>
      </c>
      <c r="AW103" s="117">
        <f t="array" aca="1" ref="AW103" ca="1">IFERROR(SMALL(IF(COUNTIF(Podcasts!$D$524:'Podcasts'!$D$532,ROW(INDIRECT("1:"&amp;K$2)))=0,ROW(INDIRECT("1:"&amp;K$2))),ROW($A60)),"")</f>
        <v>60</v>
      </c>
      <c r="AX103" s="117">
        <f t="array" aca="1" ref="AX103" ca="1">IFERROR(SMALL(IF(COUNTIF(Podcasts!$D$538:'Podcasts'!$D$909,ROW(INDIRECT("1:"&amp;K$2)))=0,ROW(INDIRECT("1:"&amp;K$2))),ROW($A60)),"")</f>
        <v>171</v>
      </c>
      <c r="AY103" s="117">
        <f t="array" aca="1" ref="AY103" ca="1">IFERROR(SMALL(IF(COUNTIF(Podcasts!$D$915:'Podcasts'!$D$981,ROW(INDIRECT("1:"&amp;K$2)))=0,ROW(INDIRECT("1:"&amp;K$2))),ROW($A60)),"")</f>
        <v>94</v>
      </c>
      <c r="AZ103" s="445"/>
      <c r="BA103" s="117">
        <f t="array" aca="1" ref="BA103" ca="1">IFERROR(SMALL(IF(COUNTIF(Podcasts!$D$1001:'Podcasts'!$D$1251,ROW(INDIRECT("1:"&amp;K$2)))=0,ROW(INDIRECT("1:"&amp;K$2))),ROW($A60)),"")</f>
        <v>98</v>
      </c>
      <c r="BB103" s="117">
        <f t="array" aca="1" ref="BB103" ca="1">IFERROR(SMALL(IF(COUNTIF(Podcasts!$D$1257:'Podcasts'!$D$1267,ROW(INDIRECT("1:"&amp;K$2)))=0,ROW(INDIRECT("1:"&amp;K$2))),ROW($A60)),"")</f>
        <v>61</v>
      </c>
      <c r="BC103" s="117">
        <f t="array" aca="1" ref="BC103" ca="1">IFERROR(SMALL(IF(COUNTIF(Podcasts!$D$1273:'Podcasts'!$D$1283,ROW(INDIRECT("1:"&amp;K$2)))=0,ROW(INDIRECT("1:"&amp;K$2))),ROW($A60)),"")</f>
        <v>64</v>
      </c>
      <c r="BD103" s="117">
        <f t="array" aca="1" ref="BD103" ca="1">IFERROR(SMALL(IF(COUNTIF(Podcasts!$D$1289:'Podcasts'!$D$1295,ROW(INDIRECT("1:"&amp;K$2)))=0,ROW(INDIRECT("1:"&amp;K$2))),ROW($A60)),"")</f>
        <v>62</v>
      </c>
      <c r="BE103" s="117">
        <f t="array" aca="1" ref="BE103" ca="1">IFERROR(SMALL(IF(COUNTIF(Podcasts!$D$1301:'Podcasts'!$D$1356,ROW(INDIRECT("1:"&amp;K$2)))=0,ROW(INDIRECT("1:"&amp;K$2))),ROW($A60)),"")</f>
        <v>107</v>
      </c>
      <c r="BF103" s="117">
        <f t="array" aca="1" ref="BF103" ca="1">IFERROR(SMALL(IF(COUNTIF(Podcasts!$D$1362:'Podcasts'!$D$1364,ROW(INDIRECT("1:"&amp;K$2)))=0,ROW(INDIRECT("1:"&amp;K$2))),ROW($A60)),"")</f>
        <v>63</v>
      </c>
      <c r="BG103" s="202">
        <f t="array" aca="1" ref="BG103" ca="1">IFERROR(SMALL(IF(COUNTIF(Podcasts!$D$1370:'Podcasts'!$D$1419,ROW(INDIRECT("1:"&amp;K$2)))=0,ROW(INDIRECT("1:"&amp;K$2))),ROW($A60)),"")</f>
        <v>72</v>
      </c>
      <c r="BH103" s="202">
        <f t="array" aca="1" ref="BH103" ca="1">IFERROR(SMALL(IF(COUNTIF(Podcasts!$D$1425:'Podcasts'!$D$1446,ROW(INDIRECT("1:"&amp;K$2)))=0,ROW(INDIRECT("1:"&amp;K$2))),ROW($A60)),"")</f>
        <v>65</v>
      </c>
      <c r="BI103" s="202">
        <f t="array" aca="1" ref="BI103" ca="1">IFERROR(SMALL(IF(COUNTIF(Podcasts!$D$1452:'Podcasts'!$D$1574,ROW(INDIRECT("1:"&amp;K$2)))=0,ROW(INDIRECT("1:"&amp;K$2))),ROW($A60)),"")</f>
        <v>112</v>
      </c>
      <c r="BJ103" s="202">
        <f t="array" aca="1" ref="BJ103" ca="1">IFERROR(SMALL(IF(COUNTIF(Podcasts!$D$1580:'Podcasts'!$D$1705,ROW(INDIRECT("1:"&amp;K$2)))=0,ROW(INDIRECT("1:"&amp;K$2))),ROW($A60)),"")</f>
        <v>112</v>
      </c>
      <c r="BK103" s="202">
        <f t="array" aca="1" ref="BK103" ca="1">IFERROR(SMALL(IF(COUNTIF(Podcasts!$D$1711:'Podcasts'!$D$1833,ROW(INDIRECT("1:"&amp;K$2)))=0,ROW(INDIRECT("1:"&amp;K$2))),ROW($A60)),"")</f>
        <v>100</v>
      </c>
      <c r="BL103" s="202">
        <f t="array" aca="1" ref="BL103" ca="1">IFERROR(SMALL(IF(COUNTIF(Podcasts!$D$1839:'Podcasts'!$D$1855,ROW(INDIRECT("1:"&amp;K$2)))=0,ROW(INDIRECT("1:"&amp;K$2))),ROW($A60)),"")</f>
        <v>66</v>
      </c>
      <c r="BM103" s="567">
        <f t="array" aca="1" ref="BM103" ca="1">IFERROR(SMALL(IF(COUNTIF(Podcasts!$D$1861:'Podcasts'!$D$1994,ROW(INDIRECT("1:"&amp;K$2)))=0,ROW(INDIRECT("1:"&amp;K$2))),ROW($A60)),"")</f>
        <v>81</v>
      </c>
      <c r="BN103" s="567">
        <f t="array" aca="1" ref="BN103" ca="1">IFERROR(SMALL(IF(COUNTIF(Podcasts!$D$2000:'Podcasts'!$D$2057,ROW(INDIRECT("1:"&amp;K$2)))=0,ROW(INDIRECT("1:"&amp;K$2))),ROW($A60)),"")</f>
        <v>115</v>
      </c>
      <c r="BO103" s="567">
        <f t="array" aca="1" ref="BO103" ca="1">IFERROR(SMALL(IF(COUNTIF(Podcasts!$D$2063:'Podcasts'!$D$2071,ROW(INDIRECT("1:"&amp;K$2)))=0,ROW(INDIRECT("1:"&amp;K$2))),ROW($A60)),"")</f>
        <v>60</v>
      </c>
      <c r="BP103" s="202">
        <f t="array" aca="1" ref="BP103" ca="1">IFERROR(SMALL(IF(COUNTIF(Podcasts!$D$2077:'Podcasts'!$D$2092,ROW(INDIRECT("1:"&amp;K$2)))=0,ROW(INDIRECT("1:"&amp;K$2))),ROW($A60)),"")</f>
        <v>70</v>
      </c>
      <c r="BQ103" s="741">
        <f t="array" aca="1" ref="BQ103" ca="1">IFERROR(SMALL(IF(COUNTIF(Podcasts!$D$2098:'Podcasts'!$D$2114,ROW(INDIRECT("1:"&amp;K$2)))=0,ROW(INDIRECT("1:"&amp;K$2))),ROW($A60)),"")</f>
        <v>63</v>
      </c>
      <c r="BR103" s="744">
        <f t="array" aca="1" ref="BR103" ca="1">IFERROR(SMALL(IF(COUNTIF(Podcasts!$D$2120:'Podcasts'!$D$2124,ROW(INDIRECT("1:"&amp;K$2)))=0,ROW(INDIRECT("1:"&amp;K$2))),ROW($A60)),"")</f>
        <v>62</v>
      </c>
      <c r="BS103" s="28"/>
    </row>
    <row r="104" spans="1:71" outlineLevel="1">
      <c r="A104" s="28"/>
      <c r="B104" s="161">
        <v>61</v>
      </c>
      <c r="C104" s="161">
        <f>COUNTIF(Podcasts!$D$10:'Podcasts'!$D$2535,B104)</f>
        <v>4</v>
      </c>
      <c r="D104" s="158" t="s">
        <v>1089</v>
      </c>
      <c r="E104" s="156" t="str">
        <f t="array" ref="E104">IF(F104="","",INDEX(Podcasts!$J$10:'Podcasts'!$J$2535,MATCH(F104&amp;$B104,Podcasts!$E$10:'Podcasts'!$E$2535&amp;Podcasts!$D$10:'Podcasts'!$D$2535,0)))</f>
        <v>Fürst</v>
      </c>
      <c r="F104" s="131">
        <f t="array" ref="F104">IF(COUNTIF(Podcasts!$D$10:'Podcasts'!$D$2535,$B104)&lt;COLUMN(A67),"",SMALL(IF(Podcasts!$D$10:'Podcasts'!$D$2535=$B104,Podcasts!$E$10:'Podcasts'!$E$2535),COLUMN(A67)))</f>
        <v>42106</v>
      </c>
      <c r="G104" s="132">
        <f t="array" ref="G104">IF(F104="","",INDEX(Podcasts!$F$10:'Podcasts'!$F$2535,MATCH(F104&amp;$B104,Podcasts!$E$10:'Podcasts'!$E$2535&amp;Podcasts!$D$10:'Podcasts'!$D$2535,0)))</f>
        <v>1.3888888888888888E-2</v>
      </c>
      <c r="H104" s="136" t="str">
        <f t="array" ref="H104">IF(I104="","",INDEX(Podcasts!$J$10:'Podcasts'!$J$2535,MATCH(I104&amp;$B104,Podcasts!$E$10:'Podcasts'!$E$2535&amp;Podcasts!$D$10:'Podcasts'!$D$2535,0)))</f>
        <v>SSP</v>
      </c>
      <c r="I104" s="133">
        <f t="array" ref="I104">IF(COUNTIF(Podcasts!$D$10:'Podcasts'!$D$2535,$B104)&lt;COLUMN(B67),"",SMALL(IF(Podcasts!$D$10:'Podcasts'!$D$2535=$B104,Podcasts!$E$10:'Podcasts'!$E$2535),COLUMN(B67)))</f>
        <v>44739</v>
      </c>
      <c r="J104" s="132">
        <f t="array" ref="J104">IF(I104="","",INDEX(Podcasts!$F$10:'Podcasts'!$F$2535,MATCH(I104&amp;$B104,Podcasts!$E$10:'Podcasts'!$E$2535&amp;Podcasts!$D$10:'Podcasts'!$D$2535,0)))</f>
        <v>0.10363425925925925</v>
      </c>
      <c r="K104" s="136" t="str">
        <f t="array" ref="K104">IF(L104="","",INDEX(Podcasts!$J$10:'Podcasts'!$J$2535,MATCH(L104&amp;$B104,Podcasts!$E$10:'Podcasts'!$E$2535&amp;Podcasts!$D$10:'Podcasts'!$D$2535,0)))</f>
        <v>Kuchen</v>
      </c>
      <c r="L104" s="133">
        <f t="array" ref="L104">IF(COUNTIF(Podcasts!$D$10:'Podcasts'!$D$2535,$B104)&lt;COLUMN(C67),"",SMALL(IF(Podcasts!$D$10:'Podcasts'!$D$2535=$B104,Podcasts!$E$10:'Podcasts'!$E$2535),COLUMN(C67)))</f>
        <v>44752</v>
      </c>
      <c r="M104" s="132">
        <f t="array" ref="M104">IF(L104="","",INDEX(Podcasts!$F$10:'Podcasts'!$F$2535,MATCH(L104&amp;$B104,Podcasts!$E$10:'Podcasts'!$E$2535&amp;Podcasts!$D$10:'Podcasts'!$D$2535,0)))</f>
        <v>8.413194444444444E-2</v>
      </c>
      <c r="N104" s="136" t="str">
        <f t="array" ref="N104">IF(O104="","",INDEX(Podcasts!$J$10:'Podcasts'!$J$2535,MATCH(O104&amp;$B104,Podcasts!$E$10:'Podcasts'!$E$2535&amp;Podcasts!$D$10:'Podcasts'!$D$2535,0)))</f>
        <v>Zw3i</v>
      </c>
      <c r="O104" s="133">
        <f t="array" ref="O104">IF(COUNTIF(Podcasts!$D$10:'Podcasts'!$D$2535,$B104)&lt;COLUMN(D67),"",SMALL(IF(Podcasts!$D$10:'Podcasts'!$D$2535=$B104,Podcasts!$E$10:'Podcasts'!$E$2535),COLUMN(D67)))</f>
        <v>45184</v>
      </c>
      <c r="P104" s="132">
        <f t="array" ref="P104">IF(O104="","",INDEX(Podcasts!$F$10:'Podcasts'!$F$2535,MATCH(O104&amp;$B104,Podcasts!$E$10:'Podcasts'!$E$2535&amp;Podcasts!$D$10:'Podcasts'!$D$2535,0)))</f>
        <v>0.11958333333333333</v>
      </c>
      <c r="Q104" s="136" t="str">
        <f t="array" ref="Q104">IF(R104="","",INDEX(Podcasts!$J$10:'Podcasts'!$J$2535,MATCH(R104&amp;$B104,Podcasts!$E$10:'Podcasts'!$E$2535&amp;Podcasts!$D$10:'Podcasts'!$D$2535,0)))</f>
        <v/>
      </c>
      <c r="R104" s="133" t="str">
        <f t="array" ref="R104">IF(COUNTIF(Podcasts!$D$10:'Podcasts'!$D$2535,$B104)&lt;COLUMN(E67),"",SMALL(IF(Podcasts!$D$10:'Podcasts'!$D$2535=$B104,Podcasts!$E$10:'Podcasts'!$E$2535),COLUMN(E67)))</f>
        <v/>
      </c>
      <c r="S104" s="132" t="str">
        <f t="array" ref="S104">IF(R104="","",INDEX(Podcasts!$F$10:'Podcasts'!$F$2535,MATCH(R104&amp;$B104,Podcasts!$E$10:'Podcasts'!$E$2535&amp;Podcasts!$D$10:'Podcasts'!$D$2535,0)))</f>
        <v/>
      </c>
      <c r="T104" s="136" t="str">
        <f t="array" ref="T104">IF(U104="","",INDEX(Podcasts!$J$10:'Podcasts'!$J$2535,MATCH(U104&amp;$B104,Podcasts!$E$10:'Podcasts'!$E$2535&amp;Podcasts!$D$10:'Podcasts'!$D$2535,0)))</f>
        <v/>
      </c>
      <c r="U104" s="133" t="str">
        <f t="array" ref="U104">IF(COUNTIF(Podcasts!$D$10:'Podcasts'!$D$2535,$B104)&lt;COLUMN(F67),"",SMALL(IF(Podcasts!$D$10:'Podcasts'!$D$2535=$B104,Podcasts!$E$10:'Podcasts'!$E$2535),COLUMN(F67)))</f>
        <v/>
      </c>
      <c r="V104" s="132" t="str">
        <f t="array" ref="V104">IF(U104="","",INDEX(Podcasts!$F$10:'Podcasts'!$F$2535,MATCH(U104&amp;$B104,Podcasts!$E$10:'Podcasts'!$E$2535&amp;Podcasts!$D$10:'Podcasts'!$D$2535,0)))</f>
        <v/>
      </c>
      <c r="W104" s="136" t="str">
        <f t="array" ref="W104">IF(X104="","",INDEX(Podcasts!$J$10:'Podcasts'!$J$2535,MATCH(X104&amp;$B104,Podcasts!$E$10:'Podcasts'!$E$2535&amp;Podcasts!$D$10:'Podcasts'!$D$2535,0)))</f>
        <v/>
      </c>
      <c r="X104" s="133" t="str">
        <f t="array" ref="X104">IF(COUNTIF(Podcasts!$D$10:'Podcasts'!$D$2535,$B104)&lt;COLUMN(G67),"",SMALL(IF(Podcasts!$D$10:'Podcasts'!$D$2535=$B104,Podcasts!$E$10:'Podcasts'!$E$2535),COLUMN(G67)))</f>
        <v/>
      </c>
      <c r="Y104" s="132" t="str">
        <f t="array" ref="Y104">IF(X104="","",INDEX(Podcasts!$F$10:'Podcasts'!$F$2535,MATCH(X104&amp;$B104,Podcasts!$E$10:'Podcasts'!$E$2535&amp;Podcasts!$D$10:'Podcasts'!$D$2535,0)))</f>
        <v/>
      </c>
      <c r="Z104" s="136" t="str">
        <f t="array" ref="Z104">IF(AA104="","",INDEX(Podcasts!$J$10:'Podcasts'!$J$2535,MATCH(AA104&amp;$B104,Podcasts!$E$10:'Podcasts'!$E$2535&amp;Podcasts!$D$10:'Podcasts'!$D$2535,0)))</f>
        <v/>
      </c>
      <c r="AA104" s="134" t="str">
        <f t="array" ref="AA104">IF(COUNTIF(Podcasts!$D$10:'Podcasts'!$D$2535,$B104)&lt;COLUMN(H67),"",SMALL(IF(Podcasts!$D$10:'Podcasts'!$D$2535=$B104,Podcasts!$E$10:'Podcasts'!$E$2535),COLUMN(H67)))</f>
        <v/>
      </c>
      <c r="AB104" s="404" t="str">
        <f t="array" ref="AB104">IF(AA104="","",INDEX(Podcasts!$F$10:'Podcasts'!$F$2535,MATCH(AA104&amp;$B104,Podcasts!$E$10:'Podcasts'!$E$2535&amp;Podcasts!$D$10:'Podcasts'!$D$2535,0)))</f>
        <v/>
      </c>
      <c r="AC104" s="406" t="str">
        <f t="array" ref="AC104">IF(AD104="","",INDEX(Podcasts!$J$10:'Podcasts'!$J$2535,MATCH(AD104&amp;$B104,Podcasts!$E$10:'Podcasts'!$E$2535&amp;Podcasts!$D$10:'Podcasts'!$D$2535,0)))</f>
        <v/>
      </c>
      <c r="AD104" s="400" t="str">
        <f t="array" ref="AD104">IF(COUNTIF(Podcasts!$D$10:'Podcasts'!$D$2535,$B104)&lt;COLUMN(I67),"",SMALL(IF(Podcasts!$D$10:'Podcasts'!$D$2535=$B104,Podcasts!$E$10:'Podcasts'!$E$2535),COLUMN(I67)))</f>
        <v/>
      </c>
      <c r="AE104" s="401" t="str">
        <f t="array" ref="AE104">IF(AD104="","",INDEX(Podcasts!$F$10:'Podcasts'!$F$2535,MATCH(AD104&amp;$B104,Podcasts!$E$10:'Podcasts'!$E$2535&amp;Podcasts!$D$10:'Podcasts'!$D$2535,0)))</f>
        <v/>
      </c>
      <c r="AF104" s="406" t="str">
        <f t="array" ref="AF104">IF(AG104="","",INDEX(Podcasts!$J$10:'Podcasts'!$J$2535,MATCH(AG104&amp;$B104,Podcasts!$E$10:'Podcasts'!$E$2535&amp;Podcasts!$D$10:'Podcasts'!$D$2535,0)))</f>
        <v/>
      </c>
      <c r="AG104" s="400" t="str">
        <f t="array" ref="AG104">IF(COUNTIF(Podcasts!$D$10:'Podcasts'!$D$2535,$B104)&lt;COLUMN(J67),"",SMALL(IF(Podcasts!$D$10:'Podcasts'!$D$2535=$B104,Podcasts!$E$10:'Podcasts'!$E$2535),COLUMN(J67)))</f>
        <v/>
      </c>
      <c r="AH104" s="401" t="str">
        <f t="array" ref="AH104">IF(AG104="","",INDEX(Podcasts!$F$10:'Podcasts'!$F$2535,MATCH(AG104&amp;$B104,Podcasts!$E$10:'Podcasts'!$E$2535&amp;Podcasts!$D$10:'Podcasts'!$D$2535,0)))</f>
        <v/>
      </c>
      <c r="AI104" s="406" t="str">
        <f t="array" ref="AI104">IF(AJ104="","",INDEX(Podcasts!$J$10:'Podcasts'!$J$2535,MATCH(AJ104&amp;$B104,Podcasts!$E$10:'Podcasts'!$E$2535&amp;Podcasts!$D$10:'Podcasts'!$D$2535,0)))</f>
        <v/>
      </c>
      <c r="AJ104" s="400" t="str">
        <f t="array" ref="AJ104">IF(COUNTIF(Podcasts!$D$10:'Podcasts'!$D$2535,$B104)&lt;COLUMN(K67),"",SMALL(IF(Podcasts!$D$10:'Podcasts'!$D$2535=$B104,Podcasts!$E$10:'Podcasts'!$E$2535),COLUMN(K67)))</f>
        <v/>
      </c>
      <c r="AK104" s="401" t="str">
        <f t="array" ref="AK104">IF(AJ104="","",INDEX(Podcasts!$F$10:'Podcasts'!$F$2535,MATCH(AJ104&amp;$B104,Podcasts!$E$10:'Podcasts'!$E$2535&amp;Podcasts!$D$10:'Podcasts'!$D$2535,0)))</f>
        <v/>
      </c>
      <c r="AL104" s="406" t="str">
        <f t="array" ref="AL104">IF(AM104="","",INDEX(Podcasts!$J$10:'Podcasts'!$J$2535,MATCH(AM104&amp;$B104,Podcasts!$E$10:'Podcasts'!$E$2535&amp;Podcasts!$D$10:'Podcasts'!$D$2535,0)))</f>
        <v/>
      </c>
      <c r="AM104" s="400" t="str">
        <f t="array" ref="AM104">IF(COUNTIF(Podcasts!$D$10:'Podcasts'!$D$2535,$B104)&lt;COLUMN(L67),"",SMALL(IF(Podcasts!$D$10:'Podcasts'!$D$2535=$B104,Podcasts!$E$10:'Podcasts'!$E$2535),COLUMN(L67)))</f>
        <v/>
      </c>
      <c r="AN104" s="401" t="str">
        <f t="array" ref="AN104">IF(AM104="","",INDEX(Podcasts!$F$10:'Podcasts'!$F$2535,MATCH(AM104&amp;$B104,Podcasts!$E$10:'Podcasts'!$E$2535&amp;Podcasts!$D$10:'Podcasts'!$D$2535,0)))</f>
        <v/>
      </c>
      <c r="AO104" s="402"/>
      <c r="AP104" s="119"/>
      <c r="AQ104" s="117">
        <f t="array" aca="1" ref="AQ104" ca="1">IFERROR(SMALL(IF(COUNTIF(Podcasts!$D$10:'Podcasts'!$D$107,ROW(INDIRECT("1:"&amp;K$2)))=0,ROW(INDIRECT("1:"&amp;K$2))),ROW($A61)),"")</f>
        <v>83</v>
      </c>
      <c r="AR104" s="117">
        <f t="array" aca="1" ref="AR104" ca="1">IFERROR(SMALL(IF(COUNTIF(Podcasts!$D$113:'Podcasts'!$D$238,ROW(INDIRECT("1:"&amp;K$2)))=0,ROW(INDIRECT("1:"&amp;K$2))),ROW($A61)),"")</f>
        <v>61</v>
      </c>
      <c r="AS104" s="117">
        <f t="array" aca="1" ref="AS104" ca="1">IFERROR(SMALL(IF(COUNTIF(Podcasts!$D$244:'Podcasts'!$D$299,ROW(INDIRECT("1:"&amp;K$2)))=0,ROW(INDIRECT("1:"&amp;K$2))),ROW($A61)),"")</f>
        <v>78</v>
      </c>
      <c r="AT104" s="117">
        <f t="array" aca="1" ref="AT104" ca="1">IFERROR(SMALL(IF(COUNTIF(Podcasts!$D$305:'Podcasts'!$D$473,ROW(INDIRECT("1:"&amp;K$2)))=0,ROW(INDIRECT("1:"&amp;K$2))),ROW($A61)),"")</f>
        <v>196</v>
      </c>
      <c r="AU104" s="117">
        <f t="array" aca="1" ref="AU104" ca="1">IFERROR(SMALL(IF(COUNTIF(Podcasts!$D$479:'Podcasts'!$D$488,ROW(INDIRECT("1:"&amp;K$2)))=0,ROW(INDIRECT("1:"&amp;K$2))),ROW($A61)),"")</f>
        <v>61</v>
      </c>
      <c r="AV104" s="117">
        <f t="array" aca="1" ref="AV104" ca="1">IFERROR(SMALL(IF(COUNTIF(Podcasts!$D$494:'Podcasts'!$D$518,ROW(INDIRECT("1:"&amp;K$2)))=0,ROW(INDIRECT("1:"&amp;K$2))),ROW($A61)),"")</f>
        <v>78</v>
      </c>
      <c r="AW104" s="117">
        <f t="array" aca="1" ref="AW104" ca="1">IFERROR(SMALL(IF(COUNTIF(Podcasts!$D$524:'Podcasts'!$D$532,ROW(INDIRECT("1:"&amp;K$2)))=0,ROW(INDIRECT("1:"&amp;K$2))),ROW($A61)),"")</f>
        <v>61</v>
      </c>
      <c r="AX104" s="117">
        <f t="array" aca="1" ref="AX104" ca="1">IFERROR(SMALL(IF(COUNTIF(Podcasts!$D$538:'Podcasts'!$D$909,ROW(INDIRECT("1:"&amp;K$2)))=0,ROW(INDIRECT("1:"&amp;K$2))),ROW($A61)),"")</f>
        <v>172</v>
      </c>
      <c r="AY104" s="117">
        <f t="array" aca="1" ref="AY104" ca="1">IFERROR(SMALL(IF(COUNTIF(Podcasts!$D$915:'Podcasts'!$D$981,ROW(INDIRECT("1:"&amp;K$2)))=0,ROW(INDIRECT("1:"&amp;K$2))),ROW($A61)),"")</f>
        <v>95</v>
      </c>
      <c r="AZ104" s="445"/>
      <c r="BA104" s="117">
        <f t="array" aca="1" ref="BA104" ca="1">IFERROR(SMALL(IF(COUNTIF(Podcasts!$D$1001:'Podcasts'!$D$1251,ROW(INDIRECT("1:"&amp;K$2)))=0,ROW(INDIRECT("1:"&amp;K$2))),ROW($A61)),"")</f>
        <v>100</v>
      </c>
      <c r="BB104" s="117">
        <f t="array" aca="1" ref="BB104" ca="1">IFERROR(SMALL(IF(COUNTIF(Podcasts!$D$1257:'Podcasts'!$D$1267,ROW(INDIRECT("1:"&amp;K$2)))=0,ROW(INDIRECT("1:"&amp;K$2))),ROW($A61)),"")</f>
        <v>62</v>
      </c>
      <c r="BC104" s="117">
        <f t="array" aca="1" ref="BC104" ca="1">IFERROR(SMALL(IF(COUNTIF(Podcasts!$D$1273:'Podcasts'!$D$1283,ROW(INDIRECT("1:"&amp;K$2)))=0,ROW(INDIRECT("1:"&amp;K$2))),ROW($A61)),"")</f>
        <v>65</v>
      </c>
      <c r="BD104" s="117">
        <f t="array" aca="1" ref="BD104" ca="1">IFERROR(SMALL(IF(COUNTIF(Podcasts!$D$1289:'Podcasts'!$D$1295,ROW(INDIRECT("1:"&amp;K$2)))=0,ROW(INDIRECT("1:"&amp;K$2))),ROW($A61)),"")</f>
        <v>63</v>
      </c>
      <c r="BE104" s="117">
        <f t="array" aca="1" ref="BE104" ca="1">IFERROR(SMALL(IF(COUNTIF(Podcasts!$D$1301:'Podcasts'!$D$1356,ROW(INDIRECT("1:"&amp;K$2)))=0,ROW(INDIRECT("1:"&amp;K$2))),ROW($A61)),"")</f>
        <v>108</v>
      </c>
      <c r="BF104" s="117">
        <f t="array" aca="1" ref="BF104" ca="1">IFERROR(SMALL(IF(COUNTIF(Podcasts!$D$1362:'Podcasts'!$D$1364,ROW(INDIRECT("1:"&amp;K$2)))=0,ROW(INDIRECT("1:"&amp;K$2))),ROW($A61)),"")</f>
        <v>64</v>
      </c>
      <c r="BG104" s="202">
        <f t="array" aca="1" ref="BG104" ca="1">IFERROR(SMALL(IF(COUNTIF(Podcasts!$D$1370:'Podcasts'!$D$1419,ROW(INDIRECT("1:"&amp;K$2)))=0,ROW(INDIRECT("1:"&amp;K$2))),ROW($A61)),"")</f>
        <v>74</v>
      </c>
      <c r="BH104" s="202">
        <f t="array" aca="1" ref="BH104" ca="1">IFERROR(SMALL(IF(COUNTIF(Podcasts!$D$1425:'Podcasts'!$D$1446,ROW(INDIRECT("1:"&amp;K$2)))=0,ROW(INDIRECT("1:"&amp;K$2))),ROW($A61)),"")</f>
        <v>66</v>
      </c>
      <c r="BI104" s="202">
        <f t="array" aca="1" ref="BI104" ca="1">IFERROR(SMALL(IF(COUNTIF(Podcasts!$D$1452:'Podcasts'!$D$1574,ROW(INDIRECT("1:"&amp;K$2)))=0,ROW(INDIRECT("1:"&amp;K$2))),ROW($A61)),"")</f>
        <v>113</v>
      </c>
      <c r="BJ104" s="202">
        <f t="array" aca="1" ref="BJ104" ca="1">IFERROR(SMALL(IF(COUNTIF(Podcasts!$D$1580:'Podcasts'!$D$1705,ROW(INDIRECT("1:"&amp;K$2)))=0,ROW(INDIRECT("1:"&amp;K$2))),ROW($A61)),"")</f>
        <v>115</v>
      </c>
      <c r="BK104" s="202">
        <f t="array" aca="1" ref="BK104" ca="1">IFERROR(SMALL(IF(COUNTIF(Podcasts!$D$1711:'Podcasts'!$D$1833,ROW(INDIRECT("1:"&amp;K$2)))=0,ROW(INDIRECT("1:"&amp;K$2))),ROW($A61)),"")</f>
        <v>101</v>
      </c>
      <c r="BL104" s="202">
        <f t="array" aca="1" ref="BL104" ca="1">IFERROR(SMALL(IF(COUNTIF(Podcasts!$D$1839:'Podcasts'!$D$1855,ROW(INDIRECT("1:"&amp;K$2)))=0,ROW(INDIRECT("1:"&amp;K$2))),ROW($A61)),"")</f>
        <v>67</v>
      </c>
      <c r="BM104" s="567">
        <f t="array" aca="1" ref="BM104" ca="1">IFERROR(SMALL(IF(COUNTIF(Podcasts!$D$1861:'Podcasts'!$D$1994,ROW(INDIRECT("1:"&amp;K$2)))=0,ROW(INDIRECT("1:"&amp;K$2))),ROW($A61)),"")</f>
        <v>85</v>
      </c>
      <c r="BN104" s="567">
        <f t="array" aca="1" ref="BN104" ca="1">IFERROR(SMALL(IF(COUNTIF(Podcasts!$D$2000:'Podcasts'!$D$2057,ROW(INDIRECT("1:"&amp;K$2)))=0,ROW(INDIRECT("1:"&amp;K$2))),ROW($A61)),"")</f>
        <v>116</v>
      </c>
      <c r="BO104" s="567">
        <f t="array" aca="1" ref="BO104" ca="1">IFERROR(SMALL(IF(COUNTIF(Podcasts!$D$2063:'Podcasts'!$D$2071,ROW(INDIRECT("1:"&amp;K$2)))=0,ROW(INDIRECT("1:"&amp;K$2))),ROW($A61)),"")</f>
        <v>61</v>
      </c>
      <c r="BP104" s="202">
        <f t="array" aca="1" ref="BP104" ca="1">IFERROR(SMALL(IF(COUNTIF(Podcasts!$D$2077:'Podcasts'!$D$2092,ROW(INDIRECT("1:"&amp;K$2)))=0,ROW(INDIRECT("1:"&amp;K$2))),ROW($A61)),"")</f>
        <v>71</v>
      </c>
      <c r="BQ104" s="741">
        <f t="array" aca="1" ref="BQ104" ca="1">IFERROR(SMALL(IF(COUNTIF(Podcasts!$D$2098:'Podcasts'!$D$2114,ROW(INDIRECT("1:"&amp;K$2)))=0,ROW(INDIRECT("1:"&amp;K$2))),ROW($A61)),"")</f>
        <v>64</v>
      </c>
      <c r="BR104" s="744">
        <f t="array" aca="1" ref="BR104" ca="1">IFERROR(SMALL(IF(COUNTIF(Podcasts!$D$2120:'Podcasts'!$D$2124,ROW(INDIRECT("1:"&amp;K$2)))=0,ROW(INDIRECT("1:"&amp;K$2))),ROW($A61)),"")</f>
        <v>63</v>
      </c>
      <c r="BS104" s="28"/>
    </row>
    <row r="105" spans="1:71" outlineLevel="1">
      <c r="A105" s="28"/>
      <c r="B105" s="161">
        <v>62</v>
      </c>
      <c r="C105" s="161">
        <f>COUNTIF(Podcasts!$D$10:'Podcasts'!$D$2535,B105)</f>
        <v>4</v>
      </c>
      <c r="D105" s="158" t="s">
        <v>1090</v>
      </c>
      <c r="E105" s="156" t="str">
        <f t="array" ref="E105">IF(F105="","",INDEX(Podcasts!$J$10:'Podcasts'!$J$2535,MATCH(F105&amp;$B105,Podcasts!$E$10:'Podcasts'!$E$2535&amp;Podcasts!$D$10:'Podcasts'!$D$2535,0)))</f>
        <v>Fürst</v>
      </c>
      <c r="F105" s="131">
        <f t="array" ref="F105">IF(COUNTIF(Podcasts!$D$10:'Podcasts'!$D$2535,$B105)&lt;COLUMN(A68),"",SMALL(IF(Podcasts!$D$10:'Podcasts'!$D$2535=$B105,Podcasts!$E$10:'Podcasts'!$E$2535),COLUMN(A68)))</f>
        <v>42092</v>
      </c>
      <c r="G105" s="132">
        <f t="array" ref="G105">IF(F105="","",INDEX(Podcasts!$F$10:'Podcasts'!$F$2535,MATCH(F105&amp;$B105,Podcasts!$E$10:'Podcasts'!$E$2535&amp;Podcasts!$D$10:'Podcasts'!$D$2535,0)))</f>
        <v>1.8402777777777778E-2</v>
      </c>
      <c r="H105" s="136" t="str">
        <f t="array" ref="H105">IF(I105="","",INDEX(Podcasts!$J$10:'Podcasts'!$J$2535,MATCH(I105&amp;$B105,Podcasts!$E$10:'Podcasts'!$E$2535&amp;Podcasts!$D$10:'Podcasts'!$D$2535,0)))</f>
        <v>Kuchen</v>
      </c>
      <c r="I105" s="133">
        <f t="array" ref="I105">IF(COUNTIF(Podcasts!$D$10:'Podcasts'!$D$2535,$B105)&lt;COLUMN(B68),"",SMALL(IF(Podcasts!$D$10:'Podcasts'!$D$2535=$B105,Podcasts!$E$10:'Podcasts'!$E$2535),COLUMN(B68)))</f>
        <v>44318</v>
      </c>
      <c r="J105" s="132">
        <f t="array" ref="J105">IF(I105="","",INDEX(Podcasts!$F$10:'Podcasts'!$F$2535,MATCH(I105&amp;$B105,Podcasts!$E$10:'Podcasts'!$E$2535&amp;Podcasts!$D$10:'Podcasts'!$D$2535,0)))</f>
        <v>5.303240740740741E-2</v>
      </c>
      <c r="K105" s="136" t="str">
        <f t="array" ref="K105">IF(L105="","",INDEX(Podcasts!$J$10:'Podcasts'!$J$2535,MATCH(L105&amp;$B105,Podcasts!$E$10:'Podcasts'!$E$2535&amp;Podcasts!$D$10:'Podcasts'!$D$2535,0)))</f>
        <v>SSP</v>
      </c>
      <c r="L105" s="133">
        <f t="array" ref="L105">IF(COUNTIF(Podcasts!$D$10:'Podcasts'!$D$2535,$B105)&lt;COLUMN(C68),"",SMALL(IF(Podcasts!$D$10:'Podcasts'!$D$2535=$B105,Podcasts!$E$10:'Podcasts'!$E$2535),COLUMN(C68)))</f>
        <v>44519</v>
      </c>
      <c r="M105" s="132">
        <f t="array" ref="M105">IF(L105="","",INDEX(Podcasts!$F$10:'Podcasts'!$F$2535,MATCH(L105&amp;$B105,Podcasts!$E$10:'Podcasts'!$E$2535&amp;Podcasts!$D$10:'Podcasts'!$D$2535,0)))</f>
        <v>9.8993055555555556E-2</v>
      </c>
      <c r="N105" s="136" t="str">
        <f t="array" ref="N105">IF(O105="","",INDEX(Podcasts!$J$10:'Podcasts'!$J$2535,MATCH(O105&amp;$B105,Podcasts!$E$10:'Podcasts'!$E$2535&amp;Podcasts!$D$10:'Podcasts'!$D$2535,0)))</f>
        <v>Zw3i</v>
      </c>
      <c r="O105" s="133">
        <f t="array" ref="O105">IF(COUNTIF(Podcasts!$D$10:'Podcasts'!$D$2535,$B105)&lt;COLUMN(D68),"",SMALL(IF(Podcasts!$D$10:'Podcasts'!$D$2535=$B105,Podcasts!$E$10:'Podcasts'!$E$2535),COLUMN(D68)))</f>
        <v>44575</v>
      </c>
      <c r="P105" s="132">
        <f t="array" ref="P105">IF(O105="","",INDEX(Podcasts!$F$10:'Podcasts'!$F$2535,MATCH(O105&amp;$B105,Podcasts!$E$10:'Podcasts'!$E$2535&amp;Podcasts!$D$10:'Podcasts'!$D$2535,0)))</f>
        <v>9.8842592592592593E-2</v>
      </c>
      <c r="Q105" s="136" t="str">
        <f t="array" ref="Q105">IF(R105="","",INDEX(Podcasts!$J$10:'Podcasts'!$J$2535,MATCH(R105&amp;$B105,Podcasts!$E$10:'Podcasts'!$E$2535&amp;Podcasts!$D$10:'Podcasts'!$D$2535,0)))</f>
        <v/>
      </c>
      <c r="R105" s="133" t="str">
        <f t="array" ref="R105">IF(COUNTIF(Podcasts!$D$10:'Podcasts'!$D$2535,$B105)&lt;COLUMN(E68),"",SMALL(IF(Podcasts!$D$10:'Podcasts'!$D$2535=$B105,Podcasts!$E$10:'Podcasts'!$E$2535),COLUMN(E68)))</f>
        <v/>
      </c>
      <c r="S105" s="132" t="str">
        <f t="array" ref="S105">IF(R105="","",INDEX(Podcasts!$F$10:'Podcasts'!$F$2535,MATCH(R105&amp;$B105,Podcasts!$E$10:'Podcasts'!$E$2535&amp;Podcasts!$D$10:'Podcasts'!$D$2535,0)))</f>
        <v/>
      </c>
      <c r="T105" s="136" t="str">
        <f t="array" ref="T105">IF(U105="","",INDEX(Podcasts!$J$10:'Podcasts'!$J$2535,MATCH(U105&amp;$B105,Podcasts!$E$10:'Podcasts'!$E$2535&amp;Podcasts!$D$10:'Podcasts'!$D$2535,0)))</f>
        <v/>
      </c>
      <c r="U105" s="133" t="str">
        <f t="array" ref="U105">IF(COUNTIF(Podcasts!$D$10:'Podcasts'!$D$2535,$B105)&lt;COLUMN(F68),"",SMALL(IF(Podcasts!$D$10:'Podcasts'!$D$2535=$B105,Podcasts!$E$10:'Podcasts'!$E$2535),COLUMN(F68)))</f>
        <v/>
      </c>
      <c r="V105" s="132" t="str">
        <f t="array" ref="V105">IF(U105="","",INDEX(Podcasts!$F$10:'Podcasts'!$F$2535,MATCH(U105&amp;$B105,Podcasts!$E$10:'Podcasts'!$E$2535&amp;Podcasts!$D$10:'Podcasts'!$D$2535,0)))</f>
        <v/>
      </c>
      <c r="W105" s="136" t="str">
        <f t="array" ref="W105">IF(X105="","",INDEX(Podcasts!$J$10:'Podcasts'!$J$2535,MATCH(X105&amp;$B105,Podcasts!$E$10:'Podcasts'!$E$2535&amp;Podcasts!$D$10:'Podcasts'!$D$2535,0)))</f>
        <v/>
      </c>
      <c r="X105" s="133" t="str">
        <f t="array" ref="X105">IF(COUNTIF(Podcasts!$D$10:'Podcasts'!$D$2535,$B105)&lt;COLUMN(G68),"",SMALL(IF(Podcasts!$D$10:'Podcasts'!$D$2535=$B105,Podcasts!$E$10:'Podcasts'!$E$2535),COLUMN(G68)))</f>
        <v/>
      </c>
      <c r="Y105" s="132" t="str">
        <f t="array" ref="Y105">IF(X105="","",INDEX(Podcasts!$F$10:'Podcasts'!$F$2535,MATCH(X105&amp;$B105,Podcasts!$E$10:'Podcasts'!$E$2535&amp;Podcasts!$D$10:'Podcasts'!$D$2535,0)))</f>
        <v/>
      </c>
      <c r="Z105" s="136" t="str">
        <f t="array" ref="Z105">IF(AA105="","",INDEX(Podcasts!$J$10:'Podcasts'!$J$2535,MATCH(AA105&amp;$B105,Podcasts!$E$10:'Podcasts'!$E$2535&amp;Podcasts!$D$10:'Podcasts'!$D$2535,0)))</f>
        <v/>
      </c>
      <c r="AA105" s="134" t="str">
        <f t="array" ref="AA105">IF(COUNTIF(Podcasts!$D$10:'Podcasts'!$D$2535,$B105)&lt;COLUMN(H68),"",SMALL(IF(Podcasts!$D$10:'Podcasts'!$D$2535=$B105,Podcasts!$E$10:'Podcasts'!$E$2535),COLUMN(H68)))</f>
        <v/>
      </c>
      <c r="AB105" s="404" t="str">
        <f t="array" ref="AB105">IF(AA105="","",INDEX(Podcasts!$F$10:'Podcasts'!$F$2535,MATCH(AA105&amp;$B105,Podcasts!$E$10:'Podcasts'!$E$2535&amp;Podcasts!$D$10:'Podcasts'!$D$2535,0)))</f>
        <v/>
      </c>
      <c r="AC105" s="406" t="str">
        <f t="array" ref="AC105">IF(AD105="","",INDEX(Podcasts!$J$10:'Podcasts'!$J$2535,MATCH(AD105&amp;$B105,Podcasts!$E$10:'Podcasts'!$E$2535&amp;Podcasts!$D$10:'Podcasts'!$D$2535,0)))</f>
        <v/>
      </c>
      <c r="AD105" s="400" t="str">
        <f t="array" ref="AD105">IF(COUNTIF(Podcasts!$D$10:'Podcasts'!$D$2535,$B105)&lt;COLUMN(I68),"",SMALL(IF(Podcasts!$D$10:'Podcasts'!$D$2535=$B105,Podcasts!$E$10:'Podcasts'!$E$2535),COLUMN(I68)))</f>
        <v/>
      </c>
      <c r="AE105" s="401" t="str">
        <f t="array" ref="AE105">IF(AD105="","",INDEX(Podcasts!$F$10:'Podcasts'!$F$2535,MATCH(AD105&amp;$B105,Podcasts!$E$10:'Podcasts'!$E$2535&amp;Podcasts!$D$10:'Podcasts'!$D$2535,0)))</f>
        <v/>
      </c>
      <c r="AF105" s="406" t="str">
        <f t="array" ref="AF105">IF(AG105="","",INDEX(Podcasts!$J$10:'Podcasts'!$J$2535,MATCH(AG105&amp;$B105,Podcasts!$E$10:'Podcasts'!$E$2535&amp;Podcasts!$D$10:'Podcasts'!$D$2535,0)))</f>
        <v/>
      </c>
      <c r="AG105" s="400" t="str">
        <f t="array" ref="AG105">IF(COUNTIF(Podcasts!$D$10:'Podcasts'!$D$2535,$B105)&lt;COLUMN(J68),"",SMALL(IF(Podcasts!$D$10:'Podcasts'!$D$2535=$B105,Podcasts!$E$10:'Podcasts'!$E$2535),COLUMN(J68)))</f>
        <v/>
      </c>
      <c r="AH105" s="401" t="str">
        <f t="array" ref="AH105">IF(AG105="","",INDEX(Podcasts!$F$10:'Podcasts'!$F$2535,MATCH(AG105&amp;$B105,Podcasts!$E$10:'Podcasts'!$E$2535&amp;Podcasts!$D$10:'Podcasts'!$D$2535,0)))</f>
        <v/>
      </c>
      <c r="AI105" s="406" t="str">
        <f t="array" ref="AI105">IF(AJ105="","",INDEX(Podcasts!$J$10:'Podcasts'!$J$2535,MATCH(AJ105&amp;$B105,Podcasts!$E$10:'Podcasts'!$E$2535&amp;Podcasts!$D$10:'Podcasts'!$D$2535,0)))</f>
        <v/>
      </c>
      <c r="AJ105" s="400" t="str">
        <f t="array" ref="AJ105">IF(COUNTIF(Podcasts!$D$10:'Podcasts'!$D$2535,$B105)&lt;COLUMN(K68),"",SMALL(IF(Podcasts!$D$10:'Podcasts'!$D$2535=$B105,Podcasts!$E$10:'Podcasts'!$E$2535),COLUMN(K68)))</f>
        <v/>
      </c>
      <c r="AK105" s="401" t="str">
        <f t="array" ref="AK105">IF(AJ105="","",INDEX(Podcasts!$F$10:'Podcasts'!$F$2535,MATCH(AJ105&amp;$B105,Podcasts!$E$10:'Podcasts'!$E$2535&amp;Podcasts!$D$10:'Podcasts'!$D$2535,0)))</f>
        <v/>
      </c>
      <c r="AL105" s="406" t="str">
        <f t="array" ref="AL105">IF(AM105="","",INDEX(Podcasts!$J$10:'Podcasts'!$J$2535,MATCH(AM105&amp;$B105,Podcasts!$E$10:'Podcasts'!$E$2535&amp;Podcasts!$D$10:'Podcasts'!$D$2535,0)))</f>
        <v/>
      </c>
      <c r="AM105" s="400" t="str">
        <f t="array" ref="AM105">IF(COUNTIF(Podcasts!$D$10:'Podcasts'!$D$2535,$B105)&lt;COLUMN(L68),"",SMALL(IF(Podcasts!$D$10:'Podcasts'!$D$2535=$B105,Podcasts!$E$10:'Podcasts'!$E$2535),COLUMN(L68)))</f>
        <v/>
      </c>
      <c r="AN105" s="401" t="str">
        <f t="array" ref="AN105">IF(AM105="","",INDEX(Podcasts!$F$10:'Podcasts'!$F$2535,MATCH(AM105&amp;$B105,Podcasts!$E$10:'Podcasts'!$E$2535&amp;Podcasts!$D$10:'Podcasts'!$D$2535,0)))</f>
        <v/>
      </c>
      <c r="AO105" s="402"/>
      <c r="AP105" s="119"/>
      <c r="AQ105" s="117">
        <f t="array" aca="1" ref="AQ105" ca="1">IFERROR(SMALL(IF(COUNTIF(Podcasts!$D$10:'Podcasts'!$D$107,ROW(INDIRECT("1:"&amp;K$2)))=0,ROW(INDIRECT("1:"&amp;K$2))),ROW($A62)),"")</f>
        <v>84</v>
      </c>
      <c r="AR105" s="117">
        <f t="array" aca="1" ref="AR105" ca="1">IFERROR(SMALL(IF(COUNTIF(Podcasts!$D$113:'Podcasts'!$D$238,ROW(INDIRECT("1:"&amp;K$2)))=0,ROW(INDIRECT("1:"&amp;K$2))),ROW($A62)),"")</f>
        <v>62</v>
      </c>
      <c r="AS105" s="117">
        <f t="array" aca="1" ref="AS105" ca="1">IFERROR(SMALL(IF(COUNTIF(Podcasts!$D$244:'Podcasts'!$D$299,ROW(INDIRECT("1:"&amp;K$2)))=0,ROW(INDIRECT("1:"&amp;K$2))),ROW($A62)),"")</f>
        <v>79</v>
      </c>
      <c r="AT105" s="117">
        <f t="array" aca="1" ref="AT105" ca="1">IFERROR(SMALL(IF(COUNTIF(Podcasts!$D$305:'Podcasts'!$D$473,ROW(INDIRECT("1:"&amp;K$2)))=0,ROW(INDIRECT("1:"&amp;K$2))),ROW($A62)),"")</f>
        <v>197</v>
      </c>
      <c r="AU105" s="117">
        <f t="array" aca="1" ref="AU105" ca="1">IFERROR(SMALL(IF(COUNTIF(Podcasts!$D$479:'Podcasts'!$D$488,ROW(INDIRECT("1:"&amp;K$2)))=0,ROW(INDIRECT("1:"&amp;K$2))),ROW($A62)),"")</f>
        <v>62</v>
      </c>
      <c r="AV105" s="117">
        <f t="array" aca="1" ref="AV105" ca="1">IFERROR(SMALL(IF(COUNTIF(Podcasts!$D$494:'Podcasts'!$D$518,ROW(INDIRECT("1:"&amp;K$2)))=0,ROW(INDIRECT("1:"&amp;K$2))),ROW($A62)),"")</f>
        <v>79</v>
      </c>
      <c r="AW105" s="117">
        <f t="array" aca="1" ref="AW105" ca="1">IFERROR(SMALL(IF(COUNTIF(Podcasts!$D$524:'Podcasts'!$D$532,ROW(INDIRECT("1:"&amp;K$2)))=0,ROW(INDIRECT("1:"&amp;K$2))),ROW($A62)),"")</f>
        <v>62</v>
      </c>
      <c r="AX105" s="117">
        <f t="array" aca="1" ref="AX105" ca="1">IFERROR(SMALL(IF(COUNTIF(Podcasts!$D$538:'Podcasts'!$D$909,ROW(INDIRECT("1:"&amp;K$2)))=0,ROW(INDIRECT("1:"&amp;K$2))),ROW($A62)),"")</f>
        <v>173</v>
      </c>
      <c r="AY105" s="117">
        <f t="array" aca="1" ref="AY105" ca="1">IFERROR(SMALL(IF(COUNTIF(Podcasts!$D$915:'Podcasts'!$D$981,ROW(INDIRECT("1:"&amp;K$2)))=0,ROW(INDIRECT("1:"&amp;K$2))),ROW($A62)),"")</f>
        <v>96</v>
      </c>
      <c r="AZ105" s="445"/>
      <c r="BA105" s="117">
        <f t="array" aca="1" ref="BA105" ca="1">IFERROR(SMALL(IF(COUNTIF(Podcasts!$D$1001:'Podcasts'!$D$1251,ROW(INDIRECT("1:"&amp;K$2)))=0,ROW(INDIRECT("1:"&amp;K$2))),ROW($A62)),"")</f>
        <v>101</v>
      </c>
      <c r="BB105" s="117">
        <f t="array" aca="1" ref="BB105" ca="1">IFERROR(SMALL(IF(COUNTIF(Podcasts!$D$1257:'Podcasts'!$D$1267,ROW(INDIRECT("1:"&amp;K$2)))=0,ROW(INDIRECT("1:"&amp;K$2))),ROW($A62)),"")</f>
        <v>63</v>
      </c>
      <c r="BC105" s="117">
        <f t="array" aca="1" ref="BC105" ca="1">IFERROR(SMALL(IF(COUNTIF(Podcasts!$D$1273:'Podcasts'!$D$1283,ROW(INDIRECT("1:"&amp;K$2)))=0,ROW(INDIRECT("1:"&amp;K$2))),ROW($A62)),"")</f>
        <v>66</v>
      </c>
      <c r="BD105" s="117">
        <f t="array" aca="1" ref="BD105" ca="1">IFERROR(SMALL(IF(COUNTIF(Podcasts!$D$1289:'Podcasts'!$D$1295,ROW(INDIRECT("1:"&amp;K$2)))=0,ROW(INDIRECT("1:"&amp;K$2))),ROW($A62)),"")</f>
        <v>64</v>
      </c>
      <c r="BE105" s="117">
        <f t="array" aca="1" ref="BE105" ca="1">IFERROR(SMALL(IF(COUNTIF(Podcasts!$D$1301:'Podcasts'!$D$1356,ROW(INDIRECT("1:"&amp;K$2)))=0,ROW(INDIRECT("1:"&amp;K$2))),ROW($A62)),"")</f>
        <v>109</v>
      </c>
      <c r="BF105" s="117">
        <f t="array" aca="1" ref="BF105" ca="1">IFERROR(SMALL(IF(COUNTIF(Podcasts!$D$1362:'Podcasts'!$D$1364,ROW(INDIRECT("1:"&amp;K$2)))=0,ROW(INDIRECT("1:"&amp;K$2))),ROW($A62)),"")</f>
        <v>65</v>
      </c>
      <c r="BG105" s="202">
        <f t="array" aca="1" ref="BG105" ca="1">IFERROR(SMALL(IF(COUNTIF(Podcasts!$D$1370:'Podcasts'!$D$1419,ROW(INDIRECT("1:"&amp;K$2)))=0,ROW(INDIRECT("1:"&amp;K$2))),ROW($A62)),"")</f>
        <v>75</v>
      </c>
      <c r="BH105" s="202">
        <f t="array" aca="1" ref="BH105" ca="1">IFERROR(SMALL(IF(COUNTIF(Podcasts!$D$1425:'Podcasts'!$D$1446,ROW(INDIRECT("1:"&amp;K$2)))=0,ROW(INDIRECT("1:"&amp;K$2))),ROW($A62)),"")</f>
        <v>67</v>
      </c>
      <c r="BI105" s="202">
        <f t="array" aca="1" ref="BI105" ca="1">IFERROR(SMALL(IF(COUNTIF(Podcasts!$D$1452:'Podcasts'!$D$1574,ROW(INDIRECT("1:"&amp;K$2)))=0,ROW(INDIRECT("1:"&amp;K$2))),ROW($A62)),"")</f>
        <v>115</v>
      </c>
      <c r="BJ105" s="202">
        <f t="array" aca="1" ref="BJ105" ca="1">IFERROR(SMALL(IF(COUNTIF(Podcasts!$D$1580:'Podcasts'!$D$1705,ROW(INDIRECT("1:"&amp;K$2)))=0,ROW(INDIRECT("1:"&amp;K$2))),ROW($A62)),"")</f>
        <v>116</v>
      </c>
      <c r="BK105" s="202">
        <f t="array" aca="1" ref="BK105" ca="1">IFERROR(SMALL(IF(COUNTIF(Podcasts!$D$1711:'Podcasts'!$D$1833,ROW(INDIRECT("1:"&amp;K$2)))=0,ROW(INDIRECT("1:"&amp;K$2))),ROW($A62)),"")</f>
        <v>102</v>
      </c>
      <c r="BL105" s="202">
        <f t="array" aca="1" ref="BL105" ca="1">IFERROR(SMALL(IF(COUNTIF(Podcasts!$D$1839:'Podcasts'!$D$1855,ROW(INDIRECT("1:"&amp;K$2)))=0,ROW(INDIRECT("1:"&amp;K$2))),ROW($A62)),"")</f>
        <v>68</v>
      </c>
      <c r="BM105" s="567">
        <f t="array" aca="1" ref="BM105" ca="1">IFERROR(SMALL(IF(COUNTIF(Podcasts!$D$1861:'Podcasts'!$D$1994,ROW(INDIRECT("1:"&amp;K$2)))=0,ROW(INDIRECT("1:"&amp;K$2))),ROW($A62)),"")</f>
        <v>87</v>
      </c>
      <c r="BN105" s="567">
        <f t="array" aca="1" ref="BN105" ca="1">IFERROR(SMALL(IF(COUNTIF(Podcasts!$D$2000:'Podcasts'!$D$2057,ROW(INDIRECT("1:"&amp;K$2)))=0,ROW(INDIRECT("1:"&amp;K$2))),ROW($A62)),"")</f>
        <v>117</v>
      </c>
      <c r="BO105" s="567">
        <f t="array" aca="1" ref="BO105" ca="1">IFERROR(SMALL(IF(COUNTIF(Podcasts!$D$2063:'Podcasts'!$D$2071,ROW(INDIRECT("1:"&amp;K$2)))=0,ROW(INDIRECT("1:"&amp;K$2))),ROW($A62)),"")</f>
        <v>62</v>
      </c>
      <c r="BP105" s="202">
        <f t="array" aca="1" ref="BP105" ca="1">IFERROR(SMALL(IF(COUNTIF(Podcasts!$D$2077:'Podcasts'!$D$2092,ROW(INDIRECT("1:"&amp;K$2)))=0,ROW(INDIRECT("1:"&amp;K$2))),ROW($A62)),"")</f>
        <v>72</v>
      </c>
      <c r="BQ105" s="741">
        <f t="array" aca="1" ref="BQ105" ca="1">IFERROR(SMALL(IF(COUNTIF(Podcasts!$D$2098:'Podcasts'!$D$2114,ROW(INDIRECT("1:"&amp;K$2)))=0,ROW(INDIRECT("1:"&amp;K$2))),ROW($A62)),"")</f>
        <v>65</v>
      </c>
      <c r="BR105" s="744">
        <f t="array" aca="1" ref="BR105" ca="1">IFERROR(SMALL(IF(COUNTIF(Podcasts!$D$2120:'Podcasts'!$D$2124,ROW(INDIRECT("1:"&amp;K$2)))=0,ROW(INDIRECT("1:"&amp;K$2))),ROW($A62)),"")</f>
        <v>64</v>
      </c>
      <c r="BS105" s="28"/>
    </row>
    <row r="106" spans="1:71" outlineLevel="1">
      <c r="A106" s="28"/>
      <c r="B106" s="161">
        <v>63</v>
      </c>
      <c r="C106" s="161">
        <f>COUNTIF(Podcasts!$D$10:'Podcasts'!$D$2535,B106)</f>
        <v>5</v>
      </c>
      <c r="D106" s="158" t="s">
        <v>1091</v>
      </c>
      <c r="E106" s="156" t="str">
        <f t="array" ref="E106">IF(F106="","",INDEX(Podcasts!$J$10:'Podcasts'!$J$2535,MATCH(F106&amp;$B106,Podcasts!$E$10:'Podcasts'!$E$2535&amp;Podcasts!$D$10:'Podcasts'!$D$2535,0)))</f>
        <v>Fürst</v>
      </c>
      <c r="F106" s="131">
        <f t="array" ref="F106">IF(COUNTIF(Podcasts!$D$10:'Podcasts'!$D$2535,$B106)&lt;COLUMN(A69),"",SMALL(IF(Podcasts!$D$10:'Podcasts'!$D$2535=$B106,Podcasts!$E$10:'Podcasts'!$E$2535),COLUMN(A69)))</f>
        <v>42092</v>
      </c>
      <c r="G106" s="132">
        <f t="array" ref="G106">IF(F106="","",INDEX(Podcasts!$F$10:'Podcasts'!$F$2535,MATCH(F106&amp;$B106,Podcasts!$E$10:'Podcasts'!$E$2535&amp;Podcasts!$D$10:'Podcasts'!$D$2535,0)))</f>
        <v>1.8287037037037036E-2</v>
      </c>
      <c r="H106" s="136" t="str">
        <f t="array" ref="H106">IF(I106="","",INDEX(Podcasts!$J$10:'Podcasts'!$J$2535,MATCH(I106&amp;$B106,Podcasts!$E$10:'Podcasts'!$E$2535&amp;Podcasts!$D$10:'Podcasts'!$D$2535,0)))</f>
        <v>SSP</v>
      </c>
      <c r="I106" s="133">
        <f t="array" ref="I106">IF(COUNTIF(Podcasts!$D$10:'Podcasts'!$D$2535,$B106)&lt;COLUMN(B69),"",SMALL(IF(Podcasts!$D$10:'Podcasts'!$D$2535=$B106,Podcasts!$E$10:'Podcasts'!$E$2535),COLUMN(B69)))</f>
        <v>43307</v>
      </c>
      <c r="J106" s="132">
        <f t="array" ref="J106">IF(I106="","",INDEX(Podcasts!$F$10:'Podcasts'!$F$2535,MATCH(I106&amp;$B106,Podcasts!$E$10:'Podcasts'!$E$2535&amp;Podcasts!$D$10:'Podcasts'!$D$2535,0)))</f>
        <v>7.8009259259259264E-2</v>
      </c>
      <c r="K106" s="136" t="str">
        <f t="array" ref="K106">IF(L106="","",INDEX(Podcasts!$J$10:'Podcasts'!$J$2535,MATCH(L106&amp;$B106,Podcasts!$E$10:'Podcasts'!$E$2535&amp;Podcasts!$D$10:'Podcasts'!$D$2535,0)))</f>
        <v>Zentrale</v>
      </c>
      <c r="L106" s="133">
        <f t="array" ref="L106">IF(COUNTIF(Podcasts!$D$10:'Podcasts'!$D$2535,$B106)&lt;COLUMN(C69),"",SMALL(IF(Podcasts!$D$10:'Podcasts'!$D$2535=$B106,Podcasts!$E$10:'Podcasts'!$E$2535),COLUMN(C69)))</f>
        <v>43644</v>
      </c>
      <c r="M106" s="132">
        <f t="array" ref="M106">IF(L106="","",INDEX(Podcasts!$F$10:'Podcasts'!$F$2535,MATCH(L106&amp;$B106,Podcasts!$E$10:'Podcasts'!$E$2535&amp;Podcasts!$D$10:'Podcasts'!$D$2535,0)))</f>
        <v>0.11293981481481481</v>
      </c>
      <c r="N106" s="136" t="str">
        <f t="array" ref="N106">IF(O106="","",INDEX(Podcasts!$J$10:'Podcasts'!$J$2535,MATCH(O106&amp;$B106,Podcasts!$E$10:'Podcasts'!$E$2535&amp;Podcasts!$D$10:'Podcasts'!$D$2535,0)))</f>
        <v>Kuchen</v>
      </c>
      <c r="O106" s="133">
        <f t="array" ref="O106">IF(COUNTIF(Podcasts!$D$10:'Podcasts'!$D$2535,$B106)&lt;COLUMN(D69),"",SMALL(IF(Podcasts!$D$10:'Podcasts'!$D$2535=$B106,Podcasts!$E$10:'Podcasts'!$E$2535),COLUMN(D69)))</f>
        <v>44234</v>
      </c>
      <c r="P106" s="132">
        <f t="array" ref="P106">IF(O106="","",INDEX(Podcasts!$F$10:'Podcasts'!$F$2535,MATCH(O106&amp;$B106,Podcasts!$E$10:'Podcasts'!$E$2535&amp;Podcasts!$D$10:'Podcasts'!$D$2535,0)))</f>
        <v>5.1261574074074077E-2</v>
      </c>
      <c r="Q106" s="136" t="str">
        <f t="array" ref="Q106">IF(R106="","",INDEX(Podcasts!$J$10:'Podcasts'!$J$2535,MATCH(R106&amp;$B106,Podcasts!$E$10:'Podcasts'!$E$2535&amp;Podcasts!$D$10:'Podcasts'!$D$2535,0)))</f>
        <v>Zeichen</v>
      </c>
      <c r="R106" s="133">
        <f t="array" ref="R106">IF(COUNTIF(Podcasts!$D$10:'Podcasts'!$D$2535,$B106)&lt;COLUMN(E69),"",SMALL(IF(Podcasts!$D$10:'Podcasts'!$D$2535=$B106,Podcasts!$E$10:'Podcasts'!$E$2535),COLUMN(E69)))</f>
        <v>44436</v>
      </c>
      <c r="S106" s="132">
        <f t="array" ref="S106">IF(R106="","",INDEX(Podcasts!$F$10:'Podcasts'!$F$2535,MATCH(R106&amp;$B106,Podcasts!$E$10:'Podcasts'!$E$2535&amp;Podcasts!$D$10:'Podcasts'!$D$2535,0)))</f>
        <v>8.5752314814814823E-2</v>
      </c>
      <c r="T106" s="136" t="str">
        <f t="array" ref="T106">IF(U106="","",INDEX(Podcasts!$J$10:'Podcasts'!$J$2535,MATCH(U106&amp;$B106,Podcasts!$E$10:'Podcasts'!$E$2535&amp;Podcasts!$D$10:'Podcasts'!$D$2535,0)))</f>
        <v/>
      </c>
      <c r="U106" s="133" t="str">
        <f t="array" ref="U106">IF(COUNTIF(Podcasts!$D$10:'Podcasts'!$D$2535,$B106)&lt;COLUMN(F69),"",SMALL(IF(Podcasts!$D$10:'Podcasts'!$D$2535=$B106,Podcasts!$E$10:'Podcasts'!$E$2535),COLUMN(F69)))</f>
        <v/>
      </c>
      <c r="V106" s="132" t="str">
        <f t="array" ref="V106">IF(U106="","",INDEX(Podcasts!$F$10:'Podcasts'!$F$2535,MATCH(U106&amp;$B106,Podcasts!$E$10:'Podcasts'!$E$2535&amp;Podcasts!$D$10:'Podcasts'!$D$2535,0)))</f>
        <v/>
      </c>
      <c r="W106" s="136" t="str">
        <f t="array" ref="W106">IF(X106="","",INDEX(Podcasts!$J$10:'Podcasts'!$J$2535,MATCH(X106&amp;$B106,Podcasts!$E$10:'Podcasts'!$E$2535&amp;Podcasts!$D$10:'Podcasts'!$D$2535,0)))</f>
        <v/>
      </c>
      <c r="X106" s="133" t="str">
        <f t="array" ref="X106">IF(COUNTIF(Podcasts!$D$10:'Podcasts'!$D$2535,$B106)&lt;COLUMN(G69),"",SMALL(IF(Podcasts!$D$10:'Podcasts'!$D$2535=$B106,Podcasts!$E$10:'Podcasts'!$E$2535),COLUMN(G69)))</f>
        <v/>
      </c>
      <c r="Y106" s="132" t="str">
        <f t="array" ref="Y106">IF(X106="","",INDEX(Podcasts!$F$10:'Podcasts'!$F$2535,MATCH(X106&amp;$B106,Podcasts!$E$10:'Podcasts'!$E$2535&amp;Podcasts!$D$10:'Podcasts'!$D$2535,0)))</f>
        <v/>
      </c>
      <c r="Z106" s="136" t="str">
        <f t="array" ref="Z106">IF(AA106="","",INDEX(Podcasts!$J$10:'Podcasts'!$J$2535,MATCH(AA106&amp;$B106,Podcasts!$E$10:'Podcasts'!$E$2535&amp;Podcasts!$D$10:'Podcasts'!$D$2535,0)))</f>
        <v/>
      </c>
      <c r="AA106" s="134" t="str">
        <f t="array" ref="AA106">IF(COUNTIF(Podcasts!$D$10:'Podcasts'!$D$2535,$B106)&lt;COLUMN(H69),"",SMALL(IF(Podcasts!$D$10:'Podcasts'!$D$2535=$B106,Podcasts!$E$10:'Podcasts'!$E$2535),COLUMN(H69)))</f>
        <v/>
      </c>
      <c r="AB106" s="404" t="str">
        <f t="array" ref="AB106">IF(AA106="","",INDEX(Podcasts!$F$10:'Podcasts'!$F$2535,MATCH(AA106&amp;$B106,Podcasts!$E$10:'Podcasts'!$E$2535&amp;Podcasts!$D$10:'Podcasts'!$D$2535,0)))</f>
        <v/>
      </c>
      <c r="AC106" s="406" t="str">
        <f t="array" ref="AC106">IF(AD106="","",INDEX(Podcasts!$J$10:'Podcasts'!$J$2535,MATCH(AD106&amp;$B106,Podcasts!$E$10:'Podcasts'!$E$2535&amp;Podcasts!$D$10:'Podcasts'!$D$2535,0)))</f>
        <v/>
      </c>
      <c r="AD106" s="400" t="str">
        <f t="array" ref="AD106">IF(COUNTIF(Podcasts!$D$10:'Podcasts'!$D$2535,$B106)&lt;COLUMN(I69),"",SMALL(IF(Podcasts!$D$10:'Podcasts'!$D$2535=$B106,Podcasts!$E$10:'Podcasts'!$E$2535),COLUMN(I69)))</f>
        <v/>
      </c>
      <c r="AE106" s="401" t="str">
        <f t="array" ref="AE106">IF(AD106="","",INDEX(Podcasts!$F$10:'Podcasts'!$F$2535,MATCH(AD106&amp;$B106,Podcasts!$E$10:'Podcasts'!$E$2535&amp;Podcasts!$D$10:'Podcasts'!$D$2535,0)))</f>
        <v/>
      </c>
      <c r="AF106" s="406" t="str">
        <f t="array" ref="AF106">IF(AG106="","",INDEX(Podcasts!$J$10:'Podcasts'!$J$2535,MATCH(AG106&amp;$B106,Podcasts!$E$10:'Podcasts'!$E$2535&amp;Podcasts!$D$10:'Podcasts'!$D$2535,0)))</f>
        <v/>
      </c>
      <c r="AG106" s="400" t="str">
        <f t="array" ref="AG106">IF(COUNTIF(Podcasts!$D$10:'Podcasts'!$D$2535,$B106)&lt;COLUMN(J69),"",SMALL(IF(Podcasts!$D$10:'Podcasts'!$D$2535=$B106,Podcasts!$E$10:'Podcasts'!$E$2535),COLUMN(J69)))</f>
        <v/>
      </c>
      <c r="AH106" s="401" t="str">
        <f t="array" ref="AH106">IF(AG106="","",INDEX(Podcasts!$F$10:'Podcasts'!$F$2535,MATCH(AG106&amp;$B106,Podcasts!$E$10:'Podcasts'!$E$2535&amp;Podcasts!$D$10:'Podcasts'!$D$2535,0)))</f>
        <v/>
      </c>
      <c r="AI106" s="406" t="str">
        <f t="array" ref="AI106">IF(AJ106="","",INDEX(Podcasts!$J$10:'Podcasts'!$J$2535,MATCH(AJ106&amp;$B106,Podcasts!$E$10:'Podcasts'!$E$2535&amp;Podcasts!$D$10:'Podcasts'!$D$2535,0)))</f>
        <v/>
      </c>
      <c r="AJ106" s="400" t="str">
        <f t="array" ref="AJ106">IF(COUNTIF(Podcasts!$D$10:'Podcasts'!$D$2535,$B106)&lt;COLUMN(K69),"",SMALL(IF(Podcasts!$D$10:'Podcasts'!$D$2535=$B106,Podcasts!$E$10:'Podcasts'!$E$2535),COLUMN(K69)))</f>
        <v/>
      </c>
      <c r="AK106" s="401" t="str">
        <f t="array" ref="AK106">IF(AJ106="","",INDEX(Podcasts!$F$10:'Podcasts'!$F$2535,MATCH(AJ106&amp;$B106,Podcasts!$E$10:'Podcasts'!$E$2535&amp;Podcasts!$D$10:'Podcasts'!$D$2535,0)))</f>
        <v/>
      </c>
      <c r="AL106" s="406" t="str">
        <f t="array" ref="AL106">IF(AM106="","",INDEX(Podcasts!$J$10:'Podcasts'!$J$2535,MATCH(AM106&amp;$B106,Podcasts!$E$10:'Podcasts'!$E$2535&amp;Podcasts!$D$10:'Podcasts'!$D$2535,0)))</f>
        <v/>
      </c>
      <c r="AM106" s="400" t="str">
        <f t="array" ref="AM106">IF(COUNTIF(Podcasts!$D$10:'Podcasts'!$D$2535,$B106)&lt;COLUMN(L69),"",SMALL(IF(Podcasts!$D$10:'Podcasts'!$D$2535=$B106,Podcasts!$E$10:'Podcasts'!$E$2535),COLUMN(L69)))</f>
        <v/>
      </c>
      <c r="AN106" s="401" t="str">
        <f t="array" ref="AN106">IF(AM106="","",INDEX(Podcasts!$F$10:'Podcasts'!$F$2535,MATCH(AM106&amp;$B106,Podcasts!$E$10:'Podcasts'!$E$2535&amp;Podcasts!$D$10:'Podcasts'!$D$2535,0)))</f>
        <v/>
      </c>
      <c r="AO106" s="402"/>
      <c r="AP106" s="119"/>
      <c r="AQ106" s="117">
        <f t="array" aca="1" ref="AQ106" ca="1">IFERROR(SMALL(IF(COUNTIF(Podcasts!$D$10:'Podcasts'!$D$107,ROW(INDIRECT("1:"&amp;K$2)))=0,ROW(INDIRECT("1:"&amp;K$2))),ROW($A63)),"")</f>
        <v>87</v>
      </c>
      <c r="AR106" s="117">
        <f t="array" aca="1" ref="AR106" ca="1">IFERROR(SMALL(IF(COUNTIF(Podcasts!$D$113:'Podcasts'!$D$238,ROW(INDIRECT("1:"&amp;K$2)))=0,ROW(INDIRECT("1:"&amp;K$2))),ROW($A63)),"")</f>
        <v>63</v>
      </c>
      <c r="AS106" s="117">
        <f t="array" aca="1" ref="AS106" ca="1">IFERROR(SMALL(IF(COUNTIF(Podcasts!$D$244:'Podcasts'!$D$299,ROW(INDIRECT("1:"&amp;K$2)))=0,ROW(INDIRECT("1:"&amp;K$2))),ROW($A63)),"")</f>
        <v>80</v>
      </c>
      <c r="AT106" s="117">
        <f t="array" aca="1" ref="AT106" ca="1">IFERROR(SMALL(IF(COUNTIF(Podcasts!$D$305:'Podcasts'!$D$473,ROW(INDIRECT("1:"&amp;K$2)))=0,ROW(INDIRECT("1:"&amp;K$2))),ROW($A63)),"")</f>
        <v>198</v>
      </c>
      <c r="AU106" s="117">
        <f t="array" aca="1" ref="AU106" ca="1">IFERROR(SMALL(IF(COUNTIF(Podcasts!$D$479:'Podcasts'!$D$488,ROW(INDIRECT("1:"&amp;K$2)))=0,ROW(INDIRECT("1:"&amp;K$2))),ROW($A63)),"")</f>
        <v>63</v>
      </c>
      <c r="AV106" s="117">
        <f t="array" aca="1" ref="AV106" ca="1">IFERROR(SMALL(IF(COUNTIF(Podcasts!$D$494:'Podcasts'!$D$518,ROW(INDIRECT("1:"&amp;K$2)))=0,ROW(INDIRECT("1:"&amp;K$2))),ROW($A63)),"")</f>
        <v>81</v>
      </c>
      <c r="AW106" s="117">
        <f t="array" aca="1" ref="AW106" ca="1">IFERROR(SMALL(IF(COUNTIF(Podcasts!$D$524:'Podcasts'!$D$532,ROW(INDIRECT("1:"&amp;K$2)))=0,ROW(INDIRECT("1:"&amp;K$2))),ROW($A63)),"")</f>
        <v>63</v>
      </c>
      <c r="AX106" s="117">
        <f t="array" aca="1" ref="AX106" ca="1">IFERROR(SMALL(IF(COUNTIF(Podcasts!$D$538:'Podcasts'!$D$909,ROW(INDIRECT("1:"&amp;K$2)))=0,ROW(INDIRECT("1:"&amp;K$2))),ROW($A63)),"")</f>
        <v>174</v>
      </c>
      <c r="AY106" s="117">
        <f t="array" aca="1" ref="AY106" ca="1">IFERROR(SMALL(IF(COUNTIF(Podcasts!$D$915:'Podcasts'!$D$981,ROW(INDIRECT("1:"&amp;K$2)))=0,ROW(INDIRECT("1:"&amp;K$2))),ROW($A63)),"")</f>
        <v>97</v>
      </c>
      <c r="AZ106" s="445"/>
      <c r="BA106" s="117">
        <f t="array" aca="1" ref="BA106" ca="1">IFERROR(SMALL(IF(COUNTIF(Podcasts!$D$1001:'Podcasts'!$D$1251,ROW(INDIRECT("1:"&amp;K$2)))=0,ROW(INDIRECT("1:"&amp;K$2))),ROW($A63)),"")</f>
        <v>102</v>
      </c>
      <c r="BB106" s="117">
        <f t="array" aca="1" ref="BB106" ca="1">IFERROR(SMALL(IF(COUNTIF(Podcasts!$D$1257:'Podcasts'!$D$1267,ROW(INDIRECT("1:"&amp;K$2)))=0,ROW(INDIRECT("1:"&amp;K$2))),ROW($A63)),"")</f>
        <v>64</v>
      </c>
      <c r="BC106" s="117">
        <f t="array" aca="1" ref="BC106" ca="1">IFERROR(SMALL(IF(COUNTIF(Podcasts!$D$1273:'Podcasts'!$D$1283,ROW(INDIRECT("1:"&amp;K$2)))=0,ROW(INDIRECT("1:"&amp;K$2))),ROW($A63)),"")</f>
        <v>67</v>
      </c>
      <c r="BD106" s="117">
        <f t="array" aca="1" ref="BD106" ca="1">IFERROR(SMALL(IF(COUNTIF(Podcasts!$D$1289:'Podcasts'!$D$1295,ROW(INDIRECT("1:"&amp;K$2)))=0,ROW(INDIRECT("1:"&amp;K$2))),ROW($A63)),"")</f>
        <v>65</v>
      </c>
      <c r="BE106" s="117">
        <f t="array" aca="1" ref="BE106" ca="1">IFERROR(SMALL(IF(COUNTIF(Podcasts!$D$1301:'Podcasts'!$D$1356,ROW(INDIRECT("1:"&amp;K$2)))=0,ROW(INDIRECT("1:"&amp;K$2))),ROW($A63)),"")</f>
        <v>110</v>
      </c>
      <c r="BF106" s="117">
        <f t="array" aca="1" ref="BF106" ca="1">IFERROR(SMALL(IF(COUNTIF(Podcasts!$D$1362:'Podcasts'!$D$1364,ROW(INDIRECT("1:"&amp;K$2)))=0,ROW(INDIRECT("1:"&amp;K$2))),ROW($A63)),"")</f>
        <v>66</v>
      </c>
      <c r="BG106" s="202">
        <f t="array" aca="1" ref="BG106" ca="1">IFERROR(SMALL(IF(COUNTIF(Podcasts!$D$1370:'Podcasts'!$D$1419,ROW(INDIRECT("1:"&amp;K$2)))=0,ROW(INDIRECT("1:"&amp;K$2))),ROW($A63)),"")</f>
        <v>78</v>
      </c>
      <c r="BH106" s="202">
        <f t="array" aca="1" ref="BH106" ca="1">IFERROR(SMALL(IF(COUNTIF(Podcasts!$D$1425:'Podcasts'!$D$1446,ROW(INDIRECT("1:"&amp;K$2)))=0,ROW(INDIRECT("1:"&amp;K$2))),ROW($A63)),"")</f>
        <v>68</v>
      </c>
      <c r="BI106" s="202">
        <f t="array" aca="1" ref="BI106" ca="1">IFERROR(SMALL(IF(COUNTIF(Podcasts!$D$1452:'Podcasts'!$D$1574,ROW(INDIRECT("1:"&amp;K$2)))=0,ROW(INDIRECT("1:"&amp;K$2))),ROW($A63)),"")</f>
        <v>116</v>
      </c>
      <c r="BJ106" s="202">
        <f t="array" aca="1" ref="BJ106" ca="1">IFERROR(SMALL(IF(COUNTIF(Podcasts!$D$1580:'Podcasts'!$D$1705,ROW(INDIRECT("1:"&amp;K$2)))=0,ROW(INDIRECT("1:"&amp;K$2))),ROW($A63)),"")</f>
        <v>117</v>
      </c>
      <c r="BK106" s="202">
        <f t="array" aca="1" ref="BK106" ca="1">IFERROR(SMALL(IF(COUNTIF(Podcasts!$D$1711:'Podcasts'!$D$1833,ROW(INDIRECT("1:"&amp;K$2)))=0,ROW(INDIRECT("1:"&amp;K$2))),ROW($A63)),"")</f>
        <v>103</v>
      </c>
      <c r="BL106" s="202">
        <f t="array" aca="1" ref="BL106" ca="1">IFERROR(SMALL(IF(COUNTIF(Podcasts!$D$1839:'Podcasts'!$D$1855,ROW(INDIRECT("1:"&amp;K$2)))=0,ROW(INDIRECT("1:"&amp;K$2))),ROW($A63)),"")</f>
        <v>69</v>
      </c>
      <c r="BM106" s="567">
        <f t="array" aca="1" ref="BM106" ca="1">IFERROR(SMALL(IF(COUNTIF(Podcasts!$D$1861:'Podcasts'!$D$1994,ROW(INDIRECT("1:"&amp;K$2)))=0,ROW(INDIRECT("1:"&amp;K$2))),ROW($A63)),"")</f>
        <v>91</v>
      </c>
      <c r="BN106" s="567">
        <f t="array" aca="1" ref="BN106" ca="1">IFERROR(SMALL(IF(COUNTIF(Podcasts!$D$2000:'Podcasts'!$D$2057,ROW(INDIRECT("1:"&amp;K$2)))=0,ROW(INDIRECT("1:"&amp;K$2))),ROW($A63)),"")</f>
        <v>118</v>
      </c>
      <c r="BO106" s="567">
        <f t="array" aca="1" ref="BO106" ca="1">IFERROR(SMALL(IF(COUNTIF(Podcasts!$D$2063:'Podcasts'!$D$2071,ROW(INDIRECT("1:"&amp;K$2)))=0,ROW(INDIRECT("1:"&amp;K$2))),ROW($A63)),"")</f>
        <v>63</v>
      </c>
      <c r="BP106" s="202">
        <f t="array" aca="1" ref="BP106" ca="1">IFERROR(SMALL(IF(COUNTIF(Podcasts!$D$2077:'Podcasts'!$D$2092,ROW(INDIRECT("1:"&amp;K$2)))=0,ROW(INDIRECT("1:"&amp;K$2))),ROW($A63)),"")</f>
        <v>73</v>
      </c>
      <c r="BQ106" s="741">
        <f t="array" aca="1" ref="BQ106" ca="1">IFERROR(SMALL(IF(COUNTIF(Podcasts!$D$2098:'Podcasts'!$D$2114,ROW(INDIRECT("1:"&amp;K$2)))=0,ROW(INDIRECT("1:"&amp;K$2))),ROW($A63)),"")</f>
        <v>66</v>
      </c>
      <c r="BR106" s="744">
        <f t="array" aca="1" ref="BR106" ca="1">IFERROR(SMALL(IF(COUNTIF(Podcasts!$D$2120:'Podcasts'!$D$2124,ROW(INDIRECT("1:"&amp;K$2)))=0,ROW(INDIRECT("1:"&amp;K$2))),ROW($A63)),"")</f>
        <v>65</v>
      </c>
      <c r="BS106" s="28"/>
    </row>
    <row r="107" spans="1:71" outlineLevel="1">
      <c r="A107" s="28"/>
      <c r="B107" s="161">
        <v>64</v>
      </c>
      <c r="C107" s="161">
        <f>COUNTIF(Podcasts!$D$10:'Podcasts'!$D$2535,B107)</f>
        <v>2</v>
      </c>
      <c r="D107" s="158" t="s">
        <v>1092</v>
      </c>
      <c r="E107" s="156" t="str">
        <f t="array" ref="E107">IF(F107="","",INDEX(Podcasts!$J$10:'Podcasts'!$J$2535,MATCH(F107&amp;$B107,Podcasts!$E$10:'Podcasts'!$E$2535&amp;Podcasts!$D$10:'Podcasts'!$D$2535,0)))</f>
        <v>Fürst</v>
      </c>
      <c r="F107" s="131">
        <f t="array" ref="F107">IF(COUNTIF(Podcasts!$D$10:'Podcasts'!$D$2535,$B107)&lt;COLUMN(A70),"",SMALL(IF(Podcasts!$D$10:'Podcasts'!$D$2535=$B107,Podcasts!$E$10:'Podcasts'!$E$2535),COLUMN(A70)))</f>
        <v>41980</v>
      </c>
      <c r="G107" s="132">
        <f t="array" ref="G107">IF(F107="","",INDEX(Podcasts!$F$10:'Podcasts'!$F$2535,MATCH(F107&amp;$B107,Podcasts!$E$10:'Podcasts'!$E$2535&amp;Podcasts!$D$10:'Podcasts'!$D$2535,0)))</f>
        <v>7.9282407407407409E-3</v>
      </c>
      <c r="H107" s="136" t="str">
        <f t="array" ref="H107">IF(I107="","",INDEX(Podcasts!$J$10:'Podcasts'!$J$2535,MATCH(I107&amp;$B107,Podcasts!$E$10:'Podcasts'!$E$2535&amp;Podcasts!$D$10:'Podcasts'!$D$2535,0)))</f>
        <v>Schrott</v>
      </c>
      <c r="I107" s="133">
        <f t="array" ref="I107">IF(COUNTIF(Podcasts!$D$10:'Podcasts'!$D$2535,$B107)&lt;COLUMN(B70),"",SMALL(IF(Podcasts!$D$10:'Podcasts'!$D$2535=$B107,Podcasts!$E$10:'Podcasts'!$E$2535),COLUMN(B70)))</f>
        <v>43207</v>
      </c>
      <c r="J107" s="132">
        <f t="array" ref="J107">IF(I107="","",INDEX(Podcasts!$F$10:'Podcasts'!$F$2535,MATCH(I107&amp;$B107,Podcasts!$E$10:'Podcasts'!$E$2535&amp;Podcasts!$D$10:'Podcasts'!$D$2535,0)))</f>
        <v>5.9236111111111107E-2</v>
      </c>
      <c r="K107" s="136" t="str">
        <f t="array" ref="K107">IF(L107="","",INDEX(Podcasts!$J$10:'Podcasts'!$J$2535,MATCH(L107&amp;$B107,Podcasts!$E$10:'Podcasts'!$E$2535&amp;Podcasts!$D$10:'Podcasts'!$D$2535,0)))</f>
        <v/>
      </c>
      <c r="L107" s="133" t="str">
        <f t="array" ref="L107">IF(COUNTIF(Podcasts!$D$10:'Podcasts'!$D$2535,$B107)&lt;COLUMN(C70),"",SMALL(IF(Podcasts!$D$10:'Podcasts'!$D$2535=$B107,Podcasts!$E$10:'Podcasts'!$E$2535),COLUMN(C70)))</f>
        <v/>
      </c>
      <c r="M107" s="132" t="str">
        <f t="array" ref="M107">IF(L107="","",INDEX(Podcasts!$F$10:'Podcasts'!$F$2535,MATCH(L107&amp;$B107,Podcasts!$E$10:'Podcasts'!$E$2535&amp;Podcasts!$D$10:'Podcasts'!$D$2535,0)))</f>
        <v/>
      </c>
      <c r="N107" s="136" t="str">
        <f t="array" ref="N107">IF(O107="","",INDEX(Podcasts!$J$10:'Podcasts'!$J$2535,MATCH(O107&amp;$B107,Podcasts!$E$10:'Podcasts'!$E$2535&amp;Podcasts!$D$10:'Podcasts'!$D$2535,0)))</f>
        <v/>
      </c>
      <c r="O107" s="133" t="str">
        <f t="array" ref="O107">IF(COUNTIF(Podcasts!$D$10:'Podcasts'!$D$2535,$B107)&lt;COLUMN(D70),"",SMALL(IF(Podcasts!$D$10:'Podcasts'!$D$2535=$B107,Podcasts!$E$10:'Podcasts'!$E$2535),COLUMN(D70)))</f>
        <v/>
      </c>
      <c r="P107" s="132" t="str">
        <f t="array" ref="P107">IF(O107="","",INDEX(Podcasts!$F$10:'Podcasts'!$F$2535,MATCH(O107&amp;$B107,Podcasts!$E$10:'Podcasts'!$E$2535&amp;Podcasts!$D$10:'Podcasts'!$D$2535,0)))</f>
        <v/>
      </c>
      <c r="Q107" s="136" t="str">
        <f t="array" ref="Q107">IF(R107="","",INDEX(Podcasts!$J$10:'Podcasts'!$J$2535,MATCH(R107&amp;$B107,Podcasts!$E$10:'Podcasts'!$E$2535&amp;Podcasts!$D$10:'Podcasts'!$D$2535,0)))</f>
        <v/>
      </c>
      <c r="R107" s="133" t="str">
        <f t="array" ref="R107">IF(COUNTIF(Podcasts!$D$10:'Podcasts'!$D$2535,$B107)&lt;COLUMN(E70),"",SMALL(IF(Podcasts!$D$10:'Podcasts'!$D$2535=$B107,Podcasts!$E$10:'Podcasts'!$E$2535),COLUMN(E70)))</f>
        <v/>
      </c>
      <c r="S107" s="132" t="str">
        <f t="array" ref="S107">IF(R107="","",INDEX(Podcasts!$F$10:'Podcasts'!$F$2535,MATCH(R107&amp;$B107,Podcasts!$E$10:'Podcasts'!$E$2535&amp;Podcasts!$D$10:'Podcasts'!$D$2535,0)))</f>
        <v/>
      </c>
      <c r="T107" s="136" t="str">
        <f t="array" ref="T107">IF(U107="","",INDEX(Podcasts!$J$10:'Podcasts'!$J$2535,MATCH(U107&amp;$B107,Podcasts!$E$10:'Podcasts'!$E$2535&amp;Podcasts!$D$10:'Podcasts'!$D$2535,0)))</f>
        <v/>
      </c>
      <c r="U107" s="133" t="str">
        <f t="array" ref="U107">IF(COUNTIF(Podcasts!$D$10:'Podcasts'!$D$2535,$B107)&lt;COLUMN(F70),"",SMALL(IF(Podcasts!$D$10:'Podcasts'!$D$2535=$B107,Podcasts!$E$10:'Podcasts'!$E$2535),COLUMN(F70)))</f>
        <v/>
      </c>
      <c r="V107" s="132" t="str">
        <f t="array" ref="V107">IF(U107="","",INDEX(Podcasts!$F$10:'Podcasts'!$F$2535,MATCH(U107&amp;$B107,Podcasts!$E$10:'Podcasts'!$E$2535&amp;Podcasts!$D$10:'Podcasts'!$D$2535,0)))</f>
        <v/>
      </c>
      <c r="W107" s="136" t="str">
        <f t="array" ref="W107">IF(X107="","",INDEX(Podcasts!$J$10:'Podcasts'!$J$2535,MATCH(X107&amp;$B107,Podcasts!$E$10:'Podcasts'!$E$2535&amp;Podcasts!$D$10:'Podcasts'!$D$2535,0)))</f>
        <v/>
      </c>
      <c r="X107" s="133" t="str">
        <f t="array" ref="X107">IF(COUNTIF(Podcasts!$D$10:'Podcasts'!$D$2535,$B107)&lt;COLUMN(G70),"",SMALL(IF(Podcasts!$D$10:'Podcasts'!$D$2535=$B107,Podcasts!$E$10:'Podcasts'!$E$2535),COLUMN(G70)))</f>
        <v/>
      </c>
      <c r="Y107" s="132" t="str">
        <f t="array" ref="Y107">IF(X107="","",INDEX(Podcasts!$F$10:'Podcasts'!$F$2535,MATCH(X107&amp;$B107,Podcasts!$E$10:'Podcasts'!$E$2535&amp;Podcasts!$D$10:'Podcasts'!$D$2535,0)))</f>
        <v/>
      </c>
      <c r="Z107" s="136" t="str">
        <f t="array" ref="Z107">IF(AA107="","",INDEX(Podcasts!$J$10:'Podcasts'!$J$2535,MATCH(AA107&amp;$B107,Podcasts!$E$10:'Podcasts'!$E$2535&amp;Podcasts!$D$10:'Podcasts'!$D$2535,0)))</f>
        <v/>
      </c>
      <c r="AA107" s="134" t="str">
        <f t="array" ref="AA107">IF(COUNTIF(Podcasts!$D$10:'Podcasts'!$D$2535,$B107)&lt;COLUMN(H70),"",SMALL(IF(Podcasts!$D$10:'Podcasts'!$D$2535=$B107,Podcasts!$E$10:'Podcasts'!$E$2535),COLUMN(H70)))</f>
        <v/>
      </c>
      <c r="AB107" s="404" t="str">
        <f t="array" ref="AB107">IF(AA107="","",INDEX(Podcasts!$F$10:'Podcasts'!$F$2535,MATCH(AA107&amp;$B107,Podcasts!$E$10:'Podcasts'!$E$2535&amp;Podcasts!$D$10:'Podcasts'!$D$2535,0)))</f>
        <v/>
      </c>
      <c r="AC107" s="406" t="str">
        <f t="array" ref="AC107">IF(AD107="","",INDEX(Podcasts!$J$10:'Podcasts'!$J$2535,MATCH(AD107&amp;$B107,Podcasts!$E$10:'Podcasts'!$E$2535&amp;Podcasts!$D$10:'Podcasts'!$D$2535,0)))</f>
        <v/>
      </c>
      <c r="AD107" s="400" t="str">
        <f t="array" ref="AD107">IF(COUNTIF(Podcasts!$D$10:'Podcasts'!$D$2535,$B107)&lt;COLUMN(I70),"",SMALL(IF(Podcasts!$D$10:'Podcasts'!$D$2535=$B107,Podcasts!$E$10:'Podcasts'!$E$2535),COLUMN(I70)))</f>
        <v/>
      </c>
      <c r="AE107" s="401" t="str">
        <f t="array" ref="AE107">IF(AD107="","",INDEX(Podcasts!$F$10:'Podcasts'!$F$2535,MATCH(AD107&amp;$B107,Podcasts!$E$10:'Podcasts'!$E$2535&amp;Podcasts!$D$10:'Podcasts'!$D$2535,0)))</f>
        <v/>
      </c>
      <c r="AF107" s="406" t="str">
        <f t="array" ref="AF107">IF(AG107="","",INDEX(Podcasts!$J$10:'Podcasts'!$J$2535,MATCH(AG107&amp;$B107,Podcasts!$E$10:'Podcasts'!$E$2535&amp;Podcasts!$D$10:'Podcasts'!$D$2535,0)))</f>
        <v/>
      </c>
      <c r="AG107" s="400" t="str">
        <f t="array" ref="AG107">IF(COUNTIF(Podcasts!$D$10:'Podcasts'!$D$2535,$B107)&lt;COLUMN(J70),"",SMALL(IF(Podcasts!$D$10:'Podcasts'!$D$2535=$B107,Podcasts!$E$10:'Podcasts'!$E$2535),COLUMN(J70)))</f>
        <v/>
      </c>
      <c r="AH107" s="401" t="str">
        <f t="array" ref="AH107">IF(AG107="","",INDEX(Podcasts!$F$10:'Podcasts'!$F$2535,MATCH(AG107&amp;$B107,Podcasts!$E$10:'Podcasts'!$E$2535&amp;Podcasts!$D$10:'Podcasts'!$D$2535,0)))</f>
        <v/>
      </c>
      <c r="AI107" s="406" t="str">
        <f t="array" ref="AI107">IF(AJ107="","",INDEX(Podcasts!$J$10:'Podcasts'!$J$2535,MATCH(AJ107&amp;$B107,Podcasts!$E$10:'Podcasts'!$E$2535&amp;Podcasts!$D$10:'Podcasts'!$D$2535,0)))</f>
        <v/>
      </c>
      <c r="AJ107" s="400" t="str">
        <f t="array" ref="AJ107">IF(COUNTIF(Podcasts!$D$10:'Podcasts'!$D$2535,$B107)&lt;COLUMN(K70),"",SMALL(IF(Podcasts!$D$10:'Podcasts'!$D$2535=$B107,Podcasts!$E$10:'Podcasts'!$E$2535),COLUMN(K70)))</f>
        <v/>
      </c>
      <c r="AK107" s="401" t="str">
        <f t="array" ref="AK107">IF(AJ107="","",INDEX(Podcasts!$F$10:'Podcasts'!$F$2535,MATCH(AJ107&amp;$B107,Podcasts!$E$10:'Podcasts'!$E$2535&amp;Podcasts!$D$10:'Podcasts'!$D$2535,0)))</f>
        <v/>
      </c>
      <c r="AL107" s="406" t="str">
        <f t="array" ref="AL107">IF(AM107="","",INDEX(Podcasts!$J$10:'Podcasts'!$J$2535,MATCH(AM107&amp;$B107,Podcasts!$E$10:'Podcasts'!$E$2535&amp;Podcasts!$D$10:'Podcasts'!$D$2535,0)))</f>
        <v/>
      </c>
      <c r="AM107" s="400" t="str">
        <f t="array" ref="AM107">IF(COUNTIF(Podcasts!$D$10:'Podcasts'!$D$2535,$B107)&lt;COLUMN(L70),"",SMALL(IF(Podcasts!$D$10:'Podcasts'!$D$2535=$B107,Podcasts!$E$10:'Podcasts'!$E$2535),COLUMN(L70)))</f>
        <v/>
      </c>
      <c r="AN107" s="401" t="str">
        <f t="array" ref="AN107">IF(AM107="","",INDEX(Podcasts!$F$10:'Podcasts'!$F$2535,MATCH(AM107&amp;$B107,Podcasts!$E$10:'Podcasts'!$E$2535&amp;Podcasts!$D$10:'Podcasts'!$D$2535,0)))</f>
        <v/>
      </c>
      <c r="AO107" s="402"/>
      <c r="AP107" s="119"/>
      <c r="AQ107" s="117">
        <f t="array" aca="1" ref="AQ107" ca="1">IFERROR(SMALL(IF(COUNTIF(Podcasts!$D$10:'Podcasts'!$D$107,ROW(INDIRECT("1:"&amp;K$2)))=0,ROW(INDIRECT("1:"&amp;K$2))),ROW($A64)),"")</f>
        <v>90</v>
      </c>
      <c r="AR107" s="117">
        <f t="array" aca="1" ref="AR107" ca="1">IFERROR(SMALL(IF(COUNTIF(Podcasts!$D$113:'Podcasts'!$D$238,ROW(INDIRECT("1:"&amp;K$2)))=0,ROW(INDIRECT("1:"&amp;K$2))),ROW($A64)),"")</f>
        <v>64</v>
      </c>
      <c r="AS107" s="117">
        <f t="array" aca="1" ref="AS107" ca="1">IFERROR(SMALL(IF(COUNTIF(Podcasts!$D$244:'Podcasts'!$D$299,ROW(INDIRECT("1:"&amp;K$2)))=0,ROW(INDIRECT("1:"&amp;K$2))),ROW($A64)),"")</f>
        <v>81</v>
      </c>
      <c r="AT107" s="117">
        <f t="array" aca="1" ref="AT107" ca="1">IFERROR(SMALL(IF(COUNTIF(Podcasts!$D$305:'Podcasts'!$D$473,ROW(INDIRECT("1:"&amp;K$2)))=0,ROW(INDIRECT("1:"&amp;K$2))),ROW($A64)),"")</f>
        <v>199</v>
      </c>
      <c r="AU107" s="117">
        <f t="array" aca="1" ref="AU107" ca="1">IFERROR(SMALL(IF(COUNTIF(Podcasts!$D$479:'Podcasts'!$D$488,ROW(INDIRECT("1:"&amp;K$2)))=0,ROW(INDIRECT("1:"&amp;K$2))),ROW($A64)),"")</f>
        <v>64</v>
      </c>
      <c r="AV107" s="117">
        <f t="array" aca="1" ref="AV107" ca="1">IFERROR(SMALL(IF(COUNTIF(Podcasts!$D$494:'Podcasts'!$D$518,ROW(INDIRECT("1:"&amp;K$2)))=0,ROW(INDIRECT("1:"&amp;K$2))),ROW($A64)),"")</f>
        <v>82</v>
      </c>
      <c r="AW107" s="117">
        <f t="array" aca="1" ref="AW107" ca="1">IFERROR(SMALL(IF(COUNTIF(Podcasts!$D$524:'Podcasts'!$D$532,ROW(INDIRECT("1:"&amp;K$2)))=0,ROW(INDIRECT("1:"&amp;K$2))),ROW($A64)),"")</f>
        <v>64</v>
      </c>
      <c r="AX107" s="117">
        <f t="array" aca="1" ref="AX107" ca="1">IFERROR(SMALL(IF(COUNTIF(Podcasts!$D$538:'Podcasts'!$D$909,ROW(INDIRECT("1:"&amp;K$2)))=0,ROW(INDIRECT("1:"&amp;K$2))),ROW($A64)),"")</f>
        <v>175</v>
      </c>
      <c r="AY107" s="117">
        <f t="array" aca="1" ref="AY107" ca="1">IFERROR(SMALL(IF(COUNTIF(Podcasts!$D$915:'Podcasts'!$D$981,ROW(INDIRECT("1:"&amp;K$2)))=0,ROW(INDIRECT("1:"&amp;K$2))),ROW($A64)),"")</f>
        <v>100</v>
      </c>
      <c r="AZ107" s="445"/>
      <c r="BA107" s="117">
        <f t="array" aca="1" ref="BA107" ca="1">IFERROR(SMALL(IF(COUNTIF(Podcasts!$D$1001:'Podcasts'!$D$1251,ROW(INDIRECT("1:"&amp;K$2)))=0,ROW(INDIRECT("1:"&amp;K$2))),ROW($A64)),"")</f>
        <v>104</v>
      </c>
      <c r="BB107" s="117">
        <f t="array" aca="1" ref="BB107" ca="1">IFERROR(SMALL(IF(COUNTIF(Podcasts!$D$1257:'Podcasts'!$D$1267,ROW(INDIRECT("1:"&amp;K$2)))=0,ROW(INDIRECT("1:"&amp;K$2))),ROW($A64)),"")</f>
        <v>65</v>
      </c>
      <c r="BC107" s="117">
        <f t="array" aca="1" ref="BC107" ca="1">IFERROR(SMALL(IF(COUNTIF(Podcasts!$D$1273:'Podcasts'!$D$1283,ROW(INDIRECT("1:"&amp;K$2)))=0,ROW(INDIRECT("1:"&amp;K$2))),ROW($A64)),"")</f>
        <v>68</v>
      </c>
      <c r="BD107" s="117">
        <f t="array" aca="1" ref="BD107" ca="1">IFERROR(SMALL(IF(COUNTIF(Podcasts!$D$1289:'Podcasts'!$D$1295,ROW(INDIRECT("1:"&amp;K$2)))=0,ROW(INDIRECT("1:"&amp;K$2))),ROW($A64)),"")</f>
        <v>66</v>
      </c>
      <c r="BE107" s="117">
        <f t="array" aca="1" ref="BE107" ca="1">IFERROR(SMALL(IF(COUNTIF(Podcasts!$D$1301:'Podcasts'!$D$1356,ROW(INDIRECT("1:"&amp;K$2)))=0,ROW(INDIRECT("1:"&amp;K$2))),ROW($A64)),"")</f>
        <v>111</v>
      </c>
      <c r="BF107" s="117">
        <f t="array" aca="1" ref="BF107" ca="1">IFERROR(SMALL(IF(COUNTIF(Podcasts!$D$1362:'Podcasts'!$D$1364,ROW(INDIRECT("1:"&amp;K$2)))=0,ROW(INDIRECT("1:"&amp;K$2))),ROW($A64)),"")</f>
        <v>67</v>
      </c>
      <c r="BG107" s="202">
        <f t="array" aca="1" ref="BG107" ca="1">IFERROR(SMALL(IF(COUNTIF(Podcasts!$D$1370:'Podcasts'!$D$1419,ROW(INDIRECT("1:"&amp;K$2)))=0,ROW(INDIRECT("1:"&amp;K$2))),ROW($A64)),"")</f>
        <v>79</v>
      </c>
      <c r="BH107" s="202">
        <f t="array" aca="1" ref="BH107" ca="1">IFERROR(SMALL(IF(COUNTIF(Podcasts!$D$1425:'Podcasts'!$D$1446,ROW(INDIRECT("1:"&amp;K$2)))=0,ROW(INDIRECT("1:"&amp;K$2))),ROW($A64)),"")</f>
        <v>69</v>
      </c>
      <c r="BI107" s="202">
        <f t="array" aca="1" ref="BI107" ca="1">IFERROR(SMALL(IF(COUNTIF(Podcasts!$D$1452:'Podcasts'!$D$1574,ROW(INDIRECT("1:"&amp;K$2)))=0,ROW(INDIRECT("1:"&amp;K$2))),ROW($A64)),"")</f>
        <v>117</v>
      </c>
      <c r="BJ107" s="202">
        <f t="array" aca="1" ref="BJ107" ca="1">IFERROR(SMALL(IF(COUNTIF(Podcasts!$D$1580:'Podcasts'!$D$1705,ROW(INDIRECT("1:"&amp;K$2)))=0,ROW(INDIRECT("1:"&amp;K$2))),ROW($A64)),"")</f>
        <v>118</v>
      </c>
      <c r="BK107" s="202">
        <f t="array" aca="1" ref="BK107" ca="1">IFERROR(SMALL(IF(COUNTIF(Podcasts!$D$1711:'Podcasts'!$D$1833,ROW(INDIRECT("1:"&amp;K$2)))=0,ROW(INDIRECT("1:"&amp;K$2))),ROW($A64)),"")</f>
        <v>104</v>
      </c>
      <c r="BL107" s="202">
        <f t="array" aca="1" ref="BL107" ca="1">IFERROR(SMALL(IF(COUNTIF(Podcasts!$D$1839:'Podcasts'!$D$1855,ROW(INDIRECT("1:"&amp;K$2)))=0,ROW(INDIRECT("1:"&amp;K$2))),ROW($A64)),"")</f>
        <v>70</v>
      </c>
      <c r="BM107" s="567">
        <f t="array" aca="1" ref="BM107" ca="1">IFERROR(SMALL(IF(COUNTIF(Podcasts!$D$1861:'Podcasts'!$D$1994,ROW(INDIRECT("1:"&amp;K$2)))=0,ROW(INDIRECT("1:"&amp;K$2))),ROW($A64)),"")</f>
        <v>92</v>
      </c>
      <c r="BN107" s="567">
        <f t="array" aca="1" ref="BN107" ca="1">IFERROR(SMALL(IF(COUNTIF(Podcasts!$D$2000:'Podcasts'!$D$2057,ROW(INDIRECT("1:"&amp;K$2)))=0,ROW(INDIRECT("1:"&amp;K$2))),ROW($A64)),"")</f>
        <v>119</v>
      </c>
      <c r="BO107" s="567">
        <f t="array" aca="1" ref="BO107" ca="1">IFERROR(SMALL(IF(COUNTIF(Podcasts!$D$2063:'Podcasts'!$D$2071,ROW(INDIRECT("1:"&amp;K$2)))=0,ROW(INDIRECT("1:"&amp;K$2))),ROW($A64)),"")</f>
        <v>64</v>
      </c>
      <c r="BP107" s="202">
        <f t="array" aca="1" ref="BP107" ca="1">IFERROR(SMALL(IF(COUNTIF(Podcasts!$D$2077:'Podcasts'!$D$2092,ROW(INDIRECT("1:"&amp;K$2)))=0,ROW(INDIRECT("1:"&amp;K$2))),ROW($A64)),"")</f>
        <v>74</v>
      </c>
      <c r="BQ107" s="741">
        <f t="array" aca="1" ref="BQ107" ca="1">IFERROR(SMALL(IF(COUNTIF(Podcasts!$D$2098:'Podcasts'!$D$2114,ROW(INDIRECT("1:"&amp;K$2)))=0,ROW(INDIRECT("1:"&amp;K$2))),ROW($A64)),"")</f>
        <v>68</v>
      </c>
      <c r="BR107" s="744">
        <f t="array" aca="1" ref="BR107" ca="1">IFERROR(SMALL(IF(COUNTIF(Podcasts!$D$2120:'Podcasts'!$D$2124,ROW(INDIRECT("1:"&amp;K$2)))=0,ROW(INDIRECT("1:"&amp;K$2))),ROW($A64)),"")</f>
        <v>66</v>
      </c>
      <c r="BS107" s="28"/>
    </row>
    <row r="108" spans="1:71" outlineLevel="1">
      <c r="A108" s="28"/>
      <c r="B108" s="161">
        <v>65</v>
      </c>
      <c r="C108" s="161">
        <f>COUNTIF(Podcasts!$D$10:'Podcasts'!$D$2535,B108)</f>
        <v>3</v>
      </c>
      <c r="D108" s="158" t="s">
        <v>1093</v>
      </c>
      <c r="E108" s="156" t="str">
        <f t="array" ref="E108">IF(F108="","",INDEX(Podcasts!$J$10:'Podcasts'!$J$2535,MATCH(F108&amp;$B108,Podcasts!$E$10:'Podcasts'!$E$2535&amp;Podcasts!$D$10:'Podcasts'!$D$2535,0)))</f>
        <v>Fürst</v>
      </c>
      <c r="F108" s="131">
        <f t="array" ref="F108">IF(COUNTIF(Podcasts!$D$10:'Podcasts'!$D$2535,$B108)&lt;COLUMN(A71),"",SMALL(IF(Podcasts!$D$10:'Podcasts'!$D$2535=$B108,Podcasts!$E$10:'Podcasts'!$E$2535),COLUMN(A71)))</f>
        <v>41839</v>
      </c>
      <c r="G108" s="132">
        <f t="array" ref="G108">IF(F108="","",INDEX(Podcasts!$F$10:'Podcasts'!$F$2535,MATCH(F108&amp;$B108,Podcasts!$E$10:'Podcasts'!$E$2535&amp;Podcasts!$D$10:'Podcasts'!$D$2535,0)))</f>
        <v>4.2824074074074014E-3</v>
      </c>
      <c r="H108" s="136" t="str">
        <f t="array" ref="H108">IF(I108="","",INDEX(Podcasts!$J$10:'Podcasts'!$J$2535,MATCH(I108&amp;$B108,Podcasts!$E$10:'Podcasts'!$E$2535&amp;Podcasts!$D$10:'Podcasts'!$D$2535,0)))</f>
        <v>SSP</v>
      </c>
      <c r="I108" s="133">
        <f t="array" ref="I108">IF(COUNTIF(Podcasts!$D$10:'Podcasts'!$D$2535,$B108)&lt;COLUMN(B71),"",SMALL(IF(Podcasts!$D$10:'Podcasts'!$D$2535=$B108,Podcasts!$E$10:'Podcasts'!$E$2535),COLUMN(B71)))</f>
        <v>44396</v>
      </c>
      <c r="J108" s="132">
        <f t="array" ref="J108">IF(I108="","",INDEX(Podcasts!$F$10:'Podcasts'!$F$2535,MATCH(I108&amp;$B108,Podcasts!$E$10:'Podcasts'!$E$2535&amp;Podcasts!$D$10:'Podcasts'!$D$2535,0)))</f>
        <v>7.1539351851851854E-2</v>
      </c>
      <c r="K108" s="136" t="str">
        <f t="array" ref="K108">IF(L108="","",INDEX(Podcasts!$J$10:'Podcasts'!$J$2535,MATCH(L108&amp;$B108,Podcasts!$E$10:'Podcasts'!$E$2535&amp;Podcasts!$D$10:'Podcasts'!$D$2535,0)))</f>
        <v>Kaffee</v>
      </c>
      <c r="L108" s="133">
        <f t="array" ref="L108">IF(COUNTIF(Podcasts!$D$10:'Podcasts'!$D$2535,$B108)&lt;COLUMN(C71),"",SMALL(IF(Podcasts!$D$10:'Podcasts'!$D$2535=$B108,Podcasts!$E$10:'Podcasts'!$E$2535),COLUMN(C71)))</f>
        <v>44582</v>
      </c>
      <c r="M108" s="132">
        <f t="array" ref="M108">IF(L108="","",INDEX(Podcasts!$F$10:'Podcasts'!$F$2535,MATCH(L108&amp;$B108,Podcasts!$E$10:'Podcasts'!$E$2535&amp;Podcasts!$D$10:'Podcasts'!$D$2535,0)))</f>
        <v>3.1168981481481482E-2</v>
      </c>
      <c r="N108" s="136" t="str">
        <f t="array" ref="N108">IF(O108="","",INDEX(Podcasts!$J$10:'Podcasts'!$J$2535,MATCH(O108&amp;$B108,Podcasts!$E$10:'Podcasts'!$E$2535&amp;Podcasts!$D$10:'Podcasts'!$D$2535,0)))</f>
        <v/>
      </c>
      <c r="O108" s="133" t="str">
        <f t="array" ref="O108">IF(COUNTIF(Podcasts!$D$10:'Podcasts'!$D$2535,$B108)&lt;COLUMN(D71),"",SMALL(IF(Podcasts!$D$10:'Podcasts'!$D$2535=$B108,Podcasts!$E$10:'Podcasts'!$E$2535),COLUMN(D71)))</f>
        <v/>
      </c>
      <c r="P108" s="132" t="str">
        <f t="array" ref="P108">IF(O108="","",INDEX(Podcasts!$F$10:'Podcasts'!$F$2535,MATCH(O108&amp;$B108,Podcasts!$E$10:'Podcasts'!$E$2535&amp;Podcasts!$D$10:'Podcasts'!$D$2535,0)))</f>
        <v/>
      </c>
      <c r="Q108" s="136" t="str">
        <f t="array" ref="Q108">IF(R108="","",INDEX(Podcasts!$J$10:'Podcasts'!$J$2535,MATCH(R108&amp;$B108,Podcasts!$E$10:'Podcasts'!$E$2535&amp;Podcasts!$D$10:'Podcasts'!$D$2535,0)))</f>
        <v/>
      </c>
      <c r="R108" s="133" t="str">
        <f t="array" ref="R108">IF(COUNTIF(Podcasts!$D$10:'Podcasts'!$D$2535,$B108)&lt;COLUMN(E71),"",SMALL(IF(Podcasts!$D$10:'Podcasts'!$D$2535=$B108,Podcasts!$E$10:'Podcasts'!$E$2535),COLUMN(E71)))</f>
        <v/>
      </c>
      <c r="S108" s="132" t="str">
        <f t="array" ref="S108">IF(R108="","",INDEX(Podcasts!$F$10:'Podcasts'!$F$2535,MATCH(R108&amp;$B108,Podcasts!$E$10:'Podcasts'!$E$2535&amp;Podcasts!$D$10:'Podcasts'!$D$2535,0)))</f>
        <v/>
      </c>
      <c r="T108" s="136" t="str">
        <f t="array" ref="T108">IF(U108="","",INDEX(Podcasts!$J$10:'Podcasts'!$J$2535,MATCH(U108&amp;$B108,Podcasts!$E$10:'Podcasts'!$E$2535&amp;Podcasts!$D$10:'Podcasts'!$D$2535,0)))</f>
        <v/>
      </c>
      <c r="U108" s="133" t="str">
        <f t="array" ref="U108">IF(COUNTIF(Podcasts!$D$10:'Podcasts'!$D$2535,$B108)&lt;COLUMN(F71),"",SMALL(IF(Podcasts!$D$10:'Podcasts'!$D$2535=$B108,Podcasts!$E$10:'Podcasts'!$E$2535),COLUMN(F71)))</f>
        <v/>
      </c>
      <c r="V108" s="132" t="str">
        <f t="array" ref="V108">IF(U108="","",INDEX(Podcasts!$F$10:'Podcasts'!$F$2535,MATCH(U108&amp;$B108,Podcasts!$E$10:'Podcasts'!$E$2535&amp;Podcasts!$D$10:'Podcasts'!$D$2535,0)))</f>
        <v/>
      </c>
      <c r="W108" s="136" t="str">
        <f t="array" ref="W108">IF(X108="","",INDEX(Podcasts!$J$10:'Podcasts'!$J$2535,MATCH(X108&amp;$B108,Podcasts!$E$10:'Podcasts'!$E$2535&amp;Podcasts!$D$10:'Podcasts'!$D$2535,0)))</f>
        <v/>
      </c>
      <c r="X108" s="133" t="str">
        <f t="array" ref="X108">IF(COUNTIF(Podcasts!$D$10:'Podcasts'!$D$2535,$B108)&lt;COLUMN(G71),"",SMALL(IF(Podcasts!$D$10:'Podcasts'!$D$2535=$B108,Podcasts!$E$10:'Podcasts'!$E$2535),COLUMN(G71)))</f>
        <v/>
      </c>
      <c r="Y108" s="132" t="str">
        <f t="array" ref="Y108">IF(X108="","",INDEX(Podcasts!$F$10:'Podcasts'!$F$2535,MATCH(X108&amp;$B108,Podcasts!$E$10:'Podcasts'!$E$2535&amp;Podcasts!$D$10:'Podcasts'!$D$2535,0)))</f>
        <v/>
      </c>
      <c r="Z108" s="136" t="str">
        <f t="array" ref="Z108">IF(AA108="","",INDEX(Podcasts!$J$10:'Podcasts'!$J$2535,MATCH(AA108&amp;$B108,Podcasts!$E$10:'Podcasts'!$E$2535&amp;Podcasts!$D$10:'Podcasts'!$D$2535,0)))</f>
        <v/>
      </c>
      <c r="AA108" s="134" t="str">
        <f t="array" ref="AA108">IF(COUNTIF(Podcasts!$D$10:'Podcasts'!$D$2535,$B108)&lt;COLUMN(H71),"",SMALL(IF(Podcasts!$D$10:'Podcasts'!$D$2535=$B108,Podcasts!$E$10:'Podcasts'!$E$2535),COLUMN(H71)))</f>
        <v/>
      </c>
      <c r="AB108" s="404" t="str">
        <f t="array" ref="AB108">IF(AA108="","",INDEX(Podcasts!$F$10:'Podcasts'!$F$2535,MATCH(AA108&amp;$B108,Podcasts!$E$10:'Podcasts'!$E$2535&amp;Podcasts!$D$10:'Podcasts'!$D$2535,0)))</f>
        <v/>
      </c>
      <c r="AC108" s="406" t="str">
        <f t="array" ref="AC108">IF(AD108="","",INDEX(Podcasts!$J$10:'Podcasts'!$J$2535,MATCH(AD108&amp;$B108,Podcasts!$E$10:'Podcasts'!$E$2535&amp;Podcasts!$D$10:'Podcasts'!$D$2535,0)))</f>
        <v/>
      </c>
      <c r="AD108" s="400" t="str">
        <f t="array" ref="AD108">IF(COUNTIF(Podcasts!$D$10:'Podcasts'!$D$2535,$B108)&lt;COLUMN(I71),"",SMALL(IF(Podcasts!$D$10:'Podcasts'!$D$2535=$B108,Podcasts!$E$10:'Podcasts'!$E$2535),COLUMN(I71)))</f>
        <v/>
      </c>
      <c r="AE108" s="401" t="str">
        <f t="array" ref="AE108">IF(AD108="","",INDEX(Podcasts!$F$10:'Podcasts'!$F$2535,MATCH(AD108&amp;$B108,Podcasts!$E$10:'Podcasts'!$E$2535&amp;Podcasts!$D$10:'Podcasts'!$D$2535,0)))</f>
        <v/>
      </c>
      <c r="AF108" s="406" t="str">
        <f t="array" ref="AF108">IF(AG108="","",INDEX(Podcasts!$J$10:'Podcasts'!$J$2535,MATCH(AG108&amp;$B108,Podcasts!$E$10:'Podcasts'!$E$2535&amp;Podcasts!$D$10:'Podcasts'!$D$2535,0)))</f>
        <v/>
      </c>
      <c r="AG108" s="400" t="str">
        <f t="array" ref="AG108">IF(COUNTIF(Podcasts!$D$10:'Podcasts'!$D$2535,$B108)&lt;COLUMN(J71),"",SMALL(IF(Podcasts!$D$10:'Podcasts'!$D$2535=$B108,Podcasts!$E$10:'Podcasts'!$E$2535),COLUMN(J71)))</f>
        <v/>
      </c>
      <c r="AH108" s="401" t="str">
        <f t="array" ref="AH108">IF(AG108="","",INDEX(Podcasts!$F$10:'Podcasts'!$F$2535,MATCH(AG108&amp;$B108,Podcasts!$E$10:'Podcasts'!$E$2535&amp;Podcasts!$D$10:'Podcasts'!$D$2535,0)))</f>
        <v/>
      </c>
      <c r="AI108" s="406" t="str">
        <f t="array" ref="AI108">IF(AJ108="","",INDEX(Podcasts!$J$10:'Podcasts'!$J$2535,MATCH(AJ108&amp;$B108,Podcasts!$E$10:'Podcasts'!$E$2535&amp;Podcasts!$D$10:'Podcasts'!$D$2535,0)))</f>
        <v/>
      </c>
      <c r="AJ108" s="400" t="str">
        <f t="array" ref="AJ108">IF(COUNTIF(Podcasts!$D$10:'Podcasts'!$D$2535,$B108)&lt;COLUMN(K71),"",SMALL(IF(Podcasts!$D$10:'Podcasts'!$D$2535=$B108,Podcasts!$E$10:'Podcasts'!$E$2535),COLUMN(K71)))</f>
        <v/>
      </c>
      <c r="AK108" s="401" t="str">
        <f t="array" ref="AK108">IF(AJ108="","",INDEX(Podcasts!$F$10:'Podcasts'!$F$2535,MATCH(AJ108&amp;$B108,Podcasts!$E$10:'Podcasts'!$E$2535&amp;Podcasts!$D$10:'Podcasts'!$D$2535,0)))</f>
        <v/>
      </c>
      <c r="AL108" s="406" t="str">
        <f t="array" ref="AL108">IF(AM108="","",INDEX(Podcasts!$J$10:'Podcasts'!$J$2535,MATCH(AM108&amp;$B108,Podcasts!$E$10:'Podcasts'!$E$2535&amp;Podcasts!$D$10:'Podcasts'!$D$2535,0)))</f>
        <v/>
      </c>
      <c r="AM108" s="400" t="str">
        <f t="array" ref="AM108">IF(COUNTIF(Podcasts!$D$10:'Podcasts'!$D$2535,$B108)&lt;COLUMN(L71),"",SMALL(IF(Podcasts!$D$10:'Podcasts'!$D$2535=$B108,Podcasts!$E$10:'Podcasts'!$E$2535),COLUMN(L71)))</f>
        <v/>
      </c>
      <c r="AN108" s="401" t="str">
        <f t="array" ref="AN108">IF(AM108="","",INDEX(Podcasts!$F$10:'Podcasts'!$F$2535,MATCH(AM108&amp;$B108,Podcasts!$E$10:'Podcasts'!$E$2535&amp;Podcasts!$D$10:'Podcasts'!$D$2535,0)))</f>
        <v/>
      </c>
      <c r="AO108" s="402"/>
      <c r="AP108" s="119"/>
      <c r="AQ108" s="117">
        <f t="array" aca="1" ref="AQ108" ca="1">IFERROR(SMALL(IF(COUNTIF(Podcasts!$D$10:'Podcasts'!$D$107,ROW(INDIRECT("1:"&amp;K$2)))=0,ROW(INDIRECT("1:"&amp;K$2))),ROW($A65)),"")</f>
        <v>91</v>
      </c>
      <c r="AR108" s="117">
        <f t="array" aca="1" ref="AR108" ca="1">IFERROR(SMALL(IF(COUNTIF(Podcasts!$D$113:'Podcasts'!$D$238,ROW(INDIRECT("1:"&amp;K$2)))=0,ROW(INDIRECT("1:"&amp;K$2))),ROW($A65)),"")</f>
        <v>65</v>
      </c>
      <c r="AS108" s="117">
        <f t="array" aca="1" ref="AS108" ca="1">IFERROR(SMALL(IF(COUNTIF(Podcasts!$D$244:'Podcasts'!$D$299,ROW(INDIRECT("1:"&amp;K$2)))=0,ROW(INDIRECT("1:"&amp;K$2))),ROW($A65)),"")</f>
        <v>82</v>
      </c>
      <c r="AT108" s="117">
        <f t="array" aca="1" ref="AT108" ca="1">IFERROR(SMALL(IF(COUNTIF(Podcasts!$D$305:'Podcasts'!$D$473,ROW(INDIRECT("1:"&amp;K$2)))=0,ROW(INDIRECT("1:"&amp;K$2))),ROW($A65)),"")</f>
        <v>200</v>
      </c>
      <c r="AU108" s="117">
        <f t="array" aca="1" ref="AU108" ca="1">IFERROR(SMALL(IF(COUNTIF(Podcasts!$D$479:'Podcasts'!$D$488,ROW(INDIRECT("1:"&amp;K$2)))=0,ROW(INDIRECT("1:"&amp;K$2))),ROW($A65)),"")</f>
        <v>65</v>
      </c>
      <c r="AV108" s="117">
        <f t="array" aca="1" ref="AV108" ca="1">IFERROR(SMALL(IF(COUNTIF(Podcasts!$D$494:'Podcasts'!$D$518,ROW(INDIRECT("1:"&amp;K$2)))=0,ROW(INDIRECT("1:"&amp;K$2))),ROW($A65)),"")</f>
        <v>83</v>
      </c>
      <c r="AW108" s="117">
        <f t="array" aca="1" ref="AW108" ca="1">IFERROR(SMALL(IF(COUNTIF(Podcasts!$D$524:'Podcasts'!$D$532,ROW(INDIRECT("1:"&amp;K$2)))=0,ROW(INDIRECT("1:"&amp;K$2))),ROW($A65)),"")</f>
        <v>65</v>
      </c>
      <c r="AX108" s="117">
        <f t="array" aca="1" ref="AX108" ca="1">IFERROR(SMALL(IF(COUNTIF(Podcasts!$D$538:'Podcasts'!$D$909,ROW(INDIRECT("1:"&amp;K$2)))=0,ROW(INDIRECT("1:"&amp;K$2))),ROW($A65)),"")</f>
        <v>176</v>
      </c>
      <c r="AY108" s="117">
        <f t="array" aca="1" ref="AY108" ca="1">IFERROR(SMALL(IF(COUNTIF(Podcasts!$D$915:'Podcasts'!$D$981,ROW(INDIRECT("1:"&amp;K$2)))=0,ROW(INDIRECT("1:"&amp;K$2))),ROW($A65)),"")</f>
        <v>102</v>
      </c>
      <c r="AZ108" s="445"/>
      <c r="BA108" s="117">
        <f t="array" aca="1" ref="BA108" ca="1">IFERROR(SMALL(IF(COUNTIF(Podcasts!$D$1001:'Podcasts'!$D$1251,ROW(INDIRECT("1:"&amp;K$2)))=0,ROW(INDIRECT("1:"&amp;K$2))),ROW($A65)),"")</f>
        <v>106</v>
      </c>
      <c r="BB108" s="117">
        <f t="array" aca="1" ref="BB108" ca="1">IFERROR(SMALL(IF(COUNTIF(Podcasts!$D$1257:'Podcasts'!$D$1267,ROW(INDIRECT("1:"&amp;K$2)))=0,ROW(INDIRECT("1:"&amp;K$2))),ROW($A65)),"")</f>
        <v>66</v>
      </c>
      <c r="BC108" s="117">
        <f t="array" aca="1" ref="BC108" ca="1">IFERROR(SMALL(IF(COUNTIF(Podcasts!$D$1273:'Podcasts'!$D$1283,ROW(INDIRECT("1:"&amp;K$2)))=0,ROW(INDIRECT("1:"&amp;K$2))),ROW($A65)),"")</f>
        <v>69</v>
      </c>
      <c r="BD108" s="117">
        <f t="array" aca="1" ref="BD108" ca="1">IFERROR(SMALL(IF(COUNTIF(Podcasts!$D$1289:'Podcasts'!$D$1295,ROW(INDIRECT("1:"&amp;K$2)))=0,ROW(INDIRECT("1:"&amp;K$2))),ROW($A65)),"")</f>
        <v>67</v>
      </c>
      <c r="BE108" s="117">
        <f t="array" aca="1" ref="BE108" ca="1">IFERROR(SMALL(IF(COUNTIF(Podcasts!$D$1301:'Podcasts'!$D$1356,ROW(INDIRECT("1:"&amp;K$2)))=0,ROW(INDIRECT("1:"&amp;K$2))),ROW($A65)),"")</f>
        <v>112</v>
      </c>
      <c r="BF108" s="117">
        <f t="array" aca="1" ref="BF108" ca="1">IFERROR(SMALL(IF(COUNTIF(Podcasts!$D$1362:'Podcasts'!$D$1364,ROW(INDIRECT("1:"&amp;K$2)))=0,ROW(INDIRECT("1:"&amp;K$2))),ROW($A65)),"")</f>
        <v>68</v>
      </c>
      <c r="BG108" s="202">
        <f t="array" aca="1" ref="BG108" ca="1">IFERROR(SMALL(IF(COUNTIF(Podcasts!$D$1370:'Podcasts'!$D$1419,ROW(INDIRECT("1:"&amp;K$2)))=0,ROW(INDIRECT("1:"&amp;K$2))),ROW($A65)),"")</f>
        <v>80</v>
      </c>
      <c r="BH108" s="202">
        <f t="array" aca="1" ref="BH108" ca="1">IFERROR(SMALL(IF(COUNTIF(Podcasts!$D$1425:'Podcasts'!$D$1446,ROW(INDIRECT("1:"&amp;K$2)))=0,ROW(INDIRECT("1:"&amp;K$2))),ROW($A65)),"")</f>
        <v>70</v>
      </c>
      <c r="BI108" s="202">
        <f t="array" aca="1" ref="BI108" ca="1">IFERROR(SMALL(IF(COUNTIF(Podcasts!$D$1452:'Podcasts'!$D$1574,ROW(INDIRECT("1:"&amp;K$2)))=0,ROW(INDIRECT("1:"&amp;K$2))),ROW($A65)),"")</f>
        <v>118</v>
      </c>
      <c r="BJ108" s="202">
        <f t="array" aca="1" ref="BJ108" ca="1">IFERROR(SMALL(IF(COUNTIF(Podcasts!$D$1580:'Podcasts'!$D$1705,ROW(INDIRECT("1:"&amp;K$2)))=0,ROW(INDIRECT("1:"&amp;K$2))),ROW($A65)),"")</f>
        <v>119</v>
      </c>
      <c r="BK108" s="202">
        <f t="array" aca="1" ref="BK108" ca="1">IFERROR(SMALL(IF(COUNTIF(Podcasts!$D$1711:'Podcasts'!$D$1833,ROW(INDIRECT("1:"&amp;K$2)))=0,ROW(INDIRECT("1:"&amp;K$2))),ROW($A65)),"")</f>
        <v>105</v>
      </c>
      <c r="BL108" s="202">
        <f t="array" aca="1" ref="BL108" ca="1">IFERROR(SMALL(IF(COUNTIF(Podcasts!$D$1839:'Podcasts'!$D$1855,ROW(INDIRECT("1:"&amp;K$2)))=0,ROW(INDIRECT("1:"&amp;K$2))),ROW($A65)),"")</f>
        <v>71</v>
      </c>
      <c r="BM108" s="567">
        <f t="array" aca="1" ref="BM108" ca="1">IFERROR(SMALL(IF(COUNTIF(Podcasts!$D$1861:'Podcasts'!$D$1994,ROW(INDIRECT("1:"&amp;K$2)))=0,ROW(INDIRECT("1:"&amp;K$2))),ROW($A65)),"")</f>
        <v>93</v>
      </c>
      <c r="BN108" s="567">
        <f t="array" aca="1" ref="BN108" ca="1">IFERROR(SMALL(IF(COUNTIF(Podcasts!$D$2000:'Podcasts'!$D$2057,ROW(INDIRECT("1:"&amp;K$2)))=0,ROW(INDIRECT("1:"&amp;K$2))),ROW($A65)),"")</f>
        <v>120</v>
      </c>
      <c r="BO108" s="567">
        <f t="array" aca="1" ref="BO108" ca="1">IFERROR(SMALL(IF(COUNTIF(Podcasts!$D$2063:'Podcasts'!$D$2071,ROW(INDIRECT("1:"&amp;K$2)))=0,ROW(INDIRECT("1:"&amp;K$2))),ROW($A65)),"")</f>
        <v>65</v>
      </c>
      <c r="BP108" s="202">
        <f t="array" aca="1" ref="BP108" ca="1">IFERROR(SMALL(IF(COUNTIF(Podcasts!$D$2077:'Podcasts'!$D$2092,ROW(INDIRECT("1:"&amp;K$2)))=0,ROW(INDIRECT("1:"&amp;K$2))),ROW($A65)),"")</f>
        <v>75</v>
      </c>
      <c r="BQ108" s="741">
        <f t="array" aca="1" ref="BQ108" ca="1">IFERROR(SMALL(IF(COUNTIF(Podcasts!$D$2098:'Podcasts'!$D$2114,ROW(INDIRECT("1:"&amp;K$2)))=0,ROW(INDIRECT("1:"&amp;K$2))),ROW($A65)),"")</f>
        <v>69</v>
      </c>
      <c r="BR108" s="744">
        <f t="array" aca="1" ref="BR108" ca="1">IFERROR(SMALL(IF(COUNTIF(Podcasts!$D$2120:'Podcasts'!$D$2124,ROW(INDIRECT("1:"&amp;K$2)))=0,ROW(INDIRECT("1:"&amp;K$2))),ROW($A65)),"")</f>
        <v>67</v>
      </c>
      <c r="BS108" s="28"/>
    </row>
    <row r="109" spans="1:71" outlineLevel="1">
      <c r="A109" s="28"/>
      <c r="B109" s="161">
        <v>66</v>
      </c>
      <c r="C109" s="161">
        <f>COUNTIF(Podcasts!$D$10:'Podcasts'!$D$2535,B109)</f>
        <v>3</v>
      </c>
      <c r="D109" s="158" t="s">
        <v>1094</v>
      </c>
      <c r="E109" s="156" t="str">
        <f t="array" ref="E109">IF(F109="","",INDEX(Podcasts!$J$10:'Podcasts'!$J$2535,MATCH(F109&amp;$B109,Podcasts!$E$10:'Podcasts'!$E$2535&amp;Podcasts!$D$10:'Podcasts'!$D$2535,0)))</f>
        <v>Fürst</v>
      </c>
      <c r="F109" s="131">
        <f t="array" ref="F109">IF(COUNTIF(Podcasts!$D$10:'Podcasts'!$D$2535,$B109)&lt;COLUMN(A72),"",SMALL(IF(Podcasts!$D$10:'Podcasts'!$D$2535=$B109,Podcasts!$E$10:'Podcasts'!$E$2535),COLUMN(A72)))</f>
        <v>41917</v>
      </c>
      <c r="G109" s="132">
        <f t="array" ref="G109">IF(F109="","",INDEX(Podcasts!$F$10:'Podcasts'!$F$2535,MATCH(F109&amp;$B109,Podcasts!$E$10:'Podcasts'!$E$2535&amp;Podcasts!$D$10:'Podcasts'!$D$2535,0)))</f>
        <v>5.8449074074074063E-3</v>
      </c>
      <c r="H109" s="136" t="str">
        <f t="array" ref="H109">IF(I109="","",INDEX(Podcasts!$J$10:'Podcasts'!$J$2535,MATCH(I109&amp;$B109,Podcasts!$E$10:'Podcasts'!$E$2535&amp;Podcasts!$D$10:'Podcasts'!$D$2535,0)))</f>
        <v>SSP</v>
      </c>
      <c r="I109" s="133">
        <f t="array" ref="I109">IF(COUNTIF(Podcasts!$D$10:'Podcasts'!$D$2535,$B109)&lt;COLUMN(B72),"",SMALL(IF(Podcasts!$D$10:'Podcasts'!$D$2535=$B109,Podcasts!$E$10:'Podcasts'!$E$2535),COLUMN(B72)))</f>
        <v>44410</v>
      </c>
      <c r="J109" s="132">
        <f t="array" ref="J109">IF(I109="","",INDEX(Podcasts!$F$10:'Podcasts'!$F$2535,MATCH(I109&amp;$B109,Podcasts!$E$10:'Podcasts'!$E$2535&amp;Podcasts!$D$10:'Podcasts'!$D$2535,0)))</f>
        <v>7.4004629629629629E-2</v>
      </c>
      <c r="K109" s="136" t="str">
        <f t="array" ref="K109">IF(L109="","",INDEX(Podcasts!$J$10:'Podcasts'!$J$2535,MATCH(L109&amp;$B109,Podcasts!$E$10:'Podcasts'!$E$2535&amp;Podcasts!$D$10:'Podcasts'!$D$2535,0)))</f>
        <v>Kaffee</v>
      </c>
      <c r="L109" s="133">
        <f t="array" ref="L109">IF(COUNTIF(Podcasts!$D$10:'Podcasts'!$D$2535,$B109)&lt;COLUMN(C72),"",SMALL(IF(Podcasts!$D$10:'Podcasts'!$D$2535=$B109,Podcasts!$E$10:'Podcasts'!$E$2535),COLUMN(C72)))</f>
        <v>44547</v>
      </c>
      <c r="M109" s="132">
        <f t="array" ref="M109">IF(L109="","",INDEX(Podcasts!$F$10:'Podcasts'!$F$2535,MATCH(L109&amp;$B109,Podcasts!$E$10:'Podcasts'!$E$2535&amp;Podcasts!$D$10:'Podcasts'!$D$2535,0)))</f>
        <v>3.3587962962962965E-2</v>
      </c>
      <c r="N109" s="136" t="str">
        <f t="array" ref="N109">IF(O109="","",INDEX(Podcasts!$J$10:'Podcasts'!$J$2535,MATCH(O109&amp;$B109,Podcasts!$E$10:'Podcasts'!$E$2535&amp;Podcasts!$D$10:'Podcasts'!$D$2535,0)))</f>
        <v/>
      </c>
      <c r="O109" s="133" t="str">
        <f t="array" ref="O109">IF(COUNTIF(Podcasts!$D$10:'Podcasts'!$D$2535,$B109)&lt;COLUMN(D72),"",SMALL(IF(Podcasts!$D$10:'Podcasts'!$D$2535=$B109,Podcasts!$E$10:'Podcasts'!$E$2535),COLUMN(D72)))</f>
        <v/>
      </c>
      <c r="P109" s="132" t="str">
        <f t="array" ref="P109">IF(O109="","",INDEX(Podcasts!$F$10:'Podcasts'!$F$2535,MATCH(O109&amp;$B109,Podcasts!$E$10:'Podcasts'!$E$2535&amp;Podcasts!$D$10:'Podcasts'!$D$2535,0)))</f>
        <v/>
      </c>
      <c r="Q109" s="136" t="str">
        <f t="array" ref="Q109">IF(R109="","",INDEX(Podcasts!$J$10:'Podcasts'!$J$2535,MATCH(R109&amp;$B109,Podcasts!$E$10:'Podcasts'!$E$2535&amp;Podcasts!$D$10:'Podcasts'!$D$2535,0)))</f>
        <v/>
      </c>
      <c r="R109" s="133" t="str">
        <f t="array" ref="R109">IF(COUNTIF(Podcasts!$D$10:'Podcasts'!$D$2535,$B109)&lt;COLUMN(E72),"",SMALL(IF(Podcasts!$D$10:'Podcasts'!$D$2535=$B109,Podcasts!$E$10:'Podcasts'!$E$2535),COLUMN(E72)))</f>
        <v/>
      </c>
      <c r="S109" s="132" t="str">
        <f t="array" ref="S109">IF(R109="","",INDEX(Podcasts!$F$10:'Podcasts'!$F$2535,MATCH(R109&amp;$B109,Podcasts!$E$10:'Podcasts'!$E$2535&amp;Podcasts!$D$10:'Podcasts'!$D$2535,0)))</f>
        <v/>
      </c>
      <c r="T109" s="136" t="str">
        <f t="array" ref="T109">IF(U109="","",INDEX(Podcasts!$J$10:'Podcasts'!$J$2535,MATCH(U109&amp;$B109,Podcasts!$E$10:'Podcasts'!$E$2535&amp;Podcasts!$D$10:'Podcasts'!$D$2535,0)))</f>
        <v/>
      </c>
      <c r="U109" s="133" t="str">
        <f t="array" ref="U109">IF(COUNTIF(Podcasts!$D$10:'Podcasts'!$D$2535,$B109)&lt;COLUMN(F72),"",SMALL(IF(Podcasts!$D$10:'Podcasts'!$D$2535=$B109,Podcasts!$E$10:'Podcasts'!$E$2535),COLUMN(F72)))</f>
        <v/>
      </c>
      <c r="V109" s="132" t="str">
        <f t="array" ref="V109">IF(U109="","",INDEX(Podcasts!$F$10:'Podcasts'!$F$2535,MATCH(U109&amp;$B109,Podcasts!$E$10:'Podcasts'!$E$2535&amp;Podcasts!$D$10:'Podcasts'!$D$2535,0)))</f>
        <v/>
      </c>
      <c r="W109" s="136" t="str">
        <f t="array" ref="W109">IF(X109="","",INDEX(Podcasts!$J$10:'Podcasts'!$J$2535,MATCH(X109&amp;$B109,Podcasts!$E$10:'Podcasts'!$E$2535&amp;Podcasts!$D$10:'Podcasts'!$D$2535,0)))</f>
        <v/>
      </c>
      <c r="X109" s="133" t="str">
        <f t="array" ref="X109">IF(COUNTIF(Podcasts!$D$10:'Podcasts'!$D$2535,$B109)&lt;COLUMN(G72),"",SMALL(IF(Podcasts!$D$10:'Podcasts'!$D$2535=$B109,Podcasts!$E$10:'Podcasts'!$E$2535),COLUMN(G72)))</f>
        <v/>
      </c>
      <c r="Y109" s="132" t="str">
        <f t="array" ref="Y109">IF(X109="","",INDEX(Podcasts!$F$10:'Podcasts'!$F$2535,MATCH(X109&amp;$B109,Podcasts!$E$10:'Podcasts'!$E$2535&amp;Podcasts!$D$10:'Podcasts'!$D$2535,0)))</f>
        <v/>
      </c>
      <c r="Z109" s="136" t="str">
        <f t="array" ref="Z109">IF(AA109="","",INDEX(Podcasts!$J$10:'Podcasts'!$J$2535,MATCH(AA109&amp;$B109,Podcasts!$E$10:'Podcasts'!$E$2535&amp;Podcasts!$D$10:'Podcasts'!$D$2535,0)))</f>
        <v/>
      </c>
      <c r="AA109" s="134" t="str">
        <f t="array" ref="AA109">IF(COUNTIF(Podcasts!$D$10:'Podcasts'!$D$2535,$B109)&lt;COLUMN(H72),"",SMALL(IF(Podcasts!$D$10:'Podcasts'!$D$2535=$B109,Podcasts!$E$10:'Podcasts'!$E$2535),COLUMN(H72)))</f>
        <v/>
      </c>
      <c r="AB109" s="404" t="str">
        <f t="array" ref="AB109">IF(AA109="","",INDEX(Podcasts!$F$10:'Podcasts'!$F$2535,MATCH(AA109&amp;$B109,Podcasts!$E$10:'Podcasts'!$E$2535&amp;Podcasts!$D$10:'Podcasts'!$D$2535,0)))</f>
        <v/>
      </c>
      <c r="AC109" s="406" t="str">
        <f t="array" ref="AC109">IF(AD109="","",INDEX(Podcasts!$J$10:'Podcasts'!$J$2535,MATCH(AD109&amp;$B109,Podcasts!$E$10:'Podcasts'!$E$2535&amp;Podcasts!$D$10:'Podcasts'!$D$2535,0)))</f>
        <v/>
      </c>
      <c r="AD109" s="400" t="str">
        <f t="array" ref="AD109">IF(COUNTIF(Podcasts!$D$10:'Podcasts'!$D$2535,$B109)&lt;COLUMN(I72),"",SMALL(IF(Podcasts!$D$10:'Podcasts'!$D$2535=$B109,Podcasts!$E$10:'Podcasts'!$E$2535),COLUMN(I72)))</f>
        <v/>
      </c>
      <c r="AE109" s="401" t="str">
        <f t="array" ref="AE109">IF(AD109="","",INDEX(Podcasts!$F$10:'Podcasts'!$F$2535,MATCH(AD109&amp;$B109,Podcasts!$E$10:'Podcasts'!$E$2535&amp;Podcasts!$D$10:'Podcasts'!$D$2535,0)))</f>
        <v/>
      </c>
      <c r="AF109" s="406" t="str">
        <f t="array" ref="AF109">IF(AG109="","",INDEX(Podcasts!$J$10:'Podcasts'!$J$2535,MATCH(AG109&amp;$B109,Podcasts!$E$10:'Podcasts'!$E$2535&amp;Podcasts!$D$10:'Podcasts'!$D$2535,0)))</f>
        <v/>
      </c>
      <c r="AG109" s="400" t="str">
        <f t="array" ref="AG109">IF(COUNTIF(Podcasts!$D$10:'Podcasts'!$D$2535,$B109)&lt;COLUMN(J72),"",SMALL(IF(Podcasts!$D$10:'Podcasts'!$D$2535=$B109,Podcasts!$E$10:'Podcasts'!$E$2535),COLUMN(J72)))</f>
        <v/>
      </c>
      <c r="AH109" s="401" t="str">
        <f t="array" ref="AH109">IF(AG109="","",INDEX(Podcasts!$F$10:'Podcasts'!$F$2535,MATCH(AG109&amp;$B109,Podcasts!$E$10:'Podcasts'!$E$2535&amp;Podcasts!$D$10:'Podcasts'!$D$2535,0)))</f>
        <v/>
      </c>
      <c r="AI109" s="406" t="str">
        <f t="array" ref="AI109">IF(AJ109="","",INDEX(Podcasts!$J$10:'Podcasts'!$J$2535,MATCH(AJ109&amp;$B109,Podcasts!$E$10:'Podcasts'!$E$2535&amp;Podcasts!$D$10:'Podcasts'!$D$2535,0)))</f>
        <v/>
      </c>
      <c r="AJ109" s="400" t="str">
        <f t="array" ref="AJ109">IF(COUNTIF(Podcasts!$D$10:'Podcasts'!$D$2535,$B109)&lt;COLUMN(K72),"",SMALL(IF(Podcasts!$D$10:'Podcasts'!$D$2535=$B109,Podcasts!$E$10:'Podcasts'!$E$2535),COLUMN(K72)))</f>
        <v/>
      </c>
      <c r="AK109" s="401" t="str">
        <f t="array" ref="AK109">IF(AJ109="","",INDEX(Podcasts!$F$10:'Podcasts'!$F$2535,MATCH(AJ109&amp;$B109,Podcasts!$E$10:'Podcasts'!$E$2535&amp;Podcasts!$D$10:'Podcasts'!$D$2535,0)))</f>
        <v/>
      </c>
      <c r="AL109" s="406" t="str">
        <f t="array" ref="AL109">IF(AM109="","",INDEX(Podcasts!$J$10:'Podcasts'!$J$2535,MATCH(AM109&amp;$B109,Podcasts!$E$10:'Podcasts'!$E$2535&amp;Podcasts!$D$10:'Podcasts'!$D$2535,0)))</f>
        <v/>
      </c>
      <c r="AM109" s="400" t="str">
        <f t="array" ref="AM109">IF(COUNTIF(Podcasts!$D$10:'Podcasts'!$D$2535,$B109)&lt;COLUMN(L72),"",SMALL(IF(Podcasts!$D$10:'Podcasts'!$D$2535=$B109,Podcasts!$E$10:'Podcasts'!$E$2535),COLUMN(L72)))</f>
        <v/>
      </c>
      <c r="AN109" s="401" t="str">
        <f t="array" ref="AN109">IF(AM109="","",INDEX(Podcasts!$F$10:'Podcasts'!$F$2535,MATCH(AM109&amp;$B109,Podcasts!$E$10:'Podcasts'!$E$2535&amp;Podcasts!$D$10:'Podcasts'!$D$2535,0)))</f>
        <v/>
      </c>
      <c r="AO109" s="402"/>
      <c r="AP109" s="119"/>
      <c r="AQ109" s="117">
        <f t="array" aca="1" ref="AQ109" ca="1">IFERROR(SMALL(IF(COUNTIF(Podcasts!$D$10:'Podcasts'!$D$107,ROW(INDIRECT("1:"&amp;K$2)))=0,ROW(INDIRECT("1:"&amp;K$2))),ROW($A66)),"")</f>
        <v>93</v>
      </c>
      <c r="AR109" s="117">
        <f t="array" aca="1" ref="AR109" ca="1">IFERROR(SMALL(IF(COUNTIF(Podcasts!$D$113:'Podcasts'!$D$238,ROW(INDIRECT("1:"&amp;K$2)))=0,ROW(INDIRECT("1:"&amp;K$2))),ROW($A66)),"")</f>
        <v>66</v>
      </c>
      <c r="AS109" s="117">
        <f t="array" aca="1" ref="AS109" ca="1">IFERROR(SMALL(IF(COUNTIF(Podcasts!$D$244:'Podcasts'!$D$299,ROW(INDIRECT("1:"&amp;K$2)))=0,ROW(INDIRECT("1:"&amp;K$2))),ROW($A66)),"")</f>
        <v>83</v>
      </c>
      <c r="AT109" s="117">
        <f t="array" aca="1" ref="AT109" ca="1">IFERROR(SMALL(IF(COUNTIF(Podcasts!$D$305:'Podcasts'!$D$473,ROW(INDIRECT("1:"&amp;K$2)))=0,ROW(INDIRECT("1:"&amp;K$2))),ROW($A66)),"")</f>
        <v>201</v>
      </c>
      <c r="AU109" s="117">
        <f t="array" aca="1" ref="AU109" ca="1">IFERROR(SMALL(IF(COUNTIF(Podcasts!$D$479:'Podcasts'!$D$488,ROW(INDIRECT("1:"&amp;K$2)))=0,ROW(INDIRECT("1:"&amp;K$2))),ROW($A66)),"")</f>
        <v>66</v>
      </c>
      <c r="AV109" s="117">
        <f t="array" aca="1" ref="AV109" ca="1">IFERROR(SMALL(IF(COUNTIF(Podcasts!$D$494:'Podcasts'!$D$518,ROW(INDIRECT("1:"&amp;K$2)))=0,ROW(INDIRECT("1:"&amp;K$2))),ROW($A66)),"")</f>
        <v>84</v>
      </c>
      <c r="AW109" s="117">
        <f t="array" aca="1" ref="AW109" ca="1">IFERROR(SMALL(IF(COUNTIF(Podcasts!$D$524:'Podcasts'!$D$532,ROW(INDIRECT("1:"&amp;K$2)))=0,ROW(INDIRECT("1:"&amp;K$2))),ROW($A66)),"")</f>
        <v>66</v>
      </c>
      <c r="AX109" s="117">
        <f t="array" aca="1" ref="AX109" ca="1">IFERROR(SMALL(IF(COUNTIF(Podcasts!$D$538:'Podcasts'!$D$909,ROW(INDIRECT("1:"&amp;K$2)))=0,ROW(INDIRECT("1:"&amp;K$2))),ROW($A66)),"")</f>
        <v>179</v>
      </c>
      <c r="AY109" s="117">
        <f t="array" aca="1" ref="AY109" ca="1">IFERROR(SMALL(IF(COUNTIF(Podcasts!$D$915:'Podcasts'!$D$981,ROW(INDIRECT("1:"&amp;K$2)))=0,ROW(INDIRECT("1:"&amp;K$2))),ROW($A66)),"")</f>
        <v>107</v>
      </c>
      <c r="AZ109" s="445"/>
      <c r="BA109" s="117">
        <f t="array" aca="1" ref="BA109" ca="1">IFERROR(SMALL(IF(COUNTIF(Podcasts!$D$1001:'Podcasts'!$D$1251,ROW(INDIRECT("1:"&amp;K$2)))=0,ROW(INDIRECT("1:"&amp;K$2))),ROW($A66)),"")</f>
        <v>107</v>
      </c>
      <c r="BB109" s="117">
        <f t="array" aca="1" ref="BB109" ca="1">IFERROR(SMALL(IF(COUNTIF(Podcasts!$D$1257:'Podcasts'!$D$1267,ROW(INDIRECT("1:"&amp;K$2)))=0,ROW(INDIRECT("1:"&amp;K$2))),ROW($A66)),"")</f>
        <v>67</v>
      </c>
      <c r="BC109" s="117">
        <f t="array" aca="1" ref="BC109" ca="1">IFERROR(SMALL(IF(COUNTIF(Podcasts!$D$1273:'Podcasts'!$D$1283,ROW(INDIRECT("1:"&amp;K$2)))=0,ROW(INDIRECT("1:"&amp;K$2))),ROW($A66)),"")</f>
        <v>70</v>
      </c>
      <c r="BD109" s="117">
        <f t="array" aca="1" ref="BD109" ca="1">IFERROR(SMALL(IF(COUNTIF(Podcasts!$D$1289:'Podcasts'!$D$1295,ROW(INDIRECT("1:"&amp;K$2)))=0,ROW(INDIRECT("1:"&amp;K$2))),ROW($A66)),"")</f>
        <v>68</v>
      </c>
      <c r="BE109" s="117">
        <f t="array" aca="1" ref="BE109" ca="1">IFERROR(SMALL(IF(COUNTIF(Podcasts!$D$1301:'Podcasts'!$D$1356,ROW(INDIRECT("1:"&amp;K$2)))=0,ROW(INDIRECT("1:"&amp;K$2))),ROW($A66)),"")</f>
        <v>113</v>
      </c>
      <c r="BF109" s="117">
        <f t="array" aca="1" ref="BF109" ca="1">IFERROR(SMALL(IF(COUNTIF(Podcasts!$D$1362:'Podcasts'!$D$1364,ROW(INDIRECT("1:"&amp;K$2)))=0,ROW(INDIRECT("1:"&amp;K$2))),ROW($A66)),"")</f>
        <v>69</v>
      </c>
      <c r="BG109" s="202">
        <f t="array" aca="1" ref="BG109" ca="1">IFERROR(SMALL(IF(COUNTIF(Podcasts!$D$1370:'Podcasts'!$D$1419,ROW(INDIRECT("1:"&amp;K$2)))=0,ROW(INDIRECT("1:"&amp;K$2))),ROW($A66)),"")</f>
        <v>83</v>
      </c>
      <c r="BH109" s="202">
        <f t="array" aca="1" ref="BH109" ca="1">IFERROR(SMALL(IF(COUNTIF(Podcasts!$D$1425:'Podcasts'!$D$1446,ROW(INDIRECT("1:"&amp;K$2)))=0,ROW(INDIRECT("1:"&amp;K$2))),ROW($A66)),"")</f>
        <v>71</v>
      </c>
      <c r="BI109" s="202">
        <f t="array" aca="1" ref="BI109" ca="1">IFERROR(SMALL(IF(COUNTIF(Podcasts!$D$1452:'Podcasts'!$D$1574,ROW(INDIRECT("1:"&amp;K$2)))=0,ROW(INDIRECT("1:"&amp;K$2))),ROW($A66)),"")</f>
        <v>119</v>
      </c>
      <c r="BJ109" s="202">
        <f t="array" aca="1" ref="BJ109" ca="1">IFERROR(SMALL(IF(COUNTIF(Podcasts!$D$1580:'Podcasts'!$D$1705,ROW(INDIRECT("1:"&amp;K$2)))=0,ROW(INDIRECT("1:"&amp;K$2))),ROW($A66)),"")</f>
        <v>120</v>
      </c>
      <c r="BK109" s="202">
        <f t="array" aca="1" ref="BK109" ca="1">IFERROR(SMALL(IF(COUNTIF(Podcasts!$D$1711:'Podcasts'!$D$1833,ROW(INDIRECT("1:"&amp;K$2)))=0,ROW(INDIRECT("1:"&amp;K$2))),ROW($A66)),"")</f>
        <v>106</v>
      </c>
      <c r="BL109" s="202">
        <f t="array" aca="1" ref="BL109" ca="1">IFERROR(SMALL(IF(COUNTIF(Podcasts!$D$1839:'Podcasts'!$D$1855,ROW(INDIRECT("1:"&amp;K$2)))=0,ROW(INDIRECT("1:"&amp;K$2))),ROW($A66)),"")</f>
        <v>72</v>
      </c>
      <c r="BM109" s="567">
        <f t="array" aca="1" ref="BM109" ca="1">IFERROR(SMALL(IF(COUNTIF(Podcasts!$D$1861:'Podcasts'!$D$1994,ROW(INDIRECT("1:"&amp;K$2)))=0,ROW(INDIRECT("1:"&amp;K$2))),ROW($A66)),"")</f>
        <v>95</v>
      </c>
      <c r="BN109" s="567">
        <f t="array" aca="1" ref="BN109" ca="1">IFERROR(SMALL(IF(COUNTIF(Podcasts!$D$2000:'Podcasts'!$D$2057,ROW(INDIRECT("1:"&amp;K$2)))=0,ROW(INDIRECT("1:"&amp;K$2))),ROW($A66)),"")</f>
        <v>121</v>
      </c>
      <c r="BO109" s="567">
        <f t="array" aca="1" ref="BO109" ca="1">IFERROR(SMALL(IF(COUNTIF(Podcasts!$D$2063:'Podcasts'!$D$2071,ROW(INDIRECT("1:"&amp;K$2)))=0,ROW(INDIRECT("1:"&amp;K$2))),ROW($A66)),"")</f>
        <v>66</v>
      </c>
      <c r="BP109" s="202">
        <f t="array" aca="1" ref="BP109" ca="1">IFERROR(SMALL(IF(COUNTIF(Podcasts!$D$2077:'Podcasts'!$D$2092,ROW(INDIRECT("1:"&amp;K$2)))=0,ROW(INDIRECT("1:"&amp;K$2))),ROW($A66)),"")</f>
        <v>76</v>
      </c>
      <c r="BQ109" s="741">
        <f t="array" aca="1" ref="BQ109" ca="1">IFERROR(SMALL(IF(COUNTIF(Podcasts!$D$2098:'Podcasts'!$D$2114,ROW(INDIRECT("1:"&amp;K$2)))=0,ROW(INDIRECT("1:"&amp;K$2))),ROW($A66)),"")</f>
        <v>70</v>
      </c>
      <c r="BR109" s="744">
        <f t="array" aca="1" ref="BR109" ca="1">IFERROR(SMALL(IF(COUNTIF(Podcasts!$D$2120:'Podcasts'!$D$2124,ROW(INDIRECT("1:"&amp;K$2)))=0,ROW(INDIRECT("1:"&amp;K$2))),ROW($A66)),"")</f>
        <v>68</v>
      </c>
      <c r="BS109" s="28"/>
    </row>
    <row r="110" spans="1:71" outlineLevel="1">
      <c r="A110" s="28"/>
      <c r="B110" s="161">
        <v>67</v>
      </c>
      <c r="C110" s="161">
        <f>COUNTIF(Podcasts!$D$10:'Podcasts'!$D$2535,B110)</f>
        <v>5</v>
      </c>
      <c r="D110" s="159" t="s">
        <v>1095</v>
      </c>
      <c r="E110" s="156" t="str">
        <f t="array" ref="E110">IF(F110="","",INDEX(Podcasts!$J$10:'Podcasts'!$J$2535,MATCH(F110&amp;$B110,Podcasts!$E$10:'Podcasts'!$E$2535&amp;Podcasts!$D$10:'Podcasts'!$D$2535,0)))</f>
        <v>Fürst</v>
      </c>
      <c r="F110" s="131">
        <f t="array" ref="F110">IF(COUNTIF(Podcasts!$D$10:'Podcasts'!$D$2535,$B110)&lt;COLUMN(A73),"",SMALL(IF(Podcasts!$D$10:'Podcasts'!$D$2535=$B110,Podcasts!$E$10:'Podcasts'!$E$2535),COLUMN(A73)))</f>
        <v>42022</v>
      </c>
      <c r="G110" s="132">
        <f t="array" ref="G110">IF(F110="","",INDEX(Podcasts!$F$10:'Podcasts'!$F$2535,MATCH(F110&amp;$B110,Podcasts!$E$10:'Podcasts'!$E$2535&amp;Podcasts!$D$10:'Podcasts'!$D$2535,0)))</f>
        <v>1.1805555555555555E-2</v>
      </c>
      <c r="H110" s="136" t="str">
        <f t="array" ref="H110">IF(I110="","",INDEX(Podcasts!$J$10:'Podcasts'!$J$2535,MATCH(I110&amp;$B110,Podcasts!$E$10:'Podcasts'!$E$2535&amp;Podcasts!$D$10:'Podcasts'!$D$2535,0)))</f>
        <v>SSP</v>
      </c>
      <c r="I110" s="133">
        <f t="array" ref="I110">IF(COUNTIF(Podcasts!$D$10:'Podcasts'!$D$2535,$B110)&lt;COLUMN(B73),"",SMALL(IF(Podcasts!$D$10:'Podcasts'!$D$2535=$B110,Podcasts!$E$10:'Podcasts'!$E$2535),COLUMN(B73)))</f>
        <v>44417</v>
      </c>
      <c r="J110" s="132">
        <f t="array" ref="J110">IF(I110="","",INDEX(Podcasts!$F$10:'Podcasts'!$F$2535,MATCH(I110&amp;$B110,Podcasts!$E$10:'Podcasts'!$E$2535&amp;Podcasts!$D$10:'Podcasts'!$D$2535,0)))</f>
        <v>7.3113425925925915E-2</v>
      </c>
      <c r="K110" s="136" t="str">
        <f t="array" ref="K110">IF(L110="","",INDEX(Podcasts!$J$10:'Podcasts'!$J$2535,MATCH(L110&amp;$B110,Podcasts!$E$10:'Podcasts'!$E$2535&amp;Podcasts!$D$10:'Podcasts'!$D$2535,0)))</f>
        <v>Kaffee</v>
      </c>
      <c r="L110" s="133">
        <f t="array" ref="L110">IF(COUNTIF(Podcasts!$D$10:'Podcasts'!$D$2535,$B110)&lt;COLUMN(C73),"",SMALL(IF(Podcasts!$D$10:'Podcasts'!$D$2535=$B110,Podcasts!$E$10:'Podcasts'!$E$2535),COLUMN(C73)))</f>
        <v>44582</v>
      </c>
      <c r="M110" s="132">
        <f t="array" ref="M110">IF(L110="","",INDEX(Podcasts!$F$10:'Podcasts'!$F$2535,MATCH(L110&amp;$B110,Podcasts!$E$10:'Podcasts'!$E$2535&amp;Podcasts!$D$10:'Podcasts'!$D$2535,0)))</f>
        <v>3.4421296296296297E-2</v>
      </c>
      <c r="N110" s="136" t="str">
        <f t="array" ref="N110">IF(O110="","",INDEX(Podcasts!$J$10:'Podcasts'!$J$2535,MATCH(O110&amp;$B110,Podcasts!$E$10:'Podcasts'!$E$2535&amp;Podcasts!$D$10:'Podcasts'!$D$2535,0)))</f>
        <v>Kuchen</v>
      </c>
      <c r="O110" s="133">
        <f t="array" ref="O110">IF(COUNTIF(Podcasts!$D$10:'Podcasts'!$D$2535,$B110)&lt;COLUMN(D73),"",SMALL(IF(Podcasts!$D$10:'Podcasts'!$D$2535=$B110,Podcasts!$E$10:'Podcasts'!$E$2535),COLUMN(D73)))</f>
        <v>44724</v>
      </c>
      <c r="P110" s="132">
        <f t="array" ref="P110">IF(O110="","",INDEX(Podcasts!$F$10:'Podcasts'!$F$2535,MATCH(O110&amp;$B110,Podcasts!$E$10:'Podcasts'!$E$2535&amp;Podcasts!$D$10:'Podcasts'!$D$2535,0)))</f>
        <v>8.3564814814814814E-2</v>
      </c>
      <c r="Q110" s="136" t="str">
        <f t="array" ref="Q110">IF(R110="","",INDEX(Podcasts!$J$10:'Podcasts'!$J$2535,MATCH(R110&amp;$B110,Podcasts!$E$10:'Podcasts'!$E$2535&amp;Podcasts!$D$10:'Podcasts'!$D$2535,0)))</f>
        <v>DGdB</v>
      </c>
      <c r="R110" s="133">
        <f t="array" ref="R110">IF(COUNTIF(Podcasts!$D$10:'Podcasts'!$D$2535,$B110)&lt;COLUMN(E73),"",SMALL(IF(Podcasts!$D$10:'Podcasts'!$D$2535=$B110,Podcasts!$E$10:'Podcasts'!$E$2535),COLUMN(E73)))</f>
        <v>45323</v>
      </c>
      <c r="S110" s="132">
        <f t="array" ref="S110">IF(R110="","",INDEX(Podcasts!$F$10:'Podcasts'!$F$2535,MATCH(R110&amp;$B110,Podcasts!$E$10:'Podcasts'!$E$2535&amp;Podcasts!$D$10:'Podcasts'!$D$2535,0)))</f>
        <v>0.13226851851851854</v>
      </c>
      <c r="T110" s="136" t="str">
        <f t="array" ref="T110">IF(U110="","",INDEX(Podcasts!$J$10:'Podcasts'!$J$2535,MATCH(U110&amp;$B110,Podcasts!$E$10:'Podcasts'!$E$2535&amp;Podcasts!$D$10:'Podcasts'!$D$2535,0)))</f>
        <v/>
      </c>
      <c r="U110" s="133" t="str">
        <f t="array" ref="U110">IF(COUNTIF(Podcasts!$D$10:'Podcasts'!$D$2535,$B110)&lt;COLUMN(F73),"",SMALL(IF(Podcasts!$D$10:'Podcasts'!$D$2535=$B110,Podcasts!$E$10:'Podcasts'!$E$2535),COLUMN(F73)))</f>
        <v/>
      </c>
      <c r="V110" s="132" t="str">
        <f t="array" ref="V110">IF(U110="","",INDEX(Podcasts!$F$10:'Podcasts'!$F$2535,MATCH(U110&amp;$B110,Podcasts!$E$10:'Podcasts'!$E$2535&amp;Podcasts!$D$10:'Podcasts'!$D$2535,0)))</f>
        <v/>
      </c>
      <c r="W110" s="136" t="str">
        <f t="array" ref="W110">IF(X110="","",INDEX(Podcasts!$J$10:'Podcasts'!$J$2535,MATCH(X110&amp;$B110,Podcasts!$E$10:'Podcasts'!$E$2535&amp;Podcasts!$D$10:'Podcasts'!$D$2535,0)))</f>
        <v/>
      </c>
      <c r="X110" s="133" t="str">
        <f t="array" ref="X110">IF(COUNTIF(Podcasts!$D$10:'Podcasts'!$D$2535,$B110)&lt;COLUMN(G73),"",SMALL(IF(Podcasts!$D$10:'Podcasts'!$D$2535=$B110,Podcasts!$E$10:'Podcasts'!$E$2535),COLUMN(G73)))</f>
        <v/>
      </c>
      <c r="Y110" s="132" t="str">
        <f t="array" ref="Y110">IF(X110="","",INDEX(Podcasts!$F$10:'Podcasts'!$F$2535,MATCH(X110&amp;$B110,Podcasts!$E$10:'Podcasts'!$E$2535&amp;Podcasts!$D$10:'Podcasts'!$D$2535,0)))</f>
        <v/>
      </c>
      <c r="Z110" s="136" t="str">
        <f t="array" ref="Z110">IF(AA110="","",INDEX(Podcasts!$J$10:'Podcasts'!$J$2535,MATCH(AA110&amp;$B110,Podcasts!$E$10:'Podcasts'!$E$2535&amp;Podcasts!$D$10:'Podcasts'!$D$2535,0)))</f>
        <v/>
      </c>
      <c r="AA110" s="134" t="str">
        <f t="array" ref="AA110">IF(COUNTIF(Podcasts!$D$10:'Podcasts'!$D$2535,$B110)&lt;COLUMN(H73),"",SMALL(IF(Podcasts!$D$10:'Podcasts'!$D$2535=$B110,Podcasts!$E$10:'Podcasts'!$E$2535),COLUMN(H73)))</f>
        <v/>
      </c>
      <c r="AB110" s="404" t="str">
        <f t="array" ref="AB110">IF(AA110="","",INDEX(Podcasts!$F$10:'Podcasts'!$F$2535,MATCH(AA110&amp;$B110,Podcasts!$E$10:'Podcasts'!$E$2535&amp;Podcasts!$D$10:'Podcasts'!$D$2535,0)))</f>
        <v/>
      </c>
      <c r="AC110" s="406" t="str">
        <f t="array" ref="AC110">IF(AD110="","",INDEX(Podcasts!$J$10:'Podcasts'!$J$2535,MATCH(AD110&amp;$B110,Podcasts!$E$10:'Podcasts'!$E$2535&amp;Podcasts!$D$10:'Podcasts'!$D$2535,0)))</f>
        <v/>
      </c>
      <c r="AD110" s="400" t="str">
        <f t="array" ref="AD110">IF(COUNTIF(Podcasts!$D$10:'Podcasts'!$D$2535,$B110)&lt;COLUMN(I73),"",SMALL(IF(Podcasts!$D$10:'Podcasts'!$D$2535=$B110,Podcasts!$E$10:'Podcasts'!$E$2535),COLUMN(I73)))</f>
        <v/>
      </c>
      <c r="AE110" s="401" t="str">
        <f t="array" ref="AE110">IF(AD110="","",INDEX(Podcasts!$F$10:'Podcasts'!$F$2535,MATCH(AD110&amp;$B110,Podcasts!$E$10:'Podcasts'!$E$2535&amp;Podcasts!$D$10:'Podcasts'!$D$2535,0)))</f>
        <v/>
      </c>
      <c r="AF110" s="406" t="str">
        <f t="array" ref="AF110">IF(AG110="","",INDEX(Podcasts!$J$10:'Podcasts'!$J$2535,MATCH(AG110&amp;$B110,Podcasts!$E$10:'Podcasts'!$E$2535&amp;Podcasts!$D$10:'Podcasts'!$D$2535,0)))</f>
        <v/>
      </c>
      <c r="AG110" s="400" t="str">
        <f t="array" ref="AG110">IF(COUNTIF(Podcasts!$D$10:'Podcasts'!$D$2535,$B110)&lt;COLUMN(J73),"",SMALL(IF(Podcasts!$D$10:'Podcasts'!$D$2535=$B110,Podcasts!$E$10:'Podcasts'!$E$2535),COLUMN(J73)))</f>
        <v/>
      </c>
      <c r="AH110" s="401" t="str">
        <f t="array" ref="AH110">IF(AG110="","",INDEX(Podcasts!$F$10:'Podcasts'!$F$2535,MATCH(AG110&amp;$B110,Podcasts!$E$10:'Podcasts'!$E$2535&amp;Podcasts!$D$10:'Podcasts'!$D$2535,0)))</f>
        <v/>
      </c>
      <c r="AI110" s="406" t="str">
        <f t="array" ref="AI110">IF(AJ110="","",INDEX(Podcasts!$J$10:'Podcasts'!$J$2535,MATCH(AJ110&amp;$B110,Podcasts!$E$10:'Podcasts'!$E$2535&amp;Podcasts!$D$10:'Podcasts'!$D$2535,0)))</f>
        <v/>
      </c>
      <c r="AJ110" s="400" t="str">
        <f t="array" ref="AJ110">IF(COUNTIF(Podcasts!$D$10:'Podcasts'!$D$2535,$B110)&lt;COLUMN(K73),"",SMALL(IF(Podcasts!$D$10:'Podcasts'!$D$2535=$B110,Podcasts!$E$10:'Podcasts'!$E$2535),COLUMN(K73)))</f>
        <v/>
      </c>
      <c r="AK110" s="401" t="str">
        <f t="array" ref="AK110">IF(AJ110="","",INDEX(Podcasts!$F$10:'Podcasts'!$F$2535,MATCH(AJ110&amp;$B110,Podcasts!$E$10:'Podcasts'!$E$2535&amp;Podcasts!$D$10:'Podcasts'!$D$2535,0)))</f>
        <v/>
      </c>
      <c r="AL110" s="406" t="str">
        <f t="array" ref="AL110">IF(AM110="","",INDEX(Podcasts!$J$10:'Podcasts'!$J$2535,MATCH(AM110&amp;$B110,Podcasts!$E$10:'Podcasts'!$E$2535&amp;Podcasts!$D$10:'Podcasts'!$D$2535,0)))</f>
        <v/>
      </c>
      <c r="AM110" s="400" t="str">
        <f t="array" ref="AM110">IF(COUNTIF(Podcasts!$D$10:'Podcasts'!$D$2535,$B110)&lt;COLUMN(L73),"",SMALL(IF(Podcasts!$D$10:'Podcasts'!$D$2535=$B110,Podcasts!$E$10:'Podcasts'!$E$2535),COLUMN(L73)))</f>
        <v/>
      </c>
      <c r="AN110" s="401" t="str">
        <f t="array" ref="AN110">IF(AM110="","",INDEX(Podcasts!$F$10:'Podcasts'!$F$2535,MATCH(AM110&amp;$B110,Podcasts!$E$10:'Podcasts'!$E$2535&amp;Podcasts!$D$10:'Podcasts'!$D$2535,0)))</f>
        <v/>
      </c>
      <c r="AO110" s="402"/>
      <c r="AP110" s="119"/>
      <c r="AQ110" s="117">
        <f t="array" aca="1" ref="AQ110" ca="1">IFERROR(SMALL(IF(COUNTIF(Podcasts!$D$10:'Podcasts'!$D$107,ROW(INDIRECT("1:"&amp;K$2)))=0,ROW(INDIRECT("1:"&amp;K$2))),ROW($A67)),"")</f>
        <v>94</v>
      </c>
      <c r="AR110" s="117">
        <f t="array" aca="1" ref="AR110" ca="1">IFERROR(SMALL(IF(COUNTIF(Podcasts!$D$113:'Podcasts'!$D$238,ROW(INDIRECT("1:"&amp;K$2)))=0,ROW(INDIRECT("1:"&amp;K$2))),ROW($A67)),"")</f>
        <v>67</v>
      </c>
      <c r="AS110" s="117">
        <f t="array" aca="1" ref="AS110" ca="1">IFERROR(SMALL(IF(COUNTIF(Podcasts!$D$244:'Podcasts'!$D$299,ROW(INDIRECT("1:"&amp;K$2)))=0,ROW(INDIRECT("1:"&amp;K$2))),ROW($A67)),"")</f>
        <v>84</v>
      </c>
      <c r="AT110" s="117">
        <f t="array" aca="1" ref="AT110" ca="1">IFERROR(SMALL(IF(COUNTIF(Podcasts!$D$305:'Podcasts'!$D$473,ROW(INDIRECT("1:"&amp;K$2)))=0,ROW(INDIRECT("1:"&amp;K$2))),ROW($A67)),"")</f>
        <v>202</v>
      </c>
      <c r="AU110" s="117">
        <f t="array" aca="1" ref="AU110" ca="1">IFERROR(SMALL(IF(COUNTIF(Podcasts!$D$479:'Podcasts'!$D$488,ROW(INDIRECT("1:"&amp;K$2)))=0,ROW(INDIRECT("1:"&amp;K$2))),ROW($A67)),"")</f>
        <v>67</v>
      </c>
      <c r="AV110" s="117">
        <f t="array" aca="1" ref="AV110" ca="1">IFERROR(SMALL(IF(COUNTIF(Podcasts!$D$494:'Podcasts'!$D$518,ROW(INDIRECT("1:"&amp;K$2)))=0,ROW(INDIRECT("1:"&amp;K$2))),ROW($A67)),"")</f>
        <v>85</v>
      </c>
      <c r="AW110" s="117">
        <f t="array" aca="1" ref="AW110" ca="1">IFERROR(SMALL(IF(COUNTIF(Podcasts!$D$524:'Podcasts'!$D$532,ROW(INDIRECT("1:"&amp;K$2)))=0,ROW(INDIRECT("1:"&amp;K$2))),ROW($A67)),"")</f>
        <v>67</v>
      </c>
      <c r="AX110" s="117">
        <f t="array" aca="1" ref="AX110" ca="1">IFERROR(SMALL(IF(COUNTIF(Podcasts!$D$538:'Podcasts'!$D$909,ROW(INDIRECT("1:"&amp;K$2)))=0,ROW(INDIRECT("1:"&amp;K$2))),ROW($A67)),"")</f>
        <v>182</v>
      </c>
      <c r="AY110" s="117">
        <f t="array" aca="1" ref="AY110" ca="1">IFERROR(SMALL(IF(COUNTIF(Podcasts!$D$915:'Podcasts'!$D$981,ROW(INDIRECT("1:"&amp;K$2)))=0,ROW(INDIRECT("1:"&amp;K$2))),ROW($A67)),"")</f>
        <v>108</v>
      </c>
      <c r="AZ110" s="445"/>
      <c r="BA110" s="117">
        <f t="array" aca="1" ref="BA110" ca="1">IFERROR(SMALL(IF(COUNTIF(Podcasts!$D$1001:'Podcasts'!$D$1251,ROW(INDIRECT("1:"&amp;K$2)))=0,ROW(INDIRECT("1:"&amp;K$2))),ROW($A67)),"")</f>
        <v>108</v>
      </c>
      <c r="BB110" s="117">
        <f t="array" aca="1" ref="BB110" ca="1">IFERROR(SMALL(IF(COUNTIF(Podcasts!$D$1257:'Podcasts'!$D$1267,ROW(INDIRECT("1:"&amp;K$2)))=0,ROW(INDIRECT("1:"&amp;K$2))),ROW($A67)),"")</f>
        <v>68</v>
      </c>
      <c r="BC110" s="117">
        <f t="array" aca="1" ref="BC110" ca="1">IFERROR(SMALL(IF(COUNTIF(Podcasts!$D$1273:'Podcasts'!$D$1283,ROW(INDIRECT("1:"&amp;K$2)))=0,ROW(INDIRECT("1:"&amp;K$2))),ROW($A67)),"")</f>
        <v>71</v>
      </c>
      <c r="BD110" s="117">
        <f t="array" aca="1" ref="BD110" ca="1">IFERROR(SMALL(IF(COUNTIF(Podcasts!$D$1289:'Podcasts'!$D$1295,ROW(INDIRECT("1:"&amp;K$2)))=0,ROW(INDIRECT("1:"&amp;K$2))),ROW($A67)),"")</f>
        <v>69</v>
      </c>
      <c r="BE110" s="117">
        <f t="array" aca="1" ref="BE110" ca="1">IFERROR(SMALL(IF(COUNTIF(Podcasts!$D$1301:'Podcasts'!$D$1356,ROW(INDIRECT("1:"&amp;K$2)))=0,ROW(INDIRECT("1:"&amp;K$2))),ROW($A67)),"")</f>
        <v>114</v>
      </c>
      <c r="BF110" s="117">
        <f t="array" aca="1" ref="BF110" ca="1">IFERROR(SMALL(IF(COUNTIF(Podcasts!$D$1362:'Podcasts'!$D$1364,ROW(INDIRECT("1:"&amp;K$2)))=0,ROW(INDIRECT("1:"&amp;K$2))),ROW($A67)),"")</f>
        <v>70</v>
      </c>
      <c r="BG110" s="202">
        <f t="array" aca="1" ref="BG110" ca="1">IFERROR(SMALL(IF(COUNTIF(Podcasts!$D$1370:'Podcasts'!$D$1419,ROW(INDIRECT("1:"&amp;K$2)))=0,ROW(INDIRECT("1:"&amp;K$2))),ROW($A67)),"")</f>
        <v>84</v>
      </c>
      <c r="BH110" s="202">
        <f t="array" aca="1" ref="BH110" ca="1">IFERROR(SMALL(IF(COUNTIF(Podcasts!$D$1425:'Podcasts'!$D$1446,ROW(INDIRECT("1:"&amp;K$2)))=0,ROW(INDIRECT("1:"&amp;K$2))),ROW($A67)),"")</f>
        <v>72</v>
      </c>
      <c r="BI110" s="202">
        <f t="array" aca="1" ref="BI110" ca="1">IFERROR(SMALL(IF(COUNTIF(Podcasts!$D$1452:'Podcasts'!$D$1574,ROW(INDIRECT("1:"&amp;K$2)))=0,ROW(INDIRECT("1:"&amp;K$2))),ROW($A67)),"")</f>
        <v>121</v>
      </c>
      <c r="BJ110" s="202">
        <f t="array" aca="1" ref="BJ110" ca="1">IFERROR(SMALL(IF(COUNTIF(Podcasts!$D$1580:'Podcasts'!$D$1705,ROW(INDIRECT("1:"&amp;K$2)))=0,ROW(INDIRECT("1:"&amp;K$2))),ROW($A67)),"")</f>
        <v>122</v>
      </c>
      <c r="BK110" s="202">
        <f t="array" aca="1" ref="BK110" ca="1">IFERROR(SMALL(IF(COUNTIF(Podcasts!$D$1711:'Podcasts'!$D$1833,ROW(INDIRECT("1:"&amp;K$2)))=0,ROW(INDIRECT("1:"&amp;K$2))),ROW($A67)),"")</f>
        <v>107</v>
      </c>
      <c r="BL110" s="202">
        <f t="array" aca="1" ref="BL110" ca="1">IFERROR(SMALL(IF(COUNTIF(Podcasts!$D$1839:'Podcasts'!$D$1855,ROW(INDIRECT("1:"&amp;K$2)))=0,ROW(INDIRECT("1:"&amp;K$2))),ROW($A67)),"")</f>
        <v>73</v>
      </c>
      <c r="BM110" s="567">
        <f t="array" aca="1" ref="BM110" ca="1">IFERROR(SMALL(IF(COUNTIF(Podcasts!$D$1861:'Podcasts'!$D$1994,ROW(INDIRECT("1:"&amp;K$2)))=0,ROW(INDIRECT("1:"&amp;K$2))),ROW($A67)),"")</f>
        <v>96</v>
      </c>
      <c r="BN110" s="567">
        <f t="array" aca="1" ref="BN110" ca="1">IFERROR(SMALL(IF(COUNTIF(Podcasts!$D$2000:'Podcasts'!$D$2057,ROW(INDIRECT("1:"&amp;K$2)))=0,ROW(INDIRECT("1:"&amp;K$2))),ROW($A67)),"")</f>
        <v>122</v>
      </c>
      <c r="BO110" s="567">
        <f t="array" aca="1" ref="BO110" ca="1">IFERROR(SMALL(IF(COUNTIF(Podcasts!$D$2063:'Podcasts'!$D$2071,ROW(INDIRECT("1:"&amp;K$2)))=0,ROW(INDIRECT("1:"&amp;K$2))),ROW($A67)),"")</f>
        <v>67</v>
      </c>
      <c r="BP110" s="202">
        <f t="array" aca="1" ref="BP110" ca="1">IFERROR(SMALL(IF(COUNTIF(Podcasts!$D$2077:'Podcasts'!$D$2092,ROW(INDIRECT("1:"&amp;K$2)))=0,ROW(INDIRECT("1:"&amp;K$2))),ROW($A67)),"")</f>
        <v>77</v>
      </c>
      <c r="BQ110" s="741">
        <f t="array" aca="1" ref="BQ110" ca="1">IFERROR(SMALL(IF(COUNTIF(Podcasts!$D$2098:'Podcasts'!$D$2114,ROW(INDIRECT("1:"&amp;K$2)))=0,ROW(INDIRECT("1:"&amp;K$2))),ROW($A67)),"")</f>
        <v>71</v>
      </c>
      <c r="BR110" s="744">
        <f t="array" aca="1" ref="BR110" ca="1">IFERROR(SMALL(IF(COUNTIF(Podcasts!$D$2120:'Podcasts'!$D$2124,ROW(INDIRECT("1:"&amp;K$2)))=0,ROW(INDIRECT("1:"&amp;K$2))),ROW($A67)),"")</f>
        <v>69</v>
      </c>
      <c r="BS110" s="28"/>
    </row>
    <row r="111" spans="1:71" outlineLevel="1">
      <c r="A111" s="28"/>
      <c r="B111" s="161">
        <v>68</v>
      </c>
      <c r="C111" s="161">
        <f>COUNTIF(Podcasts!$D$10:'Podcasts'!$D$2535,B111)</f>
        <v>3</v>
      </c>
      <c r="D111" s="158" t="s">
        <v>1096</v>
      </c>
      <c r="E111" s="156" t="str">
        <f t="array" ref="E111">IF(F111="","",INDEX(Podcasts!$J$10:'Podcasts'!$J$2535,MATCH(F111&amp;$B111,Podcasts!$E$10:'Podcasts'!$E$2535&amp;Podcasts!$D$10:'Podcasts'!$D$2535,0)))</f>
        <v>Fürst</v>
      </c>
      <c r="F111" s="131">
        <f t="array" ref="F111">IF(COUNTIF(Podcasts!$D$10:'Podcasts'!$D$2535,$B111)&lt;COLUMN(A74),"",SMALL(IF(Podcasts!$D$10:'Podcasts'!$D$2535=$B111,Podcasts!$E$10:'Podcasts'!$E$2535),COLUMN(A74)))</f>
        <v>41896</v>
      </c>
      <c r="G111" s="132">
        <f t="array" ref="G111">IF(F111="","",INDEX(Podcasts!$F$10:'Podcasts'!$F$2535,MATCH(F111&amp;$B111,Podcasts!$E$10:'Podcasts'!$E$2535&amp;Podcasts!$D$10:'Podcasts'!$D$2535,0)))</f>
        <v>4.3402777777777762E-3</v>
      </c>
      <c r="H111" s="136" t="str">
        <f t="array" ref="H111">IF(I111="","",INDEX(Podcasts!$J$10:'Podcasts'!$J$2535,MATCH(I111&amp;$B111,Podcasts!$E$10:'Podcasts'!$E$2535&amp;Podcasts!$D$10:'Podcasts'!$D$2535,0)))</f>
        <v>SSP</v>
      </c>
      <c r="I111" s="133">
        <f t="array" ref="I111">IF(COUNTIF(Podcasts!$D$10:'Podcasts'!$D$2535,$B111)&lt;COLUMN(B74),"",SMALL(IF(Podcasts!$D$10:'Podcasts'!$D$2535=$B111,Podcasts!$E$10:'Podcasts'!$E$2535),COLUMN(B74)))</f>
        <v>42983</v>
      </c>
      <c r="J111" s="132">
        <f t="array" ref="J111">IF(I111="","",INDEX(Podcasts!$F$10:'Podcasts'!$F$2535,MATCH(I111&amp;$B111,Podcasts!$E$10:'Podcasts'!$E$2535&amp;Podcasts!$D$10:'Podcasts'!$D$2535,0)))</f>
        <v>7.5983796296296299E-2</v>
      </c>
      <c r="K111" s="136" t="str">
        <f t="array" ref="K111">IF(L111="","",INDEX(Podcasts!$J$10:'Podcasts'!$J$2535,MATCH(L111&amp;$B111,Podcasts!$E$10:'Podcasts'!$E$2535&amp;Podcasts!$D$10:'Podcasts'!$D$2535,0)))</f>
        <v>Kaffee</v>
      </c>
      <c r="L111" s="133">
        <f t="array" ref="L111">IF(COUNTIF(Podcasts!$D$10:'Podcasts'!$D$2535,$B111)&lt;COLUMN(C74),"",SMALL(IF(Podcasts!$D$10:'Podcasts'!$D$2535=$B111,Podcasts!$E$10:'Podcasts'!$E$2535),COLUMN(C74)))</f>
        <v>44582</v>
      </c>
      <c r="M111" s="132">
        <f t="array" ref="M111">IF(L111="","",INDEX(Podcasts!$F$10:'Podcasts'!$F$2535,MATCH(L111&amp;$B111,Podcasts!$E$10:'Podcasts'!$E$2535&amp;Podcasts!$D$10:'Podcasts'!$D$2535,0)))</f>
        <v>2.8819444444444443E-2</v>
      </c>
      <c r="N111" s="136" t="str">
        <f t="array" ref="N111">IF(O111="","",INDEX(Podcasts!$J$10:'Podcasts'!$J$2535,MATCH(O111&amp;$B111,Podcasts!$E$10:'Podcasts'!$E$2535&amp;Podcasts!$D$10:'Podcasts'!$D$2535,0)))</f>
        <v/>
      </c>
      <c r="O111" s="133" t="str">
        <f t="array" ref="O111">IF(COUNTIF(Podcasts!$D$10:'Podcasts'!$D$2535,$B111)&lt;COLUMN(D74),"",SMALL(IF(Podcasts!$D$10:'Podcasts'!$D$2535=$B111,Podcasts!$E$10:'Podcasts'!$E$2535),COLUMN(D74)))</f>
        <v/>
      </c>
      <c r="P111" s="132" t="str">
        <f t="array" ref="P111">IF(O111="","",INDEX(Podcasts!$F$10:'Podcasts'!$F$2535,MATCH(O111&amp;$B111,Podcasts!$E$10:'Podcasts'!$E$2535&amp;Podcasts!$D$10:'Podcasts'!$D$2535,0)))</f>
        <v/>
      </c>
      <c r="Q111" s="136" t="str">
        <f t="array" ref="Q111">IF(R111="","",INDEX(Podcasts!$J$10:'Podcasts'!$J$2535,MATCH(R111&amp;$B111,Podcasts!$E$10:'Podcasts'!$E$2535&amp;Podcasts!$D$10:'Podcasts'!$D$2535,0)))</f>
        <v/>
      </c>
      <c r="R111" s="133" t="str">
        <f t="array" ref="R111">IF(COUNTIF(Podcasts!$D$10:'Podcasts'!$D$2535,$B111)&lt;COLUMN(E74),"",SMALL(IF(Podcasts!$D$10:'Podcasts'!$D$2535=$B111,Podcasts!$E$10:'Podcasts'!$E$2535),COLUMN(E74)))</f>
        <v/>
      </c>
      <c r="S111" s="132" t="str">
        <f t="array" ref="S111">IF(R111="","",INDEX(Podcasts!$F$10:'Podcasts'!$F$2535,MATCH(R111&amp;$B111,Podcasts!$E$10:'Podcasts'!$E$2535&amp;Podcasts!$D$10:'Podcasts'!$D$2535,0)))</f>
        <v/>
      </c>
      <c r="T111" s="136" t="str">
        <f t="array" ref="T111">IF(U111="","",INDEX(Podcasts!$J$10:'Podcasts'!$J$2535,MATCH(U111&amp;$B111,Podcasts!$E$10:'Podcasts'!$E$2535&amp;Podcasts!$D$10:'Podcasts'!$D$2535,0)))</f>
        <v/>
      </c>
      <c r="U111" s="133" t="str">
        <f t="array" ref="U111">IF(COUNTIF(Podcasts!$D$10:'Podcasts'!$D$2535,$B111)&lt;COLUMN(F74),"",SMALL(IF(Podcasts!$D$10:'Podcasts'!$D$2535=$B111,Podcasts!$E$10:'Podcasts'!$E$2535),COLUMN(F74)))</f>
        <v/>
      </c>
      <c r="V111" s="132" t="str">
        <f t="array" ref="V111">IF(U111="","",INDEX(Podcasts!$F$10:'Podcasts'!$F$2535,MATCH(U111&amp;$B111,Podcasts!$E$10:'Podcasts'!$E$2535&amp;Podcasts!$D$10:'Podcasts'!$D$2535,0)))</f>
        <v/>
      </c>
      <c r="W111" s="136" t="str">
        <f t="array" ref="W111">IF(X111="","",INDEX(Podcasts!$J$10:'Podcasts'!$J$2535,MATCH(X111&amp;$B111,Podcasts!$E$10:'Podcasts'!$E$2535&amp;Podcasts!$D$10:'Podcasts'!$D$2535,0)))</f>
        <v/>
      </c>
      <c r="X111" s="133" t="str">
        <f t="array" ref="X111">IF(COUNTIF(Podcasts!$D$10:'Podcasts'!$D$2535,$B111)&lt;COLUMN(G74),"",SMALL(IF(Podcasts!$D$10:'Podcasts'!$D$2535=$B111,Podcasts!$E$10:'Podcasts'!$E$2535),COLUMN(G74)))</f>
        <v/>
      </c>
      <c r="Y111" s="132" t="str">
        <f t="array" ref="Y111">IF(X111="","",INDEX(Podcasts!$F$10:'Podcasts'!$F$2535,MATCH(X111&amp;$B111,Podcasts!$E$10:'Podcasts'!$E$2535&amp;Podcasts!$D$10:'Podcasts'!$D$2535,0)))</f>
        <v/>
      </c>
      <c r="Z111" s="136" t="str">
        <f t="array" ref="Z111">IF(AA111="","",INDEX(Podcasts!$J$10:'Podcasts'!$J$2535,MATCH(AA111&amp;$B111,Podcasts!$E$10:'Podcasts'!$E$2535&amp;Podcasts!$D$10:'Podcasts'!$D$2535,0)))</f>
        <v/>
      </c>
      <c r="AA111" s="134" t="str">
        <f t="array" ref="AA111">IF(COUNTIF(Podcasts!$D$10:'Podcasts'!$D$2535,$B111)&lt;COLUMN(H74),"",SMALL(IF(Podcasts!$D$10:'Podcasts'!$D$2535=$B111,Podcasts!$E$10:'Podcasts'!$E$2535),COLUMN(H74)))</f>
        <v/>
      </c>
      <c r="AB111" s="404" t="str">
        <f t="array" ref="AB111">IF(AA111="","",INDEX(Podcasts!$F$10:'Podcasts'!$F$2535,MATCH(AA111&amp;$B111,Podcasts!$E$10:'Podcasts'!$E$2535&amp;Podcasts!$D$10:'Podcasts'!$D$2535,0)))</f>
        <v/>
      </c>
      <c r="AC111" s="406" t="str">
        <f t="array" ref="AC111">IF(AD111="","",INDEX(Podcasts!$J$10:'Podcasts'!$J$2535,MATCH(AD111&amp;$B111,Podcasts!$E$10:'Podcasts'!$E$2535&amp;Podcasts!$D$10:'Podcasts'!$D$2535,0)))</f>
        <v/>
      </c>
      <c r="AD111" s="400" t="str">
        <f t="array" ref="AD111">IF(COUNTIF(Podcasts!$D$10:'Podcasts'!$D$2535,$B111)&lt;COLUMN(I74),"",SMALL(IF(Podcasts!$D$10:'Podcasts'!$D$2535=$B111,Podcasts!$E$10:'Podcasts'!$E$2535),COLUMN(I74)))</f>
        <v/>
      </c>
      <c r="AE111" s="401" t="str">
        <f t="array" ref="AE111">IF(AD111="","",INDEX(Podcasts!$F$10:'Podcasts'!$F$2535,MATCH(AD111&amp;$B111,Podcasts!$E$10:'Podcasts'!$E$2535&amp;Podcasts!$D$10:'Podcasts'!$D$2535,0)))</f>
        <v/>
      </c>
      <c r="AF111" s="406" t="str">
        <f t="array" ref="AF111">IF(AG111="","",INDEX(Podcasts!$J$10:'Podcasts'!$J$2535,MATCH(AG111&amp;$B111,Podcasts!$E$10:'Podcasts'!$E$2535&amp;Podcasts!$D$10:'Podcasts'!$D$2535,0)))</f>
        <v/>
      </c>
      <c r="AG111" s="400" t="str">
        <f t="array" ref="AG111">IF(COUNTIF(Podcasts!$D$10:'Podcasts'!$D$2535,$B111)&lt;COLUMN(J74),"",SMALL(IF(Podcasts!$D$10:'Podcasts'!$D$2535=$B111,Podcasts!$E$10:'Podcasts'!$E$2535),COLUMN(J74)))</f>
        <v/>
      </c>
      <c r="AH111" s="401" t="str">
        <f t="array" ref="AH111">IF(AG111="","",INDEX(Podcasts!$F$10:'Podcasts'!$F$2535,MATCH(AG111&amp;$B111,Podcasts!$E$10:'Podcasts'!$E$2535&amp;Podcasts!$D$10:'Podcasts'!$D$2535,0)))</f>
        <v/>
      </c>
      <c r="AI111" s="406" t="str">
        <f t="array" ref="AI111">IF(AJ111="","",INDEX(Podcasts!$J$10:'Podcasts'!$J$2535,MATCH(AJ111&amp;$B111,Podcasts!$E$10:'Podcasts'!$E$2535&amp;Podcasts!$D$10:'Podcasts'!$D$2535,0)))</f>
        <v/>
      </c>
      <c r="AJ111" s="400" t="str">
        <f t="array" ref="AJ111">IF(COUNTIF(Podcasts!$D$10:'Podcasts'!$D$2535,$B111)&lt;COLUMN(K74),"",SMALL(IF(Podcasts!$D$10:'Podcasts'!$D$2535=$B111,Podcasts!$E$10:'Podcasts'!$E$2535),COLUMN(K74)))</f>
        <v/>
      </c>
      <c r="AK111" s="401" t="str">
        <f t="array" ref="AK111">IF(AJ111="","",INDEX(Podcasts!$F$10:'Podcasts'!$F$2535,MATCH(AJ111&amp;$B111,Podcasts!$E$10:'Podcasts'!$E$2535&amp;Podcasts!$D$10:'Podcasts'!$D$2535,0)))</f>
        <v/>
      </c>
      <c r="AL111" s="406" t="str">
        <f t="array" ref="AL111">IF(AM111="","",INDEX(Podcasts!$J$10:'Podcasts'!$J$2535,MATCH(AM111&amp;$B111,Podcasts!$E$10:'Podcasts'!$E$2535&amp;Podcasts!$D$10:'Podcasts'!$D$2535,0)))</f>
        <v/>
      </c>
      <c r="AM111" s="400" t="str">
        <f t="array" ref="AM111">IF(COUNTIF(Podcasts!$D$10:'Podcasts'!$D$2535,$B111)&lt;COLUMN(L74),"",SMALL(IF(Podcasts!$D$10:'Podcasts'!$D$2535=$B111,Podcasts!$E$10:'Podcasts'!$E$2535),COLUMN(L74)))</f>
        <v/>
      </c>
      <c r="AN111" s="401" t="str">
        <f t="array" ref="AN111">IF(AM111="","",INDEX(Podcasts!$F$10:'Podcasts'!$F$2535,MATCH(AM111&amp;$B111,Podcasts!$E$10:'Podcasts'!$E$2535&amp;Podcasts!$D$10:'Podcasts'!$D$2535,0)))</f>
        <v/>
      </c>
      <c r="AO111" s="402"/>
      <c r="AP111" s="119"/>
      <c r="AQ111" s="117">
        <f t="array" aca="1" ref="AQ111" ca="1">IFERROR(SMALL(IF(COUNTIF(Podcasts!$D$10:'Podcasts'!$D$107,ROW(INDIRECT("1:"&amp;K$2)))=0,ROW(INDIRECT("1:"&amp;K$2))),ROW($A68)),"")</f>
        <v>95</v>
      </c>
      <c r="AR111" s="117">
        <f t="array" aca="1" ref="AR111" ca="1">IFERROR(SMALL(IF(COUNTIF(Podcasts!$D$113:'Podcasts'!$D$238,ROW(INDIRECT("1:"&amp;K$2)))=0,ROW(INDIRECT("1:"&amp;K$2))),ROW($A68)),"")</f>
        <v>68</v>
      </c>
      <c r="AS111" s="117">
        <f t="array" aca="1" ref="AS111" ca="1">IFERROR(SMALL(IF(COUNTIF(Podcasts!$D$244:'Podcasts'!$D$299,ROW(INDIRECT("1:"&amp;K$2)))=0,ROW(INDIRECT("1:"&amp;K$2))),ROW($A68)),"")</f>
        <v>85</v>
      </c>
      <c r="AT111" s="117">
        <f t="array" aca="1" ref="AT111" ca="1">IFERROR(SMALL(IF(COUNTIF(Podcasts!$D$305:'Podcasts'!$D$473,ROW(INDIRECT("1:"&amp;K$2)))=0,ROW(INDIRECT("1:"&amp;K$2))),ROW($A68)),"")</f>
        <v>203</v>
      </c>
      <c r="AU111" s="117">
        <f t="array" aca="1" ref="AU111" ca="1">IFERROR(SMALL(IF(COUNTIF(Podcasts!$D$479:'Podcasts'!$D$488,ROW(INDIRECT("1:"&amp;K$2)))=0,ROW(INDIRECT("1:"&amp;K$2))),ROW($A68)),"")</f>
        <v>68</v>
      </c>
      <c r="AV111" s="117">
        <f t="array" aca="1" ref="AV111" ca="1">IFERROR(SMALL(IF(COUNTIF(Podcasts!$D$494:'Podcasts'!$D$518,ROW(INDIRECT("1:"&amp;K$2)))=0,ROW(INDIRECT("1:"&amp;K$2))),ROW($A68)),"")</f>
        <v>86</v>
      </c>
      <c r="AW111" s="117">
        <f t="array" aca="1" ref="AW111" ca="1">IFERROR(SMALL(IF(COUNTIF(Podcasts!$D$524:'Podcasts'!$D$532,ROW(INDIRECT("1:"&amp;K$2)))=0,ROW(INDIRECT("1:"&amp;K$2))),ROW($A68)),"")</f>
        <v>68</v>
      </c>
      <c r="AX111" s="117">
        <f t="array" aca="1" ref="AX111" ca="1">IFERROR(SMALL(IF(COUNTIF(Podcasts!$D$538:'Podcasts'!$D$909,ROW(INDIRECT("1:"&amp;K$2)))=0,ROW(INDIRECT("1:"&amp;K$2))),ROW($A68)),"")</f>
        <v>186</v>
      </c>
      <c r="AY111" s="117">
        <f t="array" aca="1" ref="AY111" ca="1">IFERROR(SMALL(IF(COUNTIF(Podcasts!$D$915:'Podcasts'!$D$981,ROW(INDIRECT("1:"&amp;K$2)))=0,ROW(INDIRECT("1:"&amp;K$2))),ROW($A68)),"")</f>
        <v>111</v>
      </c>
      <c r="AZ111" s="445"/>
      <c r="BA111" s="117">
        <f t="array" aca="1" ref="BA111" ca="1">IFERROR(SMALL(IF(COUNTIF(Podcasts!$D$1001:'Podcasts'!$D$1251,ROW(INDIRECT("1:"&amp;K$2)))=0,ROW(INDIRECT("1:"&amp;K$2))),ROW($A68)),"")</f>
        <v>109</v>
      </c>
      <c r="BB111" s="117">
        <f t="array" aca="1" ref="BB111" ca="1">IFERROR(SMALL(IF(COUNTIF(Podcasts!$D$1257:'Podcasts'!$D$1267,ROW(INDIRECT("1:"&amp;K$2)))=0,ROW(INDIRECT("1:"&amp;K$2))),ROW($A68)),"")</f>
        <v>69</v>
      </c>
      <c r="BC111" s="117">
        <f t="array" aca="1" ref="BC111" ca="1">IFERROR(SMALL(IF(COUNTIF(Podcasts!$D$1273:'Podcasts'!$D$1283,ROW(INDIRECT("1:"&amp;K$2)))=0,ROW(INDIRECT("1:"&amp;K$2))),ROW($A68)),"")</f>
        <v>72</v>
      </c>
      <c r="BD111" s="117">
        <f t="array" aca="1" ref="BD111" ca="1">IFERROR(SMALL(IF(COUNTIF(Podcasts!$D$1289:'Podcasts'!$D$1295,ROW(INDIRECT("1:"&amp;K$2)))=0,ROW(INDIRECT("1:"&amp;K$2))),ROW($A68)),"")</f>
        <v>70</v>
      </c>
      <c r="BE111" s="117">
        <f t="array" aca="1" ref="BE111" ca="1">IFERROR(SMALL(IF(COUNTIF(Podcasts!$D$1301:'Podcasts'!$D$1356,ROW(INDIRECT("1:"&amp;K$2)))=0,ROW(INDIRECT("1:"&amp;K$2))),ROW($A68)),"")</f>
        <v>115</v>
      </c>
      <c r="BF111" s="117">
        <f t="array" aca="1" ref="BF111" ca="1">IFERROR(SMALL(IF(COUNTIF(Podcasts!$D$1362:'Podcasts'!$D$1364,ROW(INDIRECT("1:"&amp;K$2)))=0,ROW(INDIRECT("1:"&amp;K$2))),ROW($A68)),"")</f>
        <v>71</v>
      </c>
      <c r="BG111" s="202">
        <f t="array" aca="1" ref="BG111" ca="1">IFERROR(SMALL(IF(COUNTIF(Podcasts!$D$1370:'Podcasts'!$D$1419,ROW(INDIRECT("1:"&amp;K$2)))=0,ROW(INDIRECT("1:"&amp;K$2))),ROW($A68)),"")</f>
        <v>87</v>
      </c>
      <c r="BH111" s="202">
        <f t="array" aca="1" ref="BH111" ca="1">IFERROR(SMALL(IF(COUNTIF(Podcasts!$D$1425:'Podcasts'!$D$1446,ROW(INDIRECT("1:"&amp;K$2)))=0,ROW(INDIRECT("1:"&amp;K$2))),ROW($A68)),"")</f>
        <v>73</v>
      </c>
      <c r="BI111" s="202">
        <f t="array" aca="1" ref="BI111" ca="1">IFERROR(SMALL(IF(COUNTIF(Podcasts!$D$1452:'Podcasts'!$D$1574,ROW(INDIRECT("1:"&amp;K$2)))=0,ROW(INDIRECT("1:"&amp;K$2))),ROW($A68)),"")</f>
        <v>122</v>
      </c>
      <c r="BJ111" s="202">
        <f t="array" aca="1" ref="BJ111" ca="1">IFERROR(SMALL(IF(COUNTIF(Podcasts!$D$1580:'Podcasts'!$D$1705,ROW(INDIRECT("1:"&amp;K$2)))=0,ROW(INDIRECT("1:"&amp;K$2))),ROW($A68)),"")</f>
        <v>124</v>
      </c>
      <c r="BK111" s="202">
        <f t="array" aca="1" ref="BK111" ca="1">IFERROR(SMALL(IF(COUNTIF(Podcasts!$D$1711:'Podcasts'!$D$1833,ROW(INDIRECT("1:"&amp;K$2)))=0,ROW(INDIRECT("1:"&amp;K$2))),ROW($A68)),"")</f>
        <v>108</v>
      </c>
      <c r="BL111" s="202">
        <f t="array" aca="1" ref="BL111" ca="1">IFERROR(SMALL(IF(COUNTIF(Podcasts!$D$1839:'Podcasts'!$D$1855,ROW(INDIRECT("1:"&amp;K$2)))=0,ROW(INDIRECT("1:"&amp;K$2))),ROW($A68)),"")</f>
        <v>74</v>
      </c>
      <c r="BM111" s="567">
        <f t="array" aca="1" ref="BM111" ca="1">IFERROR(SMALL(IF(COUNTIF(Podcasts!$D$1861:'Podcasts'!$D$1994,ROW(INDIRECT("1:"&amp;K$2)))=0,ROW(INDIRECT("1:"&amp;K$2))),ROW($A68)),"")</f>
        <v>97</v>
      </c>
      <c r="BN111" s="567">
        <f t="array" aca="1" ref="BN111" ca="1">IFERROR(SMALL(IF(COUNTIF(Podcasts!$D$2000:'Podcasts'!$D$2057,ROW(INDIRECT("1:"&amp;K$2)))=0,ROW(INDIRECT("1:"&amp;K$2))),ROW($A68)),"")</f>
        <v>123</v>
      </c>
      <c r="BO111" s="567">
        <f t="array" aca="1" ref="BO111" ca="1">IFERROR(SMALL(IF(COUNTIF(Podcasts!$D$2063:'Podcasts'!$D$2071,ROW(INDIRECT("1:"&amp;K$2)))=0,ROW(INDIRECT("1:"&amp;K$2))),ROW($A68)),"")</f>
        <v>68</v>
      </c>
      <c r="BP111" s="202">
        <f t="array" aca="1" ref="BP111" ca="1">IFERROR(SMALL(IF(COUNTIF(Podcasts!$D$2077:'Podcasts'!$D$2092,ROW(INDIRECT("1:"&amp;K$2)))=0,ROW(INDIRECT("1:"&amp;K$2))),ROW($A68)),"")</f>
        <v>78</v>
      </c>
      <c r="BQ111" s="741">
        <f t="array" aca="1" ref="BQ111" ca="1">IFERROR(SMALL(IF(COUNTIF(Podcasts!$D$2098:'Podcasts'!$D$2114,ROW(INDIRECT("1:"&amp;K$2)))=0,ROW(INDIRECT("1:"&amp;K$2))),ROW($A68)),"")</f>
        <v>72</v>
      </c>
      <c r="BR111" s="744">
        <f t="array" aca="1" ref="BR111" ca="1">IFERROR(SMALL(IF(COUNTIF(Podcasts!$D$2120:'Podcasts'!$D$2124,ROW(INDIRECT("1:"&amp;K$2)))=0,ROW(INDIRECT("1:"&amp;K$2))),ROW($A68)),"")</f>
        <v>70</v>
      </c>
      <c r="BS111" s="28"/>
    </row>
    <row r="112" spans="1:71" outlineLevel="1">
      <c r="A112" s="28"/>
      <c r="B112" s="161">
        <v>69</v>
      </c>
      <c r="C112" s="161">
        <f>COUNTIF(Podcasts!$D$10:'Podcasts'!$D$2535,B112)</f>
        <v>5</v>
      </c>
      <c r="D112" s="158" t="s">
        <v>1097</v>
      </c>
      <c r="E112" s="156" t="str">
        <f t="array" ref="E112">IF(F112="","",INDEX(Podcasts!$J$10:'Podcasts'!$J$2535,MATCH(F112&amp;$B112,Podcasts!$E$10:'Podcasts'!$E$2535&amp;Podcasts!$D$10:'Podcasts'!$D$2535,0)))</f>
        <v>Fürst</v>
      </c>
      <c r="F112" s="131">
        <f t="array" ref="F112">IF(COUNTIF(Podcasts!$D$10:'Podcasts'!$D$2535,$B112)&lt;COLUMN(A75),"",SMALL(IF(Podcasts!$D$10:'Podcasts'!$D$2535=$B112,Podcasts!$E$10:'Podcasts'!$E$2535),COLUMN(A75)))</f>
        <v>41839</v>
      </c>
      <c r="G112" s="132">
        <f t="array" ref="G112">IF(F112="","",INDEX(Podcasts!$F$10:'Podcasts'!$F$2535,MATCH(F112&amp;$B112,Podcasts!$E$10:'Podcasts'!$E$2535&amp;Podcasts!$D$10:'Podcasts'!$D$2535,0)))</f>
        <v>7.0023148148148145E-3</v>
      </c>
      <c r="H112" s="136" t="str">
        <f t="array" ref="H112">IF(I112="","",INDEX(Podcasts!$J$10:'Podcasts'!$J$2535,MATCH(I112&amp;$B112,Podcasts!$E$10:'Podcasts'!$E$2535&amp;Podcasts!$D$10:'Podcasts'!$D$2535,0)))</f>
        <v>SSP</v>
      </c>
      <c r="I112" s="133">
        <f t="array" ref="I112">IF(COUNTIF(Podcasts!$D$10:'Podcasts'!$D$2535,$B112)&lt;COLUMN(B75),"",SMALL(IF(Podcasts!$D$10:'Podcasts'!$D$2535=$B112,Podcasts!$E$10:'Podcasts'!$E$2535),COLUMN(B75)))</f>
        <v>44070</v>
      </c>
      <c r="J112" s="132">
        <f t="array" ref="J112">IF(I112="","",INDEX(Podcasts!$F$10:'Podcasts'!$F$2535,MATCH(I112&amp;$B112,Podcasts!$E$10:'Podcasts'!$E$2535&amp;Podcasts!$D$10:'Podcasts'!$D$2535,0)))</f>
        <v>7.6574074074074072E-2</v>
      </c>
      <c r="K112" s="136" t="str">
        <f t="array" ref="K112">IF(L112="","",INDEX(Podcasts!$J$10:'Podcasts'!$J$2535,MATCH(L112&amp;$B112,Podcasts!$E$10:'Podcasts'!$E$2535&amp;Podcasts!$D$10:'Podcasts'!$D$2535,0)))</f>
        <v>Kuchen</v>
      </c>
      <c r="L112" s="133">
        <f t="array" ref="L112">IF(COUNTIF(Podcasts!$D$10:'Podcasts'!$D$2535,$B112)&lt;COLUMN(C75),"",SMALL(IF(Podcasts!$D$10:'Podcasts'!$D$2535=$B112,Podcasts!$E$10:'Podcasts'!$E$2535),COLUMN(C75)))</f>
        <v>44283</v>
      </c>
      <c r="M112" s="132">
        <f t="array" ref="M112">IF(L112="","",INDEX(Podcasts!$F$10:'Podcasts'!$F$2535,MATCH(L112&amp;$B112,Podcasts!$E$10:'Podcasts'!$E$2535&amp;Podcasts!$D$10:'Podcasts'!$D$2535,0)))</f>
        <v>5.1585648148148144E-2</v>
      </c>
      <c r="N112" s="136" t="str">
        <f t="array" ref="N112">IF(O112="","",INDEX(Podcasts!$J$10:'Podcasts'!$J$2535,MATCH(O112&amp;$B112,Podcasts!$E$10:'Podcasts'!$E$2535&amp;Podcasts!$D$10:'Podcasts'!$D$2535,0)))</f>
        <v>Zentrale</v>
      </c>
      <c r="O112" s="133">
        <f t="array" ref="O112">IF(COUNTIF(Podcasts!$D$10:'Podcasts'!$D$2535,$B112)&lt;COLUMN(D75),"",SMALL(IF(Podcasts!$D$10:'Podcasts'!$D$2535=$B112,Podcasts!$E$10:'Podcasts'!$E$2535),COLUMN(D75)))</f>
        <v>45317</v>
      </c>
      <c r="P112" s="132">
        <f t="array" ref="P112">IF(O112="","",INDEX(Podcasts!$F$10:'Podcasts'!$F$2535,MATCH(O112&amp;$B112,Podcasts!$E$10:'Podcasts'!$E$2535&amp;Podcasts!$D$10:'Podcasts'!$D$2535,0)))</f>
        <v>0.15916666666666668</v>
      </c>
      <c r="Q112" s="136" t="str">
        <f t="array" ref="Q112">IF(R112="","",INDEX(Podcasts!$J$10:'Podcasts'!$J$2535,MATCH(R112&amp;$B112,Podcasts!$E$10:'Podcasts'!$E$2535&amp;Podcasts!$D$10:'Podcasts'!$D$2535,0)))</f>
        <v>Zw3i</v>
      </c>
      <c r="R112" s="133">
        <f t="array" ref="R112">IF(COUNTIF(Podcasts!$D$10:'Podcasts'!$D$2535,$B112)&lt;COLUMN(E75),"",SMALL(IF(Podcasts!$D$10:'Podcasts'!$D$2535=$B112,Podcasts!$E$10:'Podcasts'!$E$2535),COLUMN(E75)))</f>
        <v>45457</v>
      </c>
      <c r="S112" s="132">
        <f t="array" ref="S112">IF(R112="","",INDEX(Podcasts!$F$10:'Podcasts'!$F$2535,MATCH(R112&amp;$B112,Podcasts!$E$10:'Podcasts'!$E$2535&amp;Podcasts!$D$10:'Podcasts'!$D$2535,0)))</f>
        <v>0</v>
      </c>
      <c r="T112" s="136" t="str">
        <f t="array" ref="T112">IF(U112="","",INDEX(Podcasts!$J$10:'Podcasts'!$J$2535,MATCH(U112&amp;$B112,Podcasts!$E$10:'Podcasts'!$E$2535&amp;Podcasts!$D$10:'Podcasts'!$D$2535,0)))</f>
        <v/>
      </c>
      <c r="U112" s="133" t="str">
        <f t="array" ref="U112">IF(COUNTIF(Podcasts!$D$10:'Podcasts'!$D$2535,$B112)&lt;COLUMN(F75),"",SMALL(IF(Podcasts!$D$10:'Podcasts'!$D$2535=$B112,Podcasts!$E$10:'Podcasts'!$E$2535),COLUMN(F75)))</f>
        <v/>
      </c>
      <c r="V112" s="132" t="str">
        <f t="array" ref="V112">IF(U112="","",INDEX(Podcasts!$F$10:'Podcasts'!$F$2535,MATCH(U112&amp;$B112,Podcasts!$E$10:'Podcasts'!$E$2535&amp;Podcasts!$D$10:'Podcasts'!$D$2535,0)))</f>
        <v/>
      </c>
      <c r="W112" s="136" t="str">
        <f t="array" ref="W112">IF(X112="","",INDEX(Podcasts!$J$10:'Podcasts'!$J$2535,MATCH(X112&amp;$B112,Podcasts!$E$10:'Podcasts'!$E$2535&amp;Podcasts!$D$10:'Podcasts'!$D$2535,0)))</f>
        <v/>
      </c>
      <c r="X112" s="133" t="str">
        <f t="array" ref="X112">IF(COUNTIF(Podcasts!$D$10:'Podcasts'!$D$2535,$B112)&lt;COLUMN(G75),"",SMALL(IF(Podcasts!$D$10:'Podcasts'!$D$2535=$B112,Podcasts!$E$10:'Podcasts'!$E$2535),COLUMN(G75)))</f>
        <v/>
      </c>
      <c r="Y112" s="132" t="str">
        <f t="array" ref="Y112">IF(X112="","",INDEX(Podcasts!$F$10:'Podcasts'!$F$2535,MATCH(X112&amp;$B112,Podcasts!$E$10:'Podcasts'!$E$2535&amp;Podcasts!$D$10:'Podcasts'!$D$2535,0)))</f>
        <v/>
      </c>
      <c r="Z112" s="136" t="str">
        <f t="array" ref="Z112">IF(AA112="","",INDEX(Podcasts!$J$10:'Podcasts'!$J$2535,MATCH(AA112&amp;$B112,Podcasts!$E$10:'Podcasts'!$E$2535&amp;Podcasts!$D$10:'Podcasts'!$D$2535,0)))</f>
        <v/>
      </c>
      <c r="AA112" s="134" t="str">
        <f t="array" ref="AA112">IF(COUNTIF(Podcasts!$D$10:'Podcasts'!$D$2535,$B112)&lt;COLUMN(H75),"",SMALL(IF(Podcasts!$D$10:'Podcasts'!$D$2535=$B112,Podcasts!$E$10:'Podcasts'!$E$2535),COLUMN(H75)))</f>
        <v/>
      </c>
      <c r="AB112" s="404" t="str">
        <f t="array" ref="AB112">IF(AA112="","",INDEX(Podcasts!$F$10:'Podcasts'!$F$2535,MATCH(AA112&amp;$B112,Podcasts!$E$10:'Podcasts'!$E$2535&amp;Podcasts!$D$10:'Podcasts'!$D$2535,0)))</f>
        <v/>
      </c>
      <c r="AC112" s="406" t="str">
        <f t="array" ref="AC112">IF(AD112="","",INDEX(Podcasts!$J$10:'Podcasts'!$J$2535,MATCH(AD112&amp;$B112,Podcasts!$E$10:'Podcasts'!$E$2535&amp;Podcasts!$D$10:'Podcasts'!$D$2535,0)))</f>
        <v/>
      </c>
      <c r="AD112" s="400" t="str">
        <f t="array" ref="AD112">IF(COUNTIF(Podcasts!$D$10:'Podcasts'!$D$2535,$B112)&lt;COLUMN(I75),"",SMALL(IF(Podcasts!$D$10:'Podcasts'!$D$2535=$B112,Podcasts!$E$10:'Podcasts'!$E$2535),COLUMN(I75)))</f>
        <v/>
      </c>
      <c r="AE112" s="401" t="str">
        <f t="array" ref="AE112">IF(AD112="","",INDEX(Podcasts!$F$10:'Podcasts'!$F$2535,MATCH(AD112&amp;$B112,Podcasts!$E$10:'Podcasts'!$E$2535&amp;Podcasts!$D$10:'Podcasts'!$D$2535,0)))</f>
        <v/>
      </c>
      <c r="AF112" s="406" t="str">
        <f t="array" ref="AF112">IF(AG112="","",INDEX(Podcasts!$J$10:'Podcasts'!$J$2535,MATCH(AG112&amp;$B112,Podcasts!$E$10:'Podcasts'!$E$2535&amp;Podcasts!$D$10:'Podcasts'!$D$2535,0)))</f>
        <v/>
      </c>
      <c r="AG112" s="400" t="str">
        <f t="array" ref="AG112">IF(COUNTIF(Podcasts!$D$10:'Podcasts'!$D$2535,$B112)&lt;COLUMN(J75),"",SMALL(IF(Podcasts!$D$10:'Podcasts'!$D$2535=$B112,Podcasts!$E$10:'Podcasts'!$E$2535),COLUMN(J75)))</f>
        <v/>
      </c>
      <c r="AH112" s="401" t="str">
        <f t="array" ref="AH112">IF(AG112="","",INDEX(Podcasts!$F$10:'Podcasts'!$F$2535,MATCH(AG112&amp;$B112,Podcasts!$E$10:'Podcasts'!$E$2535&amp;Podcasts!$D$10:'Podcasts'!$D$2535,0)))</f>
        <v/>
      </c>
      <c r="AI112" s="406" t="str">
        <f t="array" ref="AI112">IF(AJ112="","",INDEX(Podcasts!$J$10:'Podcasts'!$J$2535,MATCH(AJ112&amp;$B112,Podcasts!$E$10:'Podcasts'!$E$2535&amp;Podcasts!$D$10:'Podcasts'!$D$2535,0)))</f>
        <v/>
      </c>
      <c r="AJ112" s="400" t="str">
        <f t="array" ref="AJ112">IF(COUNTIF(Podcasts!$D$10:'Podcasts'!$D$2535,$B112)&lt;COLUMN(K75),"",SMALL(IF(Podcasts!$D$10:'Podcasts'!$D$2535=$B112,Podcasts!$E$10:'Podcasts'!$E$2535),COLUMN(K75)))</f>
        <v/>
      </c>
      <c r="AK112" s="401" t="str">
        <f t="array" ref="AK112">IF(AJ112="","",INDEX(Podcasts!$F$10:'Podcasts'!$F$2535,MATCH(AJ112&amp;$B112,Podcasts!$E$10:'Podcasts'!$E$2535&amp;Podcasts!$D$10:'Podcasts'!$D$2535,0)))</f>
        <v/>
      </c>
      <c r="AL112" s="406" t="str">
        <f t="array" ref="AL112">IF(AM112="","",INDEX(Podcasts!$J$10:'Podcasts'!$J$2535,MATCH(AM112&amp;$B112,Podcasts!$E$10:'Podcasts'!$E$2535&amp;Podcasts!$D$10:'Podcasts'!$D$2535,0)))</f>
        <v/>
      </c>
      <c r="AM112" s="400" t="str">
        <f t="array" ref="AM112">IF(COUNTIF(Podcasts!$D$10:'Podcasts'!$D$2535,$B112)&lt;COLUMN(L75),"",SMALL(IF(Podcasts!$D$10:'Podcasts'!$D$2535=$B112,Podcasts!$E$10:'Podcasts'!$E$2535),COLUMN(L75)))</f>
        <v/>
      </c>
      <c r="AN112" s="401" t="str">
        <f t="array" ref="AN112">IF(AM112="","",INDEX(Podcasts!$F$10:'Podcasts'!$F$2535,MATCH(AM112&amp;$B112,Podcasts!$E$10:'Podcasts'!$E$2535&amp;Podcasts!$D$10:'Podcasts'!$D$2535,0)))</f>
        <v/>
      </c>
      <c r="AO112" s="402"/>
      <c r="AP112" s="119"/>
      <c r="AQ112" s="117">
        <f t="array" aca="1" ref="AQ112" ca="1">IFERROR(SMALL(IF(COUNTIF(Podcasts!$D$10:'Podcasts'!$D$107,ROW(INDIRECT("1:"&amp;K$2)))=0,ROW(INDIRECT("1:"&amp;K$2))),ROW($A69)),"")</f>
        <v>96</v>
      </c>
      <c r="AR112" s="117">
        <f t="array" aca="1" ref="AR112" ca="1">IFERROR(SMALL(IF(COUNTIF(Podcasts!$D$113:'Podcasts'!$D$238,ROW(INDIRECT("1:"&amp;K$2)))=0,ROW(INDIRECT("1:"&amp;K$2))),ROW($A69)),"")</f>
        <v>69</v>
      </c>
      <c r="AS112" s="117">
        <f t="array" aca="1" ref="AS112" ca="1">IFERROR(SMALL(IF(COUNTIF(Podcasts!$D$244:'Podcasts'!$D$299,ROW(INDIRECT("1:"&amp;K$2)))=0,ROW(INDIRECT("1:"&amp;K$2))),ROW($A69)),"")</f>
        <v>86</v>
      </c>
      <c r="AT112" s="117">
        <f t="array" aca="1" ref="AT112" ca="1">IFERROR(SMALL(IF(COUNTIF(Podcasts!$D$305:'Podcasts'!$D$473,ROW(INDIRECT("1:"&amp;K$2)))=0,ROW(INDIRECT("1:"&amp;K$2))),ROW($A69)),"")</f>
        <v>204</v>
      </c>
      <c r="AU112" s="117">
        <f t="array" aca="1" ref="AU112" ca="1">IFERROR(SMALL(IF(COUNTIF(Podcasts!$D$479:'Podcasts'!$D$488,ROW(INDIRECT("1:"&amp;K$2)))=0,ROW(INDIRECT("1:"&amp;K$2))),ROW($A69)),"")</f>
        <v>69</v>
      </c>
      <c r="AV112" s="117">
        <f t="array" aca="1" ref="AV112" ca="1">IFERROR(SMALL(IF(COUNTIF(Podcasts!$D$494:'Podcasts'!$D$518,ROW(INDIRECT("1:"&amp;K$2)))=0,ROW(INDIRECT("1:"&amp;K$2))),ROW($A69)),"")</f>
        <v>87</v>
      </c>
      <c r="AW112" s="117">
        <f t="array" aca="1" ref="AW112" ca="1">IFERROR(SMALL(IF(COUNTIF(Podcasts!$D$524:'Podcasts'!$D$532,ROW(INDIRECT("1:"&amp;K$2)))=0,ROW(INDIRECT("1:"&amp;K$2))),ROW($A69)),"")</f>
        <v>69</v>
      </c>
      <c r="AX112" s="117">
        <f t="array" aca="1" ref="AX112" ca="1">IFERROR(SMALL(IF(COUNTIF(Podcasts!$D$538:'Podcasts'!$D$909,ROW(INDIRECT("1:"&amp;K$2)))=0,ROW(INDIRECT("1:"&amp;K$2))),ROW($A69)),"")</f>
        <v>188</v>
      </c>
      <c r="AY112" s="117">
        <f t="array" aca="1" ref="AY112" ca="1">IFERROR(SMALL(IF(COUNTIF(Podcasts!$D$915:'Podcasts'!$D$981,ROW(INDIRECT("1:"&amp;K$2)))=0,ROW(INDIRECT("1:"&amp;K$2))),ROW($A69)),"")</f>
        <v>112</v>
      </c>
      <c r="AZ112" s="445"/>
      <c r="BA112" s="117">
        <f t="array" aca="1" ref="BA112" ca="1">IFERROR(SMALL(IF(COUNTIF(Podcasts!$D$1001:'Podcasts'!$D$1251,ROW(INDIRECT("1:"&amp;K$2)))=0,ROW(INDIRECT("1:"&amp;K$2))),ROW($A69)),"")</f>
        <v>110</v>
      </c>
      <c r="BB112" s="117">
        <f t="array" aca="1" ref="BB112" ca="1">IFERROR(SMALL(IF(COUNTIF(Podcasts!$D$1257:'Podcasts'!$D$1267,ROW(INDIRECT("1:"&amp;K$2)))=0,ROW(INDIRECT("1:"&amp;K$2))),ROW($A69)),"")</f>
        <v>70</v>
      </c>
      <c r="BC112" s="117">
        <f t="array" aca="1" ref="BC112" ca="1">IFERROR(SMALL(IF(COUNTIF(Podcasts!$D$1273:'Podcasts'!$D$1283,ROW(INDIRECT("1:"&amp;K$2)))=0,ROW(INDIRECT("1:"&amp;K$2))),ROW($A69)),"")</f>
        <v>73</v>
      </c>
      <c r="BD112" s="117">
        <f t="array" aca="1" ref="BD112" ca="1">IFERROR(SMALL(IF(COUNTIF(Podcasts!$D$1289:'Podcasts'!$D$1295,ROW(INDIRECT("1:"&amp;K$2)))=0,ROW(INDIRECT("1:"&amp;K$2))),ROW($A69)),"")</f>
        <v>71</v>
      </c>
      <c r="BE112" s="117">
        <f t="array" aca="1" ref="BE112" ca="1">IFERROR(SMALL(IF(COUNTIF(Podcasts!$D$1301:'Podcasts'!$D$1356,ROW(INDIRECT("1:"&amp;K$2)))=0,ROW(INDIRECT("1:"&amp;K$2))),ROW($A69)),"")</f>
        <v>116</v>
      </c>
      <c r="BF112" s="117">
        <f t="array" aca="1" ref="BF112" ca="1">IFERROR(SMALL(IF(COUNTIF(Podcasts!$D$1362:'Podcasts'!$D$1364,ROW(INDIRECT("1:"&amp;K$2)))=0,ROW(INDIRECT("1:"&amp;K$2))),ROW($A69)),"")</f>
        <v>72</v>
      </c>
      <c r="BG112" s="202">
        <f t="array" aca="1" ref="BG112" ca="1">IFERROR(SMALL(IF(COUNTIF(Podcasts!$D$1370:'Podcasts'!$D$1419,ROW(INDIRECT("1:"&amp;K$2)))=0,ROW(INDIRECT("1:"&amp;K$2))),ROW($A69)),"")</f>
        <v>89</v>
      </c>
      <c r="BH112" s="202">
        <f t="array" aca="1" ref="BH112" ca="1">IFERROR(SMALL(IF(COUNTIF(Podcasts!$D$1425:'Podcasts'!$D$1446,ROW(INDIRECT("1:"&amp;K$2)))=0,ROW(INDIRECT("1:"&amp;K$2))),ROW($A69)),"")</f>
        <v>74</v>
      </c>
      <c r="BI112" s="202">
        <f t="array" aca="1" ref="BI112" ca="1">IFERROR(SMALL(IF(COUNTIF(Podcasts!$D$1452:'Podcasts'!$D$1574,ROW(INDIRECT("1:"&amp;K$2)))=0,ROW(INDIRECT("1:"&amp;K$2))),ROW($A69)),"")</f>
        <v>123</v>
      </c>
      <c r="BJ112" s="202">
        <f t="array" aca="1" ref="BJ112" ca="1">IFERROR(SMALL(IF(COUNTIF(Podcasts!$D$1580:'Podcasts'!$D$1705,ROW(INDIRECT("1:"&amp;K$2)))=0,ROW(INDIRECT("1:"&amp;K$2))),ROW($A69)),"")</f>
        <v>125</v>
      </c>
      <c r="BK112" s="202">
        <f t="array" aca="1" ref="BK112" ca="1">IFERROR(SMALL(IF(COUNTIF(Podcasts!$D$1711:'Podcasts'!$D$1833,ROW(INDIRECT("1:"&amp;K$2)))=0,ROW(INDIRECT("1:"&amp;K$2))),ROW($A69)),"")</f>
        <v>110</v>
      </c>
      <c r="BL112" s="202">
        <f t="array" aca="1" ref="BL112" ca="1">IFERROR(SMALL(IF(COUNTIF(Podcasts!$D$1839:'Podcasts'!$D$1855,ROW(INDIRECT("1:"&amp;K$2)))=0,ROW(INDIRECT("1:"&amp;K$2))),ROW($A69)),"")</f>
        <v>75</v>
      </c>
      <c r="BM112" s="567">
        <f t="array" aca="1" ref="BM112" ca="1">IFERROR(SMALL(IF(COUNTIF(Podcasts!$D$1861:'Podcasts'!$D$1994,ROW(INDIRECT("1:"&amp;K$2)))=0,ROW(INDIRECT("1:"&amp;K$2))),ROW($A69)),"")</f>
        <v>98</v>
      </c>
      <c r="BN112" s="567">
        <f t="array" aca="1" ref="BN112" ca="1">IFERROR(SMALL(IF(COUNTIF(Podcasts!$D$2000:'Podcasts'!$D$2057,ROW(INDIRECT("1:"&amp;K$2)))=0,ROW(INDIRECT("1:"&amp;K$2))),ROW($A69)),"")</f>
        <v>124</v>
      </c>
      <c r="BO112" s="567">
        <f t="array" aca="1" ref="BO112" ca="1">IFERROR(SMALL(IF(COUNTIF(Podcasts!$D$2063:'Podcasts'!$D$2071,ROW(INDIRECT("1:"&amp;K$2)))=0,ROW(INDIRECT("1:"&amp;K$2))),ROW($A69)),"")</f>
        <v>69</v>
      </c>
      <c r="BP112" s="202">
        <f t="array" aca="1" ref="BP112" ca="1">IFERROR(SMALL(IF(COUNTIF(Podcasts!$D$2077:'Podcasts'!$D$2092,ROW(INDIRECT("1:"&amp;K$2)))=0,ROW(INDIRECT("1:"&amp;K$2))),ROW($A69)),"")</f>
        <v>79</v>
      </c>
      <c r="BQ112" s="741">
        <f t="array" aca="1" ref="BQ112" ca="1">IFERROR(SMALL(IF(COUNTIF(Podcasts!$D$2098:'Podcasts'!$D$2114,ROW(INDIRECT("1:"&amp;K$2)))=0,ROW(INDIRECT("1:"&amp;K$2))),ROW($A69)),"")</f>
        <v>73</v>
      </c>
      <c r="BR112" s="744">
        <f t="array" aca="1" ref="BR112" ca="1">IFERROR(SMALL(IF(COUNTIF(Podcasts!$D$2120:'Podcasts'!$D$2124,ROW(INDIRECT("1:"&amp;K$2)))=0,ROW(INDIRECT("1:"&amp;K$2))),ROW($A69)),"")</f>
        <v>71</v>
      </c>
      <c r="BS112" s="28"/>
    </row>
    <row r="113" spans="1:71" outlineLevel="1">
      <c r="A113" s="28"/>
      <c r="B113" s="161">
        <v>70</v>
      </c>
      <c r="C113" s="161">
        <f>COUNTIF(Podcasts!$D$10:'Podcasts'!$D$2535,B113)</f>
        <v>4</v>
      </c>
      <c r="D113" s="158" t="s">
        <v>1098</v>
      </c>
      <c r="E113" s="156" t="str">
        <f t="array" ref="E113">IF(F113="","",INDEX(Podcasts!$J$10:'Podcasts'!$J$2535,MATCH(F113&amp;$B113,Podcasts!$E$10:'Podcasts'!$E$2535&amp;Podcasts!$D$10:'Podcasts'!$D$2535,0)))</f>
        <v>Fürst</v>
      </c>
      <c r="F113" s="131">
        <f t="array" ref="F113">IF(COUNTIF(Podcasts!$D$10:'Podcasts'!$D$2535,$B113)&lt;COLUMN(A76),"",SMALL(IF(Podcasts!$D$10:'Podcasts'!$D$2535=$B113,Podcasts!$E$10:'Podcasts'!$E$2535),COLUMN(A76)))</f>
        <v>41959</v>
      </c>
      <c r="G113" s="132">
        <f t="array" ref="G113">IF(F113="","",INDEX(Podcasts!$F$10:'Podcasts'!$F$2535,MATCH(F113&amp;$B113,Podcasts!$E$10:'Podcasts'!$E$2535&amp;Podcasts!$D$10:'Podcasts'!$D$2535,0)))</f>
        <v>6.6550925925925935E-3</v>
      </c>
      <c r="H113" s="136" t="str">
        <f t="array" ref="H113">IF(I113="","",INDEX(Podcasts!$J$10:'Podcasts'!$J$2535,MATCH(I113&amp;$B113,Podcasts!$E$10:'Podcasts'!$E$2535&amp;Podcasts!$D$10:'Podcasts'!$D$2535,0)))</f>
        <v>Zw3i</v>
      </c>
      <c r="I113" s="133">
        <f t="array" ref="I113">IF(COUNTIF(Podcasts!$D$10:'Podcasts'!$D$2535,$B113)&lt;COLUMN(B76),"",SMALL(IF(Podcasts!$D$10:'Podcasts'!$D$2535=$B113,Podcasts!$E$10:'Podcasts'!$E$2535),COLUMN(B76)))</f>
        <v>44848</v>
      </c>
      <c r="J113" s="132">
        <f t="array" ref="J113">IF(I113="","",INDEX(Podcasts!$F$10:'Podcasts'!$F$2535,MATCH(I113&amp;$B113,Podcasts!$E$10:'Podcasts'!$E$2535&amp;Podcasts!$D$10:'Podcasts'!$D$2535,0)))</f>
        <v>9.420138888888889E-2</v>
      </c>
      <c r="K113" s="136" t="str">
        <f t="array" ref="K113">IF(L113="","",INDEX(Podcasts!$J$10:'Podcasts'!$J$2535,MATCH(L113&amp;$B113,Podcasts!$E$10:'Podcasts'!$E$2535&amp;Podcasts!$D$10:'Podcasts'!$D$2535,0)))</f>
        <v>Zentrale</v>
      </c>
      <c r="L113" s="133">
        <f t="array" ref="L113">IF(COUNTIF(Podcasts!$D$10:'Podcasts'!$D$2535,$B113)&lt;COLUMN(C76),"",SMALL(IF(Podcasts!$D$10:'Podcasts'!$D$2535=$B113,Podcasts!$E$10:'Podcasts'!$E$2535),COLUMN(C76)))</f>
        <v>45037</v>
      </c>
      <c r="M113" s="132">
        <f t="array" ref="M113">IF(L113="","",INDEX(Podcasts!$F$10:'Podcasts'!$F$2535,MATCH(L113&amp;$B113,Podcasts!$E$10:'Podcasts'!$E$2535&amp;Podcasts!$D$10:'Podcasts'!$D$2535,0)))</f>
        <v>0.12070601851851852</v>
      </c>
      <c r="N113" s="136" t="str">
        <f t="array" ref="N113">IF(O113="","",INDEX(Podcasts!$J$10:'Podcasts'!$J$2535,MATCH(O113&amp;$B113,Podcasts!$E$10:'Podcasts'!$E$2535&amp;Podcasts!$D$10:'Podcasts'!$D$2535,0)))</f>
        <v>SSP</v>
      </c>
      <c r="O113" s="133">
        <f t="array" ref="O113">IF(COUNTIF(Podcasts!$D$10:'Podcasts'!$D$2535,$B113)&lt;COLUMN(D76),"",SMALL(IF(Podcasts!$D$10:'Podcasts'!$D$2535=$B113,Podcasts!$E$10:'Podcasts'!$E$2535),COLUMN(D76)))</f>
        <v>45173</v>
      </c>
      <c r="P113" s="132">
        <f t="array" ref="P113">IF(O113="","",INDEX(Podcasts!$F$10:'Podcasts'!$F$2535,MATCH(O113&amp;$B113,Podcasts!$E$10:'Podcasts'!$E$2535&amp;Podcasts!$D$10:'Podcasts'!$D$2535,0)))</f>
        <v>0.11847222222222221</v>
      </c>
      <c r="Q113" s="136" t="str">
        <f t="array" ref="Q113">IF(R113="","",INDEX(Podcasts!$J$10:'Podcasts'!$J$2535,MATCH(R113&amp;$B113,Podcasts!$E$10:'Podcasts'!$E$2535&amp;Podcasts!$D$10:'Podcasts'!$D$2535,0)))</f>
        <v/>
      </c>
      <c r="R113" s="133" t="str">
        <f t="array" ref="R113">IF(COUNTIF(Podcasts!$D$10:'Podcasts'!$D$2535,$B113)&lt;COLUMN(E76),"",SMALL(IF(Podcasts!$D$10:'Podcasts'!$D$2535=$B113,Podcasts!$E$10:'Podcasts'!$E$2535),COLUMN(E76)))</f>
        <v/>
      </c>
      <c r="S113" s="132" t="str">
        <f t="array" ref="S113">IF(R113="","",INDEX(Podcasts!$F$10:'Podcasts'!$F$2535,MATCH(R113&amp;$B113,Podcasts!$E$10:'Podcasts'!$E$2535&amp;Podcasts!$D$10:'Podcasts'!$D$2535,0)))</f>
        <v/>
      </c>
      <c r="T113" s="136" t="str">
        <f t="array" ref="T113">IF(U113="","",INDEX(Podcasts!$J$10:'Podcasts'!$J$2535,MATCH(U113&amp;$B113,Podcasts!$E$10:'Podcasts'!$E$2535&amp;Podcasts!$D$10:'Podcasts'!$D$2535,0)))</f>
        <v/>
      </c>
      <c r="U113" s="133" t="str">
        <f t="array" ref="U113">IF(COUNTIF(Podcasts!$D$10:'Podcasts'!$D$2535,$B113)&lt;COLUMN(F76),"",SMALL(IF(Podcasts!$D$10:'Podcasts'!$D$2535=$B113,Podcasts!$E$10:'Podcasts'!$E$2535),COLUMN(F76)))</f>
        <v/>
      </c>
      <c r="V113" s="132" t="str">
        <f t="array" ref="V113">IF(U113="","",INDEX(Podcasts!$F$10:'Podcasts'!$F$2535,MATCH(U113&amp;$B113,Podcasts!$E$10:'Podcasts'!$E$2535&amp;Podcasts!$D$10:'Podcasts'!$D$2535,0)))</f>
        <v/>
      </c>
      <c r="W113" s="136" t="str">
        <f t="array" ref="W113">IF(X113="","",INDEX(Podcasts!$J$10:'Podcasts'!$J$2535,MATCH(X113&amp;$B113,Podcasts!$E$10:'Podcasts'!$E$2535&amp;Podcasts!$D$10:'Podcasts'!$D$2535,0)))</f>
        <v/>
      </c>
      <c r="X113" s="133" t="str">
        <f t="array" ref="X113">IF(COUNTIF(Podcasts!$D$10:'Podcasts'!$D$2535,$B113)&lt;COLUMN(G76),"",SMALL(IF(Podcasts!$D$10:'Podcasts'!$D$2535=$B113,Podcasts!$E$10:'Podcasts'!$E$2535),COLUMN(G76)))</f>
        <v/>
      </c>
      <c r="Y113" s="132" t="str">
        <f t="array" ref="Y113">IF(X113="","",INDEX(Podcasts!$F$10:'Podcasts'!$F$2535,MATCH(X113&amp;$B113,Podcasts!$E$10:'Podcasts'!$E$2535&amp;Podcasts!$D$10:'Podcasts'!$D$2535,0)))</f>
        <v/>
      </c>
      <c r="Z113" s="136" t="str">
        <f t="array" ref="Z113">IF(AA113="","",INDEX(Podcasts!$J$10:'Podcasts'!$J$2535,MATCH(AA113&amp;$B113,Podcasts!$E$10:'Podcasts'!$E$2535&amp;Podcasts!$D$10:'Podcasts'!$D$2535,0)))</f>
        <v/>
      </c>
      <c r="AA113" s="134" t="str">
        <f t="array" ref="AA113">IF(COUNTIF(Podcasts!$D$10:'Podcasts'!$D$2535,$B113)&lt;COLUMN(H76),"",SMALL(IF(Podcasts!$D$10:'Podcasts'!$D$2535=$B113,Podcasts!$E$10:'Podcasts'!$E$2535),COLUMN(H76)))</f>
        <v/>
      </c>
      <c r="AB113" s="404" t="str">
        <f t="array" ref="AB113">IF(AA113="","",INDEX(Podcasts!$F$10:'Podcasts'!$F$2535,MATCH(AA113&amp;$B113,Podcasts!$E$10:'Podcasts'!$E$2535&amp;Podcasts!$D$10:'Podcasts'!$D$2535,0)))</f>
        <v/>
      </c>
      <c r="AC113" s="406" t="str">
        <f t="array" ref="AC113">IF(AD113="","",INDEX(Podcasts!$J$10:'Podcasts'!$J$2535,MATCH(AD113&amp;$B113,Podcasts!$E$10:'Podcasts'!$E$2535&amp;Podcasts!$D$10:'Podcasts'!$D$2535,0)))</f>
        <v/>
      </c>
      <c r="AD113" s="400" t="str">
        <f t="array" ref="AD113">IF(COUNTIF(Podcasts!$D$10:'Podcasts'!$D$2535,$B113)&lt;COLUMN(I76),"",SMALL(IF(Podcasts!$D$10:'Podcasts'!$D$2535=$B113,Podcasts!$E$10:'Podcasts'!$E$2535),COLUMN(I76)))</f>
        <v/>
      </c>
      <c r="AE113" s="401" t="str">
        <f t="array" ref="AE113">IF(AD113="","",INDEX(Podcasts!$F$10:'Podcasts'!$F$2535,MATCH(AD113&amp;$B113,Podcasts!$E$10:'Podcasts'!$E$2535&amp;Podcasts!$D$10:'Podcasts'!$D$2535,0)))</f>
        <v/>
      </c>
      <c r="AF113" s="406" t="str">
        <f t="array" ref="AF113">IF(AG113="","",INDEX(Podcasts!$J$10:'Podcasts'!$J$2535,MATCH(AG113&amp;$B113,Podcasts!$E$10:'Podcasts'!$E$2535&amp;Podcasts!$D$10:'Podcasts'!$D$2535,0)))</f>
        <v/>
      </c>
      <c r="AG113" s="400" t="str">
        <f t="array" ref="AG113">IF(COUNTIF(Podcasts!$D$10:'Podcasts'!$D$2535,$B113)&lt;COLUMN(J76),"",SMALL(IF(Podcasts!$D$10:'Podcasts'!$D$2535=$B113,Podcasts!$E$10:'Podcasts'!$E$2535),COLUMN(J76)))</f>
        <v/>
      </c>
      <c r="AH113" s="401" t="str">
        <f t="array" ref="AH113">IF(AG113="","",INDEX(Podcasts!$F$10:'Podcasts'!$F$2535,MATCH(AG113&amp;$B113,Podcasts!$E$10:'Podcasts'!$E$2535&amp;Podcasts!$D$10:'Podcasts'!$D$2535,0)))</f>
        <v/>
      </c>
      <c r="AI113" s="406" t="str">
        <f t="array" ref="AI113">IF(AJ113="","",INDEX(Podcasts!$J$10:'Podcasts'!$J$2535,MATCH(AJ113&amp;$B113,Podcasts!$E$10:'Podcasts'!$E$2535&amp;Podcasts!$D$10:'Podcasts'!$D$2535,0)))</f>
        <v/>
      </c>
      <c r="AJ113" s="400" t="str">
        <f t="array" ref="AJ113">IF(COUNTIF(Podcasts!$D$10:'Podcasts'!$D$2535,$B113)&lt;COLUMN(K76),"",SMALL(IF(Podcasts!$D$10:'Podcasts'!$D$2535=$B113,Podcasts!$E$10:'Podcasts'!$E$2535),COLUMN(K76)))</f>
        <v/>
      </c>
      <c r="AK113" s="401" t="str">
        <f t="array" ref="AK113">IF(AJ113="","",INDEX(Podcasts!$F$10:'Podcasts'!$F$2535,MATCH(AJ113&amp;$B113,Podcasts!$E$10:'Podcasts'!$E$2535&amp;Podcasts!$D$10:'Podcasts'!$D$2535,0)))</f>
        <v/>
      </c>
      <c r="AL113" s="406" t="str">
        <f t="array" ref="AL113">IF(AM113="","",INDEX(Podcasts!$J$10:'Podcasts'!$J$2535,MATCH(AM113&amp;$B113,Podcasts!$E$10:'Podcasts'!$E$2535&amp;Podcasts!$D$10:'Podcasts'!$D$2535,0)))</f>
        <v/>
      </c>
      <c r="AM113" s="400" t="str">
        <f t="array" ref="AM113">IF(COUNTIF(Podcasts!$D$10:'Podcasts'!$D$2535,$B113)&lt;COLUMN(L76),"",SMALL(IF(Podcasts!$D$10:'Podcasts'!$D$2535=$B113,Podcasts!$E$10:'Podcasts'!$E$2535),COLUMN(L76)))</f>
        <v/>
      </c>
      <c r="AN113" s="401" t="str">
        <f t="array" ref="AN113">IF(AM113="","",INDEX(Podcasts!$F$10:'Podcasts'!$F$2535,MATCH(AM113&amp;$B113,Podcasts!$E$10:'Podcasts'!$E$2535&amp;Podcasts!$D$10:'Podcasts'!$D$2535,0)))</f>
        <v/>
      </c>
      <c r="AO113" s="402"/>
      <c r="AP113" s="119"/>
      <c r="AQ113" s="117">
        <f t="array" aca="1" ref="AQ113" ca="1">IFERROR(SMALL(IF(COUNTIF(Podcasts!$D$10:'Podcasts'!$D$107,ROW(INDIRECT("1:"&amp;K$2)))=0,ROW(INDIRECT("1:"&amp;K$2))),ROW($A70)),"")</f>
        <v>97</v>
      </c>
      <c r="AR113" s="117">
        <f t="array" aca="1" ref="AR113" ca="1">IFERROR(SMALL(IF(COUNTIF(Podcasts!$D$113:'Podcasts'!$D$238,ROW(INDIRECT("1:"&amp;K$2)))=0,ROW(INDIRECT("1:"&amp;K$2))),ROW($A70)),"")</f>
        <v>70</v>
      </c>
      <c r="AS113" s="117">
        <f t="array" aca="1" ref="AS113" ca="1">IFERROR(SMALL(IF(COUNTIF(Podcasts!$D$244:'Podcasts'!$D$299,ROW(INDIRECT("1:"&amp;K$2)))=0,ROW(INDIRECT("1:"&amp;K$2))),ROW($A70)),"")</f>
        <v>87</v>
      </c>
      <c r="AT113" s="117">
        <f t="array" aca="1" ref="AT113" ca="1">IFERROR(SMALL(IF(COUNTIF(Podcasts!$D$305:'Podcasts'!$D$473,ROW(INDIRECT("1:"&amp;K$2)))=0,ROW(INDIRECT("1:"&amp;K$2))),ROW($A70)),"")</f>
        <v>205</v>
      </c>
      <c r="AU113" s="117">
        <f t="array" aca="1" ref="AU113" ca="1">IFERROR(SMALL(IF(COUNTIF(Podcasts!$D$479:'Podcasts'!$D$488,ROW(INDIRECT("1:"&amp;K$2)))=0,ROW(INDIRECT("1:"&amp;K$2))),ROW($A70)),"")</f>
        <v>70</v>
      </c>
      <c r="AV113" s="117">
        <f t="array" aca="1" ref="AV113" ca="1">IFERROR(SMALL(IF(COUNTIF(Podcasts!$D$494:'Podcasts'!$D$518,ROW(INDIRECT("1:"&amp;K$2)))=0,ROW(INDIRECT("1:"&amp;K$2))),ROW($A70)),"")</f>
        <v>88</v>
      </c>
      <c r="AW113" s="117">
        <f t="array" aca="1" ref="AW113" ca="1">IFERROR(SMALL(IF(COUNTIF(Podcasts!$D$524:'Podcasts'!$D$532,ROW(INDIRECT("1:"&amp;K$2)))=0,ROW(INDIRECT("1:"&amp;K$2))),ROW($A70)),"")</f>
        <v>70</v>
      </c>
      <c r="AX113" s="117">
        <f t="array" aca="1" ref="AX113" ca="1">IFERROR(SMALL(IF(COUNTIF(Podcasts!$D$538:'Podcasts'!$D$909,ROW(INDIRECT("1:"&amp;K$2)))=0,ROW(INDIRECT("1:"&amp;K$2))),ROW($A70)),"")</f>
        <v>191</v>
      </c>
      <c r="AY113" s="117">
        <f t="array" aca="1" ref="AY113" ca="1">IFERROR(SMALL(IF(COUNTIF(Podcasts!$D$915:'Podcasts'!$D$981,ROW(INDIRECT("1:"&amp;K$2)))=0,ROW(INDIRECT("1:"&amp;K$2))),ROW($A70)),"")</f>
        <v>113</v>
      </c>
      <c r="AZ113" s="445"/>
      <c r="BA113" s="117">
        <f t="array" aca="1" ref="BA113" ca="1">IFERROR(SMALL(IF(COUNTIF(Podcasts!$D$1001:'Podcasts'!$D$1251,ROW(INDIRECT("1:"&amp;K$2)))=0,ROW(INDIRECT("1:"&amp;K$2))),ROW($A70)),"")</f>
        <v>111</v>
      </c>
      <c r="BB113" s="117">
        <f t="array" aca="1" ref="BB113" ca="1">IFERROR(SMALL(IF(COUNTIF(Podcasts!$D$1257:'Podcasts'!$D$1267,ROW(INDIRECT("1:"&amp;K$2)))=0,ROW(INDIRECT("1:"&amp;K$2))),ROW($A70)),"")</f>
        <v>71</v>
      </c>
      <c r="BC113" s="117">
        <f t="array" aca="1" ref="BC113" ca="1">IFERROR(SMALL(IF(COUNTIF(Podcasts!$D$1273:'Podcasts'!$D$1283,ROW(INDIRECT("1:"&amp;K$2)))=0,ROW(INDIRECT("1:"&amp;K$2))),ROW($A70)),"")</f>
        <v>74</v>
      </c>
      <c r="BD113" s="117">
        <f t="array" aca="1" ref="BD113" ca="1">IFERROR(SMALL(IF(COUNTIF(Podcasts!$D$1289:'Podcasts'!$D$1295,ROW(INDIRECT("1:"&amp;K$2)))=0,ROW(INDIRECT("1:"&amp;K$2))),ROW($A70)),"")</f>
        <v>72</v>
      </c>
      <c r="BE113" s="117">
        <f t="array" aca="1" ref="BE113" ca="1">IFERROR(SMALL(IF(COUNTIF(Podcasts!$D$1301:'Podcasts'!$D$1356,ROW(INDIRECT("1:"&amp;K$2)))=0,ROW(INDIRECT("1:"&amp;K$2))),ROW($A70)),"")</f>
        <v>117</v>
      </c>
      <c r="BF113" s="117">
        <f t="array" aca="1" ref="BF113" ca="1">IFERROR(SMALL(IF(COUNTIF(Podcasts!$D$1362:'Podcasts'!$D$1364,ROW(INDIRECT("1:"&amp;K$2)))=0,ROW(INDIRECT("1:"&amp;K$2))),ROW($A70)),"")</f>
        <v>73</v>
      </c>
      <c r="BG113" s="202">
        <f t="array" aca="1" ref="BG113" ca="1">IFERROR(SMALL(IF(COUNTIF(Podcasts!$D$1370:'Podcasts'!$D$1419,ROW(INDIRECT("1:"&amp;K$2)))=0,ROW(INDIRECT("1:"&amp;K$2))),ROW($A70)),"")</f>
        <v>90</v>
      </c>
      <c r="BH113" s="202">
        <f t="array" aca="1" ref="BH113" ca="1">IFERROR(SMALL(IF(COUNTIF(Podcasts!$D$1425:'Podcasts'!$D$1446,ROW(INDIRECT("1:"&amp;K$2)))=0,ROW(INDIRECT("1:"&amp;K$2))),ROW($A70)),"")</f>
        <v>75</v>
      </c>
      <c r="BI113" s="202">
        <f t="array" aca="1" ref="BI113" ca="1">IFERROR(SMALL(IF(COUNTIF(Podcasts!$D$1452:'Podcasts'!$D$1574,ROW(INDIRECT("1:"&amp;K$2)))=0,ROW(INDIRECT("1:"&amp;K$2))),ROW($A70)),"")</f>
        <v>124</v>
      </c>
      <c r="BJ113" s="202">
        <f t="array" aca="1" ref="BJ113" ca="1">IFERROR(SMALL(IF(COUNTIF(Podcasts!$D$1580:'Podcasts'!$D$1705,ROW(INDIRECT("1:"&amp;K$2)))=0,ROW(INDIRECT("1:"&amp;K$2))),ROW($A70)),"")</f>
        <v>126</v>
      </c>
      <c r="BK113" s="202">
        <f t="array" aca="1" ref="BK113" ca="1">IFERROR(SMALL(IF(COUNTIF(Podcasts!$D$1711:'Podcasts'!$D$1833,ROW(INDIRECT("1:"&amp;K$2)))=0,ROW(INDIRECT("1:"&amp;K$2))),ROW($A70)),"")</f>
        <v>111</v>
      </c>
      <c r="BL113" s="202">
        <f t="array" aca="1" ref="BL113" ca="1">IFERROR(SMALL(IF(COUNTIF(Podcasts!$D$1839:'Podcasts'!$D$1855,ROW(INDIRECT("1:"&amp;K$2)))=0,ROW(INDIRECT("1:"&amp;K$2))),ROW($A70)),"")</f>
        <v>76</v>
      </c>
      <c r="BM113" s="567">
        <f t="array" aca="1" ref="BM113" ca="1">IFERROR(SMALL(IF(COUNTIF(Podcasts!$D$1861:'Podcasts'!$D$1994,ROW(INDIRECT("1:"&amp;K$2)))=0,ROW(INDIRECT("1:"&amp;K$2))),ROW($A70)),"")</f>
        <v>99</v>
      </c>
      <c r="BN113" s="567">
        <f t="array" aca="1" ref="BN113" ca="1">IFERROR(SMALL(IF(COUNTIF(Podcasts!$D$2000:'Podcasts'!$D$2057,ROW(INDIRECT("1:"&amp;K$2)))=0,ROW(INDIRECT("1:"&amp;K$2))),ROW($A70)),"")</f>
        <v>125</v>
      </c>
      <c r="BO113" s="567">
        <f t="array" aca="1" ref="BO113" ca="1">IFERROR(SMALL(IF(COUNTIF(Podcasts!$D$2063:'Podcasts'!$D$2071,ROW(INDIRECT("1:"&amp;K$2)))=0,ROW(INDIRECT("1:"&amp;K$2))),ROW($A70)),"")</f>
        <v>70</v>
      </c>
      <c r="BP113" s="202">
        <f t="array" aca="1" ref="BP113" ca="1">IFERROR(SMALL(IF(COUNTIF(Podcasts!$D$2077:'Podcasts'!$D$2092,ROW(INDIRECT("1:"&amp;K$2)))=0,ROW(INDIRECT("1:"&amp;K$2))),ROW($A70)),"")</f>
        <v>80</v>
      </c>
      <c r="BQ113" s="741">
        <f t="array" aca="1" ref="BQ113" ca="1">IFERROR(SMALL(IF(COUNTIF(Podcasts!$D$2098:'Podcasts'!$D$2114,ROW(INDIRECT("1:"&amp;K$2)))=0,ROW(INDIRECT("1:"&amp;K$2))),ROW($A70)),"")</f>
        <v>74</v>
      </c>
      <c r="BR113" s="744">
        <f t="array" aca="1" ref="BR113" ca="1">IFERROR(SMALL(IF(COUNTIF(Podcasts!$D$2120:'Podcasts'!$D$2124,ROW(INDIRECT("1:"&amp;K$2)))=0,ROW(INDIRECT("1:"&amp;K$2))),ROW($A70)),"")</f>
        <v>72</v>
      </c>
      <c r="BS113" s="28"/>
    </row>
    <row r="114" spans="1:71" outlineLevel="1">
      <c r="A114" s="28"/>
      <c r="B114" s="161">
        <v>71</v>
      </c>
      <c r="C114" s="161">
        <f>COUNTIF(Podcasts!$D$10:'Podcasts'!$D$2535,B114)</f>
        <v>2</v>
      </c>
      <c r="D114" s="158" t="s">
        <v>1099</v>
      </c>
      <c r="E114" s="156" t="str">
        <f t="array" ref="E114">IF(F114="","",INDEX(Podcasts!$J$10:'Podcasts'!$J$2535,MATCH(F114&amp;$B114,Podcasts!$E$10:'Podcasts'!$E$2535&amp;Podcasts!$D$10:'Podcasts'!$D$2535,0)))</f>
        <v>Fürst</v>
      </c>
      <c r="F114" s="131">
        <f t="array" ref="F114">IF(COUNTIF(Podcasts!$D$10:'Podcasts'!$D$2535,$B114)&lt;COLUMN(A77),"",SMALL(IF(Podcasts!$D$10:'Podcasts'!$D$2535=$B114,Podcasts!$E$10:'Podcasts'!$E$2535),COLUMN(A77)))</f>
        <v>41959</v>
      </c>
      <c r="G114" s="132">
        <f t="array" ref="G114">IF(F114="","",INDEX(Podcasts!$F$10:'Podcasts'!$F$2535,MATCH(F114&amp;$B114,Podcasts!$E$10:'Podcasts'!$E$2535&amp;Podcasts!$D$10:'Podcasts'!$D$2535,0)))</f>
        <v>6.4814814814814813E-3</v>
      </c>
      <c r="H114" s="136" t="str">
        <f t="array" ref="H114">IF(I114="","",INDEX(Podcasts!$J$10:'Podcasts'!$J$2535,MATCH(I114&amp;$B114,Podcasts!$E$10:'Podcasts'!$E$2535&amp;Podcasts!$D$10:'Podcasts'!$D$2535,0)))</f>
        <v>Kaffee</v>
      </c>
      <c r="I114" s="133">
        <f t="array" ref="I114">IF(COUNTIF(Podcasts!$D$10:'Podcasts'!$D$2535,$B114)&lt;COLUMN(B77),"",SMALL(IF(Podcasts!$D$10:'Podcasts'!$D$2535=$B114,Podcasts!$E$10:'Podcasts'!$E$2535),COLUMN(B77)))</f>
        <v>44484</v>
      </c>
      <c r="J114" s="132">
        <f t="array" ref="J114">IF(I114="","",INDEX(Podcasts!$F$10:'Podcasts'!$F$2535,MATCH(I114&amp;$B114,Podcasts!$E$10:'Podcasts'!$E$2535&amp;Podcasts!$D$10:'Podcasts'!$D$2535,0)))</f>
        <v>3.2685185185185185E-2</v>
      </c>
      <c r="K114" s="136" t="str">
        <f t="array" ref="K114">IF(L114="","",INDEX(Podcasts!$J$10:'Podcasts'!$J$2535,MATCH(L114&amp;$B114,Podcasts!$E$10:'Podcasts'!$E$2535&amp;Podcasts!$D$10:'Podcasts'!$D$2535,0)))</f>
        <v/>
      </c>
      <c r="L114" s="133" t="str">
        <f t="array" ref="L114">IF(COUNTIF(Podcasts!$D$10:'Podcasts'!$D$2535,$B114)&lt;COLUMN(C77),"",SMALL(IF(Podcasts!$D$10:'Podcasts'!$D$2535=$B114,Podcasts!$E$10:'Podcasts'!$E$2535),COLUMN(C77)))</f>
        <v/>
      </c>
      <c r="M114" s="132" t="str">
        <f t="array" ref="M114">IF(L114="","",INDEX(Podcasts!$F$10:'Podcasts'!$F$2535,MATCH(L114&amp;$B114,Podcasts!$E$10:'Podcasts'!$E$2535&amp;Podcasts!$D$10:'Podcasts'!$D$2535,0)))</f>
        <v/>
      </c>
      <c r="N114" s="136" t="str">
        <f t="array" ref="N114">IF(O114="","",INDEX(Podcasts!$J$10:'Podcasts'!$J$2535,MATCH(O114&amp;$B114,Podcasts!$E$10:'Podcasts'!$E$2535&amp;Podcasts!$D$10:'Podcasts'!$D$2535,0)))</f>
        <v/>
      </c>
      <c r="O114" s="133" t="str">
        <f t="array" ref="O114">IF(COUNTIF(Podcasts!$D$10:'Podcasts'!$D$2535,$B114)&lt;COLUMN(D77),"",SMALL(IF(Podcasts!$D$10:'Podcasts'!$D$2535=$B114,Podcasts!$E$10:'Podcasts'!$E$2535),COLUMN(D77)))</f>
        <v/>
      </c>
      <c r="P114" s="132" t="str">
        <f t="array" ref="P114">IF(O114="","",INDEX(Podcasts!$F$10:'Podcasts'!$F$2535,MATCH(O114&amp;$B114,Podcasts!$E$10:'Podcasts'!$E$2535&amp;Podcasts!$D$10:'Podcasts'!$D$2535,0)))</f>
        <v/>
      </c>
      <c r="Q114" s="136" t="str">
        <f t="array" ref="Q114">IF(R114="","",INDEX(Podcasts!$J$10:'Podcasts'!$J$2535,MATCH(R114&amp;$B114,Podcasts!$E$10:'Podcasts'!$E$2535&amp;Podcasts!$D$10:'Podcasts'!$D$2535,0)))</f>
        <v/>
      </c>
      <c r="R114" s="133" t="str">
        <f t="array" ref="R114">IF(COUNTIF(Podcasts!$D$10:'Podcasts'!$D$2535,$B114)&lt;COLUMN(E77),"",SMALL(IF(Podcasts!$D$10:'Podcasts'!$D$2535=$B114,Podcasts!$E$10:'Podcasts'!$E$2535),COLUMN(E77)))</f>
        <v/>
      </c>
      <c r="S114" s="132" t="str">
        <f t="array" ref="S114">IF(R114="","",INDEX(Podcasts!$F$10:'Podcasts'!$F$2535,MATCH(R114&amp;$B114,Podcasts!$E$10:'Podcasts'!$E$2535&amp;Podcasts!$D$10:'Podcasts'!$D$2535,0)))</f>
        <v/>
      </c>
      <c r="T114" s="136" t="str">
        <f t="array" ref="T114">IF(U114="","",INDEX(Podcasts!$J$10:'Podcasts'!$J$2535,MATCH(U114&amp;$B114,Podcasts!$E$10:'Podcasts'!$E$2535&amp;Podcasts!$D$10:'Podcasts'!$D$2535,0)))</f>
        <v/>
      </c>
      <c r="U114" s="133" t="str">
        <f t="array" ref="U114">IF(COUNTIF(Podcasts!$D$10:'Podcasts'!$D$2535,$B114)&lt;COLUMN(F77),"",SMALL(IF(Podcasts!$D$10:'Podcasts'!$D$2535=$B114,Podcasts!$E$10:'Podcasts'!$E$2535),COLUMN(F77)))</f>
        <v/>
      </c>
      <c r="V114" s="132" t="str">
        <f t="array" ref="V114">IF(U114="","",INDEX(Podcasts!$F$10:'Podcasts'!$F$2535,MATCH(U114&amp;$B114,Podcasts!$E$10:'Podcasts'!$E$2535&amp;Podcasts!$D$10:'Podcasts'!$D$2535,0)))</f>
        <v/>
      </c>
      <c r="W114" s="136" t="str">
        <f t="array" ref="W114">IF(X114="","",INDEX(Podcasts!$J$10:'Podcasts'!$J$2535,MATCH(X114&amp;$B114,Podcasts!$E$10:'Podcasts'!$E$2535&amp;Podcasts!$D$10:'Podcasts'!$D$2535,0)))</f>
        <v/>
      </c>
      <c r="X114" s="133" t="str">
        <f t="array" ref="X114">IF(COUNTIF(Podcasts!$D$10:'Podcasts'!$D$2535,$B114)&lt;COLUMN(G77),"",SMALL(IF(Podcasts!$D$10:'Podcasts'!$D$2535=$B114,Podcasts!$E$10:'Podcasts'!$E$2535),COLUMN(G77)))</f>
        <v/>
      </c>
      <c r="Y114" s="132" t="str">
        <f t="array" ref="Y114">IF(X114="","",INDEX(Podcasts!$F$10:'Podcasts'!$F$2535,MATCH(X114&amp;$B114,Podcasts!$E$10:'Podcasts'!$E$2535&amp;Podcasts!$D$10:'Podcasts'!$D$2535,0)))</f>
        <v/>
      </c>
      <c r="Z114" s="136" t="str">
        <f t="array" ref="Z114">IF(AA114="","",INDEX(Podcasts!$J$10:'Podcasts'!$J$2535,MATCH(AA114&amp;$B114,Podcasts!$E$10:'Podcasts'!$E$2535&amp;Podcasts!$D$10:'Podcasts'!$D$2535,0)))</f>
        <v/>
      </c>
      <c r="AA114" s="134" t="str">
        <f t="array" ref="AA114">IF(COUNTIF(Podcasts!$D$10:'Podcasts'!$D$2535,$B114)&lt;COLUMN(H77),"",SMALL(IF(Podcasts!$D$10:'Podcasts'!$D$2535=$B114,Podcasts!$E$10:'Podcasts'!$E$2535),COLUMN(H77)))</f>
        <v/>
      </c>
      <c r="AB114" s="404" t="str">
        <f t="array" ref="AB114">IF(AA114="","",INDEX(Podcasts!$F$10:'Podcasts'!$F$2535,MATCH(AA114&amp;$B114,Podcasts!$E$10:'Podcasts'!$E$2535&amp;Podcasts!$D$10:'Podcasts'!$D$2535,0)))</f>
        <v/>
      </c>
      <c r="AC114" s="406" t="str">
        <f t="array" ref="AC114">IF(AD114="","",INDEX(Podcasts!$J$10:'Podcasts'!$J$2535,MATCH(AD114&amp;$B114,Podcasts!$E$10:'Podcasts'!$E$2535&amp;Podcasts!$D$10:'Podcasts'!$D$2535,0)))</f>
        <v/>
      </c>
      <c r="AD114" s="400" t="str">
        <f t="array" ref="AD114">IF(COUNTIF(Podcasts!$D$10:'Podcasts'!$D$2535,$B114)&lt;COLUMN(I77),"",SMALL(IF(Podcasts!$D$10:'Podcasts'!$D$2535=$B114,Podcasts!$E$10:'Podcasts'!$E$2535),COLUMN(I77)))</f>
        <v/>
      </c>
      <c r="AE114" s="401" t="str">
        <f t="array" ref="AE114">IF(AD114="","",INDEX(Podcasts!$F$10:'Podcasts'!$F$2535,MATCH(AD114&amp;$B114,Podcasts!$E$10:'Podcasts'!$E$2535&amp;Podcasts!$D$10:'Podcasts'!$D$2535,0)))</f>
        <v/>
      </c>
      <c r="AF114" s="406" t="str">
        <f t="array" ref="AF114">IF(AG114="","",INDEX(Podcasts!$J$10:'Podcasts'!$J$2535,MATCH(AG114&amp;$B114,Podcasts!$E$10:'Podcasts'!$E$2535&amp;Podcasts!$D$10:'Podcasts'!$D$2535,0)))</f>
        <v/>
      </c>
      <c r="AG114" s="400" t="str">
        <f t="array" ref="AG114">IF(COUNTIF(Podcasts!$D$10:'Podcasts'!$D$2535,$B114)&lt;COLUMN(J77),"",SMALL(IF(Podcasts!$D$10:'Podcasts'!$D$2535=$B114,Podcasts!$E$10:'Podcasts'!$E$2535),COLUMN(J77)))</f>
        <v/>
      </c>
      <c r="AH114" s="401" t="str">
        <f t="array" ref="AH114">IF(AG114="","",INDEX(Podcasts!$F$10:'Podcasts'!$F$2535,MATCH(AG114&amp;$B114,Podcasts!$E$10:'Podcasts'!$E$2535&amp;Podcasts!$D$10:'Podcasts'!$D$2535,0)))</f>
        <v/>
      </c>
      <c r="AI114" s="406" t="str">
        <f t="array" ref="AI114">IF(AJ114="","",INDEX(Podcasts!$J$10:'Podcasts'!$J$2535,MATCH(AJ114&amp;$B114,Podcasts!$E$10:'Podcasts'!$E$2535&amp;Podcasts!$D$10:'Podcasts'!$D$2535,0)))</f>
        <v/>
      </c>
      <c r="AJ114" s="400" t="str">
        <f t="array" ref="AJ114">IF(COUNTIF(Podcasts!$D$10:'Podcasts'!$D$2535,$B114)&lt;COLUMN(K77),"",SMALL(IF(Podcasts!$D$10:'Podcasts'!$D$2535=$B114,Podcasts!$E$10:'Podcasts'!$E$2535),COLUMN(K77)))</f>
        <v/>
      </c>
      <c r="AK114" s="401" t="str">
        <f t="array" ref="AK114">IF(AJ114="","",INDEX(Podcasts!$F$10:'Podcasts'!$F$2535,MATCH(AJ114&amp;$B114,Podcasts!$E$10:'Podcasts'!$E$2535&amp;Podcasts!$D$10:'Podcasts'!$D$2535,0)))</f>
        <v/>
      </c>
      <c r="AL114" s="406" t="str">
        <f t="array" ref="AL114">IF(AM114="","",INDEX(Podcasts!$J$10:'Podcasts'!$J$2535,MATCH(AM114&amp;$B114,Podcasts!$E$10:'Podcasts'!$E$2535&amp;Podcasts!$D$10:'Podcasts'!$D$2535,0)))</f>
        <v/>
      </c>
      <c r="AM114" s="400" t="str">
        <f t="array" ref="AM114">IF(COUNTIF(Podcasts!$D$10:'Podcasts'!$D$2535,$B114)&lt;COLUMN(L77),"",SMALL(IF(Podcasts!$D$10:'Podcasts'!$D$2535=$B114,Podcasts!$E$10:'Podcasts'!$E$2535),COLUMN(L77)))</f>
        <v/>
      </c>
      <c r="AN114" s="401" t="str">
        <f t="array" ref="AN114">IF(AM114="","",INDEX(Podcasts!$F$10:'Podcasts'!$F$2535,MATCH(AM114&amp;$B114,Podcasts!$E$10:'Podcasts'!$E$2535&amp;Podcasts!$D$10:'Podcasts'!$D$2535,0)))</f>
        <v/>
      </c>
      <c r="AO114" s="402"/>
      <c r="AP114" s="119"/>
      <c r="AQ114" s="117">
        <f t="array" aca="1" ref="AQ114" ca="1">IFERROR(SMALL(IF(COUNTIF(Podcasts!$D$10:'Podcasts'!$D$107,ROW(INDIRECT("1:"&amp;K$2)))=0,ROW(INDIRECT("1:"&amp;K$2))),ROW($A71)),"")</f>
        <v>98</v>
      </c>
      <c r="AR114" s="117">
        <f t="array" aca="1" ref="AR114" ca="1">IFERROR(SMALL(IF(COUNTIF(Podcasts!$D$113:'Podcasts'!$D$238,ROW(INDIRECT("1:"&amp;K$2)))=0,ROW(INDIRECT("1:"&amp;K$2))),ROW($A71)),"")</f>
        <v>71</v>
      </c>
      <c r="AS114" s="117">
        <f t="array" aca="1" ref="AS114" ca="1">IFERROR(SMALL(IF(COUNTIF(Podcasts!$D$244:'Podcasts'!$D$299,ROW(INDIRECT("1:"&amp;K$2)))=0,ROW(INDIRECT("1:"&amp;K$2))),ROW($A71)),"")</f>
        <v>88</v>
      </c>
      <c r="AT114" s="117">
        <f t="array" aca="1" ref="AT114" ca="1">IFERROR(SMALL(IF(COUNTIF(Podcasts!$D$305:'Podcasts'!$D$473,ROW(INDIRECT("1:"&amp;K$2)))=0,ROW(INDIRECT("1:"&amp;K$2))),ROW($A71)),"")</f>
        <v>206</v>
      </c>
      <c r="AU114" s="117">
        <f t="array" aca="1" ref="AU114" ca="1">IFERROR(SMALL(IF(COUNTIF(Podcasts!$D$479:'Podcasts'!$D$488,ROW(INDIRECT("1:"&amp;K$2)))=0,ROW(INDIRECT("1:"&amp;K$2))),ROW($A71)),"")</f>
        <v>71</v>
      </c>
      <c r="AV114" s="117">
        <f t="array" aca="1" ref="AV114" ca="1">IFERROR(SMALL(IF(COUNTIF(Podcasts!$D$494:'Podcasts'!$D$518,ROW(INDIRECT("1:"&amp;K$2)))=0,ROW(INDIRECT("1:"&amp;K$2))),ROW($A71)),"")</f>
        <v>89</v>
      </c>
      <c r="AW114" s="117">
        <f t="array" aca="1" ref="AW114" ca="1">IFERROR(SMALL(IF(COUNTIF(Podcasts!$D$524:'Podcasts'!$D$532,ROW(INDIRECT("1:"&amp;K$2)))=0,ROW(INDIRECT("1:"&amp;K$2))),ROW($A71)),"")</f>
        <v>71</v>
      </c>
      <c r="AX114" s="117">
        <f t="array" aca="1" ref="AX114" ca="1">IFERROR(SMALL(IF(COUNTIF(Podcasts!$D$538:'Podcasts'!$D$909,ROW(INDIRECT("1:"&amp;K$2)))=0,ROW(INDIRECT("1:"&amp;K$2))),ROW($A71)),"")</f>
        <v>193</v>
      </c>
      <c r="AY114" s="117">
        <f t="array" aca="1" ref="AY114" ca="1">IFERROR(SMALL(IF(COUNTIF(Podcasts!$D$915:'Podcasts'!$D$981,ROW(INDIRECT("1:"&amp;K$2)))=0,ROW(INDIRECT("1:"&amp;K$2))),ROW($A71)),"")</f>
        <v>115</v>
      </c>
      <c r="AZ114" s="445"/>
      <c r="BA114" s="117">
        <f t="array" aca="1" ref="BA114" ca="1">IFERROR(SMALL(IF(COUNTIF(Podcasts!$D$1001:'Podcasts'!$D$1251,ROW(INDIRECT("1:"&amp;K$2)))=0,ROW(INDIRECT("1:"&amp;K$2))),ROW($A71)),"")</f>
        <v>112</v>
      </c>
      <c r="BB114" s="117">
        <f t="array" aca="1" ref="BB114" ca="1">IFERROR(SMALL(IF(COUNTIF(Podcasts!$D$1257:'Podcasts'!$D$1267,ROW(INDIRECT("1:"&amp;K$2)))=0,ROW(INDIRECT("1:"&amp;K$2))),ROW($A71)),"")</f>
        <v>73</v>
      </c>
      <c r="BC114" s="117">
        <f t="array" aca="1" ref="BC114" ca="1">IFERROR(SMALL(IF(COUNTIF(Podcasts!$D$1273:'Podcasts'!$D$1283,ROW(INDIRECT("1:"&amp;K$2)))=0,ROW(INDIRECT("1:"&amp;K$2))),ROW($A71)),"")</f>
        <v>75</v>
      </c>
      <c r="BD114" s="117">
        <f t="array" aca="1" ref="BD114" ca="1">IFERROR(SMALL(IF(COUNTIF(Podcasts!$D$1289:'Podcasts'!$D$1295,ROW(INDIRECT("1:"&amp;K$2)))=0,ROW(INDIRECT("1:"&amp;K$2))),ROW($A71)),"")</f>
        <v>73</v>
      </c>
      <c r="BE114" s="117">
        <f t="array" aca="1" ref="BE114" ca="1">IFERROR(SMALL(IF(COUNTIF(Podcasts!$D$1301:'Podcasts'!$D$1356,ROW(INDIRECT("1:"&amp;K$2)))=0,ROW(INDIRECT("1:"&amp;K$2))),ROW($A71)),"")</f>
        <v>118</v>
      </c>
      <c r="BF114" s="117">
        <f t="array" aca="1" ref="BF114" ca="1">IFERROR(SMALL(IF(COUNTIF(Podcasts!$D$1362:'Podcasts'!$D$1364,ROW(INDIRECT("1:"&amp;K$2)))=0,ROW(INDIRECT("1:"&amp;K$2))),ROW($A71)),"")</f>
        <v>74</v>
      </c>
      <c r="BG114" s="202">
        <f t="array" aca="1" ref="BG114" ca="1">IFERROR(SMALL(IF(COUNTIF(Podcasts!$D$1370:'Podcasts'!$D$1419,ROW(INDIRECT("1:"&amp;K$2)))=0,ROW(INDIRECT("1:"&amp;K$2))),ROW($A71)),"")</f>
        <v>91</v>
      </c>
      <c r="BH114" s="202">
        <f t="array" aca="1" ref="BH114" ca="1">IFERROR(SMALL(IF(COUNTIF(Podcasts!$D$1425:'Podcasts'!$D$1446,ROW(INDIRECT("1:"&amp;K$2)))=0,ROW(INDIRECT("1:"&amp;K$2))),ROW($A71)),"")</f>
        <v>77</v>
      </c>
      <c r="BI114" s="202">
        <f t="array" aca="1" ref="BI114" ca="1">IFERROR(SMALL(IF(COUNTIF(Podcasts!$D$1452:'Podcasts'!$D$1574,ROW(INDIRECT("1:"&amp;K$2)))=0,ROW(INDIRECT("1:"&amp;K$2))),ROW($A71)),"")</f>
        <v>129</v>
      </c>
      <c r="BJ114" s="202">
        <f t="array" aca="1" ref="BJ114" ca="1">IFERROR(SMALL(IF(COUNTIF(Podcasts!$D$1580:'Podcasts'!$D$1705,ROW(INDIRECT("1:"&amp;K$2)))=0,ROW(INDIRECT("1:"&amp;K$2))),ROW($A71)),"")</f>
        <v>128</v>
      </c>
      <c r="BK114" s="202">
        <f t="array" aca="1" ref="BK114" ca="1">IFERROR(SMALL(IF(COUNTIF(Podcasts!$D$1711:'Podcasts'!$D$1833,ROW(INDIRECT("1:"&amp;K$2)))=0,ROW(INDIRECT("1:"&amp;K$2))),ROW($A71)),"")</f>
        <v>112</v>
      </c>
      <c r="BL114" s="202">
        <f t="array" aca="1" ref="BL114" ca="1">IFERROR(SMALL(IF(COUNTIF(Podcasts!$D$1839:'Podcasts'!$D$1855,ROW(INDIRECT("1:"&amp;K$2)))=0,ROW(INDIRECT("1:"&amp;K$2))),ROW($A71)),"")</f>
        <v>77</v>
      </c>
      <c r="BM114" s="567">
        <f t="array" aca="1" ref="BM114" ca="1">IFERROR(SMALL(IF(COUNTIF(Podcasts!$D$1861:'Podcasts'!$D$1994,ROW(INDIRECT("1:"&amp;K$2)))=0,ROW(INDIRECT("1:"&amp;K$2))),ROW($A71)),"")</f>
        <v>102</v>
      </c>
      <c r="BN114" s="567">
        <f t="array" aca="1" ref="BN114" ca="1">IFERROR(SMALL(IF(COUNTIF(Podcasts!$D$2000:'Podcasts'!$D$2057,ROW(INDIRECT("1:"&amp;K$2)))=0,ROW(INDIRECT("1:"&amp;K$2))),ROW($A71)),"")</f>
        <v>126</v>
      </c>
      <c r="BO114" s="567">
        <f t="array" aca="1" ref="BO114" ca="1">IFERROR(SMALL(IF(COUNTIF(Podcasts!$D$2063:'Podcasts'!$D$2071,ROW(INDIRECT("1:"&amp;K$2)))=0,ROW(INDIRECT("1:"&amp;K$2))),ROW($A71)),"")</f>
        <v>71</v>
      </c>
      <c r="BP114" s="202">
        <f t="array" aca="1" ref="BP114" ca="1">IFERROR(SMALL(IF(COUNTIF(Podcasts!$D$2077:'Podcasts'!$D$2092,ROW(INDIRECT("1:"&amp;K$2)))=0,ROW(INDIRECT("1:"&amp;K$2))),ROW($A71)),"")</f>
        <v>81</v>
      </c>
      <c r="BQ114" s="741">
        <f t="array" aca="1" ref="BQ114" ca="1">IFERROR(SMALL(IF(COUNTIF(Podcasts!$D$2098:'Podcasts'!$D$2114,ROW(INDIRECT("1:"&amp;K$2)))=0,ROW(INDIRECT("1:"&amp;K$2))),ROW($A71)),"")</f>
        <v>75</v>
      </c>
      <c r="BR114" s="744">
        <f t="array" aca="1" ref="BR114" ca="1">IFERROR(SMALL(IF(COUNTIF(Podcasts!$D$2120:'Podcasts'!$D$2124,ROW(INDIRECT("1:"&amp;K$2)))=0,ROW(INDIRECT("1:"&amp;K$2))),ROW($A71)),"")</f>
        <v>73</v>
      </c>
      <c r="BS114" s="28"/>
    </row>
    <row r="115" spans="1:71" outlineLevel="1">
      <c r="A115" s="28"/>
      <c r="B115" s="161">
        <v>72</v>
      </c>
      <c r="C115" s="161">
        <f>COUNTIF(Podcasts!$D$10:'Podcasts'!$D$2535,B115)</f>
        <v>5</v>
      </c>
      <c r="D115" s="158" t="s">
        <v>1100</v>
      </c>
      <c r="E115" s="156" t="str">
        <f t="array" ref="E115">IF(F115="","",INDEX(Podcasts!$J$10:'Podcasts'!$J$2535,MATCH(F115&amp;$B115,Podcasts!$E$10:'Podcasts'!$E$2535&amp;Podcasts!$D$10:'Podcasts'!$D$2535,0)))</f>
        <v>Fürst</v>
      </c>
      <c r="F115" s="131">
        <f t="array" ref="F115">IF(COUNTIF(Podcasts!$D$10:'Podcasts'!$D$2535,$B115)&lt;COLUMN(A78),"",SMALL(IF(Podcasts!$D$10:'Podcasts'!$D$2535=$B115,Podcasts!$E$10:'Podcasts'!$E$2535),COLUMN(A78)))</f>
        <v>41839</v>
      </c>
      <c r="G115" s="132">
        <f t="array" ref="G115">IF(F115="","",INDEX(Podcasts!$F$10:'Podcasts'!$F$2535,MATCH(F115&amp;$B115,Podcasts!$E$10:'Podcasts'!$E$2535&amp;Podcasts!$D$10:'Podcasts'!$D$2535,0)))</f>
        <v>5.5555555555555601E-3</v>
      </c>
      <c r="H115" s="136" t="str">
        <f t="array" ref="H115">IF(I115="","",INDEX(Podcasts!$J$10:'Podcasts'!$J$2535,MATCH(I115&amp;$B115,Podcasts!$E$10:'Podcasts'!$E$2535&amp;Podcasts!$D$10:'Podcasts'!$D$2535,0)))</f>
        <v>Gebraucht</v>
      </c>
      <c r="I115" s="133">
        <f t="array" ref="I115">IF(COUNTIF(Podcasts!$D$10:'Podcasts'!$D$2535,$B115)&lt;COLUMN(B78),"",SMALL(IF(Podcasts!$D$10:'Podcasts'!$D$2535=$B115,Podcasts!$E$10:'Podcasts'!$E$2535),COLUMN(B78)))</f>
        <v>43572</v>
      </c>
      <c r="J115" s="132">
        <f t="array" ref="J115">IF(I115="","",INDEX(Podcasts!$F$10:'Podcasts'!$F$2535,MATCH(I115&amp;$B115,Podcasts!$E$10:'Podcasts'!$E$2535&amp;Podcasts!$D$10:'Podcasts'!$D$2535,0)))</f>
        <v>4.4722222222222219E-2</v>
      </c>
      <c r="K115" s="136" t="str">
        <f t="array" ref="K115">IF(L115="","",INDEX(Podcasts!$J$10:'Podcasts'!$J$2535,MATCH(L115&amp;$B115,Podcasts!$E$10:'Podcasts'!$E$2535&amp;Podcasts!$D$10:'Podcasts'!$D$2535,0)))</f>
        <v>R&amp;A</v>
      </c>
      <c r="L115" s="133">
        <f t="array" ref="L115">IF(COUNTIF(Podcasts!$D$10:'Podcasts'!$D$2535,$B115)&lt;COLUMN(C78),"",SMALL(IF(Podcasts!$D$10:'Podcasts'!$D$2535=$B115,Podcasts!$E$10:'Podcasts'!$E$2535),COLUMN(C78)))</f>
        <v>43799.770960648151</v>
      </c>
      <c r="M115" s="132">
        <f t="array" ref="M115">IF(L115="","",INDEX(Podcasts!$F$10:'Podcasts'!$F$2535,MATCH(L115&amp;$B115,Podcasts!$E$10:'Podcasts'!$E$2535&amp;Podcasts!$D$10:'Podcasts'!$D$2535,0)))</f>
        <v>7.5578703703703703E-2</v>
      </c>
      <c r="N115" s="136" t="str">
        <f t="array" ref="N115">IF(O115="","",INDEX(Podcasts!$J$10:'Podcasts'!$J$2535,MATCH(O115&amp;$B115,Podcasts!$E$10:'Podcasts'!$E$2535&amp;Podcasts!$D$10:'Podcasts'!$D$2535,0)))</f>
        <v>SSP</v>
      </c>
      <c r="O115" s="133">
        <f t="array" ref="O115">IF(COUNTIF(Podcasts!$D$10:'Podcasts'!$D$2535,$B115)&lt;COLUMN(D78),"",SMALL(IF(Podcasts!$D$10:'Podcasts'!$D$2535=$B115,Podcasts!$E$10:'Podcasts'!$E$2535),COLUMN(D78)))</f>
        <v>44874</v>
      </c>
      <c r="P115" s="132">
        <f t="array" ref="P115">IF(O115="","",INDEX(Podcasts!$F$10:'Podcasts'!$F$2535,MATCH(O115&amp;$B115,Podcasts!$E$10:'Podcasts'!$E$2535&amp;Podcasts!$D$10:'Podcasts'!$D$2535,0)))</f>
        <v>8.9872685185185194E-2</v>
      </c>
      <c r="Q115" s="136" t="str">
        <f t="array" ref="Q115">IF(R115="","",INDEX(Podcasts!$J$10:'Podcasts'!$J$2535,MATCH(R115&amp;$B115,Podcasts!$E$10:'Podcasts'!$E$2535&amp;Podcasts!$D$10:'Podcasts'!$D$2535,0)))</f>
        <v>Kuchen</v>
      </c>
      <c r="R115" s="133">
        <f t="array" ref="R115">IF(COUNTIF(Podcasts!$D$10:'Podcasts'!$D$2535,$B115)&lt;COLUMN(E78),"",SMALL(IF(Podcasts!$D$10:'Podcasts'!$D$2535=$B115,Podcasts!$E$10:'Podcasts'!$E$2535),COLUMN(E78)))</f>
        <v>44934</v>
      </c>
      <c r="S115" s="132">
        <f t="array" ref="S115">IF(R115="","",INDEX(Podcasts!$F$10:'Podcasts'!$F$2535,MATCH(R115&amp;$B115,Podcasts!$E$10:'Podcasts'!$E$2535&amp;Podcasts!$D$10:'Podcasts'!$D$2535,0)))</f>
        <v>6.621527777777779E-2</v>
      </c>
      <c r="T115" s="136" t="str">
        <f t="array" ref="T115">IF(U115="","",INDEX(Podcasts!$J$10:'Podcasts'!$J$2535,MATCH(U115&amp;$B115,Podcasts!$E$10:'Podcasts'!$E$2535&amp;Podcasts!$D$10:'Podcasts'!$D$2535,0)))</f>
        <v/>
      </c>
      <c r="U115" s="133" t="str">
        <f t="array" ref="U115">IF(COUNTIF(Podcasts!$D$10:'Podcasts'!$D$2535,$B115)&lt;COLUMN(F78),"",SMALL(IF(Podcasts!$D$10:'Podcasts'!$D$2535=$B115,Podcasts!$E$10:'Podcasts'!$E$2535),COLUMN(F78)))</f>
        <v/>
      </c>
      <c r="V115" s="132" t="str">
        <f t="array" ref="V115">IF(U115="","",INDEX(Podcasts!$F$10:'Podcasts'!$F$2535,MATCH(U115&amp;$B115,Podcasts!$E$10:'Podcasts'!$E$2535&amp;Podcasts!$D$10:'Podcasts'!$D$2535,0)))</f>
        <v/>
      </c>
      <c r="W115" s="136" t="str">
        <f t="array" ref="W115">IF(X115="","",INDEX(Podcasts!$J$10:'Podcasts'!$J$2535,MATCH(X115&amp;$B115,Podcasts!$E$10:'Podcasts'!$E$2535&amp;Podcasts!$D$10:'Podcasts'!$D$2535,0)))</f>
        <v/>
      </c>
      <c r="X115" s="133" t="str">
        <f t="array" ref="X115">IF(COUNTIF(Podcasts!$D$10:'Podcasts'!$D$2535,$B115)&lt;COLUMN(G78),"",SMALL(IF(Podcasts!$D$10:'Podcasts'!$D$2535=$B115,Podcasts!$E$10:'Podcasts'!$E$2535),COLUMN(G78)))</f>
        <v/>
      </c>
      <c r="Y115" s="132" t="str">
        <f t="array" ref="Y115">IF(X115="","",INDEX(Podcasts!$F$10:'Podcasts'!$F$2535,MATCH(X115&amp;$B115,Podcasts!$E$10:'Podcasts'!$E$2535&amp;Podcasts!$D$10:'Podcasts'!$D$2535,0)))</f>
        <v/>
      </c>
      <c r="Z115" s="136" t="str">
        <f t="array" ref="Z115">IF(AA115="","",INDEX(Podcasts!$J$10:'Podcasts'!$J$2535,MATCH(AA115&amp;$B115,Podcasts!$E$10:'Podcasts'!$E$2535&amp;Podcasts!$D$10:'Podcasts'!$D$2535,0)))</f>
        <v/>
      </c>
      <c r="AA115" s="134" t="str">
        <f t="array" ref="AA115">IF(COUNTIF(Podcasts!$D$10:'Podcasts'!$D$2535,$B115)&lt;COLUMN(H78),"",SMALL(IF(Podcasts!$D$10:'Podcasts'!$D$2535=$B115,Podcasts!$E$10:'Podcasts'!$E$2535),COLUMN(H78)))</f>
        <v/>
      </c>
      <c r="AB115" s="404" t="str">
        <f t="array" ref="AB115">IF(AA115="","",INDEX(Podcasts!$F$10:'Podcasts'!$F$2535,MATCH(AA115&amp;$B115,Podcasts!$E$10:'Podcasts'!$E$2535&amp;Podcasts!$D$10:'Podcasts'!$D$2535,0)))</f>
        <v/>
      </c>
      <c r="AC115" s="406" t="str">
        <f t="array" ref="AC115">IF(AD115="","",INDEX(Podcasts!$J$10:'Podcasts'!$J$2535,MATCH(AD115&amp;$B115,Podcasts!$E$10:'Podcasts'!$E$2535&amp;Podcasts!$D$10:'Podcasts'!$D$2535,0)))</f>
        <v/>
      </c>
      <c r="AD115" s="400" t="str">
        <f t="array" ref="AD115">IF(COUNTIF(Podcasts!$D$10:'Podcasts'!$D$2535,$B115)&lt;COLUMN(I78),"",SMALL(IF(Podcasts!$D$10:'Podcasts'!$D$2535=$B115,Podcasts!$E$10:'Podcasts'!$E$2535),COLUMN(I78)))</f>
        <v/>
      </c>
      <c r="AE115" s="401" t="str">
        <f t="array" ref="AE115">IF(AD115="","",INDEX(Podcasts!$F$10:'Podcasts'!$F$2535,MATCH(AD115&amp;$B115,Podcasts!$E$10:'Podcasts'!$E$2535&amp;Podcasts!$D$10:'Podcasts'!$D$2535,0)))</f>
        <v/>
      </c>
      <c r="AF115" s="406" t="str">
        <f t="array" ref="AF115">IF(AG115="","",INDEX(Podcasts!$J$10:'Podcasts'!$J$2535,MATCH(AG115&amp;$B115,Podcasts!$E$10:'Podcasts'!$E$2535&amp;Podcasts!$D$10:'Podcasts'!$D$2535,0)))</f>
        <v/>
      </c>
      <c r="AG115" s="400" t="str">
        <f t="array" ref="AG115">IF(COUNTIF(Podcasts!$D$10:'Podcasts'!$D$2535,$B115)&lt;COLUMN(J78),"",SMALL(IF(Podcasts!$D$10:'Podcasts'!$D$2535=$B115,Podcasts!$E$10:'Podcasts'!$E$2535),COLUMN(J78)))</f>
        <v/>
      </c>
      <c r="AH115" s="401" t="str">
        <f t="array" ref="AH115">IF(AG115="","",INDEX(Podcasts!$F$10:'Podcasts'!$F$2535,MATCH(AG115&amp;$B115,Podcasts!$E$10:'Podcasts'!$E$2535&amp;Podcasts!$D$10:'Podcasts'!$D$2535,0)))</f>
        <v/>
      </c>
      <c r="AI115" s="406" t="str">
        <f t="array" ref="AI115">IF(AJ115="","",INDEX(Podcasts!$J$10:'Podcasts'!$J$2535,MATCH(AJ115&amp;$B115,Podcasts!$E$10:'Podcasts'!$E$2535&amp;Podcasts!$D$10:'Podcasts'!$D$2535,0)))</f>
        <v/>
      </c>
      <c r="AJ115" s="400" t="str">
        <f t="array" ref="AJ115">IF(COUNTIF(Podcasts!$D$10:'Podcasts'!$D$2535,$B115)&lt;COLUMN(K78),"",SMALL(IF(Podcasts!$D$10:'Podcasts'!$D$2535=$B115,Podcasts!$E$10:'Podcasts'!$E$2535),COLUMN(K78)))</f>
        <v/>
      </c>
      <c r="AK115" s="401" t="str">
        <f t="array" ref="AK115">IF(AJ115="","",INDEX(Podcasts!$F$10:'Podcasts'!$F$2535,MATCH(AJ115&amp;$B115,Podcasts!$E$10:'Podcasts'!$E$2535&amp;Podcasts!$D$10:'Podcasts'!$D$2535,0)))</f>
        <v/>
      </c>
      <c r="AL115" s="406" t="str">
        <f t="array" ref="AL115">IF(AM115="","",INDEX(Podcasts!$J$10:'Podcasts'!$J$2535,MATCH(AM115&amp;$B115,Podcasts!$E$10:'Podcasts'!$E$2535&amp;Podcasts!$D$10:'Podcasts'!$D$2535,0)))</f>
        <v/>
      </c>
      <c r="AM115" s="400" t="str">
        <f t="array" ref="AM115">IF(COUNTIF(Podcasts!$D$10:'Podcasts'!$D$2535,$B115)&lt;COLUMN(L78),"",SMALL(IF(Podcasts!$D$10:'Podcasts'!$D$2535=$B115,Podcasts!$E$10:'Podcasts'!$E$2535),COLUMN(L78)))</f>
        <v/>
      </c>
      <c r="AN115" s="401" t="str">
        <f t="array" ref="AN115">IF(AM115="","",INDEX(Podcasts!$F$10:'Podcasts'!$F$2535,MATCH(AM115&amp;$B115,Podcasts!$E$10:'Podcasts'!$E$2535&amp;Podcasts!$D$10:'Podcasts'!$D$2535,0)))</f>
        <v/>
      </c>
      <c r="AO115" s="402"/>
      <c r="AP115" s="119"/>
      <c r="AQ115" s="117">
        <f t="array" aca="1" ref="AQ115" ca="1">IFERROR(SMALL(IF(COUNTIF(Podcasts!$D$10:'Podcasts'!$D$107,ROW(INDIRECT("1:"&amp;K$2)))=0,ROW(INDIRECT("1:"&amp;K$2))),ROW($A72)),"")</f>
        <v>100</v>
      </c>
      <c r="AR115" s="117">
        <f t="array" aca="1" ref="AR115" ca="1">IFERROR(SMALL(IF(COUNTIF(Podcasts!$D$113:'Podcasts'!$D$238,ROW(INDIRECT("1:"&amp;K$2)))=0,ROW(INDIRECT("1:"&amp;K$2))),ROW($A72)),"")</f>
        <v>72</v>
      </c>
      <c r="AS115" s="117">
        <f t="array" aca="1" ref="AS115" ca="1">IFERROR(SMALL(IF(COUNTIF(Podcasts!$D$244:'Podcasts'!$D$299,ROW(INDIRECT("1:"&amp;K$2)))=0,ROW(INDIRECT("1:"&amp;K$2))),ROW($A72)),"")</f>
        <v>89</v>
      </c>
      <c r="AT115" s="117">
        <f t="array" aca="1" ref="AT115" ca="1">IFERROR(SMALL(IF(COUNTIF(Podcasts!$D$305:'Podcasts'!$D$473,ROW(INDIRECT("1:"&amp;K$2)))=0,ROW(INDIRECT("1:"&amp;K$2))),ROW($A72)),"")</f>
        <v>207</v>
      </c>
      <c r="AU115" s="117">
        <f t="array" aca="1" ref="AU115" ca="1">IFERROR(SMALL(IF(COUNTIF(Podcasts!$D$479:'Podcasts'!$D$488,ROW(INDIRECT("1:"&amp;K$2)))=0,ROW(INDIRECT("1:"&amp;K$2))),ROW($A72)),"")</f>
        <v>72</v>
      </c>
      <c r="AV115" s="117">
        <f t="array" aca="1" ref="AV115" ca="1">IFERROR(SMALL(IF(COUNTIF(Podcasts!$D$494:'Podcasts'!$D$518,ROW(INDIRECT("1:"&amp;K$2)))=0,ROW(INDIRECT("1:"&amp;K$2))),ROW($A72)),"")</f>
        <v>90</v>
      </c>
      <c r="AW115" s="117">
        <f t="array" aca="1" ref="AW115" ca="1">IFERROR(SMALL(IF(COUNTIF(Podcasts!$D$524:'Podcasts'!$D$532,ROW(INDIRECT("1:"&amp;K$2)))=0,ROW(INDIRECT("1:"&amp;K$2))),ROW($A72)),"")</f>
        <v>72</v>
      </c>
      <c r="AX115" s="117">
        <f t="array" aca="1" ref="AX115" ca="1">IFERROR(SMALL(IF(COUNTIF(Podcasts!$D$538:'Podcasts'!$D$909,ROW(INDIRECT("1:"&amp;K$2)))=0,ROW(INDIRECT("1:"&amp;K$2))),ROW($A72)),"")</f>
        <v>194</v>
      </c>
      <c r="AY115" s="117">
        <f t="array" aca="1" ref="AY115" ca="1">IFERROR(SMALL(IF(COUNTIF(Podcasts!$D$915:'Podcasts'!$D$981,ROW(INDIRECT("1:"&amp;K$2)))=0,ROW(INDIRECT("1:"&amp;K$2))),ROW($A72)),"")</f>
        <v>116</v>
      </c>
      <c r="AZ115" s="445"/>
      <c r="BA115" s="117">
        <f t="array" aca="1" ref="BA115" ca="1">IFERROR(SMALL(IF(COUNTIF(Podcasts!$D$1001:'Podcasts'!$D$1251,ROW(INDIRECT("1:"&amp;K$2)))=0,ROW(INDIRECT("1:"&amp;K$2))),ROW($A72)),"")</f>
        <v>113</v>
      </c>
      <c r="BB115" s="117">
        <f t="array" aca="1" ref="BB115" ca="1">IFERROR(SMALL(IF(COUNTIF(Podcasts!$D$1257:'Podcasts'!$D$1267,ROW(INDIRECT("1:"&amp;K$2)))=0,ROW(INDIRECT("1:"&amp;K$2))),ROW($A72)),"")</f>
        <v>74</v>
      </c>
      <c r="BC115" s="117">
        <f t="array" aca="1" ref="BC115" ca="1">IFERROR(SMALL(IF(COUNTIF(Podcasts!$D$1273:'Podcasts'!$D$1283,ROW(INDIRECT("1:"&amp;K$2)))=0,ROW(INDIRECT("1:"&amp;K$2))),ROW($A72)),"")</f>
        <v>76</v>
      </c>
      <c r="BD115" s="117">
        <f t="array" aca="1" ref="BD115" ca="1">IFERROR(SMALL(IF(COUNTIF(Podcasts!$D$1289:'Podcasts'!$D$1295,ROW(INDIRECT("1:"&amp;K$2)))=0,ROW(INDIRECT("1:"&amp;K$2))),ROW($A72)),"")</f>
        <v>74</v>
      </c>
      <c r="BE115" s="117">
        <f t="array" aca="1" ref="BE115" ca="1">IFERROR(SMALL(IF(COUNTIF(Podcasts!$D$1301:'Podcasts'!$D$1356,ROW(INDIRECT("1:"&amp;K$2)))=0,ROW(INDIRECT("1:"&amp;K$2))),ROW($A72)),"")</f>
        <v>119</v>
      </c>
      <c r="BF115" s="117">
        <f t="array" aca="1" ref="BF115" ca="1">IFERROR(SMALL(IF(COUNTIF(Podcasts!$D$1362:'Podcasts'!$D$1364,ROW(INDIRECT("1:"&amp;K$2)))=0,ROW(INDIRECT("1:"&amp;K$2))),ROW($A72)),"")</f>
        <v>75</v>
      </c>
      <c r="BG115" s="202">
        <f t="array" aca="1" ref="BG115" ca="1">IFERROR(SMALL(IF(COUNTIF(Podcasts!$D$1370:'Podcasts'!$D$1419,ROW(INDIRECT("1:"&amp;K$2)))=0,ROW(INDIRECT("1:"&amp;K$2))),ROW($A72)),"")</f>
        <v>92</v>
      </c>
      <c r="BH115" s="202">
        <f t="array" aca="1" ref="BH115" ca="1">IFERROR(SMALL(IF(COUNTIF(Podcasts!$D$1425:'Podcasts'!$D$1446,ROW(INDIRECT("1:"&amp;K$2)))=0,ROW(INDIRECT("1:"&amp;K$2))),ROW($A72)),"")</f>
        <v>78</v>
      </c>
      <c r="BI115" s="202">
        <f t="array" aca="1" ref="BI115" ca="1">IFERROR(SMALL(IF(COUNTIF(Podcasts!$D$1452:'Podcasts'!$D$1574,ROW(INDIRECT("1:"&amp;K$2)))=0,ROW(INDIRECT("1:"&amp;K$2))),ROW($A72)),"")</f>
        <v>130</v>
      </c>
      <c r="BJ115" s="202">
        <f t="array" aca="1" ref="BJ115" ca="1">IFERROR(SMALL(IF(COUNTIF(Podcasts!$D$1580:'Podcasts'!$D$1705,ROW(INDIRECT("1:"&amp;K$2)))=0,ROW(INDIRECT("1:"&amp;K$2))),ROW($A72)),"")</f>
        <v>129</v>
      </c>
      <c r="BK115" s="202">
        <f t="array" aca="1" ref="BK115" ca="1">IFERROR(SMALL(IF(COUNTIF(Podcasts!$D$1711:'Podcasts'!$D$1833,ROW(INDIRECT("1:"&amp;K$2)))=0,ROW(INDIRECT("1:"&amp;K$2))),ROW($A72)),"")</f>
        <v>113</v>
      </c>
      <c r="BL115" s="202">
        <f t="array" aca="1" ref="BL115" ca="1">IFERROR(SMALL(IF(COUNTIF(Podcasts!$D$1839:'Podcasts'!$D$1855,ROW(INDIRECT("1:"&amp;K$2)))=0,ROW(INDIRECT("1:"&amp;K$2))),ROW($A72)),"")</f>
        <v>78</v>
      </c>
      <c r="BM115" s="567">
        <f t="array" aca="1" ref="BM115" ca="1">IFERROR(SMALL(IF(COUNTIF(Podcasts!$D$1861:'Podcasts'!$D$1994,ROW(INDIRECT("1:"&amp;K$2)))=0,ROW(INDIRECT("1:"&amp;K$2))),ROW($A72)),"")</f>
        <v>103</v>
      </c>
      <c r="BN115" s="567">
        <f t="array" aca="1" ref="BN115" ca="1">IFERROR(SMALL(IF(COUNTIF(Podcasts!$D$2000:'Podcasts'!$D$2057,ROW(INDIRECT("1:"&amp;K$2)))=0,ROW(INDIRECT("1:"&amp;K$2))),ROW($A72)),"")</f>
        <v>127</v>
      </c>
      <c r="BO115" s="567">
        <f t="array" aca="1" ref="BO115" ca="1">IFERROR(SMALL(IF(COUNTIF(Podcasts!$D$2063:'Podcasts'!$D$2071,ROW(INDIRECT("1:"&amp;K$2)))=0,ROW(INDIRECT("1:"&amp;K$2))),ROW($A72)),"")</f>
        <v>72</v>
      </c>
      <c r="BP115" s="202">
        <f t="array" aca="1" ref="BP115" ca="1">IFERROR(SMALL(IF(COUNTIF(Podcasts!$D$2077:'Podcasts'!$D$2092,ROW(INDIRECT("1:"&amp;K$2)))=0,ROW(INDIRECT("1:"&amp;K$2))),ROW($A72)),"")</f>
        <v>82</v>
      </c>
      <c r="BQ115" s="741">
        <f t="array" aca="1" ref="BQ115" ca="1">IFERROR(SMALL(IF(COUNTIF(Podcasts!$D$2098:'Podcasts'!$D$2114,ROW(INDIRECT("1:"&amp;K$2)))=0,ROW(INDIRECT("1:"&amp;K$2))),ROW($A72)),"")</f>
        <v>76</v>
      </c>
      <c r="BR115" s="744">
        <f t="array" aca="1" ref="BR115" ca="1">IFERROR(SMALL(IF(COUNTIF(Podcasts!$D$2120:'Podcasts'!$D$2124,ROW(INDIRECT("1:"&amp;K$2)))=0,ROW(INDIRECT("1:"&amp;K$2))),ROW($A72)),"")</f>
        <v>74</v>
      </c>
      <c r="BS115" s="28"/>
    </row>
    <row r="116" spans="1:71" outlineLevel="1">
      <c r="A116" s="28"/>
      <c r="B116" s="161">
        <v>73</v>
      </c>
      <c r="C116" s="161">
        <f>COUNTIF(Podcasts!$D$10:'Podcasts'!$D$2535,B116)</f>
        <v>7</v>
      </c>
      <c r="D116" s="158" t="s">
        <v>1101</v>
      </c>
      <c r="E116" s="156" t="str">
        <f t="array" ref="E116">IF(F116="","",INDEX(Podcasts!$J$10:'Podcasts'!$J$2535,MATCH(F116&amp;$B116,Podcasts!$E$10:'Podcasts'!$E$2535&amp;Podcasts!$D$10:'Podcasts'!$D$2535,0)))</f>
        <v>Fürst</v>
      </c>
      <c r="F116" s="131">
        <f t="array" ref="F116">IF(COUNTIF(Podcasts!$D$10:'Podcasts'!$D$2535,$B116)&lt;COLUMN(A79),"",SMALL(IF(Podcasts!$D$10:'Podcasts'!$D$2535=$B116,Podcasts!$E$10:'Podcasts'!$E$2535),COLUMN(A79)))</f>
        <v>42022</v>
      </c>
      <c r="G116" s="132">
        <f t="array" ref="G116">IF(F116="","",INDEX(Podcasts!$F$10:'Podcasts'!$F$2535,MATCH(F116&amp;$B116,Podcasts!$E$10:'Podcasts'!$E$2535&amp;Podcasts!$D$10:'Podcasts'!$D$2535,0)))</f>
        <v>9.432870370370371E-3</v>
      </c>
      <c r="H116" s="136" t="str">
        <f t="array" ref="H116">IF(I116="","",INDEX(Podcasts!$J$10:'Podcasts'!$J$2535,MATCH(I116&amp;$B116,Podcasts!$E$10:'Podcasts'!$E$2535&amp;Podcasts!$D$10:'Podcasts'!$D$2535,0)))</f>
        <v>Zentrale</v>
      </c>
      <c r="I116" s="133">
        <f t="array" ref="I116">IF(COUNTIF(Podcasts!$D$10:'Podcasts'!$D$2535,$B116)&lt;COLUMN(B79),"",SMALL(IF(Podcasts!$D$10:'Podcasts'!$D$2535=$B116,Podcasts!$E$10:'Podcasts'!$E$2535),COLUMN(B79)))</f>
        <v>43507.965868055559</v>
      </c>
      <c r="J116" s="132">
        <f t="array" ref="J116">IF(I116="","",INDEX(Podcasts!$F$10:'Podcasts'!$F$2535,MATCH(I116&amp;$B116,Podcasts!$E$10:'Podcasts'!$E$2535&amp;Podcasts!$D$10:'Podcasts'!$D$2535,0)))</f>
        <v>7.784722222222222E-2</v>
      </c>
      <c r="K116" s="136" t="str">
        <f t="array" ref="K116">IF(L116="","",INDEX(Podcasts!$J$10:'Podcasts'!$J$2535,MATCH(L116&amp;$B116,Podcasts!$E$10:'Podcasts'!$E$2535&amp;Podcasts!$D$10:'Podcasts'!$D$2535,0)))</f>
        <v>SSP</v>
      </c>
      <c r="L116" s="133">
        <f t="array" ref="L116">IF(COUNTIF(Podcasts!$D$10:'Podcasts'!$D$2535,$B116)&lt;COLUMN(C79),"",SMALL(IF(Podcasts!$D$10:'Podcasts'!$D$2535=$B116,Podcasts!$E$10:'Podcasts'!$E$2535),COLUMN(C79)))</f>
        <v>44144</v>
      </c>
      <c r="M116" s="132">
        <f t="array" ref="M116">IF(L116="","",INDEX(Podcasts!$F$10:'Podcasts'!$F$2535,MATCH(L116&amp;$B116,Podcasts!$E$10:'Podcasts'!$E$2535&amp;Podcasts!$D$10:'Podcasts'!$D$2535,0)))</f>
        <v>7.8194444444444441E-2</v>
      </c>
      <c r="N116" s="136" t="str">
        <f t="array" ref="N116">IF(O116="","",INDEX(Podcasts!$J$10:'Podcasts'!$J$2535,MATCH(O116&amp;$B116,Podcasts!$E$10:'Podcasts'!$E$2535&amp;Podcasts!$D$10:'Podcasts'!$D$2535,0)))</f>
        <v>R&amp;A</v>
      </c>
      <c r="O116" s="133">
        <f t="array" ref="O116">IF(COUNTIF(Podcasts!$D$10:'Podcasts'!$D$2535,$B116)&lt;COLUMN(D79),"",SMALL(IF(Podcasts!$D$10:'Podcasts'!$D$2535=$B116,Podcasts!$E$10:'Podcasts'!$E$2535),COLUMN(D79)))</f>
        <v>44377.333333333336</v>
      </c>
      <c r="P116" s="132">
        <f t="array" ref="P116">IF(O116="","",INDEX(Podcasts!$F$10:'Podcasts'!$F$2535,MATCH(O116&amp;$B116,Podcasts!$E$10:'Podcasts'!$E$2535&amp;Podcasts!$D$10:'Podcasts'!$D$2535,0)))</f>
        <v>9.6261574074074083E-2</v>
      </c>
      <c r="Q116" s="136" t="str">
        <f t="array" ref="Q116">IF(R116="","",INDEX(Podcasts!$J$10:'Podcasts'!$J$2535,MATCH(R116&amp;$B116,Podcasts!$E$10:'Podcasts'!$E$2535&amp;Podcasts!$D$10:'Podcasts'!$D$2535,0)))</f>
        <v>Kaffee</v>
      </c>
      <c r="R116" s="133">
        <f t="array" ref="R116">IF(COUNTIF(Podcasts!$D$10:'Podcasts'!$D$2535,$B116)&lt;COLUMN(E79),"",SMALL(IF(Podcasts!$D$10:'Podcasts'!$D$2535=$B116,Podcasts!$E$10:'Podcasts'!$E$2535),COLUMN(E79)))</f>
        <v>44435</v>
      </c>
      <c r="S116" s="132">
        <f t="array" ref="S116">IF(R116="","",INDEX(Podcasts!$F$10:'Podcasts'!$F$2535,MATCH(R116&amp;$B116,Podcasts!$E$10:'Podcasts'!$E$2535&amp;Podcasts!$D$10:'Podcasts'!$D$2535,0)))</f>
        <v>1.8680555555555554E-2</v>
      </c>
      <c r="T116" s="136" t="str">
        <f t="array" ref="T116">IF(U116="","",INDEX(Podcasts!$J$10:'Podcasts'!$J$2535,MATCH(U116&amp;$B116,Podcasts!$E$10:'Podcasts'!$E$2535&amp;Podcasts!$D$10:'Podcasts'!$D$2535,0)))</f>
        <v>Zw3i</v>
      </c>
      <c r="U116" s="133">
        <f t="array" ref="U116">IF(COUNTIF(Podcasts!$D$10:'Podcasts'!$D$2535,$B116)&lt;COLUMN(F79),"",SMALL(IF(Podcasts!$D$10:'Podcasts'!$D$2535=$B116,Podcasts!$E$10:'Podcasts'!$E$2535),COLUMN(F79)))</f>
        <v>44519</v>
      </c>
      <c r="V116" s="132">
        <f t="array" ref="V116">IF(U116="","",INDEX(Podcasts!$F$10:'Podcasts'!$F$2535,MATCH(U116&amp;$B116,Podcasts!$E$10:'Podcasts'!$E$2535&amp;Podcasts!$D$10:'Podcasts'!$D$2535,0)))</f>
        <v>6.2488425925925926E-2</v>
      </c>
      <c r="W116" s="136" t="str">
        <f t="array" ref="W116">IF(X116="","",INDEX(Podcasts!$J$10:'Podcasts'!$J$2535,MATCH(X116&amp;$B116,Podcasts!$E$10:'Podcasts'!$E$2535&amp;Podcasts!$D$10:'Podcasts'!$D$2535,0)))</f>
        <v>Zeichen</v>
      </c>
      <c r="X116" s="133">
        <f t="array" ref="X116">IF(COUNTIF(Podcasts!$D$10:'Podcasts'!$D$2535,$B116)&lt;COLUMN(G79),"",SMALL(IF(Podcasts!$D$10:'Podcasts'!$D$2535=$B116,Podcasts!$E$10:'Podcasts'!$E$2535),COLUMN(G79)))</f>
        <v>44672</v>
      </c>
      <c r="Y116" s="132">
        <f t="array" ref="Y116">IF(X116="","",INDEX(Podcasts!$F$10:'Podcasts'!$F$2535,MATCH(X116&amp;$B116,Podcasts!$E$10:'Podcasts'!$E$2535&amp;Podcasts!$D$10:'Podcasts'!$D$2535,0)))</f>
        <v>7.6655092592592594E-2</v>
      </c>
      <c r="Z116" s="136" t="str">
        <f t="array" ref="Z116">IF(AA116="","",INDEX(Podcasts!$J$10:'Podcasts'!$J$2535,MATCH(AA116&amp;$B116,Podcasts!$E$10:'Podcasts'!$E$2535&amp;Podcasts!$D$10:'Podcasts'!$D$2535,0)))</f>
        <v/>
      </c>
      <c r="AA116" s="134" t="str">
        <f t="array" ref="AA116">IF(COUNTIF(Podcasts!$D$10:'Podcasts'!$D$2535,$B116)&lt;COLUMN(H79),"",SMALL(IF(Podcasts!$D$10:'Podcasts'!$D$2535=$B116,Podcasts!$E$10:'Podcasts'!$E$2535),COLUMN(H79)))</f>
        <v/>
      </c>
      <c r="AB116" s="404" t="str">
        <f t="array" ref="AB116">IF(AA116="","",INDEX(Podcasts!$F$10:'Podcasts'!$F$2535,MATCH(AA116&amp;$B116,Podcasts!$E$10:'Podcasts'!$E$2535&amp;Podcasts!$D$10:'Podcasts'!$D$2535,0)))</f>
        <v/>
      </c>
      <c r="AC116" s="406" t="str">
        <f t="array" ref="AC116">IF(AD116="","",INDEX(Podcasts!$J$10:'Podcasts'!$J$2535,MATCH(AD116&amp;$B116,Podcasts!$E$10:'Podcasts'!$E$2535&amp;Podcasts!$D$10:'Podcasts'!$D$2535,0)))</f>
        <v/>
      </c>
      <c r="AD116" s="400" t="str">
        <f t="array" ref="AD116">IF(COUNTIF(Podcasts!$D$10:'Podcasts'!$D$2535,$B116)&lt;COLUMN(I79),"",SMALL(IF(Podcasts!$D$10:'Podcasts'!$D$2535=$B116,Podcasts!$E$10:'Podcasts'!$E$2535),COLUMN(I79)))</f>
        <v/>
      </c>
      <c r="AE116" s="401" t="str">
        <f t="array" ref="AE116">IF(AD116="","",INDEX(Podcasts!$F$10:'Podcasts'!$F$2535,MATCH(AD116&amp;$B116,Podcasts!$E$10:'Podcasts'!$E$2535&amp;Podcasts!$D$10:'Podcasts'!$D$2535,0)))</f>
        <v/>
      </c>
      <c r="AF116" s="406" t="str">
        <f t="array" ref="AF116">IF(AG116="","",INDEX(Podcasts!$J$10:'Podcasts'!$J$2535,MATCH(AG116&amp;$B116,Podcasts!$E$10:'Podcasts'!$E$2535&amp;Podcasts!$D$10:'Podcasts'!$D$2535,0)))</f>
        <v/>
      </c>
      <c r="AG116" s="400" t="str">
        <f t="array" ref="AG116">IF(COUNTIF(Podcasts!$D$10:'Podcasts'!$D$2535,$B116)&lt;COLUMN(J79),"",SMALL(IF(Podcasts!$D$10:'Podcasts'!$D$2535=$B116,Podcasts!$E$10:'Podcasts'!$E$2535),COLUMN(J79)))</f>
        <v/>
      </c>
      <c r="AH116" s="401" t="str">
        <f t="array" ref="AH116">IF(AG116="","",INDEX(Podcasts!$F$10:'Podcasts'!$F$2535,MATCH(AG116&amp;$B116,Podcasts!$E$10:'Podcasts'!$E$2535&amp;Podcasts!$D$10:'Podcasts'!$D$2535,0)))</f>
        <v/>
      </c>
      <c r="AI116" s="406" t="str">
        <f t="array" ref="AI116">IF(AJ116="","",INDEX(Podcasts!$J$10:'Podcasts'!$J$2535,MATCH(AJ116&amp;$B116,Podcasts!$E$10:'Podcasts'!$E$2535&amp;Podcasts!$D$10:'Podcasts'!$D$2535,0)))</f>
        <v/>
      </c>
      <c r="AJ116" s="400" t="str">
        <f t="array" ref="AJ116">IF(COUNTIF(Podcasts!$D$10:'Podcasts'!$D$2535,$B116)&lt;COLUMN(K79),"",SMALL(IF(Podcasts!$D$10:'Podcasts'!$D$2535=$B116,Podcasts!$E$10:'Podcasts'!$E$2535),COLUMN(K79)))</f>
        <v/>
      </c>
      <c r="AK116" s="401" t="str">
        <f t="array" ref="AK116">IF(AJ116="","",INDEX(Podcasts!$F$10:'Podcasts'!$F$2535,MATCH(AJ116&amp;$B116,Podcasts!$E$10:'Podcasts'!$E$2535&amp;Podcasts!$D$10:'Podcasts'!$D$2535,0)))</f>
        <v/>
      </c>
      <c r="AL116" s="406" t="str">
        <f t="array" ref="AL116">IF(AM116="","",INDEX(Podcasts!$J$10:'Podcasts'!$J$2535,MATCH(AM116&amp;$B116,Podcasts!$E$10:'Podcasts'!$E$2535&amp;Podcasts!$D$10:'Podcasts'!$D$2535,0)))</f>
        <v/>
      </c>
      <c r="AM116" s="400" t="str">
        <f t="array" ref="AM116">IF(COUNTIF(Podcasts!$D$10:'Podcasts'!$D$2535,$B116)&lt;COLUMN(L79),"",SMALL(IF(Podcasts!$D$10:'Podcasts'!$D$2535=$B116,Podcasts!$E$10:'Podcasts'!$E$2535),COLUMN(L79)))</f>
        <v/>
      </c>
      <c r="AN116" s="401" t="str">
        <f t="array" ref="AN116">IF(AM116="","",INDEX(Podcasts!$F$10:'Podcasts'!$F$2535,MATCH(AM116&amp;$B116,Podcasts!$E$10:'Podcasts'!$E$2535&amp;Podcasts!$D$10:'Podcasts'!$D$2535,0)))</f>
        <v/>
      </c>
      <c r="AO116" s="402"/>
      <c r="AP116" s="119"/>
      <c r="AQ116" s="117">
        <f t="array" aca="1" ref="AQ116" ca="1">IFERROR(SMALL(IF(COUNTIF(Podcasts!$D$10:'Podcasts'!$D$107,ROW(INDIRECT("1:"&amp;K$2)))=0,ROW(INDIRECT("1:"&amp;K$2))),ROW($A73)),"")</f>
        <v>102</v>
      </c>
      <c r="AR116" s="117">
        <f t="array" aca="1" ref="AR116" ca="1">IFERROR(SMALL(IF(COUNTIF(Podcasts!$D$113:'Podcasts'!$D$238,ROW(INDIRECT("1:"&amp;K$2)))=0,ROW(INDIRECT("1:"&amp;K$2))),ROW($A73)),"")</f>
        <v>73</v>
      </c>
      <c r="AS116" s="117">
        <f t="array" aca="1" ref="AS116" ca="1">IFERROR(SMALL(IF(COUNTIF(Podcasts!$D$244:'Podcasts'!$D$299,ROW(INDIRECT("1:"&amp;K$2)))=0,ROW(INDIRECT("1:"&amp;K$2))),ROW($A73)),"")</f>
        <v>91</v>
      </c>
      <c r="AT116" s="117">
        <f t="array" aca="1" ref="AT116" ca="1">IFERROR(SMALL(IF(COUNTIF(Podcasts!$D$305:'Podcasts'!$D$473,ROW(INDIRECT("1:"&amp;K$2)))=0,ROW(INDIRECT("1:"&amp;K$2))),ROW($A73)),"")</f>
        <v>208</v>
      </c>
      <c r="AU116" s="117">
        <f t="array" aca="1" ref="AU116" ca="1">IFERROR(SMALL(IF(COUNTIF(Podcasts!$D$479:'Podcasts'!$D$488,ROW(INDIRECT("1:"&amp;K$2)))=0,ROW(INDIRECT("1:"&amp;K$2))),ROW($A73)),"")</f>
        <v>73</v>
      </c>
      <c r="AV116" s="117">
        <f t="array" aca="1" ref="AV116" ca="1">IFERROR(SMALL(IF(COUNTIF(Podcasts!$D$494:'Podcasts'!$D$518,ROW(INDIRECT("1:"&amp;K$2)))=0,ROW(INDIRECT("1:"&amp;K$2))),ROW($A73)),"")</f>
        <v>91</v>
      </c>
      <c r="AW116" s="117">
        <f t="array" aca="1" ref="AW116" ca="1">IFERROR(SMALL(IF(COUNTIF(Podcasts!$D$524:'Podcasts'!$D$532,ROW(INDIRECT("1:"&amp;K$2)))=0,ROW(INDIRECT("1:"&amp;K$2))),ROW($A73)),"")</f>
        <v>73</v>
      </c>
      <c r="AX116" s="117">
        <f t="array" aca="1" ref="AX116" ca="1">IFERROR(SMALL(IF(COUNTIF(Podcasts!$D$538:'Podcasts'!$D$909,ROW(INDIRECT("1:"&amp;K$2)))=0,ROW(INDIRECT("1:"&amp;K$2))),ROW($A73)),"")</f>
        <v>195</v>
      </c>
      <c r="AY116" s="117">
        <f t="array" aca="1" ref="AY116" ca="1">IFERROR(SMALL(IF(COUNTIF(Podcasts!$D$915:'Podcasts'!$D$981,ROW(INDIRECT("1:"&amp;K$2)))=0,ROW(INDIRECT("1:"&amp;K$2))),ROW($A73)),"")</f>
        <v>117</v>
      </c>
      <c r="AZ116" s="445"/>
      <c r="BA116" s="117">
        <f t="array" aca="1" ref="BA116" ca="1">IFERROR(SMALL(IF(COUNTIF(Podcasts!$D$1001:'Podcasts'!$D$1251,ROW(INDIRECT("1:"&amp;K$2)))=0,ROW(INDIRECT("1:"&amp;K$2))),ROW($A73)),"")</f>
        <v>114</v>
      </c>
      <c r="BB116" s="117">
        <f t="array" aca="1" ref="BB116" ca="1">IFERROR(SMALL(IF(COUNTIF(Podcasts!$D$1257:'Podcasts'!$D$1267,ROW(INDIRECT("1:"&amp;K$2)))=0,ROW(INDIRECT("1:"&amp;K$2))),ROW($A73)),"")</f>
        <v>75</v>
      </c>
      <c r="BC116" s="117">
        <f t="array" aca="1" ref="BC116" ca="1">IFERROR(SMALL(IF(COUNTIF(Podcasts!$D$1273:'Podcasts'!$D$1283,ROW(INDIRECT("1:"&amp;K$2)))=0,ROW(INDIRECT("1:"&amp;K$2))),ROW($A73)),"")</f>
        <v>77</v>
      </c>
      <c r="BD116" s="117">
        <f t="array" aca="1" ref="BD116" ca="1">IFERROR(SMALL(IF(COUNTIF(Podcasts!$D$1289:'Podcasts'!$D$1295,ROW(INDIRECT("1:"&amp;K$2)))=0,ROW(INDIRECT("1:"&amp;K$2))),ROW($A73)),"")</f>
        <v>75</v>
      </c>
      <c r="BE116" s="117">
        <f t="array" aca="1" ref="BE116" ca="1">IFERROR(SMALL(IF(COUNTIF(Podcasts!$D$1301:'Podcasts'!$D$1356,ROW(INDIRECT("1:"&amp;K$2)))=0,ROW(INDIRECT("1:"&amp;K$2))),ROW($A73)),"")</f>
        <v>120</v>
      </c>
      <c r="BF116" s="117">
        <f t="array" aca="1" ref="BF116" ca="1">IFERROR(SMALL(IF(COUNTIF(Podcasts!$D$1362:'Podcasts'!$D$1364,ROW(INDIRECT("1:"&amp;K$2)))=0,ROW(INDIRECT("1:"&amp;K$2))),ROW($A73)),"")</f>
        <v>76</v>
      </c>
      <c r="BG116" s="202">
        <f t="array" aca="1" ref="BG116" ca="1">IFERROR(SMALL(IF(COUNTIF(Podcasts!$D$1370:'Podcasts'!$D$1419,ROW(INDIRECT("1:"&amp;K$2)))=0,ROW(INDIRECT("1:"&amp;K$2))),ROW($A73)),"")</f>
        <v>93</v>
      </c>
      <c r="BH116" s="202">
        <f t="array" aca="1" ref="BH116" ca="1">IFERROR(SMALL(IF(COUNTIF(Podcasts!$D$1425:'Podcasts'!$D$1446,ROW(INDIRECT("1:"&amp;K$2)))=0,ROW(INDIRECT("1:"&amp;K$2))),ROW($A73)),"")</f>
        <v>79</v>
      </c>
      <c r="BI116" s="202">
        <f t="array" aca="1" ref="BI116" ca="1">IFERROR(SMALL(IF(COUNTIF(Podcasts!$D$1452:'Podcasts'!$D$1574,ROW(INDIRECT("1:"&amp;K$2)))=0,ROW(INDIRECT("1:"&amp;K$2))),ROW($A73)),"")</f>
        <v>131</v>
      </c>
      <c r="BJ116" s="202">
        <f t="array" aca="1" ref="BJ116" ca="1">IFERROR(SMALL(IF(COUNTIF(Podcasts!$D$1580:'Podcasts'!$D$1705,ROW(INDIRECT("1:"&amp;K$2)))=0,ROW(INDIRECT("1:"&amp;K$2))),ROW($A73)),"")</f>
        <v>130</v>
      </c>
      <c r="BK116" s="202">
        <f t="array" aca="1" ref="BK116" ca="1">IFERROR(SMALL(IF(COUNTIF(Podcasts!$D$1711:'Podcasts'!$D$1833,ROW(INDIRECT("1:"&amp;K$2)))=0,ROW(INDIRECT("1:"&amp;K$2))),ROW($A73)),"")</f>
        <v>114</v>
      </c>
      <c r="BL116" s="202">
        <f t="array" aca="1" ref="BL116" ca="1">IFERROR(SMALL(IF(COUNTIF(Podcasts!$D$1839:'Podcasts'!$D$1855,ROW(INDIRECT("1:"&amp;K$2)))=0,ROW(INDIRECT("1:"&amp;K$2))),ROW($A73)),"")</f>
        <v>80</v>
      </c>
      <c r="BM116" s="567">
        <f t="array" aca="1" ref="BM116" ca="1">IFERROR(SMALL(IF(COUNTIF(Podcasts!$D$1861:'Podcasts'!$D$1994,ROW(INDIRECT("1:"&amp;K$2)))=0,ROW(INDIRECT("1:"&amp;K$2))),ROW($A73)),"")</f>
        <v>104</v>
      </c>
      <c r="BN116" s="567">
        <f t="array" aca="1" ref="BN116" ca="1">IFERROR(SMALL(IF(COUNTIF(Podcasts!$D$2000:'Podcasts'!$D$2057,ROW(INDIRECT("1:"&amp;K$2)))=0,ROW(INDIRECT("1:"&amp;K$2))),ROW($A73)),"")</f>
        <v>128</v>
      </c>
      <c r="BO116" s="567">
        <f t="array" aca="1" ref="BO116" ca="1">IFERROR(SMALL(IF(COUNTIF(Podcasts!$D$2063:'Podcasts'!$D$2071,ROW(INDIRECT("1:"&amp;K$2)))=0,ROW(INDIRECT("1:"&amp;K$2))),ROW($A73)),"")</f>
        <v>73</v>
      </c>
      <c r="BP116" s="202">
        <f t="array" aca="1" ref="BP116" ca="1">IFERROR(SMALL(IF(COUNTIF(Podcasts!$D$2077:'Podcasts'!$D$2092,ROW(INDIRECT("1:"&amp;K$2)))=0,ROW(INDIRECT("1:"&amp;K$2))),ROW($A73)),"")</f>
        <v>83</v>
      </c>
      <c r="BQ116" s="741">
        <f t="array" aca="1" ref="BQ116" ca="1">IFERROR(SMALL(IF(COUNTIF(Podcasts!$D$2098:'Podcasts'!$D$2114,ROW(INDIRECT("1:"&amp;K$2)))=0,ROW(INDIRECT("1:"&amp;K$2))),ROW($A73)),"")</f>
        <v>77</v>
      </c>
      <c r="BR116" s="744">
        <f t="array" aca="1" ref="BR116" ca="1">IFERROR(SMALL(IF(COUNTIF(Podcasts!$D$2120:'Podcasts'!$D$2124,ROW(INDIRECT("1:"&amp;K$2)))=0,ROW(INDIRECT("1:"&amp;K$2))),ROW($A73)),"")</f>
        <v>75</v>
      </c>
      <c r="BS116" s="28"/>
    </row>
    <row r="117" spans="1:71" outlineLevel="1">
      <c r="A117" s="28"/>
      <c r="B117" s="161">
        <v>74</v>
      </c>
      <c r="C117" s="161">
        <f>COUNTIF(Podcasts!$D$10:'Podcasts'!$D$2535,B117)</f>
        <v>3</v>
      </c>
      <c r="D117" s="158" t="s">
        <v>1102</v>
      </c>
      <c r="E117" s="156" t="str">
        <f t="array" ref="E117">IF(F117="","",INDEX(Podcasts!$J$10:'Podcasts'!$J$2535,MATCH(F117&amp;$B117,Podcasts!$E$10:'Podcasts'!$E$2535&amp;Podcasts!$D$10:'Podcasts'!$D$2535,0)))</f>
        <v>Fürst</v>
      </c>
      <c r="F117" s="131">
        <f t="array" ref="F117">IF(COUNTIF(Podcasts!$D$10:'Podcasts'!$D$2535,$B117)&lt;COLUMN(A80),"",SMALL(IF(Podcasts!$D$10:'Podcasts'!$D$2535=$B117,Podcasts!$E$10:'Podcasts'!$E$2535),COLUMN(A80)))</f>
        <v>42022</v>
      </c>
      <c r="G117" s="132">
        <f t="array" ref="G117">IF(F117="","",INDEX(Podcasts!$F$10:'Podcasts'!$F$2535,MATCH(F117&amp;$B117,Podcasts!$E$10:'Podcasts'!$E$2535&amp;Podcasts!$D$10:'Podcasts'!$D$2535,0)))</f>
        <v>8.3912037037037045E-3</v>
      </c>
      <c r="H117" s="136" t="str">
        <f t="array" ref="H117">IF(I117="","",INDEX(Podcasts!$J$10:'Podcasts'!$J$2535,MATCH(I117&amp;$B117,Podcasts!$E$10:'Podcasts'!$E$2535&amp;Podcasts!$D$10:'Podcasts'!$D$2535,0)))</f>
        <v>R&amp;A</v>
      </c>
      <c r="I117" s="133">
        <f t="array" ref="I117">IF(COUNTIF(Podcasts!$D$10:'Podcasts'!$D$2535,$B117)&lt;COLUMN(B80),"",SMALL(IF(Podcasts!$D$10:'Podcasts'!$D$2535=$B117,Podcasts!$E$10:'Podcasts'!$E$2535),COLUMN(B80)))</f>
        <v>43765.408518518518</v>
      </c>
      <c r="J117" s="132">
        <f t="array" ref="J117">IF(I117="","",INDEX(Podcasts!$F$10:'Podcasts'!$F$2535,MATCH(I117&amp;$B117,Podcasts!$E$10:'Podcasts'!$E$2535&amp;Podcasts!$D$10:'Podcasts'!$D$2535,0)))</f>
        <v>6.8101851851851858E-2</v>
      </c>
      <c r="K117" s="136" t="str">
        <f t="array" ref="K117">IF(L117="","",INDEX(Podcasts!$J$10:'Podcasts'!$J$2535,MATCH(L117&amp;$B117,Podcasts!$E$10:'Podcasts'!$E$2535&amp;Podcasts!$D$10:'Podcasts'!$D$2535,0)))</f>
        <v>SSP</v>
      </c>
      <c r="L117" s="133">
        <f t="array" ref="L117">IF(COUNTIF(Podcasts!$D$10:'Podcasts'!$D$2535,$B117)&lt;COLUMN(C80),"",SMALL(IF(Podcasts!$D$10:'Podcasts'!$D$2535=$B117,Podcasts!$E$10:'Podcasts'!$E$2535),COLUMN(C80)))</f>
        <v>44381</v>
      </c>
      <c r="M117" s="132">
        <f t="array" ref="M117">IF(L117="","",INDEX(Podcasts!$F$10:'Podcasts'!$F$2535,MATCH(L117&amp;$B117,Podcasts!$E$10:'Podcasts'!$E$2535&amp;Podcasts!$D$10:'Podcasts'!$D$2535,0)))</f>
        <v>9.4722222222222222E-2</v>
      </c>
      <c r="N117" s="136" t="str">
        <f t="array" ref="N117">IF(O117="","",INDEX(Podcasts!$J$10:'Podcasts'!$J$2535,MATCH(O117&amp;$B117,Podcasts!$E$10:'Podcasts'!$E$2535&amp;Podcasts!$D$10:'Podcasts'!$D$2535,0)))</f>
        <v/>
      </c>
      <c r="O117" s="133" t="str">
        <f t="array" ref="O117">IF(COUNTIF(Podcasts!$D$10:'Podcasts'!$D$2535,$B117)&lt;COLUMN(D80),"",SMALL(IF(Podcasts!$D$10:'Podcasts'!$D$2535=$B117,Podcasts!$E$10:'Podcasts'!$E$2535),COLUMN(D80)))</f>
        <v/>
      </c>
      <c r="P117" s="132" t="str">
        <f t="array" ref="P117">IF(O117="","",INDEX(Podcasts!$F$10:'Podcasts'!$F$2535,MATCH(O117&amp;$B117,Podcasts!$E$10:'Podcasts'!$E$2535&amp;Podcasts!$D$10:'Podcasts'!$D$2535,0)))</f>
        <v/>
      </c>
      <c r="Q117" s="136" t="str">
        <f t="array" ref="Q117">IF(R117="","",INDEX(Podcasts!$J$10:'Podcasts'!$J$2535,MATCH(R117&amp;$B117,Podcasts!$E$10:'Podcasts'!$E$2535&amp;Podcasts!$D$10:'Podcasts'!$D$2535,0)))</f>
        <v/>
      </c>
      <c r="R117" s="133" t="str">
        <f t="array" ref="R117">IF(COUNTIF(Podcasts!$D$10:'Podcasts'!$D$2535,$B117)&lt;COLUMN(E80),"",SMALL(IF(Podcasts!$D$10:'Podcasts'!$D$2535=$B117,Podcasts!$E$10:'Podcasts'!$E$2535),COLUMN(E80)))</f>
        <v/>
      </c>
      <c r="S117" s="132" t="str">
        <f t="array" ref="S117">IF(R117="","",INDEX(Podcasts!$F$10:'Podcasts'!$F$2535,MATCH(R117&amp;$B117,Podcasts!$E$10:'Podcasts'!$E$2535&amp;Podcasts!$D$10:'Podcasts'!$D$2535,0)))</f>
        <v/>
      </c>
      <c r="T117" s="136" t="str">
        <f t="array" ref="T117">IF(U117="","",INDEX(Podcasts!$J$10:'Podcasts'!$J$2535,MATCH(U117&amp;$B117,Podcasts!$E$10:'Podcasts'!$E$2535&amp;Podcasts!$D$10:'Podcasts'!$D$2535,0)))</f>
        <v/>
      </c>
      <c r="U117" s="133" t="str">
        <f t="array" ref="U117">IF(COUNTIF(Podcasts!$D$10:'Podcasts'!$D$2535,$B117)&lt;COLUMN(F80),"",SMALL(IF(Podcasts!$D$10:'Podcasts'!$D$2535=$B117,Podcasts!$E$10:'Podcasts'!$E$2535),COLUMN(F80)))</f>
        <v/>
      </c>
      <c r="V117" s="132" t="str">
        <f t="array" ref="V117">IF(U117="","",INDEX(Podcasts!$F$10:'Podcasts'!$F$2535,MATCH(U117&amp;$B117,Podcasts!$E$10:'Podcasts'!$E$2535&amp;Podcasts!$D$10:'Podcasts'!$D$2535,0)))</f>
        <v/>
      </c>
      <c r="W117" s="136" t="str">
        <f t="array" ref="W117">IF(X117="","",INDEX(Podcasts!$J$10:'Podcasts'!$J$2535,MATCH(X117&amp;$B117,Podcasts!$E$10:'Podcasts'!$E$2535&amp;Podcasts!$D$10:'Podcasts'!$D$2535,0)))</f>
        <v/>
      </c>
      <c r="X117" s="133" t="str">
        <f t="array" ref="X117">IF(COUNTIF(Podcasts!$D$10:'Podcasts'!$D$2535,$B117)&lt;COLUMN(G80),"",SMALL(IF(Podcasts!$D$10:'Podcasts'!$D$2535=$B117,Podcasts!$E$10:'Podcasts'!$E$2535),COLUMN(G80)))</f>
        <v/>
      </c>
      <c r="Y117" s="132" t="str">
        <f t="array" ref="Y117">IF(X117="","",INDEX(Podcasts!$F$10:'Podcasts'!$F$2535,MATCH(X117&amp;$B117,Podcasts!$E$10:'Podcasts'!$E$2535&amp;Podcasts!$D$10:'Podcasts'!$D$2535,0)))</f>
        <v/>
      </c>
      <c r="Z117" s="136" t="str">
        <f t="array" ref="Z117">IF(AA117="","",INDEX(Podcasts!$J$10:'Podcasts'!$J$2535,MATCH(AA117&amp;$B117,Podcasts!$E$10:'Podcasts'!$E$2535&amp;Podcasts!$D$10:'Podcasts'!$D$2535,0)))</f>
        <v/>
      </c>
      <c r="AA117" s="134" t="str">
        <f t="array" ref="AA117">IF(COUNTIF(Podcasts!$D$10:'Podcasts'!$D$2535,$B117)&lt;COLUMN(H80),"",SMALL(IF(Podcasts!$D$10:'Podcasts'!$D$2535=$B117,Podcasts!$E$10:'Podcasts'!$E$2535),COLUMN(H80)))</f>
        <v/>
      </c>
      <c r="AB117" s="404" t="str">
        <f t="array" ref="AB117">IF(AA117="","",INDEX(Podcasts!$F$10:'Podcasts'!$F$2535,MATCH(AA117&amp;$B117,Podcasts!$E$10:'Podcasts'!$E$2535&amp;Podcasts!$D$10:'Podcasts'!$D$2535,0)))</f>
        <v/>
      </c>
      <c r="AC117" s="406" t="str">
        <f t="array" ref="AC117">IF(AD117="","",INDEX(Podcasts!$J$10:'Podcasts'!$J$2535,MATCH(AD117&amp;$B117,Podcasts!$E$10:'Podcasts'!$E$2535&amp;Podcasts!$D$10:'Podcasts'!$D$2535,0)))</f>
        <v/>
      </c>
      <c r="AD117" s="400" t="str">
        <f t="array" ref="AD117">IF(COUNTIF(Podcasts!$D$10:'Podcasts'!$D$2535,$B117)&lt;COLUMN(I80),"",SMALL(IF(Podcasts!$D$10:'Podcasts'!$D$2535=$B117,Podcasts!$E$10:'Podcasts'!$E$2535),COLUMN(I80)))</f>
        <v/>
      </c>
      <c r="AE117" s="401" t="str">
        <f t="array" ref="AE117">IF(AD117="","",INDEX(Podcasts!$F$10:'Podcasts'!$F$2535,MATCH(AD117&amp;$B117,Podcasts!$E$10:'Podcasts'!$E$2535&amp;Podcasts!$D$10:'Podcasts'!$D$2535,0)))</f>
        <v/>
      </c>
      <c r="AF117" s="406" t="str">
        <f t="array" ref="AF117">IF(AG117="","",INDEX(Podcasts!$J$10:'Podcasts'!$J$2535,MATCH(AG117&amp;$B117,Podcasts!$E$10:'Podcasts'!$E$2535&amp;Podcasts!$D$10:'Podcasts'!$D$2535,0)))</f>
        <v/>
      </c>
      <c r="AG117" s="400" t="str">
        <f t="array" ref="AG117">IF(COUNTIF(Podcasts!$D$10:'Podcasts'!$D$2535,$B117)&lt;COLUMN(J80),"",SMALL(IF(Podcasts!$D$10:'Podcasts'!$D$2535=$B117,Podcasts!$E$10:'Podcasts'!$E$2535),COLUMN(J80)))</f>
        <v/>
      </c>
      <c r="AH117" s="401" t="str">
        <f t="array" ref="AH117">IF(AG117="","",INDEX(Podcasts!$F$10:'Podcasts'!$F$2535,MATCH(AG117&amp;$B117,Podcasts!$E$10:'Podcasts'!$E$2535&amp;Podcasts!$D$10:'Podcasts'!$D$2535,0)))</f>
        <v/>
      </c>
      <c r="AI117" s="406" t="str">
        <f t="array" ref="AI117">IF(AJ117="","",INDEX(Podcasts!$J$10:'Podcasts'!$J$2535,MATCH(AJ117&amp;$B117,Podcasts!$E$10:'Podcasts'!$E$2535&amp;Podcasts!$D$10:'Podcasts'!$D$2535,0)))</f>
        <v/>
      </c>
      <c r="AJ117" s="400" t="str">
        <f t="array" ref="AJ117">IF(COUNTIF(Podcasts!$D$10:'Podcasts'!$D$2535,$B117)&lt;COLUMN(K80),"",SMALL(IF(Podcasts!$D$10:'Podcasts'!$D$2535=$B117,Podcasts!$E$10:'Podcasts'!$E$2535),COLUMN(K80)))</f>
        <v/>
      </c>
      <c r="AK117" s="401" t="str">
        <f t="array" ref="AK117">IF(AJ117="","",INDEX(Podcasts!$F$10:'Podcasts'!$F$2535,MATCH(AJ117&amp;$B117,Podcasts!$E$10:'Podcasts'!$E$2535&amp;Podcasts!$D$10:'Podcasts'!$D$2535,0)))</f>
        <v/>
      </c>
      <c r="AL117" s="406" t="str">
        <f t="array" ref="AL117">IF(AM117="","",INDEX(Podcasts!$J$10:'Podcasts'!$J$2535,MATCH(AM117&amp;$B117,Podcasts!$E$10:'Podcasts'!$E$2535&amp;Podcasts!$D$10:'Podcasts'!$D$2535,0)))</f>
        <v/>
      </c>
      <c r="AM117" s="400" t="str">
        <f t="array" ref="AM117">IF(COUNTIF(Podcasts!$D$10:'Podcasts'!$D$2535,$B117)&lt;COLUMN(L80),"",SMALL(IF(Podcasts!$D$10:'Podcasts'!$D$2535=$B117,Podcasts!$E$10:'Podcasts'!$E$2535),COLUMN(L80)))</f>
        <v/>
      </c>
      <c r="AN117" s="401" t="str">
        <f t="array" ref="AN117">IF(AM117="","",INDEX(Podcasts!$F$10:'Podcasts'!$F$2535,MATCH(AM117&amp;$B117,Podcasts!$E$10:'Podcasts'!$E$2535&amp;Podcasts!$D$10:'Podcasts'!$D$2535,0)))</f>
        <v/>
      </c>
      <c r="AO117" s="402"/>
      <c r="AP117" s="119"/>
      <c r="AQ117" s="117">
        <f t="array" aca="1" ref="AQ117" ca="1">IFERROR(SMALL(IF(COUNTIF(Podcasts!$D$10:'Podcasts'!$D$107,ROW(INDIRECT("1:"&amp;K$2)))=0,ROW(INDIRECT("1:"&amp;K$2))),ROW($A74)),"")</f>
        <v>104</v>
      </c>
      <c r="AR117" s="117">
        <f t="array" aca="1" ref="AR117" ca="1">IFERROR(SMALL(IF(COUNTIF(Podcasts!$D$113:'Podcasts'!$D$238,ROW(INDIRECT("1:"&amp;K$2)))=0,ROW(INDIRECT("1:"&amp;K$2))),ROW($A74)),"")</f>
        <v>74</v>
      </c>
      <c r="AS117" s="117">
        <f t="array" aca="1" ref="AS117" ca="1">IFERROR(SMALL(IF(COUNTIF(Podcasts!$D$244:'Podcasts'!$D$299,ROW(INDIRECT("1:"&amp;K$2)))=0,ROW(INDIRECT("1:"&amp;K$2))),ROW($A74)),"")</f>
        <v>92</v>
      </c>
      <c r="AT117" s="117">
        <f t="array" aca="1" ref="AT117" ca="1">IFERROR(SMALL(IF(COUNTIF(Podcasts!$D$305:'Podcasts'!$D$473,ROW(INDIRECT("1:"&amp;K$2)))=0,ROW(INDIRECT("1:"&amp;K$2))),ROW($A74)),"")</f>
        <v>209</v>
      </c>
      <c r="AU117" s="117">
        <f t="array" aca="1" ref="AU117" ca="1">IFERROR(SMALL(IF(COUNTIF(Podcasts!$D$479:'Podcasts'!$D$488,ROW(INDIRECT("1:"&amp;K$2)))=0,ROW(INDIRECT("1:"&amp;K$2))),ROW($A74)),"")</f>
        <v>74</v>
      </c>
      <c r="AV117" s="117">
        <f t="array" aca="1" ref="AV117" ca="1">IFERROR(SMALL(IF(COUNTIF(Podcasts!$D$494:'Podcasts'!$D$518,ROW(INDIRECT("1:"&amp;K$2)))=0,ROW(INDIRECT("1:"&amp;K$2))),ROW($A74)),"")</f>
        <v>92</v>
      </c>
      <c r="AW117" s="117">
        <f t="array" aca="1" ref="AW117" ca="1">IFERROR(SMALL(IF(COUNTIF(Podcasts!$D$524:'Podcasts'!$D$532,ROW(INDIRECT("1:"&amp;K$2)))=0,ROW(INDIRECT("1:"&amp;K$2))),ROW($A74)),"")</f>
        <v>74</v>
      </c>
      <c r="AX117" s="117">
        <f t="array" aca="1" ref="AX117" ca="1">IFERROR(SMALL(IF(COUNTIF(Podcasts!$D$538:'Podcasts'!$D$909,ROW(INDIRECT("1:"&amp;K$2)))=0,ROW(INDIRECT("1:"&amp;K$2))),ROW($A74)),"")</f>
        <v>198</v>
      </c>
      <c r="AY117" s="117">
        <f t="array" aca="1" ref="AY117" ca="1">IFERROR(SMALL(IF(COUNTIF(Podcasts!$D$915:'Podcasts'!$D$981,ROW(INDIRECT("1:"&amp;K$2)))=0,ROW(INDIRECT("1:"&amp;K$2))),ROW($A74)),"")</f>
        <v>118</v>
      </c>
      <c r="AZ117" s="445"/>
      <c r="BA117" s="117">
        <f t="array" aca="1" ref="BA117" ca="1">IFERROR(SMALL(IF(COUNTIF(Podcasts!$D$1001:'Podcasts'!$D$1251,ROW(INDIRECT("1:"&amp;K$2)))=0,ROW(INDIRECT("1:"&amp;K$2))),ROW($A74)),"")</f>
        <v>116</v>
      </c>
      <c r="BB117" s="117">
        <f t="array" aca="1" ref="BB117" ca="1">IFERROR(SMALL(IF(COUNTIF(Podcasts!$D$1257:'Podcasts'!$D$1267,ROW(INDIRECT("1:"&amp;K$2)))=0,ROW(INDIRECT("1:"&amp;K$2))),ROW($A74)),"")</f>
        <v>76</v>
      </c>
      <c r="BC117" s="117">
        <f t="array" aca="1" ref="BC117" ca="1">IFERROR(SMALL(IF(COUNTIF(Podcasts!$D$1273:'Podcasts'!$D$1283,ROW(INDIRECT("1:"&amp;K$2)))=0,ROW(INDIRECT("1:"&amp;K$2))),ROW($A74)),"")</f>
        <v>78</v>
      </c>
      <c r="BD117" s="117">
        <f t="array" aca="1" ref="BD117" ca="1">IFERROR(SMALL(IF(COUNTIF(Podcasts!$D$1289:'Podcasts'!$D$1295,ROW(INDIRECT("1:"&amp;K$2)))=0,ROW(INDIRECT("1:"&amp;K$2))),ROW($A74)),"")</f>
        <v>76</v>
      </c>
      <c r="BE117" s="117">
        <f t="array" aca="1" ref="BE117" ca="1">IFERROR(SMALL(IF(COUNTIF(Podcasts!$D$1301:'Podcasts'!$D$1356,ROW(INDIRECT("1:"&amp;K$2)))=0,ROW(INDIRECT("1:"&amp;K$2))),ROW($A74)),"")</f>
        <v>121</v>
      </c>
      <c r="BF117" s="117">
        <f t="array" aca="1" ref="BF117" ca="1">IFERROR(SMALL(IF(COUNTIF(Podcasts!$D$1362:'Podcasts'!$D$1364,ROW(INDIRECT("1:"&amp;K$2)))=0,ROW(INDIRECT("1:"&amp;K$2))),ROW($A74)),"")</f>
        <v>77</v>
      </c>
      <c r="BG117" s="202">
        <f t="array" aca="1" ref="BG117" ca="1">IFERROR(SMALL(IF(COUNTIF(Podcasts!$D$1370:'Podcasts'!$D$1419,ROW(INDIRECT("1:"&amp;K$2)))=0,ROW(INDIRECT("1:"&amp;K$2))),ROW($A74)),"")</f>
        <v>94</v>
      </c>
      <c r="BH117" s="202">
        <f t="array" aca="1" ref="BH117" ca="1">IFERROR(SMALL(IF(COUNTIF(Podcasts!$D$1425:'Podcasts'!$D$1446,ROW(INDIRECT("1:"&amp;K$2)))=0,ROW(INDIRECT("1:"&amp;K$2))),ROW($A74)),"")</f>
        <v>80</v>
      </c>
      <c r="BI117" s="202">
        <f t="array" aca="1" ref="BI117" ca="1">IFERROR(SMALL(IF(COUNTIF(Podcasts!$D$1452:'Podcasts'!$D$1574,ROW(INDIRECT("1:"&amp;K$2)))=0,ROW(INDIRECT("1:"&amp;K$2))),ROW($A74)),"")</f>
        <v>132</v>
      </c>
      <c r="BJ117" s="202">
        <f t="array" aca="1" ref="BJ117" ca="1">IFERROR(SMALL(IF(COUNTIF(Podcasts!$D$1580:'Podcasts'!$D$1705,ROW(INDIRECT("1:"&amp;K$2)))=0,ROW(INDIRECT("1:"&amp;K$2))),ROW($A74)),"")</f>
        <v>131</v>
      </c>
      <c r="BK117" s="202">
        <f t="array" aca="1" ref="BK117" ca="1">IFERROR(SMALL(IF(COUNTIF(Podcasts!$D$1711:'Podcasts'!$D$1833,ROW(INDIRECT("1:"&amp;K$2)))=0,ROW(INDIRECT("1:"&amp;K$2))),ROW($A74)),"")</f>
        <v>115</v>
      </c>
      <c r="BL117" s="202">
        <f t="array" aca="1" ref="BL117" ca="1">IFERROR(SMALL(IF(COUNTIF(Podcasts!$D$1839:'Podcasts'!$D$1855,ROW(INDIRECT("1:"&amp;K$2)))=0,ROW(INDIRECT("1:"&amp;K$2))),ROW($A74)),"")</f>
        <v>82</v>
      </c>
      <c r="BM117" s="567">
        <f t="array" aca="1" ref="BM117" ca="1">IFERROR(SMALL(IF(COUNTIF(Podcasts!$D$1861:'Podcasts'!$D$1994,ROW(INDIRECT("1:"&amp;K$2)))=0,ROW(INDIRECT("1:"&amp;K$2))),ROW($A74)),"")</f>
        <v>106</v>
      </c>
      <c r="BN117" s="567">
        <f t="array" aca="1" ref="BN117" ca="1">IFERROR(SMALL(IF(COUNTIF(Podcasts!$D$2000:'Podcasts'!$D$2057,ROW(INDIRECT("1:"&amp;K$2)))=0,ROW(INDIRECT("1:"&amp;K$2))),ROW($A74)),"")</f>
        <v>129</v>
      </c>
      <c r="BO117" s="567">
        <f t="array" aca="1" ref="BO117" ca="1">IFERROR(SMALL(IF(COUNTIF(Podcasts!$D$2063:'Podcasts'!$D$2071,ROW(INDIRECT("1:"&amp;K$2)))=0,ROW(INDIRECT("1:"&amp;K$2))),ROW($A74)),"")</f>
        <v>74</v>
      </c>
      <c r="BP117" s="202">
        <f t="array" aca="1" ref="BP117" ca="1">IFERROR(SMALL(IF(COUNTIF(Podcasts!$D$2077:'Podcasts'!$D$2092,ROW(INDIRECT("1:"&amp;K$2)))=0,ROW(INDIRECT("1:"&amp;K$2))),ROW($A74)),"")</f>
        <v>84</v>
      </c>
      <c r="BQ117" s="741">
        <f t="array" aca="1" ref="BQ117" ca="1">IFERROR(SMALL(IF(COUNTIF(Podcasts!$D$2098:'Podcasts'!$D$2114,ROW(INDIRECT("1:"&amp;K$2)))=0,ROW(INDIRECT("1:"&amp;K$2))),ROW($A74)),"")</f>
        <v>78</v>
      </c>
      <c r="BR117" s="744">
        <f t="array" aca="1" ref="BR117" ca="1">IFERROR(SMALL(IF(COUNTIF(Podcasts!$D$2120:'Podcasts'!$D$2124,ROW(INDIRECT("1:"&amp;K$2)))=0,ROW(INDIRECT("1:"&amp;K$2))),ROW($A74)),"")</f>
        <v>76</v>
      </c>
      <c r="BS117" s="28"/>
    </row>
    <row r="118" spans="1:71" outlineLevel="1">
      <c r="A118" s="28"/>
      <c r="B118" s="161">
        <v>75</v>
      </c>
      <c r="C118" s="161">
        <f>COUNTIF(Podcasts!$D$10:'Podcasts'!$D$2535,B118)</f>
        <v>5</v>
      </c>
      <c r="D118" s="158" t="s">
        <v>1103</v>
      </c>
      <c r="E118" s="156" t="str">
        <f t="array" ref="E118">IF(F118="","",INDEX(Podcasts!$J$10:'Podcasts'!$J$2535,MATCH(F118&amp;$B118,Podcasts!$E$10:'Podcasts'!$E$2535&amp;Podcasts!$D$10:'Podcasts'!$D$2535,0)))</f>
        <v>Fürst</v>
      </c>
      <c r="F118" s="131">
        <f t="array" ref="F118">IF(COUNTIF(Podcasts!$D$10:'Podcasts'!$D$2535,$B118)&lt;COLUMN(A81),"",SMALL(IF(Podcasts!$D$10:'Podcasts'!$D$2535=$B118,Podcasts!$E$10:'Podcasts'!$E$2535),COLUMN(A81)))</f>
        <v>41917</v>
      </c>
      <c r="G118" s="132">
        <f t="array" ref="G118">IF(F118="","",INDEX(Podcasts!$F$10:'Podcasts'!$F$2535,MATCH(F118&amp;$B118,Podcasts!$E$10:'Podcasts'!$E$2535&amp;Podcasts!$D$10:'Podcasts'!$D$2535,0)))</f>
        <v>5.2662037037037044E-3</v>
      </c>
      <c r="H118" s="136" t="str">
        <f t="array" ref="H118">IF(I118="","",INDEX(Podcasts!$J$10:'Podcasts'!$J$2535,MATCH(I118&amp;$B118,Podcasts!$E$10:'Podcasts'!$E$2535&amp;Podcasts!$D$10:'Podcasts'!$D$2535,0)))</f>
        <v>SSP</v>
      </c>
      <c r="I118" s="133">
        <f t="array" ref="I118">IF(COUNTIF(Podcasts!$D$10:'Podcasts'!$D$2535,$B118)&lt;COLUMN(B81),"",SMALL(IF(Podcasts!$D$10:'Podcasts'!$D$2535=$B118,Podcasts!$E$10:'Podcasts'!$E$2535),COLUMN(B81)))</f>
        <v>44305</v>
      </c>
      <c r="J118" s="132">
        <f t="array" ref="J118">IF(I118="","",INDEX(Podcasts!$F$10:'Podcasts'!$F$2535,MATCH(I118&amp;$B118,Podcasts!$E$10:'Podcasts'!$E$2535&amp;Podcasts!$D$10:'Podcasts'!$D$2535,0)))</f>
        <v>7.8113425925925919E-2</v>
      </c>
      <c r="K118" s="136" t="str">
        <f t="array" ref="K118">IF(L118="","",INDEX(Podcasts!$J$10:'Podcasts'!$J$2535,MATCH(L118&amp;$B118,Podcasts!$E$10:'Podcasts'!$E$2535&amp;Podcasts!$D$10:'Podcasts'!$D$2535,0)))</f>
        <v>Kaffee</v>
      </c>
      <c r="L118" s="133">
        <f t="array" ref="L118">IF(COUNTIF(Podcasts!$D$10:'Podcasts'!$D$2535,$B118)&lt;COLUMN(C81),"",SMALL(IF(Podcasts!$D$10:'Podcasts'!$D$2535=$B118,Podcasts!$E$10:'Podcasts'!$E$2535),COLUMN(C81)))</f>
        <v>44792</v>
      </c>
      <c r="M118" s="132">
        <f t="array" ref="M118">IF(L118="","",INDEX(Podcasts!$F$10:'Podcasts'!$F$2535,MATCH(L118&amp;$B118,Podcasts!$E$10:'Podcasts'!$E$2535&amp;Podcasts!$D$10:'Podcasts'!$D$2535,0)))</f>
        <v>3.4722222222222224E-2</v>
      </c>
      <c r="N118" s="136" t="str">
        <f t="array" ref="N118">IF(O118="","",INDEX(Podcasts!$J$10:'Podcasts'!$J$2535,MATCH(O118&amp;$B118,Podcasts!$E$10:'Podcasts'!$E$2535&amp;Podcasts!$D$10:'Podcasts'!$D$2535,0)))</f>
        <v>Zentrale</v>
      </c>
      <c r="O118" s="133">
        <f t="array" ref="O118">IF(COUNTIF(Podcasts!$D$10:'Podcasts'!$D$2535,$B118)&lt;COLUMN(D81),"",SMALL(IF(Podcasts!$D$10:'Podcasts'!$D$2535=$B118,Podcasts!$E$10:'Podcasts'!$E$2535),COLUMN(D81)))</f>
        <v>44953</v>
      </c>
      <c r="P118" s="132">
        <f t="array" ref="P118">IF(O118="","",INDEX(Podcasts!$F$10:'Podcasts'!$F$2535,MATCH(O118&amp;$B118,Podcasts!$E$10:'Podcasts'!$E$2535&amp;Podcasts!$D$10:'Podcasts'!$D$2535,0)))</f>
        <v>0.14418981481481483</v>
      </c>
      <c r="Q118" s="136" t="str">
        <f t="array" ref="Q118">IF(R118="","",INDEX(Podcasts!$J$10:'Podcasts'!$J$2535,MATCH(R118&amp;$B118,Podcasts!$E$10:'Podcasts'!$E$2535&amp;Podcasts!$D$10:'Podcasts'!$D$2535,0)))</f>
        <v>Kuchen</v>
      </c>
      <c r="R118" s="133">
        <f t="array" ref="R118">IF(COUNTIF(Podcasts!$D$10:'Podcasts'!$D$2535,$B118)&lt;COLUMN(E81),"",SMALL(IF(Podcasts!$D$10:'Podcasts'!$D$2535=$B118,Podcasts!$E$10:'Podcasts'!$E$2535),COLUMN(E81)))</f>
        <v>45004</v>
      </c>
      <c r="S118" s="132">
        <f t="array" ref="S118">IF(R118="","",INDEX(Podcasts!$F$10:'Podcasts'!$F$2535,MATCH(R118&amp;$B118,Podcasts!$E$10:'Podcasts'!$E$2535&amp;Podcasts!$D$10:'Podcasts'!$D$2535,0)))</f>
        <v>5.1608796296296298E-2</v>
      </c>
      <c r="T118" s="136" t="str">
        <f t="array" ref="T118">IF(U118="","",INDEX(Podcasts!$J$10:'Podcasts'!$J$2535,MATCH(U118&amp;$B118,Podcasts!$E$10:'Podcasts'!$E$2535&amp;Podcasts!$D$10:'Podcasts'!$D$2535,0)))</f>
        <v/>
      </c>
      <c r="U118" s="133" t="str">
        <f t="array" ref="U118">IF(COUNTIF(Podcasts!$D$10:'Podcasts'!$D$2535,$B118)&lt;COLUMN(F81),"",SMALL(IF(Podcasts!$D$10:'Podcasts'!$D$2535=$B118,Podcasts!$E$10:'Podcasts'!$E$2535),COLUMN(F81)))</f>
        <v/>
      </c>
      <c r="V118" s="132" t="str">
        <f t="array" ref="V118">IF(U118="","",INDEX(Podcasts!$F$10:'Podcasts'!$F$2535,MATCH(U118&amp;$B118,Podcasts!$E$10:'Podcasts'!$E$2535&amp;Podcasts!$D$10:'Podcasts'!$D$2535,0)))</f>
        <v/>
      </c>
      <c r="W118" s="136" t="str">
        <f t="array" ref="W118">IF(X118="","",INDEX(Podcasts!$J$10:'Podcasts'!$J$2535,MATCH(X118&amp;$B118,Podcasts!$E$10:'Podcasts'!$E$2535&amp;Podcasts!$D$10:'Podcasts'!$D$2535,0)))</f>
        <v/>
      </c>
      <c r="X118" s="133" t="str">
        <f t="array" ref="X118">IF(COUNTIF(Podcasts!$D$10:'Podcasts'!$D$2535,$B118)&lt;COLUMN(G81),"",SMALL(IF(Podcasts!$D$10:'Podcasts'!$D$2535=$B118,Podcasts!$E$10:'Podcasts'!$E$2535),COLUMN(G81)))</f>
        <v/>
      </c>
      <c r="Y118" s="132" t="str">
        <f t="array" ref="Y118">IF(X118="","",INDEX(Podcasts!$F$10:'Podcasts'!$F$2535,MATCH(X118&amp;$B118,Podcasts!$E$10:'Podcasts'!$E$2535&amp;Podcasts!$D$10:'Podcasts'!$D$2535,0)))</f>
        <v/>
      </c>
      <c r="Z118" s="136" t="str">
        <f t="array" ref="Z118">IF(AA118="","",INDEX(Podcasts!$J$10:'Podcasts'!$J$2535,MATCH(AA118&amp;$B118,Podcasts!$E$10:'Podcasts'!$E$2535&amp;Podcasts!$D$10:'Podcasts'!$D$2535,0)))</f>
        <v/>
      </c>
      <c r="AA118" s="134" t="str">
        <f t="array" ref="AA118">IF(COUNTIF(Podcasts!$D$10:'Podcasts'!$D$2535,$B118)&lt;COLUMN(H81),"",SMALL(IF(Podcasts!$D$10:'Podcasts'!$D$2535=$B118,Podcasts!$E$10:'Podcasts'!$E$2535),COLUMN(H81)))</f>
        <v/>
      </c>
      <c r="AB118" s="404" t="str">
        <f t="array" ref="AB118">IF(AA118="","",INDEX(Podcasts!$F$10:'Podcasts'!$F$2535,MATCH(AA118&amp;$B118,Podcasts!$E$10:'Podcasts'!$E$2535&amp;Podcasts!$D$10:'Podcasts'!$D$2535,0)))</f>
        <v/>
      </c>
      <c r="AC118" s="406" t="str">
        <f t="array" ref="AC118">IF(AD118="","",INDEX(Podcasts!$J$10:'Podcasts'!$J$2535,MATCH(AD118&amp;$B118,Podcasts!$E$10:'Podcasts'!$E$2535&amp;Podcasts!$D$10:'Podcasts'!$D$2535,0)))</f>
        <v/>
      </c>
      <c r="AD118" s="400" t="str">
        <f t="array" ref="AD118">IF(COUNTIF(Podcasts!$D$10:'Podcasts'!$D$2535,$B118)&lt;COLUMN(I81),"",SMALL(IF(Podcasts!$D$10:'Podcasts'!$D$2535=$B118,Podcasts!$E$10:'Podcasts'!$E$2535),COLUMN(I81)))</f>
        <v/>
      </c>
      <c r="AE118" s="401" t="str">
        <f t="array" ref="AE118">IF(AD118="","",INDEX(Podcasts!$F$10:'Podcasts'!$F$2535,MATCH(AD118&amp;$B118,Podcasts!$E$10:'Podcasts'!$E$2535&amp;Podcasts!$D$10:'Podcasts'!$D$2535,0)))</f>
        <v/>
      </c>
      <c r="AF118" s="406" t="str">
        <f t="array" ref="AF118">IF(AG118="","",INDEX(Podcasts!$J$10:'Podcasts'!$J$2535,MATCH(AG118&amp;$B118,Podcasts!$E$10:'Podcasts'!$E$2535&amp;Podcasts!$D$10:'Podcasts'!$D$2535,0)))</f>
        <v/>
      </c>
      <c r="AG118" s="400" t="str">
        <f t="array" ref="AG118">IF(COUNTIF(Podcasts!$D$10:'Podcasts'!$D$2535,$B118)&lt;COLUMN(J81),"",SMALL(IF(Podcasts!$D$10:'Podcasts'!$D$2535=$B118,Podcasts!$E$10:'Podcasts'!$E$2535),COLUMN(J81)))</f>
        <v/>
      </c>
      <c r="AH118" s="401" t="str">
        <f t="array" ref="AH118">IF(AG118="","",INDEX(Podcasts!$F$10:'Podcasts'!$F$2535,MATCH(AG118&amp;$B118,Podcasts!$E$10:'Podcasts'!$E$2535&amp;Podcasts!$D$10:'Podcasts'!$D$2535,0)))</f>
        <v/>
      </c>
      <c r="AI118" s="406" t="str">
        <f t="array" ref="AI118">IF(AJ118="","",INDEX(Podcasts!$J$10:'Podcasts'!$J$2535,MATCH(AJ118&amp;$B118,Podcasts!$E$10:'Podcasts'!$E$2535&amp;Podcasts!$D$10:'Podcasts'!$D$2535,0)))</f>
        <v/>
      </c>
      <c r="AJ118" s="400" t="str">
        <f t="array" ref="AJ118">IF(COUNTIF(Podcasts!$D$10:'Podcasts'!$D$2535,$B118)&lt;COLUMN(K81),"",SMALL(IF(Podcasts!$D$10:'Podcasts'!$D$2535=$B118,Podcasts!$E$10:'Podcasts'!$E$2535),COLUMN(K81)))</f>
        <v/>
      </c>
      <c r="AK118" s="401" t="str">
        <f t="array" ref="AK118">IF(AJ118="","",INDEX(Podcasts!$F$10:'Podcasts'!$F$2535,MATCH(AJ118&amp;$B118,Podcasts!$E$10:'Podcasts'!$E$2535&amp;Podcasts!$D$10:'Podcasts'!$D$2535,0)))</f>
        <v/>
      </c>
      <c r="AL118" s="406" t="str">
        <f t="array" ref="AL118">IF(AM118="","",INDEX(Podcasts!$J$10:'Podcasts'!$J$2535,MATCH(AM118&amp;$B118,Podcasts!$E$10:'Podcasts'!$E$2535&amp;Podcasts!$D$10:'Podcasts'!$D$2535,0)))</f>
        <v/>
      </c>
      <c r="AM118" s="400" t="str">
        <f t="array" ref="AM118">IF(COUNTIF(Podcasts!$D$10:'Podcasts'!$D$2535,$B118)&lt;COLUMN(L81),"",SMALL(IF(Podcasts!$D$10:'Podcasts'!$D$2535=$B118,Podcasts!$E$10:'Podcasts'!$E$2535),COLUMN(L81)))</f>
        <v/>
      </c>
      <c r="AN118" s="401" t="str">
        <f t="array" ref="AN118">IF(AM118="","",INDEX(Podcasts!$F$10:'Podcasts'!$F$2535,MATCH(AM118&amp;$B118,Podcasts!$E$10:'Podcasts'!$E$2535&amp;Podcasts!$D$10:'Podcasts'!$D$2535,0)))</f>
        <v/>
      </c>
      <c r="AO118" s="402"/>
      <c r="AP118" s="119"/>
      <c r="AQ118" s="117">
        <f t="array" aca="1" ref="AQ118" ca="1">IFERROR(SMALL(IF(COUNTIF(Podcasts!$D$10:'Podcasts'!$D$107,ROW(INDIRECT("1:"&amp;K$2)))=0,ROW(INDIRECT("1:"&amp;K$2))),ROW($A75)),"")</f>
        <v>105</v>
      </c>
      <c r="AR118" s="117">
        <f t="array" aca="1" ref="AR118" ca="1">IFERROR(SMALL(IF(COUNTIF(Podcasts!$D$113:'Podcasts'!$D$238,ROW(INDIRECT("1:"&amp;K$2)))=0,ROW(INDIRECT("1:"&amp;K$2))),ROW($A75)),"")</f>
        <v>75</v>
      </c>
      <c r="AS118" s="117">
        <f t="array" aca="1" ref="AS118" ca="1">IFERROR(SMALL(IF(COUNTIF(Podcasts!$D$244:'Podcasts'!$D$299,ROW(INDIRECT("1:"&amp;K$2)))=0,ROW(INDIRECT("1:"&amp;K$2))),ROW($A75)),"")</f>
        <v>93</v>
      </c>
      <c r="AT118" s="117">
        <f t="array" aca="1" ref="AT118" ca="1">IFERROR(SMALL(IF(COUNTIF(Podcasts!$D$305:'Podcasts'!$D$473,ROW(INDIRECT("1:"&amp;K$2)))=0,ROW(INDIRECT("1:"&amp;K$2))),ROW($A75)),"")</f>
        <v>210</v>
      </c>
      <c r="AU118" s="117">
        <f t="array" aca="1" ref="AU118" ca="1">IFERROR(SMALL(IF(COUNTIF(Podcasts!$D$479:'Podcasts'!$D$488,ROW(INDIRECT("1:"&amp;K$2)))=0,ROW(INDIRECT("1:"&amp;K$2))),ROW($A75)),"")</f>
        <v>75</v>
      </c>
      <c r="AV118" s="117">
        <f t="array" aca="1" ref="AV118" ca="1">IFERROR(SMALL(IF(COUNTIF(Podcasts!$D$494:'Podcasts'!$D$518,ROW(INDIRECT("1:"&amp;K$2)))=0,ROW(INDIRECT("1:"&amp;K$2))),ROW($A75)),"")</f>
        <v>93</v>
      </c>
      <c r="AW118" s="117">
        <f t="array" aca="1" ref="AW118" ca="1">IFERROR(SMALL(IF(COUNTIF(Podcasts!$D$524:'Podcasts'!$D$532,ROW(INDIRECT("1:"&amp;K$2)))=0,ROW(INDIRECT("1:"&amp;K$2))),ROW($A75)),"")</f>
        <v>75</v>
      </c>
      <c r="AX118" s="117">
        <f t="array" aca="1" ref="AX118" ca="1">IFERROR(SMALL(IF(COUNTIF(Podcasts!$D$538:'Podcasts'!$D$909,ROW(INDIRECT("1:"&amp;K$2)))=0,ROW(INDIRECT("1:"&amp;K$2))),ROW($A75)),"")</f>
        <v>199</v>
      </c>
      <c r="AY118" s="117">
        <f t="array" aca="1" ref="AY118" ca="1">IFERROR(SMALL(IF(COUNTIF(Podcasts!$D$915:'Podcasts'!$D$981,ROW(INDIRECT("1:"&amp;K$2)))=0,ROW(INDIRECT("1:"&amp;K$2))),ROW($A75)),"")</f>
        <v>119</v>
      </c>
      <c r="AZ118" s="445"/>
      <c r="BA118" s="117">
        <f t="array" aca="1" ref="BA118" ca="1">IFERROR(SMALL(IF(COUNTIF(Podcasts!$D$1001:'Podcasts'!$D$1251,ROW(INDIRECT("1:"&amp;K$2)))=0,ROW(INDIRECT("1:"&amp;K$2))),ROW($A75)),"")</f>
        <v>117</v>
      </c>
      <c r="BB118" s="117">
        <f t="array" aca="1" ref="BB118" ca="1">IFERROR(SMALL(IF(COUNTIF(Podcasts!$D$1257:'Podcasts'!$D$1267,ROW(INDIRECT("1:"&amp;K$2)))=0,ROW(INDIRECT("1:"&amp;K$2))),ROW($A75)),"")</f>
        <v>77</v>
      </c>
      <c r="BC118" s="117">
        <f t="array" aca="1" ref="BC118" ca="1">IFERROR(SMALL(IF(COUNTIF(Podcasts!$D$1273:'Podcasts'!$D$1283,ROW(INDIRECT("1:"&amp;K$2)))=0,ROW(INDIRECT("1:"&amp;K$2))),ROW($A75)),"")</f>
        <v>79</v>
      </c>
      <c r="BD118" s="117">
        <f t="array" aca="1" ref="BD118" ca="1">IFERROR(SMALL(IF(COUNTIF(Podcasts!$D$1289:'Podcasts'!$D$1295,ROW(INDIRECT("1:"&amp;K$2)))=0,ROW(INDIRECT("1:"&amp;K$2))),ROW($A75)),"")</f>
        <v>77</v>
      </c>
      <c r="BE118" s="117">
        <f t="array" aca="1" ref="BE118" ca="1">IFERROR(SMALL(IF(COUNTIF(Podcasts!$D$1301:'Podcasts'!$D$1356,ROW(INDIRECT("1:"&amp;K$2)))=0,ROW(INDIRECT("1:"&amp;K$2))),ROW($A75)),"")</f>
        <v>122</v>
      </c>
      <c r="BF118" s="117">
        <f t="array" aca="1" ref="BF118" ca="1">IFERROR(SMALL(IF(COUNTIF(Podcasts!$D$1362:'Podcasts'!$D$1364,ROW(INDIRECT("1:"&amp;K$2)))=0,ROW(INDIRECT("1:"&amp;K$2))),ROW($A75)),"")</f>
        <v>78</v>
      </c>
      <c r="BG118" s="202">
        <f t="array" aca="1" ref="BG118" ca="1">IFERROR(SMALL(IF(COUNTIF(Podcasts!$D$1370:'Podcasts'!$D$1419,ROW(INDIRECT("1:"&amp;K$2)))=0,ROW(INDIRECT("1:"&amp;K$2))),ROW($A75)),"")</f>
        <v>95</v>
      </c>
      <c r="BH118" s="202">
        <f t="array" aca="1" ref="BH118" ca="1">IFERROR(SMALL(IF(COUNTIF(Podcasts!$D$1425:'Podcasts'!$D$1446,ROW(INDIRECT("1:"&amp;K$2)))=0,ROW(INDIRECT("1:"&amp;K$2))),ROW($A75)),"")</f>
        <v>81</v>
      </c>
      <c r="BI118" s="202">
        <f t="array" aca="1" ref="BI118" ca="1">IFERROR(SMALL(IF(COUNTIF(Podcasts!$D$1452:'Podcasts'!$D$1574,ROW(INDIRECT("1:"&amp;K$2)))=0,ROW(INDIRECT("1:"&amp;K$2))),ROW($A75)),"")</f>
        <v>134</v>
      </c>
      <c r="BJ118" s="202">
        <f t="array" aca="1" ref="BJ118" ca="1">IFERROR(SMALL(IF(COUNTIF(Podcasts!$D$1580:'Podcasts'!$D$1705,ROW(INDIRECT("1:"&amp;K$2)))=0,ROW(INDIRECT("1:"&amp;K$2))),ROW($A75)),"")</f>
        <v>132</v>
      </c>
      <c r="BK118" s="202">
        <f t="array" aca="1" ref="BK118" ca="1">IFERROR(SMALL(IF(COUNTIF(Podcasts!$D$1711:'Podcasts'!$D$1833,ROW(INDIRECT("1:"&amp;K$2)))=0,ROW(INDIRECT("1:"&amp;K$2))),ROW($A75)),"")</f>
        <v>116</v>
      </c>
      <c r="BL118" s="202">
        <f t="array" aca="1" ref="BL118" ca="1">IFERROR(SMALL(IF(COUNTIF(Podcasts!$D$1839:'Podcasts'!$D$1855,ROW(INDIRECT("1:"&amp;K$2)))=0,ROW(INDIRECT("1:"&amp;K$2))),ROW($A75)),"")</f>
        <v>83</v>
      </c>
      <c r="BM118" s="567">
        <f t="array" aca="1" ref="BM118" ca="1">IFERROR(SMALL(IF(COUNTIF(Podcasts!$D$1861:'Podcasts'!$D$1994,ROW(INDIRECT("1:"&amp;K$2)))=0,ROW(INDIRECT("1:"&amp;K$2))),ROW($A75)),"")</f>
        <v>107</v>
      </c>
      <c r="BN118" s="567">
        <f t="array" aca="1" ref="BN118" ca="1">IFERROR(SMALL(IF(COUNTIF(Podcasts!$D$2000:'Podcasts'!$D$2057,ROW(INDIRECT("1:"&amp;K$2)))=0,ROW(INDIRECT("1:"&amp;K$2))),ROW($A75)),"")</f>
        <v>130</v>
      </c>
      <c r="BO118" s="567">
        <f t="array" aca="1" ref="BO118" ca="1">IFERROR(SMALL(IF(COUNTIF(Podcasts!$D$2063:'Podcasts'!$D$2071,ROW(INDIRECT("1:"&amp;K$2)))=0,ROW(INDIRECT("1:"&amp;K$2))),ROW($A75)),"")</f>
        <v>75</v>
      </c>
      <c r="BP118" s="202">
        <f t="array" aca="1" ref="BP118" ca="1">IFERROR(SMALL(IF(COUNTIF(Podcasts!$D$2077:'Podcasts'!$D$2092,ROW(INDIRECT("1:"&amp;K$2)))=0,ROW(INDIRECT("1:"&amp;K$2))),ROW($A75)),"")</f>
        <v>85</v>
      </c>
      <c r="BQ118" s="741">
        <f t="array" aca="1" ref="BQ118" ca="1">IFERROR(SMALL(IF(COUNTIF(Podcasts!$D$2098:'Podcasts'!$D$2114,ROW(INDIRECT("1:"&amp;K$2)))=0,ROW(INDIRECT("1:"&amp;K$2))),ROW($A75)),"")</f>
        <v>79</v>
      </c>
      <c r="BR118" s="744">
        <f t="array" aca="1" ref="BR118" ca="1">IFERROR(SMALL(IF(COUNTIF(Podcasts!$D$2120:'Podcasts'!$D$2124,ROW(INDIRECT("1:"&amp;K$2)))=0,ROW(INDIRECT("1:"&amp;K$2))),ROW($A75)),"")</f>
        <v>77</v>
      </c>
      <c r="BS118" s="28"/>
    </row>
    <row r="119" spans="1:71" outlineLevel="1">
      <c r="A119" s="28"/>
      <c r="B119" s="161">
        <v>76</v>
      </c>
      <c r="C119" s="161">
        <f>COUNTIF(Podcasts!$D$10:'Podcasts'!$D$2535,B119)</f>
        <v>11</v>
      </c>
      <c r="D119" s="159" t="s">
        <v>1104</v>
      </c>
      <c r="E119" s="156" t="str">
        <f t="array" ref="E119">IF(F119="","",INDEX(Podcasts!$J$10:'Podcasts'!$J$2535,MATCH(F119&amp;$B119,Podcasts!$E$10:'Podcasts'!$E$2535&amp;Podcasts!$D$10:'Podcasts'!$D$2535,0)))</f>
        <v>???od</v>
      </c>
      <c r="F119" s="131">
        <f t="array" ref="F119">IF(COUNTIF(Podcasts!$D$10:'Podcasts'!$D$2535,$B119)&lt;COLUMN(A82),"",SMALL(IF(Podcasts!$D$10:'Podcasts'!$D$2535=$B119,Podcasts!$E$10:'Podcasts'!$E$2535),COLUMN(A82)))</f>
        <v>41477</v>
      </c>
      <c r="G119" s="132">
        <f t="array" ref="G119">IF(F119="","",INDEX(Podcasts!$F$10:'Podcasts'!$F$2535,MATCH(F119&amp;$B119,Podcasts!$E$10:'Podcasts'!$E$2535&amp;Podcasts!$D$10:'Podcasts'!$D$2535,0)))</f>
        <v>3.2152777777777773E-2</v>
      </c>
      <c r="H119" s="136" t="str">
        <f t="array" ref="H119">IF(I119="","",INDEX(Podcasts!$J$10:'Podcasts'!$J$2535,MATCH(I119&amp;$B119,Podcasts!$E$10:'Podcasts'!$E$2535&amp;Podcasts!$D$10:'Podcasts'!$D$2535,0)))</f>
        <v>Fürst</v>
      </c>
      <c r="I119" s="133">
        <f t="array" ref="I119">IF(COUNTIF(Podcasts!$D$10:'Podcasts'!$D$2535,$B119)&lt;COLUMN(B82),"",SMALL(IF(Podcasts!$D$10:'Podcasts'!$D$2535=$B119,Podcasts!$E$10:'Podcasts'!$E$2535),COLUMN(B82)))</f>
        <v>42050</v>
      </c>
      <c r="J119" s="132">
        <f t="array" ref="J119">IF(I119="","",INDEX(Podcasts!$F$10:'Podcasts'!$F$2535,MATCH(I119&amp;$B119,Podcasts!$E$10:'Podcasts'!$E$2535&amp;Podcasts!$D$10:'Podcasts'!$D$2535,0)))</f>
        <v>1.3194444444444444E-2</v>
      </c>
      <c r="K119" s="136" t="str">
        <f t="array" ref="K119">IF(L119="","",INDEX(Podcasts!$J$10:'Podcasts'!$J$2535,MATCH(L119&amp;$B119,Podcasts!$E$10:'Podcasts'!$E$2535&amp;Podcasts!$D$10:'Podcasts'!$D$2535,0)))</f>
        <v>Talker</v>
      </c>
      <c r="L119" s="133">
        <f t="array" ref="L119">IF(COUNTIF(Podcasts!$D$10:'Podcasts'!$D$2535,$B119)&lt;COLUMN(C82),"",SMALL(IF(Podcasts!$D$10:'Podcasts'!$D$2535=$B119,Podcasts!$E$10:'Podcasts'!$E$2535),COLUMN(C82)))</f>
        <v>42778</v>
      </c>
      <c r="M119" s="132">
        <f t="array" ref="M119">IF(L119="","",INDEX(Podcasts!$F$10:'Podcasts'!$F$2535,MATCH(L119&amp;$B119,Podcasts!$E$10:'Podcasts'!$E$2535&amp;Podcasts!$D$10:'Podcasts'!$D$2535,0)))</f>
        <v>2.56712962962963E-2</v>
      </c>
      <c r="N119" s="136" t="str">
        <f t="array" ref="N119">IF(O119="","",INDEX(Podcasts!$J$10:'Podcasts'!$J$2535,MATCH(O119&amp;$B119,Podcasts!$E$10:'Podcasts'!$E$2535&amp;Podcasts!$D$10:'Podcasts'!$D$2535,0)))</f>
        <v>SSP</v>
      </c>
      <c r="O119" s="133">
        <f t="array" ref="O119">IF(COUNTIF(Podcasts!$D$10:'Podcasts'!$D$2535,$B119)&lt;COLUMN(D82),"",SMALL(IF(Podcasts!$D$10:'Podcasts'!$D$2535=$B119,Podcasts!$E$10:'Podcasts'!$E$2535),COLUMN(D82)))</f>
        <v>43263</v>
      </c>
      <c r="P119" s="132">
        <f t="array" ref="P119">IF(O119="","",INDEX(Podcasts!$F$10:'Podcasts'!$F$2535,MATCH(O119&amp;$B119,Podcasts!$E$10:'Podcasts'!$E$2535&amp;Podcasts!$D$10:'Podcasts'!$D$2535,0)))</f>
        <v>6.8449074074074079E-2</v>
      </c>
      <c r="Q119" s="136" t="str">
        <f t="array" ref="Q119">IF(R119="","",INDEX(Podcasts!$J$10:'Podcasts'!$J$2535,MATCH(R119&amp;$B119,Podcasts!$E$10:'Podcasts'!$E$2535&amp;Podcasts!$D$10:'Podcasts'!$D$2535,0)))</f>
        <v>Zentrale</v>
      </c>
      <c r="R119" s="133">
        <f t="array" ref="R119">IF(COUNTIF(Podcasts!$D$10:'Podcasts'!$D$2535,$B119)&lt;COLUMN(E82),"",SMALL(IF(Podcasts!$D$10:'Podcasts'!$D$2535=$B119,Podcasts!$E$10:'Podcasts'!$E$2535),COLUMN(E82)))</f>
        <v>44107</v>
      </c>
      <c r="S119" s="132">
        <f t="array" ref="S119">IF(R119="","",INDEX(Podcasts!$F$10:'Podcasts'!$F$2535,MATCH(R119&amp;$B119,Podcasts!$E$10:'Podcasts'!$E$2535&amp;Podcasts!$D$10:'Podcasts'!$D$2535,0)))</f>
        <v>0.16192129629629629</v>
      </c>
      <c r="T119" s="136" t="str">
        <f t="array" ref="T119">IF(U119="","",INDEX(Podcasts!$J$10:'Podcasts'!$J$2535,MATCH(U119&amp;$B119,Podcasts!$E$10:'Podcasts'!$E$2535&amp;Podcasts!$D$10:'Podcasts'!$D$2535,0)))</f>
        <v>Kaffee</v>
      </c>
      <c r="U119" s="133">
        <f t="array" ref="U119">IF(COUNTIF(Podcasts!$D$10:'Podcasts'!$D$2535,$B119)&lt;COLUMN(F82),"",SMALL(IF(Podcasts!$D$10:'Podcasts'!$D$2535=$B119,Podcasts!$E$10:'Podcasts'!$E$2535),COLUMN(F82)))</f>
        <v>44232</v>
      </c>
      <c r="V119" s="132">
        <f t="array" ref="V119">IF(U119="","",INDEX(Podcasts!$F$10:'Podcasts'!$F$2535,MATCH(U119&amp;$B119,Podcasts!$E$10:'Podcasts'!$E$2535&amp;Podcasts!$D$10:'Podcasts'!$D$2535,0)))</f>
        <v>2.3634259259259258E-2</v>
      </c>
      <c r="W119" s="136" t="str">
        <f t="array" ref="W119">IF(X119="","",INDEX(Podcasts!$J$10:'Podcasts'!$J$2535,MATCH(X119&amp;$B119,Podcasts!$E$10:'Podcasts'!$E$2535&amp;Podcasts!$D$10:'Podcasts'!$D$2535,0)))</f>
        <v>Kuchen</v>
      </c>
      <c r="X119" s="133">
        <f t="array" ref="X119">IF(COUNTIF(Podcasts!$D$10:'Podcasts'!$D$2535,$B119)&lt;COLUMN(G82),"",SMALL(IF(Podcasts!$D$10:'Podcasts'!$D$2535=$B119,Podcasts!$E$10:'Podcasts'!$E$2535),COLUMN(G82)))</f>
        <v>44262</v>
      </c>
      <c r="Y119" s="132">
        <f t="array" ref="Y119">IF(X119="","",INDEX(Podcasts!$F$10:'Podcasts'!$F$2535,MATCH(X119&amp;$B119,Podcasts!$E$10:'Podcasts'!$E$2535&amp;Podcasts!$D$10:'Podcasts'!$D$2535,0)))</f>
        <v>5.6064814814814817E-2</v>
      </c>
      <c r="Z119" s="136" t="str">
        <f t="array" ref="Z119">IF(AA119="","",INDEX(Podcasts!$J$10:'Podcasts'!$J$2535,MATCH(AA119&amp;$B119,Podcasts!$E$10:'Podcasts'!$E$2535&amp;Podcasts!$D$10:'Podcasts'!$D$2535,0)))</f>
        <v>Fan</v>
      </c>
      <c r="AA119" s="134">
        <f t="array" ref="AA119">IF(COUNTIF(Podcasts!$D$10:'Podcasts'!$D$2535,$B119)&lt;COLUMN(H82),"",SMALL(IF(Podcasts!$D$10:'Podcasts'!$D$2535=$B119,Podcasts!$E$10:'Podcasts'!$E$2535),COLUMN(H82)))</f>
        <v>44326</v>
      </c>
      <c r="AB119" s="404">
        <f t="array" ref="AB119">IF(AA119="","",INDEX(Podcasts!$F$10:'Podcasts'!$F$2535,MATCH(AA119&amp;$B119,Podcasts!$E$10:'Podcasts'!$E$2535&amp;Podcasts!$D$10:'Podcasts'!$D$2535,0)))</f>
        <v>9.1655092592592594E-2</v>
      </c>
      <c r="AC119" s="406" t="str">
        <f t="array" ref="AC119">IF(AD119="","",INDEX(Podcasts!$J$10:'Podcasts'!$J$2535,MATCH(AD119&amp;$B119,Podcasts!$E$10:'Podcasts'!$E$2535&amp;Podcasts!$D$10:'Podcasts'!$D$2535,0)))</f>
        <v>R&amp;A</v>
      </c>
      <c r="AD119" s="400">
        <f t="array" ref="AD119">IF(COUNTIF(Podcasts!$D$10:'Podcasts'!$D$2535,$B119)&lt;COLUMN(I82),"",SMALL(IF(Podcasts!$D$10:'Podcasts'!$D$2535=$B119,Podcasts!$E$10:'Podcasts'!$E$2535),COLUMN(I82)))</f>
        <v>44620.25</v>
      </c>
      <c r="AE119" s="401">
        <f t="array" ref="AE119">IF(AD119="","",INDEX(Podcasts!$F$10:'Podcasts'!$F$2535,MATCH(AD119&amp;$B119,Podcasts!$E$10:'Podcasts'!$E$2535&amp;Podcasts!$D$10:'Podcasts'!$D$2535,0)))</f>
        <v>0.10909722222222222</v>
      </c>
      <c r="AF119" s="406" t="str">
        <f t="array" ref="AF119">IF(AG119="","",INDEX(Podcasts!$J$10:'Podcasts'!$J$2535,MATCH(AG119&amp;$B119,Podcasts!$E$10:'Podcasts'!$E$2535&amp;Podcasts!$D$10:'Podcasts'!$D$2535,0)))</f>
        <v>Zw3i</v>
      </c>
      <c r="AG119" s="400">
        <f t="array" ref="AG119">IF(COUNTIF(Podcasts!$D$10:'Podcasts'!$D$2535,$B119)&lt;COLUMN(J82),"",SMALL(IF(Podcasts!$D$10:'Podcasts'!$D$2535=$B119,Podcasts!$E$10:'Podcasts'!$E$2535),COLUMN(J82)))</f>
        <v>44890</v>
      </c>
      <c r="AH119" s="401">
        <f t="array" ref="AH119">IF(AG119="","",INDEX(Podcasts!$F$10:'Podcasts'!$F$2535,MATCH(AG119&amp;$B119,Podcasts!$E$10:'Podcasts'!$E$2535&amp;Podcasts!$D$10:'Podcasts'!$D$2535,0)))</f>
        <v>0.12019675925925927</v>
      </c>
      <c r="AI119" s="406" t="str">
        <f t="array" ref="AI119">IF(AJ119="","",INDEX(Podcasts!$J$10:'Podcasts'!$J$2535,MATCH(AJ119&amp;$B119,Podcasts!$E$10:'Podcasts'!$E$2535&amp;Podcasts!$D$10:'Podcasts'!$D$2535,0)))</f>
        <v>Zeichen</v>
      </c>
      <c r="AJ119" s="400">
        <f t="array" ref="AJ119">IF(COUNTIF(Podcasts!$D$10:'Podcasts'!$D$2535,$B119)&lt;COLUMN(K82),"",SMALL(IF(Podcasts!$D$10:'Podcasts'!$D$2535=$B119,Podcasts!$E$10:'Podcasts'!$E$2535),COLUMN(K82)))</f>
        <v>45379</v>
      </c>
      <c r="AK119" s="401">
        <f t="array" ref="AK119">IF(AJ119="","",INDEX(Podcasts!$F$10:'Podcasts'!$F$2535,MATCH(AJ119&amp;$B119,Podcasts!$E$10:'Podcasts'!$E$2535&amp;Podcasts!$D$10:'Podcasts'!$D$2535,0)))</f>
        <v>0.10311342592592593</v>
      </c>
      <c r="AL119" s="406" t="str">
        <f t="array" ref="AL119">IF(AM119="","",INDEX(Podcasts!$J$10:'Podcasts'!$J$2535,MATCH(AM119&amp;$B119,Podcasts!$E$10:'Podcasts'!$E$2535&amp;Podcasts!$D$10:'Podcasts'!$D$2535,0)))</f>
        <v/>
      </c>
      <c r="AM119" s="400" t="str">
        <f t="array" ref="AM119">IF(COUNTIF(Podcasts!$D$10:'Podcasts'!$D$2535,$B119)&lt;COLUMN(L82),"",SMALL(IF(Podcasts!$D$10:'Podcasts'!$D$2535=$B119,Podcasts!$E$10:'Podcasts'!$E$2535),COLUMN(L82)))</f>
        <v/>
      </c>
      <c r="AN119" s="401" t="str">
        <f t="array" ref="AN119">IF(AM119="","",INDEX(Podcasts!$F$10:'Podcasts'!$F$2535,MATCH(AM119&amp;$B119,Podcasts!$E$10:'Podcasts'!$E$2535&amp;Podcasts!$D$10:'Podcasts'!$D$2535,0)))</f>
        <v/>
      </c>
      <c r="AO119" s="402"/>
      <c r="AP119" s="119"/>
      <c r="AQ119" s="117">
        <f t="array" aca="1" ref="AQ119" ca="1">IFERROR(SMALL(IF(COUNTIF(Podcasts!$D$10:'Podcasts'!$D$107,ROW(INDIRECT("1:"&amp;K$2)))=0,ROW(INDIRECT("1:"&amp;K$2))),ROW($A76)),"")</f>
        <v>106</v>
      </c>
      <c r="AR119" s="117">
        <f t="array" aca="1" ref="AR119" ca="1">IFERROR(SMALL(IF(COUNTIF(Podcasts!$D$113:'Podcasts'!$D$238,ROW(INDIRECT("1:"&amp;K$2)))=0,ROW(INDIRECT("1:"&amp;K$2))),ROW($A76)),"")</f>
        <v>76</v>
      </c>
      <c r="AS119" s="117">
        <f t="array" aca="1" ref="AS119" ca="1">IFERROR(SMALL(IF(COUNTIF(Podcasts!$D$244:'Podcasts'!$D$299,ROW(INDIRECT("1:"&amp;K$2)))=0,ROW(INDIRECT("1:"&amp;K$2))),ROW($A76)),"")</f>
        <v>94</v>
      </c>
      <c r="AT119" s="117">
        <f t="array" aca="1" ref="AT119" ca="1">IFERROR(SMALL(IF(COUNTIF(Podcasts!$D$305:'Podcasts'!$D$473,ROW(INDIRECT("1:"&amp;K$2)))=0,ROW(INDIRECT("1:"&amp;K$2))),ROW($A76)),"")</f>
        <v>211</v>
      </c>
      <c r="AU119" s="117">
        <f t="array" aca="1" ref="AU119" ca="1">IFERROR(SMALL(IF(COUNTIF(Podcasts!$D$479:'Podcasts'!$D$488,ROW(INDIRECT("1:"&amp;K$2)))=0,ROW(INDIRECT("1:"&amp;K$2))),ROW($A76)),"")</f>
        <v>76</v>
      </c>
      <c r="AV119" s="117">
        <f t="array" aca="1" ref="AV119" ca="1">IFERROR(SMALL(IF(COUNTIF(Podcasts!$D$494:'Podcasts'!$D$518,ROW(INDIRECT("1:"&amp;K$2)))=0,ROW(INDIRECT("1:"&amp;K$2))),ROW($A76)),"")</f>
        <v>94</v>
      </c>
      <c r="AW119" s="117">
        <f t="array" aca="1" ref="AW119" ca="1">IFERROR(SMALL(IF(COUNTIF(Podcasts!$D$524:'Podcasts'!$D$532,ROW(INDIRECT("1:"&amp;K$2)))=0,ROW(INDIRECT("1:"&amp;K$2))),ROW($A76)),"")</f>
        <v>76</v>
      </c>
      <c r="AX119" s="117">
        <f t="array" aca="1" ref="AX119" ca="1">IFERROR(SMALL(IF(COUNTIF(Podcasts!$D$538:'Podcasts'!$D$909,ROW(INDIRECT("1:"&amp;K$2)))=0,ROW(INDIRECT("1:"&amp;K$2))),ROW($A76)),"")</f>
        <v>203</v>
      </c>
      <c r="AY119" s="117">
        <f t="array" aca="1" ref="AY119" ca="1">IFERROR(SMALL(IF(COUNTIF(Podcasts!$D$915:'Podcasts'!$D$981,ROW(INDIRECT("1:"&amp;K$2)))=0,ROW(INDIRECT("1:"&amp;K$2))),ROW($A76)),"")</f>
        <v>120</v>
      </c>
      <c r="AZ119" s="445"/>
      <c r="BA119" s="117">
        <f t="array" aca="1" ref="BA119" ca="1">IFERROR(SMALL(IF(COUNTIF(Podcasts!$D$1001:'Podcasts'!$D$1251,ROW(INDIRECT("1:"&amp;K$2)))=0,ROW(INDIRECT("1:"&amp;K$2))),ROW($A76)),"")</f>
        <v>118</v>
      </c>
      <c r="BB119" s="117">
        <f t="array" aca="1" ref="BB119" ca="1">IFERROR(SMALL(IF(COUNTIF(Podcasts!$D$1257:'Podcasts'!$D$1267,ROW(INDIRECT("1:"&amp;K$2)))=0,ROW(INDIRECT("1:"&amp;K$2))),ROW($A76)),"")</f>
        <v>78</v>
      </c>
      <c r="BC119" s="117">
        <f t="array" aca="1" ref="BC119" ca="1">IFERROR(SMALL(IF(COUNTIF(Podcasts!$D$1273:'Podcasts'!$D$1283,ROW(INDIRECT("1:"&amp;K$2)))=0,ROW(INDIRECT("1:"&amp;K$2))),ROW($A76)),"")</f>
        <v>80</v>
      </c>
      <c r="BD119" s="117">
        <f t="array" aca="1" ref="BD119" ca="1">IFERROR(SMALL(IF(COUNTIF(Podcasts!$D$1289:'Podcasts'!$D$1295,ROW(INDIRECT("1:"&amp;K$2)))=0,ROW(INDIRECT("1:"&amp;K$2))),ROW($A76)),"")</f>
        <v>78</v>
      </c>
      <c r="BE119" s="117">
        <f t="array" aca="1" ref="BE119" ca="1">IFERROR(SMALL(IF(COUNTIF(Podcasts!$D$1301:'Podcasts'!$D$1356,ROW(INDIRECT("1:"&amp;K$2)))=0,ROW(INDIRECT("1:"&amp;K$2))),ROW($A76)),"")</f>
        <v>123</v>
      </c>
      <c r="BF119" s="117">
        <f t="array" aca="1" ref="BF119" ca="1">IFERROR(SMALL(IF(COUNTIF(Podcasts!$D$1362:'Podcasts'!$D$1364,ROW(INDIRECT("1:"&amp;K$2)))=0,ROW(INDIRECT("1:"&amp;K$2))),ROW($A76)),"")</f>
        <v>79</v>
      </c>
      <c r="BG119" s="202">
        <f t="array" aca="1" ref="BG119" ca="1">IFERROR(SMALL(IF(COUNTIF(Podcasts!$D$1370:'Podcasts'!$D$1419,ROW(INDIRECT("1:"&amp;K$2)))=0,ROW(INDIRECT("1:"&amp;K$2))),ROW($A76)),"")</f>
        <v>96</v>
      </c>
      <c r="BH119" s="202">
        <f t="array" aca="1" ref="BH119" ca="1">IFERROR(SMALL(IF(COUNTIF(Podcasts!$D$1425:'Podcasts'!$D$1446,ROW(INDIRECT("1:"&amp;K$2)))=0,ROW(INDIRECT("1:"&amp;K$2))),ROW($A76)),"")</f>
        <v>82</v>
      </c>
      <c r="BI119" s="202">
        <f t="array" aca="1" ref="BI119" ca="1">IFERROR(SMALL(IF(COUNTIF(Podcasts!$D$1452:'Podcasts'!$D$1574,ROW(INDIRECT("1:"&amp;K$2)))=0,ROW(INDIRECT("1:"&amp;K$2))),ROW($A76)),"")</f>
        <v>135</v>
      </c>
      <c r="BJ119" s="202">
        <f t="array" aca="1" ref="BJ119" ca="1">IFERROR(SMALL(IF(COUNTIF(Podcasts!$D$1580:'Podcasts'!$D$1705,ROW(INDIRECT("1:"&amp;K$2)))=0,ROW(INDIRECT("1:"&amp;K$2))),ROW($A76)),"")</f>
        <v>134</v>
      </c>
      <c r="BK119" s="202">
        <f t="array" aca="1" ref="BK119" ca="1">IFERROR(SMALL(IF(COUNTIF(Podcasts!$D$1711:'Podcasts'!$D$1833,ROW(INDIRECT("1:"&amp;K$2)))=0,ROW(INDIRECT("1:"&amp;K$2))),ROW($A76)),"")</f>
        <v>117</v>
      </c>
      <c r="BL119" s="202">
        <f t="array" aca="1" ref="BL119" ca="1">IFERROR(SMALL(IF(COUNTIF(Podcasts!$D$1839:'Podcasts'!$D$1855,ROW(INDIRECT("1:"&amp;K$2)))=0,ROW(INDIRECT("1:"&amp;K$2))),ROW($A76)),"")</f>
        <v>84</v>
      </c>
      <c r="BM119" s="567">
        <f t="array" aca="1" ref="BM119" ca="1">IFERROR(SMALL(IF(COUNTIF(Podcasts!$D$1861:'Podcasts'!$D$1994,ROW(INDIRECT("1:"&amp;K$2)))=0,ROW(INDIRECT("1:"&amp;K$2))),ROW($A76)),"")</f>
        <v>108</v>
      </c>
      <c r="BN119" s="567">
        <f t="array" aca="1" ref="BN119" ca="1">IFERROR(SMALL(IF(COUNTIF(Podcasts!$D$2000:'Podcasts'!$D$2057,ROW(INDIRECT("1:"&amp;K$2)))=0,ROW(INDIRECT("1:"&amp;K$2))),ROW($A76)),"")</f>
        <v>131</v>
      </c>
      <c r="BO119" s="567">
        <f t="array" aca="1" ref="BO119" ca="1">IFERROR(SMALL(IF(COUNTIF(Podcasts!$D$2063:'Podcasts'!$D$2071,ROW(INDIRECT("1:"&amp;K$2)))=0,ROW(INDIRECT("1:"&amp;K$2))),ROW($A76)),"")</f>
        <v>76</v>
      </c>
      <c r="BP119" s="202">
        <f t="array" aca="1" ref="BP119" ca="1">IFERROR(SMALL(IF(COUNTIF(Podcasts!$D$2077:'Podcasts'!$D$2092,ROW(INDIRECT("1:"&amp;K$2)))=0,ROW(INDIRECT("1:"&amp;K$2))),ROW($A76)),"")</f>
        <v>87</v>
      </c>
      <c r="BQ119" s="741">
        <f t="array" aca="1" ref="BQ119" ca="1">IFERROR(SMALL(IF(COUNTIF(Podcasts!$D$2098:'Podcasts'!$D$2114,ROW(INDIRECT("1:"&amp;K$2)))=0,ROW(INDIRECT("1:"&amp;K$2))),ROW($A76)),"")</f>
        <v>80</v>
      </c>
      <c r="BR119" s="744">
        <f t="array" aca="1" ref="BR119" ca="1">IFERROR(SMALL(IF(COUNTIF(Podcasts!$D$2120:'Podcasts'!$D$2124,ROW(INDIRECT("1:"&amp;K$2)))=0,ROW(INDIRECT("1:"&amp;K$2))),ROW($A76)),"")</f>
        <v>78</v>
      </c>
      <c r="BS119" s="28"/>
    </row>
    <row r="120" spans="1:71" outlineLevel="1">
      <c r="A120" s="28"/>
      <c r="B120" s="161">
        <v>77</v>
      </c>
      <c r="C120" s="161">
        <f>COUNTIF(Podcasts!$D$10:'Podcasts'!$D$2535,B120)</f>
        <v>6</v>
      </c>
      <c r="D120" s="158" t="s">
        <v>1105</v>
      </c>
      <c r="E120" s="156" t="str">
        <f t="array" ref="E120">IF(F120="","",INDEX(Podcasts!$J$10:'Podcasts'!$J$2535,MATCH(F120&amp;$B120,Podcasts!$E$10:'Podcasts'!$E$2535&amp;Podcasts!$D$10:'Podcasts'!$D$2535,0)))</f>
        <v>Fürst</v>
      </c>
      <c r="F120" s="131">
        <f t="array" ref="F120">IF(COUNTIF(Podcasts!$D$10:'Podcasts'!$D$2535,$B120)&lt;COLUMN(A83),"",SMALL(IF(Podcasts!$D$10:'Podcasts'!$D$2535=$B120,Podcasts!$E$10:'Podcasts'!$E$2535),COLUMN(A83)))</f>
        <v>41745</v>
      </c>
      <c r="G120" s="132">
        <f t="array" ref="G120">IF(F120="","",INDEX(Podcasts!$F$10:'Podcasts'!$F$2535,MATCH(F120&amp;$B120,Podcasts!$E$10:'Podcasts'!$E$2535&amp;Podcasts!$D$10:'Podcasts'!$D$2535,0)))</f>
        <v>5.0347222222222252E-3</v>
      </c>
      <c r="H120" s="136" t="str">
        <f t="array" ref="H120">IF(I120="","",INDEX(Podcasts!$J$10:'Podcasts'!$J$2535,MATCH(I120&amp;$B120,Podcasts!$E$10:'Podcasts'!$E$2535&amp;Podcasts!$D$10:'Podcasts'!$D$2535,0)))</f>
        <v>Kuchen</v>
      </c>
      <c r="I120" s="133">
        <f t="array" ref="I120">IF(COUNTIF(Podcasts!$D$10:'Podcasts'!$D$2535,$B120)&lt;COLUMN(B83),"",SMALL(IF(Podcasts!$D$10:'Podcasts'!$D$2535=$B120,Podcasts!$E$10:'Podcasts'!$E$2535),COLUMN(B83)))</f>
        <v>44612.04215277778</v>
      </c>
      <c r="J120" s="132">
        <f t="array" ref="J120">IF(I120="","",INDEX(Podcasts!$F$10:'Podcasts'!$F$2535,MATCH(I120&amp;$B120,Podcasts!$E$10:'Podcasts'!$E$2535&amp;Podcasts!$D$10:'Podcasts'!$D$2535,0)))</f>
        <v>8.7106481481481479E-2</v>
      </c>
      <c r="K120" s="136" t="str">
        <f t="array" ref="K120">IF(L120="","",INDEX(Podcasts!$J$10:'Podcasts'!$J$2535,MATCH(L120&amp;$B120,Podcasts!$E$10:'Podcasts'!$E$2535&amp;Podcasts!$D$10:'Podcasts'!$D$2535,0)))</f>
        <v>Zeichen</v>
      </c>
      <c r="L120" s="133">
        <f t="array" ref="L120">IF(COUNTIF(Podcasts!$D$10:'Podcasts'!$D$2535,$B120)&lt;COLUMN(C83),"",SMALL(IF(Podcasts!$D$10:'Podcasts'!$D$2535=$B120,Podcasts!$E$10:'Podcasts'!$E$2535),COLUMN(C83)))</f>
        <v>44614</v>
      </c>
      <c r="M120" s="132">
        <f t="array" ref="M120">IF(L120="","",INDEX(Podcasts!$F$10:'Podcasts'!$F$2535,MATCH(L120&amp;$B120,Podcasts!$E$10:'Podcasts'!$E$2535&amp;Podcasts!$D$10:'Podcasts'!$D$2535,0)))</f>
        <v>7.9259259259259265E-2</v>
      </c>
      <c r="N120" s="136" t="str">
        <f t="array" ref="N120">IF(O120="","",INDEX(Podcasts!$J$10:'Podcasts'!$J$2535,MATCH(O120&amp;$B120,Podcasts!$E$10:'Podcasts'!$E$2535&amp;Podcasts!$D$10:'Podcasts'!$D$2535,0)))</f>
        <v>Kaffee</v>
      </c>
      <c r="O120" s="133">
        <f t="array" ref="O120">IF(COUNTIF(Podcasts!$D$10:'Podcasts'!$D$2535,$B120)&lt;COLUMN(D83),"",SMALL(IF(Podcasts!$D$10:'Podcasts'!$D$2535=$B120,Podcasts!$E$10:'Podcasts'!$E$2535),COLUMN(D83)))</f>
        <v>44827</v>
      </c>
      <c r="P120" s="132">
        <f t="array" ref="P120">IF(O120="","",INDEX(Podcasts!$F$10:'Podcasts'!$F$2535,MATCH(O120&amp;$B120,Podcasts!$E$10:'Podcasts'!$E$2535&amp;Podcasts!$D$10:'Podcasts'!$D$2535,0)))</f>
        <v>2.4236111111111111E-2</v>
      </c>
      <c r="Q120" s="136" t="str">
        <f t="array" ref="Q120">IF(R120="","",INDEX(Podcasts!$J$10:'Podcasts'!$J$2535,MATCH(R120&amp;$B120,Podcasts!$E$10:'Podcasts'!$E$2535&amp;Podcasts!$D$10:'Podcasts'!$D$2535,0)))</f>
        <v>:punkt</v>
      </c>
      <c r="R120" s="133">
        <f t="array" ref="R120">IF(COUNTIF(Podcasts!$D$10:'Podcasts'!$D$2535,$B120)&lt;COLUMN(E83),"",SMALL(IF(Podcasts!$D$10:'Podcasts'!$D$2535=$B120,Podcasts!$E$10:'Podcasts'!$E$2535),COLUMN(E83)))</f>
        <v>44941</v>
      </c>
      <c r="S120" s="132">
        <f t="array" ref="S120">IF(R120="","",INDEX(Podcasts!$F$10:'Podcasts'!$F$2535,MATCH(R120&amp;$B120,Podcasts!$E$10:'Podcasts'!$E$2535&amp;Podcasts!$D$10:'Podcasts'!$D$2535,0)))</f>
        <v>4.65625E-2</v>
      </c>
      <c r="T120" s="136" t="str">
        <f t="array" ref="T120">IF(U120="","",INDEX(Podcasts!$J$10:'Podcasts'!$J$2535,MATCH(U120&amp;$B120,Podcasts!$E$10:'Podcasts'!$E$2535&amp;Podcasts!$D$10:'Podcasts'!$D$2535,0)))</f>
        <v>Zw3i</v>
      </c>
      <c r="U120" s="133">
        <f t="array" ref="U120">IF(COUNTIF(Podcasts!$D$10:'Podcasts'!$D$2535,$B120)&lt;COLUMN(F83),"",SMALL(IF(Podcasts!$D$10:'Podcasts'!$D$2535=$B120,Podcasts!$E$10:'Podcasts'!$E$2535),COLUMN(F83)))</f>
        <v>45331</v>
      </c>
      <c r="V120" s="132">
        <f t="array" ref="V120">IF(U120="","",INDEX(Podcasts!$F$10:'Podcasts'!$F$2535,MATCH(U120&amp;$B120,Podcasts!$E$10:'Podcasts'!$E$2535&amp;Podcasts!$D$10:'Podcasts'!$D$2535,0)))</f>
        <v>6.8101851851851858E-2</v>
      </c>
      <c r="W120" s="136" t="str">
        <f t="array" ref="W120">IF(X120="","",INDEX(Podcasts!$J$10:'Podcasts'!$J$2535,MATCH(X120&amp;$B120,Podcasts!$E$10:'Podcasts'!$E$2535&amp;Podcasts!$D$10:'Podcasts'!$D$2535,0)))</f>
        <v/>
      </c>
      <c r="X120" s="133" t="str">
        <f t="array" ref="X120">IF(COUNTIF(Podcasts!$D$10:'Podcasts'!$D$2535,$B120)&lt;COLUMN(G83),"",SMALL(IF(Podcasts!$D$10:'Podcasts'!$D$2535=$B120,Podcasts!$E$10:'Podcasts'!$E$2535),COLUMN(G83)))</f>
        <v/>
      </c>
      <c r="Y120" s="132" t="str">
        <f t="array" ref="Y120">IF(X120="","",INDEX(Podcasts!$F$10:'Podcasts'!$F$2535,MATCH(X120&amp;$B120,Podcasts!$E$10:'Podcasts'!$E$2535&amp;Podcasts!$D$10:'Podcasts'!$D$2535,0)))</f>
        <v/>
      </c>
      <c r="Z120" s="136" t="str">
        <f t="array" ref="Z120">IF(AA120="","",INDEX(Podcasts!$J$10:'Podcasts'!$J$2535,MATCH(AA120&amp;$B120,Podcasts!$E$10:'Podcasts'!$E$2535&amp;Podcasts!$D$10:'Podcasts'!$D$2535,0)))</f>
        <v/>
      </c>
      <c r="AA120" s="134" t="str">
        <f t="array" ref="AA120">IF(COUNTIF(Podcasts!$D$10:'Podcasts'!$D$2535,$B120)&lt;COLUMN(H83),"",SMALL(IF(Podcasts!$D$10:'Podcasts'!$D$2535=$B120,Podcasts!$E$10:'Podcasts'!$E$2535),COLUMN(H83)))</f>
        <v/>
      </c>
      <c r="AB120" s="404" t="str">
        <f t="array" ref="AB120">IF(AA120="","",INDEX(Podcasts!$F$10:'Podcasts'!$F$2535,MATCH(AA120&amp;$B120,Podcasts!$E$10:'Podcasts'!$E$2535&amp;Podcasts!$D$10:'Podcasts'!$D$2535,0)))</f>
        <v/>
      </c>
      <c r="AC120" s="406" t="str">
        <f t="array" ref="AC120">IF(AD120="","",INDEX(Podcasts!$J$10:'Podcasts'!$J$2535,MATCH(AD120&amp;$B120,Podcasts!$E$10:'Podcasts'!$E$2535&amp;Podcasts!$D$10:'Podcasts'!$D$2535,0)))</f>
        <v/>
      </c>
      <c r="AD120" s="400" t="str">
        <f t="array" ref="AD120">IF(COUNTIF(Podcasts!$D$10:'Podcasts'!$D$2535,$B120)&lt;COLUMN(I83),"",SMALL(IF(Podcasts!$D$10:'Podcasts'!$D$2535=$B120,Podcasts!$E$10:'Podcasts'!$E$2535),COLUMN(I83)))</f>
        <v/>
      </c>
      <c r="AE120" s="401" t="str">
        <f t="array" ref="AE120">IF(AD120="","",INDEX(Podcasts!$F$10:'Podcasts'!$F$2535,MATCH(AD120&amp;$B120,Podcasts!$E$10:'Podcasts'!$E$2535&amp;Podcasts!$D$10:'Podcasts'!$D$2535,0)))</f>
        <v/>
      </c>
      <c r="AF120" s="406" t="str">
        <f t="array" ref="AF120">IF(AG120="","",INDEX(Podcasts!$J$10:'Podcasts'!$J$2535,MATCH(AG120&amp;$B120,Podcasts!$E$10:'Podcasts'!$E$2535&amp;Podcasts!$D$10:'Podcasts'!$D$2535,0)))</f>
        <v/>
      </c>
      <c r="AG120" s="400" t="str">
        <f t="array" ref="AG120">IF(COUNTIF(Podcasts!$D$10:'Podcasts'!$D$2535,$B120)&lt;COLUMN(J83),"",SMALL(IF(Podcasts!$D$10:'Podcasts'!$D$2535=$B120,Podcasts!$E$10:'Podcasts'!$E$2535),COLUMN(J83)))</f>
        <v/>
      </c>
      <c r="AH120" s="401" t="str">
        <f t="array" ref="AH120">IF(AG120="","",INDEX(Podcasts!$F$10:'Podcasts'!$F$2535,MATCH(AG120&amp;$B120,Podcasts!$E$10:'Podcasts'!$E$2535&amp;Podcasts!$D$10:'Podcasts'!$D$2535,0)))</f>
        <v/>
      </c>
      <c r="AI120" s="406" t="str">
        <f t="array" ref="AI120">IF(AJ120="","",INDEX(Podcasts!$J$10:'Podcasts'!$J$2535,MATCH(AJ120&amp;$B120,Podcasts!$E$10:'Podcasts'!$E$2535&amp;Podcasts!$D$10:'Podcasts'!$D$2535,0)))</f>
        <v/>
      </c>
      <c r="AJ120" s="400" t="str">
        <f t="array" ref="AJ120">IF(COUNTIF(Podcasts!$D$10:'Podcasts'!$D$2535,$B120)&lt;COLUMN(K83),"",SMALL(IF(Podcasts!$D$10:'Podcasts'!$D$2535=$B120,Podcasts!$E$10:'Podcasts'!$E$2535),COLUMN(K83)))</f>
        <v/>
      </c>
      <c r="AK120" s="401" t="str">
        <f t="array" ref="AK120">IF(AJ120="","",INDEX(Podcasts!$F$10:'Podcasts'!$F$2535,MATCH(AJ120&amp;$B120,Podcasts!$E$10:'Podcasts'!$E$2535&amp;Podcasts!$D$10:'Podcasts'!$D$2535,0)))</f>
        <v/>
      </c>
      <c r="AL120" s="406" t="str">
        <f t="array" ref="AL120">IF(AM120="","",INDEX(Podcasts!$J$10:'Podcasts'!$J$2535,MATCH(AM120&amp;$B120,Podcasts!$E$10:'Podcasts'!$E$2535&amp;Podcasts!$D$10:'Podcasts'!$D$2535,0)))</f>
        <v/>
      </c>
      <c r="AM120" s="400" t="str">
        <f t="array" ref="AM120">IF(COUNTIF(Podcasts!$D$10:'Podcasts'!$D$2535,$B120)&lt;COLUMN(L83),"",SMALL(IF(Podcasts!$D$10:'Podcasts'!$D$2535=$B120,Podcasts!$E$10:'Podcasts'!$E$2535),COLUMN(L83)))</f>
        <v/>
      </c>
      <c r="AN120" s="401" t="str">
        <f t="array" ref="AN120">IF(AM120="","",INDEX(Podcasts!$F$10:'Podcasts'!$F$2535,MATCH(AM120&amp;$B120,Podcasts!$E$10:'Podcasts'!$E$2535&amp;Podcasts!$D$10:'Podcasts'!$D$2535,0)))</f>
        <v/>
      </c>
      <c r="AO120" s="402"/>
      <c r="AP120" s="119"/>
      <c r="AQ120" s="117">
        <f t="array" aca="1" ref="AQ120" ca="1">IFERROR(SMALL(IF(COUNTIF(Podcasts!$D$10:'Podcasts'!$D$107,ROW(INDIRECT("1:"&amp;K$2)))=0,ROW(INDIRECT("1:"&amp;K$2))),ROW($A77)),"")</f>
        <v>107</v>
      </c>
      <c r="AR120" s="117">
        <f t="array" aca="1" ref="AR120" ca="1">IFERROR(SMALL(IF(COUNTIF(Podcasts!$D$113:'Podcasts'!$D$238,ROW(INDIRECT("1:"&amp;K$2)))=0,ROW(INDIRECT("1:"&amp;K$2))),ROW($A77)),"")</f>
        <v>77</v>
      </c>
      <c r="AS120" s="117">
        <f t="array" aca="1" ref="AS120" ca="1">IFERROR(SMALL(IF(COUNTIF(Podcasts!$D$244:'Podcasts'!$D$299,ROW(INDIRECT("1:"&amp;K$2)))=0,ROW(INDIRECT("1:"&amp;K$2))),ROW($A77)),"")</f>
        <v>95</v>
      </c>
      <c r="AT120" s="117">
        <f t="array" aca="1" ref="AT120" ca="1">IFERROR(SMALL(IF(COUNTIF(Podcasts!$D$305:'Podcasts'!$D$473,ROW(INDIRECT("1:"&amp;K$2)))=0,ROW(INDIRECT("1:"&amp;K$2))),ROW($A77)),"")</f>
        <v>212</v>
      </c>
      <c r="AU120" s="117">
        <f t="array" aca="1" ref="AU120" ca="1">IFERROR(SMALL(IF(COUNTIF(Podcasts!$D$479:'Podcasts'!$D$488,ROW(INDIRECT("1:"&amp;K$2)))=0,ROW(INDIRECT("1:"&amp;K$2))),ROW($A77)),"")</f>
        <v>77</v>
      </c>
      <c r="AV120" s="117">
        <f t="array" aca="1" ref="AV120" ca="1">IFERROR(SMALL(IF(COUNTIF(Podcasts!$D$494:'Podcasts'!$D$518,ROW(INDIRECT("1:"&amp;K$2)))=0,ROW(INDIRECT("1:"&amp;K$2))),ROW($A77)),"")</f>
        <v>95</v>
      </c>
      <c r="AW120" s="117">
        <f t="array" aca="1" ref="AW120" ca="1">IFERROR(SMALL(IF(COUNTIF(Podcasts!$D$524:'Podcasts'!$D$532,ROW(INDIRECT("1:"&amp;K$2)))=0,ROW(INDIRECT("1:"&amp;K$2))),ROW($A77)),"")</f>
        <v>77</v>
      </c>
      <c r="AX120" s="117">
        <f t="array" aca="1" ref="AX120" ca="1">IFERROR(SMALL(IF(COUNTIF(Podcasts!$D$538:'Podcasts'!$D$909,ROW(INDIRECT("1:"&amp;K$2)))=0,ROW(INDIRECT("1:"&amp;K$2))),ROW($A77)),"")</f>
        <v>204</v>
      </c>
      <c r="AY120" s="117">
        <f t="array" aca="1" ref="AY120" ca="1">IFERROR(SMALL(IF(COUNTIF(Podcasts!$D$915:'Podcasts'!$D$981,ROW(INDIRECT("1:"&amp;K$2)))=0,ROW(INDIRECT("1:"&amp;K$2))),ROW($A77)),"")</f>
        <v>121</v>
      </c>
      <c r="AZ120" s="445"/>
      <c r="BA120" s="117">
        <f t="array" aca="1" ref="BA120" ca="1">IFERROR(SMALL(IF(COUNTIF(Podcasts!$D$1001:'Podcasts'!$D$1251,ROW(INDIRECT("1:"&amp;K$2)))=0,ROW(INDIRECT("1:"&amp;K$2))),ROW($A77)),"")</f>
        <v>119</v>
      </c>
      <c r="BB120" s="117">
        <f t="array" aca="1" ref="BB120" ca="1">IFERROR(SMALL(IF(COUNTIF(Podcasts!$D$1257:'Podcasts'!$D$1267,ROW(INDIRECT("1:"&amp;K$2)))=0,ROW(INDIRECT("1:"&amp;K$2))),ROW($A77)),"")</f>
        <v>79</v>
      </c>
      <c r="BC120" s="117">
        <f t="array" aca="1" ref="BC120" ca="1">IFERROR(SMALL(IF(COUNTIF(Podcasts!$D$1273:'Podcasts'!$D$1283,ROW(INDIRECT("1:"&amp;K$2)))=0,ROW(INDIRECT("1:"&amp;K$2))),ROW($A77)),"")</f>
        <v>81</v>
      </c>
      <c r="BD120" s="117">
        <f t="array" aca="1" ref="BD120" ca="1">IFERROR(SMALL(IF(COUNTIF(Podcasts!$D$1289:'Podcasts'!$D$1295,ROW(INDIRECT("1:"&amp;K$2)))=0,ROW(INDIRECT("1:"&amp;K$2))),ROW($A77)),"")</f>
        <v>79</v>
      </c>
      <c r="BE120" s="117">
        <f t="array" aca="1" ref="BE120" ca="1">IFERROR(SMALL(IF(COUNTIF(Podcasts!$D$1301:'Podcasts'!$D$1356,ROW(INDIRECT("1:"&amp;K$2)))=0,ROW(INDIRECT("1:"&amp;K$2))),ROW($A77)),"")</f>
        <v>124</v>
      </c>
      <c r="BF120" s="117">
        <f t="array" aca="1" ref="BF120" ca="1">IFERROR(SMALL(IF(COUNTIF(Podcasts!$D$1362:'Podcasts'!$D$1364,ROW(INDIRECT("1:"&amp;K$2)))=0,ROW(INDIRECT("1:"&amp;K$2))),ROW($A77)),"")</f>
        <v>80</v>
      </c>
      <c r="BG120" s="202">
        <f t="array" aca="1" ref="BG120" ca="1">IFERROR(SMALL(IF(COUNTIF(Podcasts!$D$1370:'Podcasts'!$D$1419,ROW(INDIRECT("1:"&amp;K$2)))=0,ROW(INDIRECT("1:"&amp;K$2))),ROW($A77)),"")</f>
        <v>97</v>
      </c>
      <c r="BH120" s="202">
        <f t="array" aca="1" ref="BH120" ca="1">IFERROR(SMALL(IF(COUNTIF(Podcasts!$D$1425:'Podcasts'!$D$1446,ROW(INDIRECT("1:"&amp;K$2)))=0,ROW(INDIRECT("1:"&amp;K$2))),ROW($A77)),"")</f>
        <v>83</v>
      </c>
      <c r="BI120" s="202">
        <f t="array" aca="1" ref="BI120" ca="1">IFERROR(SMALL(IF(COUNTIF(Podcasts!$D$1452:'Podcasts'!$D$1574,ROW(INDIRECT("1:"&amp;K$2)))=0,ROW(INDIRECT("1:"&amp;K$2))),ROW($A77)),"")</f>
        <v>137</v>
      </c>
      <c r="BJ120" s="202">
        <f t="array" aca="1" ref="BJ120" ca="1">IFERROR(SMALL(IF(COUNTIF(Podcasts!$D$1580:'Podcasts'!$D$1705,ROW(INDIRECT("1:"&amp;K$2)))=0,ROW(INDIRECT("1:"&amp;K$2))),ROW($A77)),"")</f>
        <v>135</v>
      </c>
      <c r="BK120" s="202">
        <f t="array" aca="1" ref="BK120" ca="1">IFERROR(SMALL(IF(COUNTIF(Podcasts!$D$1711:'Podcasts'!$D$1833,ROW(INDIRECT("1:"&amp;K$2)))=0,ROW(INDIRECT("1:"&amp;K$2))),ROW($A77)),"")</f>
        <v>118</v>
      </c>
      <c r="BL120" s="202">
        <f t="array" aca="1" ref="BL120" ca="1">IFERROR(SMALL(IF(COUNTIF(Podcasts!$D$1839:'Podcasts'!$D$1855,ROW(INDIRECT("1:"&amp;K$2)))=0,ROW(INDIRECT("1:"&amp;K$2))),ROW($A77)),"")</f>
        <v>85</v>
      </c>
      <c r="BM120" s="567">
        <f t="array" aca="1" ref="BM120" ca="1">IFERROR(SMALL(IF(COUNTIF(Podcasts!$D$1861:'Podcasts'!$D$1994,ROW(INDIRECT("1:"&amp;K$2)))=0,ROW(INDIRECT("1:"&amp;K$2))),ROW($A77)),"")</f>
        <v>110</v>
      </c>
      <c r="BN120" s="567">
        <f t="array" aca="1" ref="BN120" ca="1">IFERROR(SMALL(IF(COUNTIF(Podcasts!$D$2000:'Podcasts'!$D$2057,ROW(INDIRECT("1:"&amp;K$2)))=0,ROW(INDIRECT("1:"&amp;K$2))),ROW($A77)),"")</f>
        <v>132</v>
      </c>
      <c r="BO120" s="567">
        <f t="array" aca="1" ref="BO120" ca="1">IFERROR(SMALL(IF(COUNTIF(Podcasts!$D$2063:'Podcasts'!$D$2071,ROW(INDIRECT("1:"&amp;K$2)))=0,ROW(INDIRECT("1:"&amp;K$2))),ROW($A77)),"")</f>
        <v>78</v>
      </c>
      <c r="BP120" s="202">
        <f t="array" aca="1" ref="BP120" ca="1">IFERROR(SMALL(IF(COUNTIF(Podcasts!$D$2077:'Podcasts'!$D$2092,ROW(INDIRECT("1:"&amp;K$2)))=0,ROW(INDIRECT("1:"&amp;K$2))),ROW($A77)),"")</f>
        <v>88</v>
      </c>
      <c r="BQ120" s="741">
        <f t="array" aca="1" ref="BQ120" ca="1">IFERROR(SMALL(IF(COUNTIF(Podcasts!$D$2098:'Podcasts'!$D$2114,ROW(INDIRECT("1:"&amp;K$2)))=0,ROW(INDIRECT("1:"&amp;K$2))),ROW($A77)),"")</f>
        <v>81</v>
      </c>
      <c r="BR120" s="744">
        <f t="array" aca="1" ref="BR120" ca="1">IFERROR(SMALL(IF(COUNTIF(Podcasts!$D$2120:'Podcasts'!$D$2124,ROW(INDIRECT("1:"&amp;K$2)))=0,ROW(INDIRECT("1:"&amp;K$2))),ROW($A77)),"")</f>
        <v>79</v>
      </c>
      <c r="BS120" s="28"/>
    </row>
    <row r="121" spans="1:71" outlineLevel="1">
      <c r="A121" s="28"/>
      <c r="B121" s="161">
        <v>78</v>
      </c>
      <c r="C121" s="161">
        <f>COUNTIF(Podcasts!$D$10:'Podcasts'!$D$2535,B121)</f>
        <v>7</v>
      </c>
      <c r="D121" s="158" t="s">
        <v>1106</v>
      </c>
      <c r="E121" s="156" t="str">
        <f t="array" ref="E121">IF(F121="","",INDEX(Podcasts!$J$10:'Podcasts'!$J$2535,MATCH(F121&amp;$B121,Podcasts!$E$10:'Podcasts'!$E$2535&amp;Podcasts!$D$10:'Podcasts'!$D$2535,0)))</f>
        <v>Fürst</v>
      </c>
      <c r="F121" s="131">
        <f t="array" ref="F121">IF(COUNTIF(Podcasts!$D$10:'Podcasts'!$D$2535,$B121)&lt;COLUMN(A84),"",SMALL(IF(Podcasts!$D$10:'Podcasts'!$D$2535=$B121,Podcasts!$E$10:'Podcasts'!$E$2535),COLUMN(A84)))</f>
        <v>41917</v>
      </c>
      <c r="G121" s="132">
        <f t="array" ref="G121">IF(F121="","",INDEX(Podcasts!$F$10:'Podcasts'!$F$2535,MATCH(F121&amp;$B121,Podcasts!$E$10:'Podcasts'!$E$2535&amp;Podcasts!$D$10:'Podcasts'!$D$2535,0)))</f>
        <v>7.118055555555558E-3</v>
      </c>
      <c r="H121" s="136" t="str">
        <f t="array" ref="H121">IF(I121="","",INDEX(Podcasts!$J$10:'Podcasts'!$J$2535,MATCH(I121&amp;$B121,Podcasts!$E$10:'Podcasts'!$E$2535&amp;Podcasts!$D$10:'Podcasts'!$D$2535,0)))</f>
        <v>Hoerst</v>
      </c>
      <c r="I121" s="133">
        <f t="array" ref="I121">IF(COUNTIF(Podcasts!$D$10:'Podcasts'!$D$2535,$B121)&lt;COLUMN(B84),"",SMALL(IF(Podcasts!$D$10:'Podcasts'!$D$2535=$B121,Podcasts!$E$10:'Podcasts'!$E$2535),COLUMN(B84)))</f>
        <v>42600</v>
      </c>
      <c r="J121" s="132">
        <f t="array" ref="J121">IF(I121="","",INDEX(Podcasts!$F$10:'Podcasts'!$F$2535,MATCH(I121&amp;$B121,Podcasts!$E$10:'Podcasts'!$E$2535&amp;Podcasts!$D$10:'Podcasts'!$D$2535,0)))</f>
        <v>4.3356481481481475E-2</v>
      </c>
      <c r="K121" s="136" t="str">
        <f t="array" ref="K121">IF(L121="","",INDEX(Podcasts!$J$10:'Podcasts'!$J$2535,MATCH(L121&amp;$B121,Podcasts!$E$10:'Podcasts'!$E$2535&amp;Podcasts!$D$10:'Podcasts'!$D$2535,0)))</f>
        <v>Kaffee</v>
      </c>
      <c r="L121" s="133">
        <f t="array" ref="L121">IF(COUNTIF(Podcasts!$D$10:'Podcasts'!$D$2535,$B121)&lt;COLUMN(C84),"",SMALL(IF(Podcasts!$D$10:'Podcasts'!$D$2535=$B121,Podcasts!$E$10:'Podcasts'!$E$2535),COLUMN(C84)))</f>
        <v>44196</v>
      </c>
      <c r="M121" s="132">
        <f t="array" ref="M121">IF(L121="","",INDEX(Podcasts!$F$10:'Podcasts'!$F$2535,MATCH(L121&amp;$B121,Podcasts!$E$10:'Podcasts'!$E$2535&amp;Podcasts!$D$10:'Podcasts'!$D$2535,0)))</f>
        <v>2.0578703703703703E-2</v>
      </c>
      <c r="N121" s="136" t="str">
        <f t="array" ref="N121">IF(O121="","",INDEX(Podcasts!$J$10:'Podcasts'!$J$2535,MATCH(O121&amp;$B121,Podcasts!$E$10:'Podcasts'!$E$2535&amp;Podcasts!$D$10:'Podcasts'!$D$2535,0)))</f>
        <v>R&amp;A</v>
      </c>
      <c r="O121" s="133">
        <f t="array" ref="O121">IF(COUNTIF(Podcasts!$D$10:'Podcasts'!$D$2535,$B121)&lt;COLUMN(D84),"",SMALL(IF(Podcasts!$D$10:'Podcasts'!$D$2535=$B121,Podcasts!$E$10:'Podcasts'!$E$2535),COLUMN(D84)))</f>
        <v>44316.3125</v>
      </c>
      <c r="P121" s="132">
        <f t="array" ref="P121">IF(O121="","",INDEX(Podcasts!$F$10:'Podcasts'!$F$2535,MATCH(O121&amp;$B121,Podcasts!$E$10:'Podcasts'!$E$2535&amp;Podcasts!$D$10:'Podcasts'!$D$2535,0)))</f>
        <v>9.28587962962963E-2</v>
      </c>
      <c r="Q121" s="136" t="str">
        <f t="array" ref="Q121">IF(R121="","",INDEX(Podcasts!$J$10:'Podcasts'!$J$2535,MATCH(R121&amp;$B121,Podcasts!$E$10:'Podcasts'!$E$2535&amp;Podcasts!$D$10:'Podcasts'!$D$2535,0)))</f>
        <v>Zw3i</v>
      </c>
      <c r="R121" s="133">
        <f t="array" ref="R121">IF(COUNTIF(Podcasts!$D$10:'Podcasts'!$D$2535,$B121)&lt;COLUMN(E84),"",SMALL(IF(Podcasts!$D$10:'Podcasts'!$D$2535=$B121,Podcasts!$E$10:'Podcasts'!$E$2535),COLUMN(E84)))</f>
        <v>44792</v>
      </c>
      <c r="S121" s="132">
        <f t="array" ref="S121">IF(R121="","",INDEX(Podcasts!$F$10:'Podcasts'!$F$2535,MATCH(R121&amp;$B121,Podcasts!$E$10:'Podcasts'!$E$2535&amp;Podcasts!$D$10:'Podcasts'!$D$2535,0)))</f>
        <v>9.121527777777777E-2</v>
      </c>
      <c r="T121" s="136" t="str">
        <f t="array" ref="T121">IF(U121="","",INDEX(Podcasts!$J$10:'Podcasts'!$J$2535,MATCH(U121&amp;$B121,Podcasts!$E$10:'Podcasts'!$E$2535&amp;Podcasts!$D$10:'Podcasts'!$D$2535,0)))</f>
        <v>SSP</v>
      </c>
      <c r="U121" s="133">
        <f t="array" ref="U121">IF(COUNTIF(Podcasts!$D$10:'Podcasts'!$D$2535,$B121)&lt;COLUMN(F84),"",SMALL(IF(Podcasts!$D$10:'Podcasts'!$D$2535=$B121,Podcasts!$E$10:'Podcasts'!$E$2535),COLUMN(F84)))</f>
        <v>45007</v>
      </c>
      <c r="V121" s="132">
        <f t="array" ref="V121">IF(U121="","",INDEX(Podcasts!$F$10:'Podcasts'!$F$2535,MATCH(U121&amp;$B121,Podcasts!$E$10:'Podcasts'!$E$2535&amp;Podcasts!$D$10:'Podcasts'!$D$2535,0)))</f>
        <v>9.2962962962962969E-2</v>
      </c>
      <c r="W121" s="136" t="str">
        <f t="array" ref="W121">IF(X121="","",INDEX(Podcasts!$J$10:'Podcasts'!$J$2535,MATCH(X121&amp;$B121,Podcasts!$E$10:'Podcasts'!$E$2535&amp;Podcasts!$D$10:'Podcasts'!$D$2535,0)))</f>
        <v>Kuchen</v>
      </c>
      <c r="X121" s="133">
        <f t="array" ref="X121">IF(COUNTIF(Podcasts!$D$10:'Podcasts'!$D$2535,$B121)&lt;COLUMN(G84),"",SMALL(IF(Podcasts!$D$10:'Podcasts'!$D$2535=$B121,Podcasts!$E$10:'Podcasts'!$E$2535),COLUMN(G84)))</f>
        <v>45074</v>
      </c>
      <c r="Y121" s="132">
        <f t="array" ref="Y121">IF(X121="","",INDEX(Podcasts!$F$10:'Podcasts'!$F$2535,MATCH(X121&amp;$B121,Podcasts!$E$10:'Podcasts'!$E$2535&amp;Podcasts!$D$10:'Podcasts'!$D$2535,0)))</f>
        <v>6.8831018518518514E-2</v>
      </c>
      <c r="Z121" s="136" t="str">
        <f t="array" ref="Z121">IF(AA121="","",INDEX(Podcasts!$J$10:'Podcasts'!$J$2535,MATCH(AA121&amp;$B121,Podcasts!$E$10:'Podcasts'!$E$2535&amp;Podcasts!$D$10:'Podcasts'!$D$2535,0)))</f>
        <v/>
      </c>
      <c r="AA121" s="134" t="str">
        <f t="array" ref="AA121">IF(COUNTIF(Podcasts!$D$10:'Podcasts'!$D$2535,$B121)&lt;COLUMN(H84),"",SMALL(IF(Podcasts!$D$10:'Podcasts'!$D$2535=$B121,Podcasts!$E$10:'Podcasts'!$E$2535),COLUMN(H84)))</f>
        <v/>
      </c>
      <c r="AB121" s="404" t="str">
        <f t="array" ref="AB121">IF(AA121="","",INDEX(Podcasts!$F$10:'Podcasts'!$F$2535,MATCH(AA121&amp;$B121,Podcasts!$E$10:'Podcasts'!$E$2535&amp;Podcasts!$D$10:'Podcasts'!$D$2535,0)))</f>
        <v/>
      </c>
      <c r="AC121" s="406" t="str">
        <f t="array" ref="AC121">IF(AD121="","",INDEX(Podcasts!$J$10:'Podcasts'!$J$2535,MATCH(AD121&amp;$B121,Podcasts!$E$10:'Podcasts'!$E$2535&amp;Podcasts!$D$10:'Podcasts'!$D$2535,0)))</f>
        <v/>
      </c>
      <c r="AD121" s="400" t="str">
        <f t="array" ref="AD121">IF(COUNTIF(Podcasts!$D$10:'Podcasts'!$D$2535,$B121)&lt;COLUMN(I84),"",SMALL(IF(Podcasts!$D$10:'Podcasts'!$D$2535=$B121,Podcasts!$E$10:'Podcasts'!$E$2535),COLUMN(I84)))</f>
        <v/>
      </c>
      <c r="AE121" s="401" t="str">
        <f t="array" ref="AE121">IF(AD121="","",INDEX(Podcasts!$F$10:'Podcasts'!$F$2535,MATCH(AD121&amp;$B121,Podcasts!$E$10:'Podcasts'!$E$2535&amp;Podcasts!$D$10:'Podcasts'!$D$2535,0)))</f>
        <v/>
      </c>
      <c r="AF121" s="406" t="str">
        <f t="array" ref="AF121">IF(AG121="","",INDEX(Podcasts!$J$10:'Podcasts'!$J$2535,MATCH(AG121&amp;$B121,Podcasts!$E$10:'Podcasts'!$E$2535&amp;Podcasts!$D$10:'Podcasts'!$D$2535,0)))</f>
        <v/>
      </c>
      <c r="AG121" s="400" t="str">
        <f t="array" ref="AG121">IF(COUNTIF(Podcasts!$D$10:'Podcasts'!$D$2535,$B121)&lt;COLUMN(J84),"",SMALL(IF(Podcasts!$D$10:'Podcasts'!$D$2535=$B121,Podcasts!$E$10:'Podcasts'!$E$2535),COLUMN(J84)))</f>
        <v/>
      </c>
      <c r="AH121" s="401" t="str">
        <f t="array" ref="AH121">IF(AG121="","",INDEX(Podcasts!$F$10:'Podcasts'!$F$2535,MATCH(AG121&amp;$B121,Podcasts!$E$10:'Podcasts'!$E$2535&amp;Podcasts!$D$10:'Podcasts'!$D$2535,0)))</f>
        <v/>
      </c>
      <c r="AI121" s="406" t="str">
        <f t="array" ref="AI121">IF(AJ121="","",INDEX(Podcasts!$J$10:'Podcasts'!$J$2535,MATCH(AJ121&amp;$B121,Podcasts!$E$10:'Podcasts'!$E$2535&amp;Podcasts!$D$10:'Podcasts'!$D$2535,0)))</f>
        <v/>
      </c>
      <c r="AJ121" s="400" t="str">
        <f t="array" ref="AJ121">IF(COUNTIF(Podcasts!$D$10:'Podcasts'!$D$2535,$B121)&lt;COLUMN(K84),"",SMALL(IF(Podcasts!$D$10:'Podcasts'!$D$2535=$B121,Podcasts!$E$10:'Podcasts'!$E$2535),COLUMN(K84)))</f>
        <v/>
      </c>
      <c r="AK121" s="401" t="str">
        <f t="array" ref="AK121">IF(AJ121="","",INDEX(Podcasts!$F$10:'Podcasts'!$F$2535,MATCH(AJ121&amp;$B121,Podcasts!$E$10:'Podcasts'!$E$2535&amp;Podcasts!$D$10:'Podcasts'!$D$2535,0)))</f>
        <v/>
      </c>
      <c r="AL121" s="406" t="str">
        <f t="array" ref="AL121">IF(AM121="","",INDEX(Podcasts!$J$10:'Podcasts'!$J$2535,MATCH(AM121&amp;$B121,Podcasts!$E$10:'Podcasts'!$E$2535&amp;Podcasts!$D$10:'Podcasts'!$D$2535,0)))</f>
        <v/>
      </c>
      <c r="AM121" s="400" t="str">
        <f t="array" ref="AM121">IF(COUNTIF(Podcasts!$D$10:'Podcasts'!$D$2535,$B121)&lt;COLUMN(L84),"",SMALL(IF(Podcasts!$D$10:'Podcasts'!$D$2535=$B121,Podcasts!$E$10:'Podcasts'!$E$2535),COLUMN(L84)))</f>
        <v/>
      </c>
      <c r="AN121" s="401" t="str">
        <f t="array" ref="AN121">IF(AM121="","",INDEX(Podcasts!$F$10:'Podcasts'!$F$2535,MATCH(AM121&amp;$B121,Podcasts!$E$10:'Podcasts'!$E$2535&amp;Podcasts!$D$10:'Podcasts'!$D$2535,0)))</f>
        <v/>
      </c>
      <c r="AO121" s="402"/>
      <c r="AP121" s="119"/>
      <c r="AQ121" s="117">
        <f t="array" aca="1" ref="AQ121" ca="1">IFERROR(SMALL(IF(COUNTIF(Podcasts!$D$10:'Podcasts'!$D$107,ROW(INDIRECT("1:"&amp;K$2)))=0,ROW(INDIRECT("1:"&amp;K$2))),ROW($A78)),"")</f>
        <v>108</v>
      </c>
      <c r="AR121" s="117">
        <f t="array" aca="1" ref="AR121" ca="1">IFERROR(SMALL(IF(COUNTIF(Podcasts!$D$113:'Podcasts'!$D$238,ROW(INDIRECT("1:"&amp;K$2)))=0,ROW(INDIRECT("1:"&amp;K$2))),ROW($A78)),"")</f>
        <v>78</v>
      </c>
      <c r="AS121" s="117">
        <f t="array" aca="1" ref="AS121" ca="1">IFERROR(SMALL(IF(COUNTIF(Podcasts!$D$244:'Podcasts'!$D$299,ROW(INDIRECT("1:"&amp;K$2)))=0,ROW(INDIRECT("1:"&amp;K$2))),ROW($A78)),"")</f>
        <v>96</v>
      </c>
      <c r="AT121" s="117">
        <f t="array" aca="1" ref="AT121" ca="1">IFERROR(SMALL(IF(COUNTIF(Podcasts!$D$305:'Podcasts'!$D$473,ROW(INDIRECT("1:"&amp;K$2)))=0,ROW(INDIRECT("1:"&amp;K$2))),ROW($A78)),"")</f>
        <v>213</v>
      </c>
      <c r="AU121" s="117">
        <f t="array" aca="1" ref="AU121" ca="1">IFERROR(SMALL(IF(COUNTIF(Podcasts!$D$479:'Podcasts'!$D$488,ROW(INDIRECT("1:"&amp;K$2)))=0,ROW(INDIRECT("1:"&amp;K$2))),ROW($A78)),"")</f>
        <v>79</v>
      </c>
      <c r="AV121" s="117">
        <f t="array" aca="1" ref="AV121" ca="1">IFERROR(SMALL(IF(COUNTIF(Podcasts!$D$494:'Podcasts'!$D$518,ROW(INDIRECT("1:"&amp;K$2)))=0,ROW(INDIRECT("1:"&amp;K$2))),ROW($A78)),"")</f>
        <v>97</v>
      </c>
      <c r="AW121" s="117">
        <f t="array" aca="1" ref="AW121" ca="1">IFERROR(SMALL(IF(COUNTIF(Podcasts!$D$524:'Podcasts'!$D$532,ROW(INDIRECT("1:"&amp;K$2)))=0,ROW(INDIRECT("1:"&amp;K$2))),ROW($A78)),"")</f>
        <v>78</v>
      </c>
      <c r="AX121" s="117">
        <f t="array" aca="1" ref="AX121" ca="1">IFERROR(SMALL(IF(COUNTIF(Podcasts!$D$538:'Podcasts'!$D$909,ROW(INDIRECT("1:"&amp;K$2)))=0,ROW(INDIRECT("1:"&amp;K$2))),ROW($A78)),"")</f>
        <v>205</v>
      </c>
      <c r="AY121" s="117">
        <f t="array" aca="1" ref="AY121" ca="1">IFERROR(SMALL(IF(COUNTIF(Podcasts!$D$915:'Podcasts'!$D$981,ROW(INDIRECT("1:"&amp;K$2)))=0,ROW(INDIRECT("1:"&amp;K$2))),ROW($A78)),"")</f>
        <v>122</v>
      </c>
      <c r="AZ121" s="445"/>
      <c r="BA121" s="117">
        <f t="array" aca="1" ref="BA121" ca="1">IFERROR(SMALL(IF(COUNTIF(Podcasts!$D$1001:'Podcasts'!$D$1251,ROW(INDIRECT("1:"&amp;K$2)))=0,ROW(INDIRECT("1:"&amp;K$2))),ROW($A78)),"")</f>
        <v>120</v>
      </c>
      <c r="BB121" s="117">
        <f t="array" aca="1" ref="BB121" ca="1">IFERROR(SMALL(IF(COUNTIF(Podcasts!$D$1257:'Podcasts'!$D$1267,ROW(INDIRECT("1:"&amp;K$2)))=0,ROW(INDIRECT("1:"&amp;K$2))),ROW($A78)),"")</f>
        <v>80</v>
      </c>
      <c r="BC121" s="117">
        <f t="array" aca="1" ref="BC121" ca="1">IFERROR(SMALL(IF(COUNTIF(Podcasts!$D$1273:'Podcasts'!$D$1283,ROW(INDIRECT("1:"&amp;K$2)))=0,ROW(INDIRECT("1:"&amp;K$2))),ROW($A78)),"")</f>
        <v>82</v>
      </c>
      <c r="BD121" s="117">
        <f t="array" aca="1" ref="BD121" ca="1">IFERROR(SMALL(IF(COUNTIF(Podcasts!$D$1289:'Podcasts'!$D$1295,ROW(INDIRECT("1:"&amp;K$2)))=0,ROW(INDIRECT("1:"&amp;K$2))),ROW($A78)),"")</f>
        <v>80</v>
      </c>
      <c r="BE121" s="117">
        <f t="array" aca="1" ref="BE121" ca="1">IFERROR(SMALL(IF(COUNTIF(Podcasts!$D$1301:'Podcasts'!$D$1356,ROW(INDIRECT("1:"&amp;K$2)))=0,ROW(INDIRECT("1:"&amp;K$2))),ROW($A78)),"")</f>
        <v>125</v>
      </c>
      <c r="BF121" s="117">
        <f t="array" aca="1" ref="BF121" ca="1">IFERROR(SMALL(IF(COUNTIF(Podcasts!$D$1362:'Podcasts'!$D$1364,ROW(INDIRECT("1:"&amp;K$2)))=0,ROW(INDIRECT("1:"&amp;K$2))),ROW($A78)),"")</f>
        <v>81</v>
      </c>
      <c r="BG121" s="202">
        <f t="array" aca="1" ref="BG121" ca="1">IFERROR(SMALL(IF(COUNTIF(Podcasts!$D$1370:'Podcasts'!$D$1419,ROW(INDIRECT("1:"&amp;K$2)))=0,ROW(INDIRECT("1:"&amp;K$2))),ROW($A78)),"")</f>
        <v>98</v>
      </c>
      <c r="BH121" s="202">
        <f t="array" aca="1" ref="BH121" ca="1">IFERROR(SMALL(IF(COUNTIF(Podcasts!$D$1425:'Podcasts'!$D$1446,ROW(INDIRECT("1:"&amp;K$2)))=0,ROW(INDIRECT("1:"&amp;K$2))),ROW($A78)),"")</f>
        <v>85</v>
      </c>
      <c r="BI121" s="202">
        <f t="array" aca="1" ref="BI121" ca="1">IFERROR(SMALL(IF(COUNTIF(Podcasts!$D$1452:'Podcasts'!$D$1574,ROW(INDIRECT("1:"&amp;K$2)))=0,ROW(INDIRECT("1:"&amp;K$2))),ROW($A78)),"")</f>
        <v>138</v>
      </c>
      <c r="BJ121" s="202">
        <f t="array" aca="1" ref="BJ121" ca="1">IFERROR(SMALL(IF(COUNTIF(Podcasts!$D$1580:'Podcasts'!$D$1705,ROW(INDIRECT("1:"&amp;K$2)))=0,ROW(INDIRECT("1:"&amp;K$2))),ROW($A78)),"")</f>
        <v>137</v>
      </c>
      <c r="BK121" s="202">
        <f t="array" aca="1" ref="BK121" ca="1">IFERROR(SMALL(IF(COUNTIF(Podcasts!$D$1711:'Podcasts'!$D$1833,ROW(INDIRECT("1:"&amp;K$2)))=0,ROW(INDIRECT("1:"&amp;K$2))),ROW($A78)),"")</f>
        <v>119</v>
      </c>
      <c r="BL121" s="202">
        <f t="array" aca="1" ref="BL121" ca="1">IFERROR(SMALL(IF(COUNTIF(Podcasts!$D$1839:'Podcasts'!$D$1855,ROW(INDIRECT("1:"&amp;K$2)))=0,ROW(INDIRECT("1:"&amp;K$2))),ROW($A78)),"")</f>
        <v>87</v>
      </c>
      <c r="BM121" s="567">
        <f t="array" aca="1" ref="BM121" ca="1">IFERROR(SMALL(IF(COUNTIF(Podcasts!$D$1861:'Podcasts'!$D$1994,ROW(INDIRECT("1:"&amp;K$2)))=0,ROW(INDIRECT("1:"&amp;K$2))),ROW($A78)),"")</f>
        <v>112</v>
      </c>
      <c r="BN121" s="567">
        <f t="array" aca="1" ref="BN121" ca="1">IFERROR(SMALL(IF(COUNTIF(Podcasts!$D$2000:'Podcasts'!$D$2057,ROW(INDIRECT("1:"&amp;K$2)))=0,ROW(INDIRECT("1:"&amp;K$2))),ROW($A78)),"")</f>
        <v>133</v>
      </c>
      <c r="BO121" s="567">
        <f t="array" aca="1" ref="BO121" ca="1">IFERROR(SMALL(IF(COUNTIF(Podcasts!$D$2063:'Podcasts'!$D$2071,ROW(INDIRECT("1:"&amp;K$2)))=0,ROW(INDIRECT("1:"&amp;K$2))),ROW($A78)),"")</f>
        <v>79</v>
      </c>
      <c r="BP121" s="202">
        <f t="array" aca="1" ref="BP121" ca="1">IFERROR(SMALL(IF(COUNTIF(Podcasts!$D$2077:'Podcasts'!$D$2092,ROW(INDIRECT("1:"&amp;K$2)))=0,ROW(INDIRECT("1:"&amp;K$2))),ROW($A78)),"")</f>
        <v>89</v>
      </c>
      <c r="BQ121" s="741">
        <f t="array" aca="1" ref="BQ121" ca="1">IFERROR(SMALL(IF(COUNTIF(Podcasts!$D$2098:'Podcasts'!$D$2114,ROW(INDIRECT("1:"&amp;K$2)))=0,ROW(INDIRECT("1:"&amp;K$2))),ROW($A78)),"")</f>
        <v>82</v>
      </c>
      <c r="BR121" s="744">
        <f t="array" aca="1" ref="BR121" ca="1">IFERROR(SMALL(IF(COUNTIF(Podcasts!$D$2120:'Podcasts'!$D$2124,ROW(INDIRECT("1:"&amp;K$2)))=0,ROW(INDIRECT("1:"&amp;K$2))),ROW($A78)),"")</f>
        <v>80</v>
      </c>
      <c r="BS121" s="28"/>
    </row>
    <row r="122" spans="1:71" outlineLevel="1">
      <c r="A122" s="28"/>
      <c r="B122" s="161">
        <v>79</v>
      </c>
      <c r="C122" s="161">
        <f>COUNTIF(Podcasts!$D$10:'Podcasts'!$D$2535,B122)</f>
        <v>5</v>
      </c>
      <c r="D122" s="158" t="s">
        <v>1107</v>
      </c>
      <c r="E122" s="156" t="str">
        <f t="array" ref="E122">IF(F122="","",INDEX(Podcasts!$J$10:'Podcasts'!$J$2535,MATCH(F122&amp;$B122,Podcasts!$E$10:'Podcasts'!$E$2535&amp;Podcasts!$D$10:'Podcasts'!$D$2535,0)))</f>
        <v>Fürst</v>
      </c>
      <c r="F122" s="131">
        <f t="array" ref="F122">IF(COUNTIF(Podcasts!$D$10:'Podcasts'!$D$2535,$B122)&lt;COLUMN(A85),"",SMALL(IF(Podcasts!$D$10:'Podcasts'!$D$2535=$B122,Podcasts!$E$10:'Podcasts'!$E$2535),COLUMN(A85)))</f>
        <v>41936</v>
      </c>
      <c r="G122" s="132">
        <f t="array" ref="G122">IF(F122="","",INDEX(Podcasts!$F$10:'Podcasts'!$F$2535,MATCH(F122&amp;$B122,Podcasts!$E$10:'Podcasts'!$E$2535&amp;Podcasts!$D$10:'Podcasts'!$D$2535,0)))</f>
        <v>8.9120370370370378E-3</v>
      </c>
      <c r="H122" s="136" t="str">
        <f t="array" ref="H122">IF(I122="","",INDEX(Podcasts!$J$10:'Podcasts'!$J$2535,MATCH(I122&amp;$B122,Podcasts!$E$10:'Podcasts'!$E$2535&amp;Podcasts!$D$10:'Podcasts'!$D$2535,0)))</f>
        <v>Kuchen</v>
      </c>
      <c r="I122" s="133">
        <f t="array" ref="I122">IF(COUNTIF(Podcasts!$D$10:'Podcasts'!$D$2535,$B122)&lt;COLUMN(B85),"",SMALL(IF(Podcasts!$D$10:'Podcasts'!$D$2535=$B122,Podcasts!$E$10:'Podcasts'!$E$2535),COLUMN(B85)))</f>
        <v>44360</v>
      </c>
      <c r="J122" s="132">
        <f t="array" ref="J122">IF(I122="","",INDEX(Podcasts!$F$10:'Podcasts'!$F$2535,MATCH(I122&amp;$B122,Podcasts!$E$10:'Podcasts'!$E$2535&amp;Podcasts!$D$10:'Podcasts'!$D$2535,0)))</f>
        <v>7.846064814814814E-2</v>
      </c>
      <c r="K122" s="136" t="str">
        <f t="array" ref="K122">IF(L122="","",INDEX(Podcasts!$J$10:'Podcasts'!$J$2535,MATCH(L122&amp;$B122,Podcasts!$E$10:'Podcasts'!$E$2535&amp;Podcasts!$D$10:'Podcasts'!$D$2535,0)))</f>
        <v>R&amp;A</v>
      </c>
      <c r="L122" s="133">
        <f t="array" ref="L122">IF(COUNTIF(Podcasts!$D$10:'Podcasts'!$D$2535,$B122)&lt;COLUMN(C85),"",SMALL(IF(Podcasts!$D$10:'Podcasts'!$D$2535=$B122,Podcasts!$E$10:'Podcasts'!$E$2535),COLUMN(C85)))</f>
        <v>44865.181944444441</v>
      </c>
      <c r="M122" s="132">
        <f t="array" ref="M122">IF(L122="","",INDEX(Podcasts!$F$10:'Podcasts'!$F$2535,MATCH(L122&amp;$B122,Podcasts!$E$10:'Podcasts'!$E$2535&amp;Podcasts!$D$10:'Podcasts'!$D$2535,0)))</f>
        <v>0.10706018518518519</v>
      </c>
      <c r="N122" s="136" t="str">
        <f t="array" ref="N122">IF(O122="","",INDEX(Podcasts!$J$10:'Podcasts'!$J$2535,MATCH(O122&amp;$B122,Podcasts!$E$10:'Podcasts'!$E$2535&amp;Podcasts!$D$10:'Podcasts'!$D$2535,0)))</f>
        <v>Kaffee</v>
      </c>
      <c r="O122" s="133">
        <f t="array" ref="O122">IF(COUNTIF(Podcasts!$D$10:'Podcasts'!$D$2535,$B122)&lt;COLUMN(D85),"",SMALL(IF(Podcasts!$D$10:'Podcasts'!$D$2535=$B122,Podcasts!$E$10:'Podcasts'!$E$2535),COLUMN(D85)))</f>
        <v>44918</v>
      </c>
      <c r="P122" s="132">
        <f t="array" ref="P122">IF(O122="","",INDEX(Podcasts!$F$10:'Podcasts'!$F$2535,MATCH(O122&amp;$B122,Podcasts!$E$10:'Podcasts'!$E$2535&amp;Podcasts!$D$10:'Podcasts'!$D$2535,0)))</f>
        <v>3.7222222222222219E-2</v>
      </c>
      <c r="Q122" s="136" t="str">
        <f t="array" ref="Q122">IF(R122="","",INDEX(Podcasts!$J$10:'Podcasts'!$J$2535,MATCH(R122&amp;$B122,Podcasts!$E$10:'Podcasts'!$E$2535&amp;Podcasts!$D$10:'Podcasts'!$D$2535,0)))</f>
        <v>Rose</v>
      </c>
      <c r="R122" s="133">
        <f t="array" ref="R122">IF(COUNTIF(Podcasts!$D$10:'Podcasts'!$D$2535,$B122)&lt;COLUMN(E85),"",SMALL(IF(Podcasts!$D$10:'Podcasts'!$D$2535=$B122,Podcasts!$E$10:'Podcasts'!$E$2535),COLUMN(E85)))</f>
        <v>45011</v>
      </c>
      <c r="S122" s="132">
        <f t="array" ref="S122">IF(R122="","",INDEX(Podcasts!$F$10:'Podcasts'!$F$2535,MATCH(R122&amp;$B122,Podcasts!$E$10:'Podcasts'!$E$2535&amp;Podcasts!$D$10:'Podcasts'!$D$2535,0)))</f>
        <v>5.9884259259259255E-2</v>
      </c>
      <c r="T122" s="136" t="str">
        <f t="array" ref="T122">IF(U122="","",INDEX(Podcasts!$J$10:'Podcasts'!$J$2535,MATCH(U122&amp;$B122,Podcasts!$E$10:'Podcasts'!$E$2535&amp;Podcasts!$D$10:'Podcasts'!$D$2535,0)))</f>
        <v/>
      </c>
      <c r="U122" s="133" t="str">
        <f t="array" ref="U122">IF(COUNTIF(Podcasts!$D$10:'Podcasts'!$D$2535,$B122)&lt;COLUMN(F85),"",SMALL(IF(Podcasts!$D$10:'Podcasts'!$D$2535=$B122,Podcasts!$E$10:'Podcasts'!$E$2535),COLUMN(F85)))</f>
        <v/>
      </c>
      <c r="V122" s="132" t="str">
        <f t="array" ref="V122">IF(U122="","",INDEX(Podcasts!$F$10:'Podcasts'!$F$2535,MATCH(U122&amp;$B122,Podcasts!$E$10:'Podcasts'!$E$2535&amp;Podcasts!$D$10:'Podcasts'!$D$2535,0)))</f>
        <v/>
      </c>
      <c r="W122" s="136" t="str">
        <f t="array" ref="W122">IF(X122="","",INDEX(Podcasts!$J$10:'Podcasts'!$J$2535,MATCH(X122&amp;$B122,Podcasts!$E$10:'Podcasts'!$E$2535&amp;Podcasts!$D$10:'Podcasts'!$D$2535,0)))</f>
        <v/>
      </c>
      <c r="X122" s="133" t="str">
        <f t="array" ref="X122">IF(COUNTIF(Podcasts!$D$10:'Podcasts'!$D$2535,$B122)&lt;COLUMN(G85),"",SMALL(IF(Podcasts!$D$10:'Podcasts'!$D$2535=$B122,Podcasts!$E$10:'Podcasts'!$E$2535),COLUMN(G85)))</f>
        <v/>
      </c>
      <c r="Y122" s="132" t="str">
        <f t="array" ref="Y122">IF(X122="","",INDEX(Podcasts!$F$10:'Podcasts'!$F$2535,MATCH(X122&amp;$B122,Podcasts!$E$10:'Podcasts'!$E$2535&amp;Podcasts!$D$10:'Podcasts'!$D$2535,0)))</f>
        <v/>
      </c>
      <c r="Z122" s="136" t="str">
        <f t="array" ref="Z122">IF(AA122="","",INDEX(Podcasts!$J$10:'Podcasts'!$J$2535,MATCH(AA122&amp;$B122,Podcasts!$E$10:'Podcasts'!$E$2535&amp;Podcasts!$D$10:'Podcasts'!$D$2535,0)))</f>
        <v/>
      </c>
      <c r="AA122" s="134" t="str">
        <f t="array" ref="AA122">IF(COUNTIF(Podcasts!$D$10:'Podcasts'!$D$2535,$B122)&lt;COLUMN(H85),"",SMALL(IF(Podcasts!$D$10:'Podcasts'!$D$2535=$B122,Podcasts!$E$10:'Podcasts'!$E$2535),COLUMN(H85)))</f>
        <v/>
      </c>
      <c r="AB122" s="404" t="str">
        <f t="array" ref="AB122">IF(AA122="","",INDEX(Podcasts!$F$10:'Podcasts'!$F$2535,MATCH(AA122&amp;$B122,Podcasts!$E$10:'Podcasts'!$E$2535&amp;Podcasts!$D$10:'Podcasts'!$D$2535,0)))</f>
        <v/>
      </c>
      <c r="AC122" s="406" t="str">
        <f t="array" ref="AC122">IF(AD122="","",INDEX(Podcasts!$J$10:'Podcasts'!$J$2535,MATCH(AD122&amp;$B122,Podcasts!$E$10:'Podcasts'!$E$2535&amp;Podcasts!$D$10:'Podcasts'!$D$2535,0)))</f>
        <v/>
      </c>
      <c r="AD122" s="400" t="str">
        <f t="array" ref="AD122">IF(COUNTIF(Podcasts!$D$10:'Podcasts'!$D$2535,$B122)&lt;COLUMN(I85),"",SMALL(IF(Podcasts!$D$10:'Podcasts'!$D$2535=$B122,Podcasts!$E$10:'Podcasts'!$E$2535),COLUMN(I85)))</f>
        <v/>
      </c>
      <c r="AE122" s="401" t="str">
        <f t="array" ref="AE122">IF(AD122="","",INDEX(Podcasts!$F$10:'Podcasts'!$F$2535,MATCH(AD122&amp;$B122,Podcasts!$E$10:'Podcasts'!$E$2535&amp;Podcasts!$D$10:'Podcasts'!$D$2535,0)))</f>
        <v/>
      </c>
      <c r="AF122" s="406" t="str">
        <f t="array" ref="AF122">IF(AG122="","",INDEX(Podcasts!$J$10:'Podcasts'!$J$2535,MATCH(AG122&amp;$B122,Podcasts!$E$10:'Podcasts'!$E$2535&amp;Podcasts!$D$10:'Podcasts'!$D$2535,0)))</f>
        <v/>
      </c>
      <c r="AG122" s="400" t="str">
        <f t="array" ref="AG122">IF(COUNTIF(Podcasts!$D$10:'Podcasts'!$D$2535,$B122)&lt;COLUMN(J85),"",SMALL(IF(Podcasts!$D$10:'Podcasts'!$D$2535=$B122,Podcasts!$E$10:'Podcasts'!$E$2535),COLUMN(J85)))</f>
        <v/>
      </c>
      <c r="AH122" s="401" t="str">
        <f t="array" ref="AH122">IF(AG122="","",INDEX(Podcasts!$F$10:'Podcasts'!$F$2535,MATCH(AG122&amp;$B122,Podcasts!$E$10:'Podcasts'!$E$2535&amp;Podcasts!$D$10:'Podcasts'!$D$2535,0)))</f>
        <v/>
      </c>
      <c r="AI122" s="406" t="str">
        <f t="array" ref="AI122">IF(AJ122="","",INDEX(Podcasts!$J$10:'Podcasts'!$J$2535,MATCH(AJ122&amp;$B122,Podcasts!$E$10:'Podcasts'!$E$2535&amp;Podcasts!$D$10:'Podcasts'!$D$2535,0)))</f>
        <v/>
      </c>
      <c r="AJ122" s="400" t="str">
        <f t="array" ref="AJ122">IF(COUNTIF(Podcasts!$D$10:'Podcasts'!$D$2535,$B122)&lt;COLUMN(K85),"",SMALL(IF(Podcasts!$D$10:'Podcasts'!$D$2535=$B122,Podcasts!$E$10:'Podcasts'!$E$2535),COLUMN(K85)))</f>
        <v/>
      </c>
      <c r="AK122" s="401" t="str">
        <f t="array" ref="AK122">IF(AJ122="","",INDEX(Podcasts!$F$10:'Podcasts'!$F$2535,MATCH(AJ122&amp;$B122,Podcasts!$E$10:'Podcasts'!$E$2535&amp;Podcasts!$D$10:'Podcasts'!$D$2535,0)))</f>
        <v/>
      </c>
      <c r="AL122" s="406" t="str">
        <f t="array" ref="AL122">IF(AM122="","",INDEX(Podcasts!$J$10:'Podcasts'!$J$2535,MATCH(AM122&amp;$B122,Podcasts!$E$10:'Podcasts'!$E$2535&amp;Podcasts!$D$10:'Podcasts'!$D$2535,0)))</f>
        <v/>
      </c>
      <c r="AM122" s="400" t="str">
        <f t="array" ref="AM122">IF(COUNTIF(Podcasts!$D$10:'Podcasts'!$D$2535,$B122)&lt;COLUMN(L85),"",SMALL(IF(Podcasts!$D$10:'Podcasts'!$D$2535=$B122,Podcasts!$E$10:'Podcasts'!$E$2535),COLUMN(L85)))</f>
        <v/>
      </c>
      <c r="AN122" s="401" t="str">
        <f t="array" ref="AN122">IF(AM122="","",INDEX(Podcasts!$F$10:'Podcasts'!$F$2535,MATCH(AM122&amp;$B122,Podcasts!$E$10:'Podcasts'!$E$2535&amp;Podcasts!$D$10:'Podcasts'!$D$2535,0)))</f>
        <v/>
      </c>
      <c r="AO122" s="402"/>
      <c r="AP122" s="119"/>
      <c r="AQ122" s="117">
        <f t="array" aca="1" ref="AQ122" ca="1">IFERROR(SMALL(IF(COUNTIF(Podcasts!$D$10:'Podcasts'!$D$107,ROW(INDIRECT("1:"&amp;K$2)))=0,ROW(INDIRECT("1:"&amp;K$2))),ROW($A79)),"")</f>
        <v>109</v>
      </c>
      <c r="AR122" s="117">
        <f t="array" aca="1" ref="AR122" ca="1">IFERROR(SMALL(IF(COUNTIF(Podcasts!$D$113:'Podcasts'!$D$238,ROW(INDIRECT("1:"&amp;K$2)))=0,ROW(INDIRECT("1:"&amp;K$2))),ROW($A79)),"")</f>
        <v>79</v>
      </c>
      <c r="AS122" s="117">
        <f t="array" aca="1" ref="AS122" ca="1">IFERROR(SMALL(IF(COUNTIF(Podcasts!$D$244:'Podcasts'!$D$299,ROW(INDIRECT("1:"&amp;K$2)))=0,ROW(INDIRECT("1:"&amp;K$2))),ROW($A79)),"")</f>
        <v>97</v>
      </c>
      <c r="AT122" s="117">
        <f t="array" aca="1" ref="AT122" ca="1">IFERROR(SMALL(IF(COUNTIF(Podcasts!$D$305:'Podcasts'!$D$473,ROW(INDIRECT("1:"&amp;K$2)))=0,ROW(INDIRECT("1:"&amp;K$2))),ROW($A79)),"")</f>
        <v>214</v>
      </c>
      <c r="AU122" s="117">
        <f t="array" aca="1" ref="AU122" ca="1">IFERROR(SMALL(IF(COUNTIF(Podcasts!$D$479:'Podcasts'!$D$488,ROW(INDIRECT("1:"&amp;K$2)))=0,ROW(INDIRECT("1:"&amp;K$2))),ROW($A79)),"")</f>
        <v>80</v>
      </c>
      <c r="AV122" s="117">
        <f t="array" aca="1" ref="AV122" ca="1">IFERROR(SMALL(IF(COUNTIF(Podcasts!$D$494:'Podcasts'!$D$518,ROW(INDIRECT("1:"&amp;K$2)))=0,ROW(INDIRECT("1:"&amp;K$2))),ROW($A79)),"")</f>
        <v>98</v>
      </c>
      <c r="AW122" s="117">
        <f t="array" aca="1" ref="AW122" ca="1">IFERROR(SMALL(IF(COUNTIF(Podcasts!$D$524:'Podcasts'!$D$532,ROW(INDIRECT("1:"&amp;K$2)))=0,ROW(INDIRECT("1:"&amp;K$2))),ROW($A79)),"")</f>
        <v>79</v>
      </c>
      <c r="AX122" s="117">
        <f t="array" aca="1" ref="AX122" ca="1">IFERROR(SMALL(IF(COUNTIF(Podcasts!$D$538:'Podcasts'!$D$909,ROW(INDIRECT("1:"&amp;K$2)))=0,ROW(INDIRECT("1:"&amp;K$2))),ROW($A79)),"")</f>
        <v>206</v>
      </c>
      <c r="AY122" s="117">
        <f t="array" aca="1" ref="AY122" ca="1">IFERROR(SMALL(IF(COUNTIF(Podcasts!$D$915:'Podcasts'!$D$981,ROW(INDIRECT("1:"&amp;K$2)))=0,ROW(INDIRECT("1:"&amp;K$2))),ROW($A79)),"")</f>
        <v>123</v>
      </c>
      <c r="AZ122" s="445"/>
      <c r="BA122" s="117">
        <f t="array" aca="1" ref="BA122" ca="1">IFERROR(SMALL(IF(COUNTIF(Podcasts!$D$1001:'Podcasts'!$D$1251,ROW(INDIRECT("1:"&amp;K$2)))=0,ROW(INDIRECT("1:"&amp;K$2))),ROW($A79)),"")</f>
        <v>121</v>
      </c>
      <c r="BB122" s="117">
        <f t="array" aca="1" ref="BB122" ca="1">IFERROR(SMALL(IF(COUNTIF(Podcasts!$D$1257:'Podcasts'!$D$1267,ROW(INDIRECT("1:"&amp;K$2)))=0,ROW(INDIRECT("1:"&amp;K$2))),ROW($A79)),"")</f>
        <v>81</v>
      </c>
      <c r="BC122" s="117">
        <f t="array" aca="1" ref="BC122" ca="1">IFERROR(SMALL(IF(COUNTIF(Podcasts!$D$1273:'Podcasts'!$D$1283,ROW(INDIRECT("1:"&amp;K$2)))=0,ROW(INDIRECT("1:"&amp;K$2))),ROW($A79)),"")</f>
        <v>83</v>
      </c>
      <c r="BD122" s="117">
        <f t="array" aca="1" ref="BD122" ca="1">IFERROR(SMALL(IF(COUNTIF(Podcasts!$D$1289:'Podcasts'!$D$1295,ROW(INDIRECT("1:"&amp;K$2)))=0,ROW(INDIRECT("1:"&amp;K$2))),ROW($A79)),"")</f>
        <v>81</v>
      </c>
      <c r="BE122" s="117">
        <f t="array" aca="1" ref="BE122" ca="1">IFERROR(SMALL(IF(COUNTIF(Podcasts!$D$1301:'Podcasts'!$D$1356,ROW(INDIRECT("1:"&amp;K$2)))=0,ROW(INDIRECT("1:"&amp;K$2))),ROW($A79)),"")</f>
        <v>126</v>
      </c>
      <c r="BF122" s="117">
        <f t="array" aca="1" ref="BF122" ca="1">IFERROR(SMALL(IF(COUNTIF(Podcasts!$D$1362:'Podcasts'!$D$1364,ROW(INDIRECT("1:"&amp;K$2)))=0,ROW(INDIRECT("1:"&amp;K$2))),ROW($A79)),"")</f>
        <v>82</v>
      </c>
      <c r="BG122" s="202">
        <f t="array" aca="1" ref="BG122" ca="1">IFERROR(SMALL(IF(COUNTIF(Podcasts!$D$1370:'Podcasts'!$D$1419,ROW(INDIRECT("1:"&amp;K$2)))=0,ROW(INDIRECT("1:"&amp;K$2))),ROW($A79)),"")</f>
        <v>99</v>
      </c>
      <c r="BH122" s="202">
        <f t="array" aca="1" ref="BH122" ca="1">IFERROR(SMALL(IF(COUNTIF(Podcasts!$D$1425:'Podcasts'!$D$1446,ROW(INDIRECT("1:"&amp;K$2)))=0,ROW(INDIRECT("1:"&amp;K$2))),ROW($A79)),"")</f>
        <v>87</v>
      </c>
      <c r="BI122" s="202">
        <f t="array" aca="1" ref="BI122" ca="1">IFERROR(SMALL(IF(COUNTIF(Podcasts!$D$1452:'Podcasts'!$D$1574,ROW(INDIRECT("1:"&amp;K$2)))=0,ROW(INDIRECT("1:"&amp;K$2))),ROW($A79)),"")</f>
        <v>139</v>
      </c>
      <c r="BJ122" s="202">
        <f t="array" aca="1" ref="BJ122" ca="1">IFERROR(SMALL(IF(COUNTIF(Podcasts!$D$1580:'Podcasts'!$D$1705,ROW(INDIRECT("1:"&amp;K$2)))=0,ROW(INDIRECT("1:"&amp;K$2))),ROW($A79)),"")</f>
        <v>138</v>
      </c>
      <c r="BK122" s="202">
        <f t="array" aca="1" ref="BK122" ca="1">IFERROR(SMALL(IF(COUNTIF(Podcasts!$D$1711:'Podcasts'!$D$1833,ROW(INDIRECT("1:"&amp;K$2)))=0,ROW(INDIRECT("1:"&amp;K$2))),ROW($A79)),"")</f>
        <v>120</v>
      </c>
      <c r="BL122" s="202">
        <f t="array" aca="1" ref="BL122" ca="1">IFERROR(SMALL(IF(COUNTIF(Podcasts!$D$1839:'Podcasts'!$D$1855,ROW(INDIRECT("1:"&amp;K$2)))=0,ROW(INDIRECT("1:"&amp;K$2))),ROW($A79)),"")</f>
        <v>88</v>
      </c>
      <c r="BM122" s="567">
        <f t="array" aca="1" ref="BM122" ca="1">IFERROR(SMALL(IF(COUNTIF(Podcasts!$D$1861:'Podcasts'!$D$1994,ROW(INDIRECT("1:"&amp;K$2)))=0,ROW(INDIRECT("1:"&amp;K$2))),ROW($A79)),"")</f>
        <v>113</v>
      </c>
      <c r="BN122" s="567">
        <f t="array" aca="1" ref="BN122" ca="1">IFERROR(SMALL(IF(COUNTIF(Podcasts!$D$2000:'Podcasts'!$D$2057,ROW(INDIRECT("1:"&amp;K$2)))=0,ROW(INDIRECT("1:"&amp;K$2))),ROW($A79)),"")</f>
        <v>134</v>
      </c>
      <c r="BO122" s="567">
        <f t="array" aca="1" ref="BO122" ca="1">IFERROR(SMALL(IF(COUNTIF(Podcasts!$D$2063:'Podcasts'!$D$2071,ROW(INDIRECT("1:"&amp;K$2)))=0,ROW(INDIRECT("1:"&amp;K$2))),ROW($A79)),"")</f>
        <v>80</v>
      </c>
      <c r="BP122" s="202">
        <f t="array" aca="1" ref="BP122" ca="1">IFERROR(SMALL(IF(COUNTIF(Podcasts!$D$2077:'Podcasts'!$D$2092,ROW(INDIRECT("1:"&amp;K$2)))=0,ROW(INDIRECT("1:"&amp;K$2))),ROW($A79)),"")</f>
        <v>90</v>
      </c>
      <c r="BQ122" s="741">
        <f t="array" aca="1" ref="BQ122" ca="1">IFERROR(SMALL(IF(COUNTIF(Podcasts!$D$2098:'Podcasts'!$D$2114,ROW(INDIRECT("1:"&amp;K$2)))=0,ROW(INDIRECT("1:"&amp;K$2))),ROW($A79)),"")</f>
        <v>83</v>
      </c>
      <c r="BR122" s="744">
        <f t="array" aca="1" ref="BR122" ca="1">IFERROR(SMALL(IF(COUNTIF(Podcasts!$D$2120:'Podcasts'!$D$2124,ROW(INDIRECT("1:"&amp;K$2)))=0,ROW(INDIRECT("1:"&amp;K$2))),ROW($A79)),"")</f>
        <v>81</v>
      </c>
      <c r="BS122" s="28"/>
    </row>
    <row r="123" spans="1:71" outlineLevel="1">
      <c r="A123" s="28"/>
      <c r="B123" s="161">
        <v>80</v>
      </c>
      <c r="C123" s="161">
        <f>COUNTIF(Podcasts!$D$10:'Podcasts'!$D$2535,B123)</f>
        <v>4</v>
      </c>
      <c r="D123" s="158" t="s">
        <v>1108</v>
      </c>
      <c r="E123" s="156" t="str">
        <f t="array" ref="E123">IF(F123="","",INDEX(Podcasts!$J$10:'Podcasts'!$J$2535,MATCH(F123&amp;$B123,Podcasts!$E$10:'Podcasts'!$E$2535&amp;Podcasts!$D$10:'Podcasts'!$D$2535,0)))</f>
        <v>Fürst</v>
      </c>
      <c r="F123" s="131">
        <f t="array" ref="F123">IF(COUNTIF(Podcasts!$D$10:'Podcasts'!$D$2535,$B123)&lt;COLUMN(A86),"",SMALL(IF(Podcasts!$D$10:'Podcasts'!$D$2535=$B123,Podcasts!$E$10:'Podcasts'!$E$2535),COLUMN(A86)))</f>
        <v>41896</v>
      </c>
      <c r="G123" s="132">
        <f t="array" ref="G123">IF(F123="","",INDEX(Podcasts!$F$10:'Podcasts'!$F$2535,MATCH(F123&amp;$B123,Podcasts!$E$10:'Podcasts'!$E$2535&amp;Podcasts!$D$10:'Podcasts'!$D$2535,0)))</f>
        <v>7.291666666666665E-3</v>
      </c>
      <c r="H123" s="136" t="str">
        <f t="array" ref="H123">IF(I123="","",INDEX(Podcasts!$J$10:'Podcasts'!$J$2535,MATCH(I123&amp;$B123,Podcasts!$E$10:'Podcasts'!$E$2535&amp;Podcasts!$D$10:'Podcasts'!$D$2535,0)))</f>
        <v>R&amp;A</v>
      </c>
      <c r="I123" s="133">
        <f t="array" ref="I123">IF(COUNTIF(Podcasts!$D$10:'Podcasts'!$D$2535,$B123)&lt;COLUMN(B86),"",SMALL(IF(Podcasts!$D$10:'Podcasts'!$D$2535=$B123,Podcasts!$E$10:'Podcasts'!$E$2535),COLUMN(B86)))</f>
        <v>43288.307847222219</v>
      </c>
      <c r="J123" s="132">
        <f t="array" ref="J123">IF(I123="","",INDEX(Podcasts!$F$10:'Podcasts'!$F$2535,MATCH(I123&amp;$B123,Podcasts!$E$10:'Podcasts'!$E$2535&amp;Podcasts!$D$10:'Podcasts'!$D$2535,0)))</f>
        <v>7.2534722222222223E-2</v>
      </c>
      <c r="K123" s="136" t="str">
        <f t="array" ref="K123">IF(L123="","",INDEX(Podcasts!$J$10:'Podcasts'!$J$2535,MATCH(L123&amp;$B123,Podcasts!$E$10:'Podcasts'!$E$2535&amp;Podcasts!$D$10:'Podcasts'!$D$2535,0)))</f>
        <v>Schrott</v>
      </c>
      <c r="L123" s="133">
        <f t="array" ref="L123">IF(COUNTIF(Podcasts!$D$10:'Podcasts'!$D$2535,$B123)&lt;COLUMN(C86),"",SMALL(IF(Podcasts!$D$10:'Podcasts'!$D$2535=$B123,Podcasts!$E$10:'Podcasts'!$E$2535),COLUMN(C86)))</f>
        <v>43332</v>
      </c>
      <c r="M123" s="132">
        <f t="array" ref="M123">IF(L123="","",INDEX(Podcasts!$F$10:'Podcasts'!$F$2535,MATCH(L123&amp;$B123,Podcasts!$E$10:'Podcasts'!$E$2535&amp;Podcasts!$D$10:'Podcasts'!$D$2535,0)))</f>
        <v>4.4224537037037041E-2</v>
      </c>
      <c r="N123" s="136" t="str">
        <f t="array" ref="N123">IF(O123="","",INDEX(Podcasts!$J$10:'Podcasts'!$J$2535,MATCH(O123&amp;$B123,Podcasts!$E$10:'Podcasts'!$E$2535&amp;Podcasts!$D$10:'Podcasts'!$D$2535,0)))</f>
        <v>Kanal</v>
      </c>
      <c r="O123" s="133">
        <f t="array" ref="O123">IF(COUNTIF(Podcasts!$D$10:'Podcasts'!$D$2535,$B123)&lt;COLUMN(D86),"",SMALL(IF(Podcasts!$D$10:'Podcasts'!$D$2535=$B123,Podcasts!$E$10:'Podcasts'!$E$2535),COLUMN(D86)))</f>
        <v>43979</v>
      </c>
      <c r="P123" s="132">
        <f t="array" ref="P123">IF(O123="","",INDEX(Podcasts!$F$10:'Podcasts'!$F$2535,MATCH(O123&amp;$B123,Podcasts!$E$10:'Podcasts'!$E$2535&amp;Podcasts!$D$10:'Podcasts'!$D$2535,0)))</f>
        <v>1.8657407407407407E-2</v>
      </c>
      <c r="Q123" s="136" t="str">
        <f t="array" ref="Q123">IF(R123="","",INDEX(Podcasts!$J$10:'Podcasts'!$J$2535,MATCH(R123&amp;$B123,Podcasts!$E$10:'Podcasts'!$E$2535&amp;Podcasts!$D$10:'Podcasts'!$D$2535,0)))</f>
        <v/>
      </c>
      <c r="R123" s="133" t="str">
        <f t="array" ref="R123">IF(COUNTIF(Podcasts!$D$10:'Podcasts'!$D$2535,$B123)&lt;COLUMN(E86),"",SMALL(IF(Podcasts!$D$10:'Podcasts'!$D$2535=$B123,Podcasts!$E$10:'Podcasts'!$E$2535),COLUMN(E86)))</f>
        <v/>
      </c>
      <c r="S123" s="132" t="str">
        <f t="array" ref="S123">IF(R123="","",INDEX(Podcasts!$F$10:'Podcasts'!$F$2535,MATCH(R123&amp;$B123,Podcasts!$E$10:'Podcasts'!$E$2535&amp;Podcasts!$D$10:'Podcasts'!$D$2535,0)))</f>
        <v/>
      </c>
      <c r="T123" s="136" t="str">
        <f t="array" ref="T123">IF(U123="","",INDEX(Podcasts!$J$10:'Podcasts'!$J$2535,MATCH(U123&amp;$B123,Podcasts!$E$10:'Podcasts'!$E$2535&amp;Podcasts!$D$10:'Podcasts'!$D$2535,0)))</f>
        <v/>
      </c>
      <c r="U123" s="133" t="str">
        <f t="array" ref="U123">IF(COUNTIF(Podcasts!$D$10:'Podcasts'!$D$2535,$B123)&lt;COLUMN(F86),"",SMALL(IF(Podcasts!$D$10:'Podcasts'!$D$2535=$B123,Podcasts!$E$10:'Podcasts'!$E$2535),COLUMN(F86)))</f>
        <v/>
      </c>
      <c r="V123" s="132" t="str">
        <f t="array" ref="V123">IF(U123="","",INDEX(Podcasts!$F$10:'Podcasts'!$F$2535,MATCH(U123&amp;$B123,Podcasts!$E$10:'Podcasts'!$E$2535&amp;Podcasts!$D$10:'Podcasts'!$D$2535,0)))</f>
        <v/>
      </c>
      <c r="W123" s="136" t="str">
        <f t="array" ref="W123">IF(X123="","",INDEX(Podcasts!$J$10:'Podcasts'!$J$2535,MATCH(X123&amp;$B123,Podcasts!$E$10:'Podcasts'!$E$2535&amp;Podcasts!$D$10:'Podcasts'!$D$2535,0)))</f>
        <v/>
      </c>
      <c r="X123" s="133" t="str">
        <f t="array" ref="X123">IF(COUNTIF(Podcasts!$D$10:'Podcasts'!$D$2535,$B123)&lt;COLUMN(G86),"",SMALL(IF(Podcasts!$D$10:'Podcasts'!$D$2535=$B123,Podcasts!$E$10:'Podcasts'!$E$2535),COLUMN(G86)))</f>
        <v/>
      </c>
      <c r="Y123" s="132" t="str">
        <f t="array" ref="Y123">IF(X123="","",INDEX(Podcasts!$F$10:'Podcasts'!$F$2535,MATCH(X123&amp;$B123,Podcasts!$E$10:'Podcasts'!$E$2535&amp;Podcasts!$D$10:'Podcasts'!$D$2535,0)))</f>
        <v/>
      </c>
      <c r="Z123" s="136" t="str">
        <f t="array" ref="Z123">IF(AA123="","",INDEX(Podcasts!$J$10:'Podcasts'!$J$2535,MATCH(AA123&amp;$B123,Podcasts!$E$10:'Podcasts'!$E$2535&amp;Podcasts!$D$10:'Podcasts'!$D$2535,0)))</f>
        <v/>
      </c>
      <c r="AA123" s="134" t="str">
        <f t="array" ref="AA123">IF(COUNTIF(Podcasts!$D$10:'Podcasts'!$D$2535,$B123)&lt;COLUMN(H86),"",SMALL(IF(Podcasts!$D$10:'Podcasts'!$D$2535=$B123,Podcasts!$E$10:'Podcasts'!$E$2535),COLUMN(H86)))</f>
        <v/>
      </c>
      <c r="AB123" s="404" t="str">
        <f t="array" ref="AB123">IF(AA123="","",INDEX(Podcasts!$F$10:'Podcasts'!$F$2535,MATCH(AA123&amp;$B123,Podcasts!$E$10:'Podcasts'!$E$2535&amp;Podcasts!$D$10:'Podcasts'!$D$2535,0)))</f>
        <v/>
      </c>
      <c r="AC123" s="406" t="str">
        <f t="array" ref="AC123">IF(AD123="","",INDEX(Podcasts!$J$10:'Podcasts'!$J$2535,MATCH(AD123&amp;$B123,Podcasts!$E$10:'Podcasts'!$E$2535&amp;Podcasts!$D$10:'Podcasts'!$D$2535,0)))</f>
        <v/>
      </c>
      <c r="AD123" s="400" t="str">
        <f t="array" ref="AD123">IF(COUNTIF(Podcasts!$D$10:'Podcasts'!$D$2535,$B123)&lt;COLUMN(I86),"",SMALL(IF(Podcasts!$D$10:'Podcasts'!$D$2535=$B123,Podcasts!$E$10:'Podcasts'!$E$2535),COLUMN(I86)))</f>
        <v/>
      </c>
      <c r="AE123" s="401" t="str">
        <f t="array" ref="AE123">IF(AD123="","",INDEX(Podcasts!$F$10:'Podcasts'!$F$2535,MATCH(AD123&amp;$B123,Podcasts!$E$10:'Podcasts'!$E$2535&amp;Podcasts!$D$10:'Podcasts'!$D$2535,0)))</f>
        <v/>
      </c>
      <c r="AF123" s="406" t="str">
        <f t="array" ref="AF123">IF(AG123="","",INDEX(Podcasts!$J$10:'Podcasts'!$J$2535,MATCH(AG123&amp;$B123,Podcasts!$E$10:'Podcasts'!$E$2535&amp;Podcasts!$D$10:'Podcasts'!$D$2535,0)))</f>
        <v/>
      </c>
      <c r="AG123" s="400" t="str">
        <f t="array" ref="AG123">IF(COUNTIF(Podcasts!$D$10:'Podcasts'!$D$2535,$B123)&lt;COLUMN(J86),"",SMALL(IF(Podcasts!$D$10:'Podcasts'!$D$2535=$B123,Podcasts!$E$10:'Podcasts'!$E$2535),COLUMN(J86)))</f>
        <v/>
      </c>
      <c r="AH123" s="401" t="str">
        <f t="array" ref="AH123">IF(AG123="","",INDEX(Podcasts!$F$10:'Podcasts'!$F$2535,MATCH(AG123&amp;$B123,Podcasts!$E$10:'Podcasts'!$E$2535&amp;Podcasts!$D$10:'Podcasts'!$D$2535,0)))</f>
        <v/>
      </c>
      <c r="AI123" s="406" t="str">
        <f t="array" ref="AI123">IF(AJ123="","",INDEX(Podcasts!$J$10:'Podcasts'!$J$2535,MATCH(AJ123&amp;$B123,Podcasts!$E$10:'Podcasts'!$E$2535&amp;Podcasts!$D$10:'Podcasts'!$D$2535,0)))</f>
        <v/>
      </c>
      <c r="AJ123" s="400" t="str">
        <f t="array" ref="AJ123">IF(COUNTIF(Podcasts!$D$10:'Podcasts'!$D$2535,$B123)&lt;COLUMN(K86),"",SMALL(IF(Podcasts!$D$10:'Podcasts'!$D$2535=$B123,Podcasts!$E$10:'Podcasts'!$E$2535),COLUMN(K86)))</f>
        <v/>
      </c>
      <c r="AK123" s="401" t="str">
        <f t="array" ref="AK123">IF(AJ123="","",INDEX(Podcasts!$F$10:'Podcasts'!$F$2535,MATCH(AJ123&amp;$B123,Podcasts!$E$10:'Podcasts'!$E$2535&amp;Podcasts!$D$10:'Podcasts'!$D$2535,0)))</f>
        <v/>
      </c>
      <c r="AL123" s="406" t="str">
        <f t="array" ref="AL123">IF(AM123="","",INDEX(Podcasts!$J$10:'Podcasts'!$J$2535,MATCH(AM123&amp;$B123,Podcasts!$E$10:'Podcasts'!$E$2535&amp;Podcasts!$D$10:'Podcasts'!$D$2535,0)))</f>
        <v/>
      </c>
      <c r="AM123" s="400" t="str">
        <f t="array" ref="AM123">IF(COUNTIF(Podcasts!$D$10:'Podcasts'!$D$2535,$B123)&lt;COLUMN(L86),"",SMALL(IF(Podcasts!$D$10:'Podcasts'!$D$2535=$B123,Podcasts!$E$10:'Podcasts'!$E$2535),COLUMN(L86)))</f>
        <v/>
      </c>
      <c r="AN123" s="401" t="str">
        <f t="array" ref="AN123">IF(AM123="","",INDEX(Podcasts!$F$10:'Podcasts'!$F$2535,MATCH(AM123&amp;$B123,Podcasts!$E$10:'Podcasts'!$E$2535&amp;Podcasts!$D$10:'Podcasts'!$D$2535,0)))</f>
        <v/>
      </c>
      <c r="AO123" s="402"/>
      <c r="AP123" s="119"/>
      <c r="AQ123" s="117">
        <f t="array" aca="1" ref="AQ123" ca="1">IFERROR(SMALL(IF(COUNTIF(Podcasts!$D$10:'Podcasts'!$D$107,ROW(INDIRECT("1:"&amp;K$2)))=0,ROW(INDIRECT("1:"&amp;K$2))),ROW($A80)),"")</f>
        <v>110</v>
      </c>
      <c r="AR123" s="117">
        <f t="array" aca="1" ref="AR123" ca="1">IFERROR(SMALL(IF(COUNTIF(Podcasts!$D$113:'Podcasts'!$D$238,ROW(INDIRECT("1:"&amp;K$2)))=0,ROW(INDIRECT("1:"&amp;K$2))),ROW($A80)),"")</f>
        <v>80</v>
      </c>
      <c r="AS123" s="117">
        <f t="array" aca="1" ref="AS123" ca="1">IFERROR(SMALL(IF(COUNTIF(Podcasts!$D$244:'Podcasts'!$D$299,ROW(INDIRECT("1:"&amp;K$2)))=0,ROW(INDIRECT("1:"&amp;K$2))),ROW($A80)),"")</f>
        <v>98</v>
      </c>
      <c r="AT123" s="117">
        <f t="array" aca="1" ref="AT123" ca="1">IFERROR(SMALL(IF(COUNTIF(Podcasts!$D$305:'Podcasts'!$D$473,ROW(INDIRECT("1:"&amp;K$2)))=0,ROW(INDIRECT("1:"&amp;K$2))),ROW($A80)),"")</f>
        <v>215</v>
      </c>
      <c r="AU123" s="117">
        <f t="array" aca="1" ref="AU123" ca="1">IFERROR(SMALL(IF(COUNTIF(Podcasts!$D$479:'Podcasts'!$D$488,ROW(INDIRECT("1:"&amp;K$2)))=0,ROW(INDIRECT("1:"&amp;K$2))),ROW($A80)),"")</f>
        <v>81</v>
      </c>
      <c r="AV123" s="117">
        <f t="array" aca="1" ref="AV123" ca="1">IFERROR(SMALL(IF(COUNTIF(Podcasts!$D$494:'Podcasts'!$D$518,ROW(INDIRECT("1:"&amp;K$2)))=0,ROW(INDIRECT("1:"&amp;K$2))),ROW($A80)),"")</f>
        <v>99</v>
      </c>
      <c r="AW123" s="117">
        <f t="array" aca="1" ref="AW123" ca="1">IFERROR(SMALL(IF(COUNTIF(Podcasts!$D$524:'Podcasts'!$D$532,ROW(INDIRECT("1:"&amp;K$2)))=0,ROW(INDIRECT("1:"&amp;K$2))),ROW($A80)),"")</f>
        <v>80</v>
      </c>
      <c r="AX123" s="117">
        <f t="array" aca="1" ref="AX123" ca="1">IFERROR(SMALL(IF(COUNTIF(Podcasts!$D$538:'Podcasts'!$D$909,ROW(INDIRECT("1:"&amp;K$2)))=0,ROW(INDIRECT("1:"&amp;K$2))),ROW($A80)),"")</f>
        <v>208</v>
      </c>
      <c r="AY123" s="117">
        <f t="array" aca="1" ref="AY123" ca="1">IFERROR(SMALL(IF(COUNTIF(Podcasts!$D$915:'Podcasts'!$D$981,ROW(INDIRECT("1:"&amp;K$2)))=0,ROW(INDIRECT("1:"&amp;K$2))),ROW($A80)),"")</f>
        <v>124</v>
      </c>
      <c r="AZ123" s="445"/>
      <c r="BA123" s="117">
        <f t="array" aca="1" ref="BA123" ca="1">IFERROR(SMALL(IF(COUNTIF(Podcasts!$D$1001:'Podcasts'!$D$1251,ROW(INDIRECT("1:"&amp;K$2)))=0,ROW(INDIRECT("1:"&amp;K$2))),ROW($A80)),"")</f>
        <v>122</v>
      </c>
      <c r="BB123" s="117">
        <f t="array" aca="1" ref="BB123" ca="1">IFERROR(SMALL(IF(COUNTIF(Podcasts!$D$1257:'Podcasts'!$D$1267,ROW(INDIRECT("1:"&amp;K$2)))=0,ROW(INDIRECT("1:"&amp;K$2))),ROW($A80)),"")</f>
        <v>82</v>
      </c>
      <c r="BC123" s="117">
        <f t="array" aca="1" ref="BC123" ca="1">IFERROR(SMALL(IF(COUNTIF(Podcasts!$D$1273:'Podcasts'!$D$1283,ROW(INDIRECT("1:"&amp;K$2)))=0,ROW(INDIRECT("1:"&amp;K$2))),ROW($A80)),"")</f>
        <v>84</v>
      </c>
      <c r="BD123" s="117">
        <f t="array" aca="1" ref="BD123" ca="1">IFERROR(SMALL(IF(COUNTIF(Podcasts!$D$1289:'Podcasts'!$D$1295,ROW(INDIRECT("1:"&amp;K$2)))=0,ROW(INDIRECT("1:"&amp;K$2))),ROW($A80)),"")</f>
        <v>82</v>
      </c>
      <c r="BE123" s="117">
        <f t="array" aca="1" ref="BE123" ca="1">IFERROR(SMALL(IF(COUNTIF(Podcasts!$D$1301:'Podcasts'!$D$1356,ROW(INDIRECT("1:"&amp;K$2)))=0,ROW(INDIRECT("1:"&amp;K$2))),ROW($A80)),"")</f>
        <v>127</v>
      </c>
      <c r="BF123" s="117">
        <f t="array" aca="1" ref="BF123" ca="1">IFERROR(SMALL(IF(COUNTIF(Podcasts!$D$1362:'Podcasts'!$D$1364,ROW(INDIRECT("1:"&amp;K$2)))=0,ROW(INDIRECT("1:"&amp;K$2))),ROW($A80)),"")</f>
        <v>83</v>
      </c>
      <c r="BG123" s="202">
        <f t="array" aca="1" ref="BG123" ca="1">IFERROR(SMALL(IF(COUNTIF(Podcasts!$D$1370:'Podcasts'!$D$1419,ROW(INDIRECT("1:"&amp;K$2)))=0,ROW(INDIRECT("1:"&amp;K$2))),ROW($A80)),"")</f>
        <v>100</v>
      </c>
      <c r="BH123" s="202">
        <f t="array" aca="1" ref="BH123" ca="1">IFERROR(SMALL(IF(COUNTIF(Podcasts!$D$1425:'Podcasts'!$D$1446,ROW(INDIRECT("1:"&amp;K$2)))=0,ROW(INDIRECT("1:"&amp;K$2))),ROW($A80)),"")</f>
        <v>88</v>
      </c>
      <c r="BI123" s="202">
        <f t="array" aca="1" ref="BI123" ca="1">IFERROR(SMALL(IF(COUNTIF(Podcasts!$D$1452:'Podcasts'!$D$1574,ROW(INDIRECT("1:"&amp;K$2)))=0,ROW(INDIRECT("1:"&amp;K$2))),ROW($A80)),"")</f>
        <v>140</v>
      </c>
      <c r="BJ123" s="202">
        <f t="array" aca="1" ref="BJ123" ca="1">IFERROR(SMALL(IF(COUNTIF(Podcasts!$D$1580:'Podcasts'!$D$1705,ROW(INDIRECT("1:"&amp;K$2)))=0,ROW(INDIRECT("1:"&amp;K$2))),ROW($A80)),"")</f>
        <v>139</v>
      </c>
      <c r="BK123" s="202">
        <f t="array" aca="1" ref="BK123" ca="1">IFERROR(SMALL(IF(COUNTIF(Podcasts!$D$1711:'Podcasts'!$D$1833,ROW(INDIRECT("1:"&amp;K$2)))=0,ROW(INDIRECT("1:"&amp;K$2))),ROW($A80)),"")</f>
        <v>121</v>
      </c>
      <c r="BL123" s="202">
        <f t="array" aca="1" ref="BL123" ca="1">IFERROR(SMALL(IF(COUNTIF(Podcasts!$D$1839:'Podcasts'!$D$1855,ROW(INDIRECT("1:"&amp;K$2)))=0,ROW(INDIRECT("1:"&amp;K$2))),ROW($A80)),"")</f>
        <v>89</v>
      </c>
      <c r="BM123" s="567">
        <f t="array" aca="1" ref="BM123" ca="1">IFERROR(SMALL(IF(COUNTIF(Podcasts!$D$1861:'Podcasts'!$D$1994,ROW(INDIRECT("1:"&amp;K$2)))=0,ROW(INDIRECT("1:"&amp;K$2))),ROW($A80)),"")</f>
        <v>114</v>
      </c>
      <c r="BN123" s="567">
        <f t="array" aca="1" ref="BN123" ca="1">IFERROR(SMALL(IF(COUNTIF(Podcasts!$D$2000:'Podcasts'!$D$2057,ROW(INDIRECT("1:"&amp;K$2)))=0,ROW(INDIRECT("1:"&amp;K$2))),ROW($A80)),"")</f>
        <v>135</v>
      </c>
      <c r="BO123" s="567">
        <f t="array" aca="1" ref="BO123" ca="1">IFERROR(SMALL(IF(COUNTIF(Podcasts!$D$2063:'Podcasts'!$D$2071,ROW(INDIRECT("1:"&amp;K$2)))=0,ROW(INDIRECT("1:"&amp;K$2))),ROW($A80)),"")</f>
        <v>81</v>
      </c>
      <c r="BP123" s="202">
        <f t="array" aca="1" ref="BP123" ca="1">IFERROR(SMALL(IF(COUNTIF(Podcasts!$D$2077:'Podcasts'!$D$2092,ROW(INDIRECT("1:"&amp;K$2)))=0,ROW(INDIRECT("1:"&amp;K$2))),ROW($A80)),"")</f>
        <v>91</v>
      </c>
      <c r="BQ123" s="741">
        <f t="array" aca="1" ref="BQ123" ca="1">IFERROR(SMALL(IF(COUNTIF(Podcasts!$D$2098:'Podcasts'!$D$2114,ROW(INDIRECT("1:"&amp;K$2)))=0,ROW(INDIRECT("1:"&amp;K$2))),ROW($A80)),"")</f>
        <v>84</v>
      </c>
      <c r="BR123" s="744">
        <f t="array" aca="1" ref="BR123" ca="1">IFERROR(SMALL(IF(COUNTIF(Podcasts!$D$2120:'Podcasts'!$D$2124,ROW(INDIRECT("1:"&amp;K$2)))=0,ROW(INDIRECT("1:"&amp;K$2))),ROW($A80)),"")</f>
        <v>82</v>
      </c>
      <c r="BS123" s="28"/>
    </row>
    <row r="124" spans="1:71" outlineLevel="1">
      <c r="A124" s="28"/>
      <c r="B124" s="161">
        <v>81</v>
      </c>
      <c r="C124" s="161">
        <f>COUNTIF(Podcasts!$D$10:'Podcasts'!$D$2535,B124)</f>
        <v>3</v>
      </c>
      <c r="D124" s="158" t="s">
        <v>1109</v>
      </c>
      <c r="E124" s="156" t="str">
        <f t="array" ref="E124">IF(F124="","",INDEX(Podcasts!$J$10:'Podcasts'!$J$2535,MATCH(F124&amp;$B124,Podcasts!$E$10:'Podcasts'!$E$2535&amp;Podcasts!$D$10:'Podcasts'!$D$2535,0)))</f>
        <v>Fürst</v>
      </c>
      <c r="F124" s="131">
        <f t="array" ref="F124">IF(COUNTIF(Podcasts!$D$10:'Podcasts'!$D$2535,$B124)&lt;COLUMN(A87),"",SMALL(IF(Podcasts!$D$10:'Podcasts'!$D$2535=$B124,Podcasts!$E$10:'Podcasts'!$E$2535),COLUMN(A87)))</f>
        <v>41811</v>
      </c>
      <c r="G124" s="132">
        <f t="array" ref="G124">IF(F124="","",INDEX(Podcasts!$F$10:'Podcasts'!$F$2535,MATCH(F124&amp;$B124,Podcasts!$E$10:'Podcasts'!$E$2535&amp;Podcasts!$D$10:'Podcasts'!$D$2535,0)))</f>
        <v>4.5717592592592615E-3</v>
      </c>
      <c r="H124" s="136" t="str">
        <f t="array" ref="H124">IF(I124="","",INDEX(Podcasts!$J$10:'Podcasts'!$J$2535,MATCH(I124&amp;$B124,Podcasts!$E$10:'Podcasts'!$E$2535&amp;Podcasts!$D$10:'Podcasts'!$D$2535,0)))</f>
        <v>Zeichen</v>
      </c>
      <c r="I124" s="133">
        <f t="array" ref="I124">IF(COUNTIF(Podcasts!$D$10:'Podcasts'!$D$2535,$B124)&lt;COLUMN(B87),"",SMALL(IF(Podcasts!$D$10:'Podcasts'!$D$2535=$B124,Podcasts!$E$10:'Podcasts'!$E$2535),COLUMN(B87)))</f>
        <v>44736</v>
      </c>
      <c r="J124" s="132">
        <f t="array" ref="J124">IF(I124="","",INDEX(Podcasts!$F$10:'Podcasts'!$F$2535,MATCH(I124&amp;$B124,Podcasts!$E$10:'Podcasts'!$E$2535&amp;Podcasts!$D$10:'Podcasts'!$D$2535,0)))</f>
        <v>8.2476851851851843E-2</v>
      </c>
      <c r="K124" s="136" t="str">
        <f t="array" ref="K124">IF(L124="","",INDEX(Podcasts!$J$10:'Podcasts'!$J$2535,MATCH(L124&amp;$B124,Podcasts!$E$10:'Podcasts'!$E$2535&amp;Podcasts!$D$10:'Podcasts'!$D$2535,0)))</f>
        <v>Rose</v>
      </c>
      <c r="L124" s="133">
        <f t="array" ref="L124">IF(COUNTIF(Podcasts!$D$10:'Podcasts'!$D$2535,$B124)&lt;COLUMN(C87),"",SMALL(IF(Podcasts!$D$10:'Podcasts'!$D$2535=$B124,Podcasts!$E$10:'Podcasts'!$E$2535),COLUMN(C87)))</f>
        <v>44885</v>
      </c>
      <c r="M124" s="132">
        <f t="array" ref="M124">IF(L124="","",INDEX(Podcasts!$F$10:'Podcasts'!$F$2535,MATCH(L124&amp;$B124,Podcasts!$E$10:'Podcasts'!$E$2535&amp;Podcasts!$D$10:'Podcasts'!$D$2535,0)))</f>
        <v>5.4340277777777779E-2</v>
      </c>
      <c r="N124" s="136" t="str">
        <f t="array" ref="N124">IF(O124="","",INDEX(Podcasts!$J$10:'Podcasts'!$J$2535,MATCH(O124&amp;$B124,Podcasts!$E$10:'Podcasts'!$E$2535&amp;Podcasts!$D$10:'Podcasts'!$D$2535,0)))</f>
        <v/>
      </c>
      <c r="O124" s="133" t="str">
        <f t="array" ref="O124">IF(COUNTIF(Podcasts!$D$10:'Podcasts'!$D$2535,$B124)&lt;COLUMN(D87),"",SMALL(IF(Podcasts!$D$10:'Podcasts'!$D$2535=$B124,Podcasts!$E$10:'Podcasts'!$E$2535),COLUMN(D87)))</f>
        <v/>
      </c>
      <c r="P124" s="132" t="str">
        <f t="array" ref="P124">IF(O124="","",INDEX(Podcasts!$F$10:'Podcasts'!$F$2535,MATCH(O124&amp;$B124,Podcasts!$E$10:'Podcasts'!$E$2535&amp;Podcasts!$D$10:'Podcasts'!$D$2535,0)))</f>
        <v/>
      </c>
      <c r="Q124" s="136" t="str">
        <f t="array" ref="Q124">IF(R124="","",INDEX(Podcasts!$J$10:'Podcasts'!$J$2535,MATCH(R124&amp;$B124,Podcasts!$E$10:'Podcasts'!$E$2535&amp;Podcasts!$D$10:'Podcasts'!$D$2535,0)))</f>
        <v/>
      </c>
      <c r="R124" s="133" t="str">
        <f t="array" ref="R124">IF(COUNTIF(Podcasts!$D$10:'Podcasts'!$D$2535,$B124)&lt;COLUMN(E87),"",SMALL(IF(Podcasts!$D$10:'Podcasts'!$D$2535=$B124,Podcasts!$E$10:'Podcasts'!$E$2535),COLUMN(E87)))</f>
        <v/>
      </c>
      <c r="S124" s="132" t="str">
        <f t="array" ref="S124">IF(R124="","",INDEX(Podcasts!$F$10:'Podcasts'!$F$2535,MATCH(R124&amp;$B124,Podcasts!$E$10:'Podcasts'!$E$2535&amp;Podcasts!$D$10:'Podcasts'!$D$2535,0)))</f>
        <v/>
      </c>
      <c r="T124" s="136" t="str">
        <f t="array" ref="T124">IF(U124="","",INDEX(Podcasts!$J$10:'Podcasts'!$J$2535,MATCH(U124&amp;$B124,Podcasts!$E$10:'Podcasts'!$E$2535&amp;Podcasts!$D$10:'Podcasts'!$D$2535,0)))</f>
        <v/>
      </c>
      <c r="U124" s="133" t="str">
        <f t="array" ref="U124">IF(COUNTIF(Podcasts!$D$10:'Podcasts'!$D$2535,$B124)&lt;COLUMN(F87),"",SMALL(IF(Podcasts!$D$10:'Podcasts'!$D$2535=$B124,Podcasts!$E$10:'Podcasts'!$E$2535),COLUMN(F87)))</f>
        <v/>
      </c>
      <c r="V124" s="132" t="str">
        <f t="array" ref="V124">IF(U124="","",INDEX(Podcasts!$F$10:'Podcasts'!$F$2535,MATCH(U124&amp;$B124,Podcasts!$E$10:'Podcasts'!$E$2535&amp;Podcasts!$D$10:'Podcasts'!$D$2535,0)))</f>
        <v/>
      </c>
      <c r="W124" s="136" t="str">
        <f t="array" ref="W124">IF(X124="","",INDEX(Podcasts!$J$10:'Podcasts'!$J$2535,MATCH(X124&amp;$B124,Podcasts!$E$10:'Podcasts'!$E$2535&amp;Podcasts!$D$10:'Podcasts'!$D$2535,0)))</f>
        <v/>
      </c>
      <c r="X124" s="133" t="str">
        <f t="array" ref="X124">IF(COUNTIF(Podcasts!$D$10:'Podcasts'!$D$2535,$B124)&lt;COLUMN(G87),"",SMALL(IF(Podcasts!$D$10:'Podcasts'!$D$2535=$B124,Podcasts!$E$10:'Podcasts'!$E$2535),COLUMN(G87)))</f>
        <v/>
      </c>
      <c r="Y124" s="132" t="str">
        <f t="array" ref="Y124">IF(X124="","",INDEX(Podcasts!$F$10:'Podcasts'!$F$2535,MATCH(X124&amp;$B124,Podcasts!$E$10:'Podcasts'!$E$2535&amp;Podcasts!$D$10:'Podcasts'!$D$2535,0)))</f>
        <v/>
      </c>
      <c r="Z124" s="136" t="str">
        <f t="array" ref="Z124">IF(AA124="","",INDEX(Podcasts!$J$10:'Podcasts'!$J$2535,MATCH(AA124&amp;$B124,Podcasts!$E$10:'Podcasts'!$E$2535&amp;Podcasts!$D$10:'Podcasts'!$D$2535,0)))</f>
        <v/>
      </c>
      <c r="AA124" s="134" t="str">
        <f t="array" ref="AA124">IF(COUNTIF(Podcasts!$D$10:'Podcasts'!$D$2535,$B124)&lt;COLUMN(H87),"",SMALL(IF(Podcasts!$D$10:'Podcasts'!$D$2535=$B124,Podcasts!$E$10:'Podcasts'!$E$2535),COLUMN(H87)))</f>
        <v/>
      </c>
      <c r="AB124" s="404" t="str">
        <f t="array" ref="AB124">IF(AA124="","",INDEX(Podcasts!$F$10:'Podcasts'!$F$2535,MATCH(AA124&amp;$B124,Podcasts!$E$10:'Podcasts'!$E$2535&amp;Podcasts!$D$10:'Podcasts'!$D$2535,0)))</f>
        <v/>
      </c>
      <c r="AC124" s="406" t="str">
        <f t="array" ref="AC124">IF(AD124="","",INDEX(Podcasts!$J$10:'Podcasts'!$J$2535,MATCH(AD124&amp;$B124,Podcasts!$E$10:'Podcasts'!$E$2535&amp;Podcasts!$D$10:'Podcasts'!$D$2535,0)))</f>
        <v/>
      </c>
      <c r="AD124" s="400" t="str">
        <f t="array" ref="AD124">IF(COUNTIF(Podcasts!$D$10:'Podcasts'!$D$2535,$B124)&lt;COLUMN(I87),"",SMALL(IF(Podcasts!$D$10:'Podcasts'!$D$2535=$B124,Podcasts!$E$10:'Podcasts'!$E$2535),COLUMN(I87)))</f>
        <v/>
      </c>
      <c r="AE124" s="401" t="str">
        <f t="array" ref="AE124">IF(AD124="","",INDEX(Podcasts!$F$10:'Podcasts'!$F$2535,MATCH(AD124&amp;$B124,Podcasts!$E$10:'Podcasts'!$E$2535&amp;Podcasts!$D$10:'Podcasts'!$D$2535,0)))</f>
        <v/>
      </c>
      <c r="AF124" s="406" t="str">
        <f t="array" ref="AF124">IF(AG124="","",INDEX(Podcasts!$J$10:'Podcasts'!$J$2535,MATCH(AG124&amp;$B124,Podcasts!$E$10:'Podcasts'!$E$2535&amp;Podcasts!$D$10:'Podcasts'!$D$2535,0)))</f>
        <v/>
      </c>
      <c r="AG124" s="400" t="str">
        <f t="array" ref="AG124">IF(COUNTIF(Podcasts!$D$10:'Podcasts'!$D$2535,$B124)&lt;COLUMN(J87),"",SMALL(IF(Podcasts!$D$10:'Podcasts'!$D$2535=$B124,Podcasts!$E$10:'Podcasts'!$E$2535),COLUMN(J87)))</f>
        <v/>
      </c>
      <c r="AH124" s="401" t="str">
        <f t="array" ref="AH124">IF(AG124="","",INDEX(Podcasts!$F$10:'Podcasts'!$F$2535,MATCH(AG124&amp;$B124,Podcasts!$E$10:'Podcasts'!$E$2535&amp;Podcasts!$D$10:'Podcasts'!$D$2535,0)))</f>
        <v/>
      </c>
      <c r="AI124" s="406" t="str">
        <f t="array" ref="AI124">IF(AJ124="","",INDEX(Podcasts!$J$10:'Podcasts'!$J$2535,MATCH(AJ124&amp;$B124,Podcasts!$E$10:'Podcasts'!$E$2535&amp;Podcasts!$D$10:'Podcasts'!$D$2535,0)))</f>
        <v/>
      </c>
      <c r="AJ124" s="400" t="str">
        <f t="array" ref="AJ124">IF(COUNTIF(Podcasts!$D$10:'Podcasts'!$D$2535,$B124)&lt;COLUMN(K87),"",SMALL(IF(Podcasts!$D$10:'Podcasts'!$D$2535=$B124,Podcasts!$E$10:'Podcasts'!$E$2535),COLUMN(K87)))</f>
        <v/>
      </c>
      <c r="AK124" s="401" t="str">
        <f t="array" ref="AK124">IF(AJ124="","",INDEX(Podcasts!$F$10:'Podcasts'!$F$2535,MATCH(AJ124&amp;$B124,Podcasts!$E$10:'Podcasts'!$E$2535&amp;Podcasts!$D$10:'Podcasts'!$D$2535,0)))</f>
        <v/>
      </c>
      <c r="AL124" s="406" t="str">
        <f t="array" ref="AL124">IF(AM124="","",INDEX(Podcasts!$J$10:'Podcasts'!$J$2535,MATCH(AM124&amp;$B124,Podcasts!$E$10:'Podcasts'!$E$2535&amp;Podcasts!$D$10:'Podcasts'!$D$2535,0)))</f>
        <v/>
      </c>
      <c r="AM124" s="400" t="str">
        <f t="array" ref="AM124">IF(COUNTIF(Podcasts!$D$10:'Podcasts'!$D$2535,$B124)&lt;COLUMN(L87),"",SMALL(IF(Podcasts!$D$10:'Podcasts'!$D$2535=$B124,Podcasts!$E$10:'Podcasts'!$E$2535),COLUMN(L87)))</f>
        <v/>
      </c>
      <c r="AN124" s="401" t="str">
        <f t="array" ref="AN124">IF(AM124="","",INDEX(Podcasts!$F$10:'Podcasts'!$F$2535,MATCH(AM124&amp;$B124,Podcasts!$E$10:'Podcasts'!$E$2535&amp;Podcasts!$D$10:'Podcasts'!$D$2535,0)))</f>
        <v/>
      </c>
      <c r="AO124" s="402"/>
      <c r="AP124" s="119"/>
      <c r="AQ124" s="117">
        <f t="array" aca="1" ref="AQ124" ca="1">IFERROR(SMALL(IF(COUNTIF(Podcasts!$D$10:'Podcasts'!$D$107,ROW(INDIRECT("1:"&amp;K$2)))=0,ROW(INDIRECT("1:"&amp;K$2))),ROW($A81)),"")</f>
        <v>111</v>
      </c>
      <c r="AR124" s="117">
        <f t="array" aca="1" ref="AR124" ca="1">IFERROR(SMALL(IF(COUNTIF(Podcasts!$D$113:'Podcasts'!$D$238,ROW(INDIRECT("1:"&amp;K$2)))=0,ROW(INDIRECT("1:"&amp;K$2))),ROW($A81)),"")</f>
        <v>81</v>
      </c>
      <c r="AS124" s="117">
        <f t="array" aca="1" ref="AS124" ca="1">IFERROR(SMALL(IF(COUNTIF(Podcasts!$D$244:'Podcasts'!$D$299,ROW(INDIRECT("1:"&amp;K$2)))=0,ROW(INDIRECT("1:"&amp;K$2))),ROW($A81)),"")</f>
        <v>99</v>
      </c>
      <c r="AT124" s="117">
        <f t="array" aca="1" ref="AT124" ca="1">IFERROR(SMALL(IF(COUNTIF(Podcasts!$D$305:'Podcasts'!$D$473,ROW(INDIRECT("1:"&amp;K$2)))=0,ROW(INDIRECT("1:"&amp;K$2))),ROW($A81)),"")</f>
        <v>216</v>
      </c>
      <c r="AU124" s="117">
        <f t="array" aca="1" ref="AU124" ca="1">IFERROR(SMALL(IF(COUNTIF(Podcasts!$D$479:'Podcasts'!$D$488,ROW(INDIRECT("1:"&amp;K$2)))=0,ROW(INDIRECT("1:"&amp;K$2))),ROW($A81)),"")</f>
        <v>82</v>
      </c>
      <c r="AV124" s="117">
        <f t="array" aca="1" ref="AV124" ca="1">IFERROR(SMALL(IF(COUNTIF(Podcasts!$D$494:'Podcasts'!$D$518,ROW(INDIRECT("1:"&amp;K$2)))=0,ROW(INDIRECT("1:"&amp;K$2))),ROW($A81)),"")</f>
        <v>100</v>
      </c>
      <c r="AW124" s="117">
        <f t="array" aca="1" ref="AW124" ca="1">IFERROR(SMALL(IF(COUNTIF(Podcasts!$D$524:'Podcasts'!$D$532,ROW(INDIRECT("1:"&amp;K$2)))=0,ROW(INDIRECT("1:"&amp;K$2))),ROW($A81)),"")</f>
        <v>81</v>
      </c>
      <c r="AX124" s="117">
        <f t="array" aca="1" ref="AX124" ca="1">IFERROR(SMALL(IF(COUNTIF(Podcasts!$D$538:'Podcasts'!$D$909,ROW(INDIRECT("1:"&amp;K$2)))=0,ROW(INDIRECT("1:"&amp;K$2))),ROW($A81)),"")</f>
        <v>209</v>
      </c>
      <c r="AY124" s="117">
        <f t="array" aca="1" ref="AY124" ca="1">IFERROR(SMALL(IF(COUNTIF(Podcasts!$D$915:'Podcasts'!$D$981,ROW(INDIRECT("1:"&amp;K$2)))=0,ROW(INDIRECT("1:"&amp;K$2))),ROW($A81)),"")</f>
        <v>125</v>
      </c>
      <c r="AZ124" s="445"/>
      <c r="BA124" s="117">
        <f t="array" aca="1" ref="BA124" ca="1">IFERROR(SMALL(IF(COUNTIF(Podcasts!$D$1001:'Podcasts'!$D$1251,ROW(INDIRECT("1:"&amp;K$2)))=0,ROW(INDIRECT("1:"&amp;K$2))),ROW($A81)),"")</f>
        <v>123</v>
      </c>
      <c r="BB124" s="117">
        <f t="array" aca="1" ref="BB124" ca="1">IFERROR(SMALL(IF(COUNTIF(Podcasts!$D$1257:'Podcasts'!$D$1267,ROW(INDIRECT("1:"&amp;K$2)))=0,ROW(INDIRECT("1:"&amp;K$2))),ROW($A81)),"")</f>
        <v>83</v>
      </c>
      <c r="BC124" s="117">
        <f t="array" aca="1" ref="BC124" ca="1">IFERROR(SMALL(IF(COUNTIF(Podcasts!$D$1273:'Podcasts'!$D$1283,ROW(INDIRECT("1:"&amp;K$2)))=0,ROW(INDIRECT("1:"&amp;K$2))),ROW($A81)),"")</f>
        <v>85</v>
      </c>
      <c r="BD124" s="117">
        <f t="array" aca="1" ref="BD124" ca="1">IFERROR(SMALL(IF(COUNTIF(Podcasts!$D$1289:'Podcasts'!$D$1295,ROW(INDIRECT("1:"&amp;K$2)))=0,ROW(INDIRECT("1:"&amp;K$2))),ROW($A81)),"")</f>
        <v>83</v>
      </c>
      <c r="BE124" s="117">
        <f t="array" aca="1" ref="BE124" ca="1">IFERROR(SMALL(IF(COUNTIF(Podcasts!$D$1301:'Podcasts'!$D$1356,ROW(INDIRECT("1:"&amp;K$2)))=0,ROW(INDIRECT("1:"&amp;K$2))),ROW($A81)),"")</f>
        <v>128</v>
      </c>
      <c r="BF124" s="117">
        <f t="array" aca="1" ref="BF124" ca="1">IFERROR(SMALL(IF(COUNTIF(Podcasts!$D$1362:'Podcasts'!$D$1364,ROW(INDIRECT("1:"&amp;K$2)))=0,ROW(INDIRECT("1:"&amp;K$2))),ROW($A81)),"")</f>
        <v>84</v>
      </c>
      <c r="BG124" s="202">
        <f t="array" aca="1" ref="BG124" ca="1">IFERROR(SMALL(IF(COUNTIF(Podcasts!$D$1370:'Podcasts'!$D$1419,ROW(INDIRECT("1:"&amp;K$2)))=0,ROW(INDIRECT("1:"&amp;K$2))),ROW($A81)),"")</f>
        <v>101</v>
      </c>
      <c r="BH124" s="202">
        <f t="array" aca="1" ref="BH124" ca="1">IFERROR(SMALL(IF(COUNTIF(Podcasts!$D$1425:'Podcasts'!$D$1446,ROW(INDIRECT("1:"&amp;K$2)))=0,ROW(INDIRECT("1:"&amp;K$2))),ROW($A81)),"")</f>
        <v>89</v>
      </c>
      <c r="BI124" s="202">
        <f t="array" aca="1" ref="BI124" ca="1">IFERROR(SMALL(IF(COUNTIF(Podcasts!$D$1452:'Podcasts'!$D$1574,ROW(INDIRECT("1:"&amp;K$2)))=0,ROW(INDIRECT("1:"&amp;K$2))),ROW($A81)),"")</f>
        <v>143</v>
      </c>
      <c r="BJ124" s="202">
        <f t="array" aca="1" ref="BJ124" ca="1">IFERROR(SMALL(IF(COUNTIF(Podcasts!$D$1580:'Podcasts'!$D$1705,ROW(INDIRECT("1:"&amp;K$2)))=0,ROW(INDIRECT("1:"&amp;K$2))),ROW($A81)),"")</f>
        <v>140</v>
      </c>
      <c r="BK124" s="202">
        <f t="array" aca="1" ref="BK124" ca="1">IFERROR(SMALL(IF(COUNTIF(Podcasts!$D$1711:'Podcasts'!$D$1833,ROW(INDIRECT("1:"&amp;K$2)))=0,ROW(INDIRECT("1:"&amp;K$2))),ROW($A81)),"")</f>
        <v>122</v>
      </c>
      <c r="BL124" s="202">
        <f t="array" aca="1" ref="BL124" ca="1">IFERROR(SMALL(IF(COUNTIF(Podcasts!$D$1839:'Podcasts'!$D$1855,ROW(INDIRECT("1:"&amp;K$2)))=0,ROW(INDIRECT("1:"&amp;K$2))),ROW($A81)),"")</f>
        <v>90</v>
      </c>
      <c r="BM124" s="567">
        <f t="array" aca="1" ref="BM124" ca="1">IFERROR(SMALL(IF(COUNTIF(Podcasts!$D$1861:'Podcasts'!$D$1994,ROW(INDIRECT("1:"&amp;K$2)))=0,ROW(INDIRECT("1:"&amp;K$2))),ROW($A81)),"")</f>
        <v>115</v>
      </c>
      <c r="BN124" s="567">
        <f t="array" aca="1" ref="BN124" ca="1">IFERROR(SMALL(IF(COUNTIF(Podcasts!$D$2000:'Podcasts'!$D$2057,ROW(INDIRECT("1:"&amp;K$2)))=0,ROW(INDIRECT("1:"&amp;K$2))),ROW($A81)),"")</f>
        <v>136</v>
      </c>
      <c r="BO124" s="567">
        <f t="array" aca="1" ref="BO124" ca="1">IFERROR(SMALL(IF(COUNTIF(Podcasts!$D$2063:'Podcasts'!$D$2071,ROW(INDIRECT("1:"&amp;K$2)))=0,ROW(INDIRECT("1:"&amp;K$2))),ROW($A81)),"")</f>
        <v>82</v>
      </c>
      <c r="BP124" s="202">
        <f t="array" aca="1" ref="BP124" ca="1">IFERROR(SMALL(IF(COUNTIF(Podcasts!$D$2077:'Podcasts'!$D$2092,ROW(INDIRECT("1:"&amp;K$2)))=0,ROW(INDIRECT("1:"&amp;K$2))),ROW($A81)),"")</f>
        <v>92</v>
      </c>
      <c r="BQ124" s="741">
        <f t="array" aca="1" ref="BQ124" ca="1">IFERROR(SMALL(IF(COUNTIF(Podcasts!$D$2098:'Podcasts'!$D$2114,ROW(INDIRECT("1:"&amp;K$2)))=0,ROW(INDIRECT("1:"&amp;K$2))),ROW($A81)),"")</f>
        <v>85</v>
      </c>
      <c r="BR124" s="744">
        <f t="array" aca="1" ref="BR124" ca="1">IFERROR(SMALL(IF(COUNTIF(Podcasts!$D$2120:'Podcasts'!$D$2124,ROW(INDIRECT("1:"&amp;K$2)))=0,ROW(INDIRECT("1:"&amp;K$2))),ROW($A81)),"")</f>
        <v>83</v>
      </c>
      <c r="BS124" s="28"/>
    </row>
    <row r="125" spans="1:71" outlineLevel="1">
      <c r="A125" s="28"/>
      <c r="B125" s="161">
        <v>82</v>
      </c>
      <c r="C125" s="161">
        <f>COUNTIF(Podcasts!$D$10:'Podcasts'!$D$2535,B125)</f>
        <v>5</v>
      </c>
      <c r="D125" s="158" t="s">
        <v>1110</v>
      </c>
      <c r="E125" s="156" t="str">
        <f t="array" ref="E125">IF(F125="","",INDEX(Podcasts!$J$10:'Podcasts'!$J$2535,MATCH(F125&amp;$B125,Podcasts!$E$10:'Podcasts'!$E$2535&amp;Podcasts!$D$10:'Podcasts'!$D$2535,0)))</f>
        <v>Fürst</v>
      </c>
      <c r="F125" s="131">
        <f t="array" ref="F125">IF(COUNTIF(Podcasts!$D$10:'Podcasts'!$D$2535,$B125)&lt;COLUMN(A88),"",SMALL(IF(Podcasts!$D$10:'Podcasts'!$D$2535=$B125,Podcasts!$E$10:'Podcasts'!$E$2535),COLUMN(A88)))</f>
        <v>41803</v>
      </c>
      <c r="G125" s="132">
        <f t="array" ref="G125">IF(F125="","",INDEX(Podcasts!$F$10:'Podcasts'!$F$2535,MATCH(F125&amp;$B125,Podcasts!$E$10:'Podcasts'!$E$2535&amp;Podcasts!$D$10:'Podcasts'!$D$2535,0)))</f>
        <v>8.7962962962962951E-3</v>
      </c>
      <c r="H125" s="136" t="str">
        <f t="array" ref="H125">IF(I125="","",INDEX(Podcasts!$J$10:'Podcasts'!$J$2535,MATCH(I125&amp;$B125,Podcasts!$E$10:'Podcasts'!$E$2535&amp;Podcasts!$D$10:'Podcasts'!$D$2535,0)))</f>
        <v>R&amp;A</v>
      </c>
      <c r="I125" s="133">
        <f t="array" ref="I125">IF(COUNTIF(Podcasts!$D$10:'Podcasts'!$D$2535,$B125)&lt;COLUMN(B88),"",SMALL(IF(Podcasts!$D$10:'Podcasts'!$D$2535=$B125,Podcasts!$E$10:'Podcasts'!$E$2535),COLUMN(B88)))</f>
        <v>44500.006944444445</v>
      </c>
      <c r="J125" s="132">
        <f t="array" ref="J125">IF(I125="","",INDEX(Podcasts!$F$10:'Podcasts'!$F$2535,MATCH(I125&amp;$B125,Podcasts!$E$10:'Podcasts'!$E$2535&amp;Podcasts!$D$10:'Podcasts'!$D$2535,0)))</f>
        <v>0.12005787037037037</v>
      </c>
      <c r="K125" s="136" t="str">
        <f t="array" ref="K125">IF(L125="","",INDEX(Podcasts!$J$10:'Podcasts'!$J$2535,MATCH(L125&amp;$B125,Podcasts!$E$10:'Podcasts'!$E$2535&amp;Podcasts!$D$10:'Podcasts'!$D$2535,0)))</f>
        <v>SSP</v>
      </c>
      <c r="L125" s="133">
        <f t="array" ref="L125">IF(COUNTIF(Podcasts!$D$10:'Podcasts'!$D$2535,$B125)&lt;COLUMN(C88),"",SMALL(IF(Podcasts!$D$10:'Podcasts'!$D$2535=$B125,Podcasts!$E$10:'Podcasts'!$E$2535),COLUMN(C88)))</f>
        <v>44615</v>
      </c>
      <c r="M125" s="132">
        <f t="array" ref="M125">IF(L125="","",INDEX(Podcasts!$F$10:'Podcasts'!$F$2535,MATCH(L125&amp;$B125,Podcasts!$E$10:'Podcasts'!$E$2535&amp;Podcasts!$D$10:'Podcasts'!$D$2535,0)))</f>
        <v>7.4618055555555562E-2</v>
      </c>
      <c r="N125" s="136" t="str">
        <f t="array" ref="N125">IF(O125="","",INDEX(Podcasts!$J$10:'Podcasts'!$J$2535,MATCH(O125&amp;$B125,Podcasts!$E$10:'Podcasts'!$E$2535&amp;Podcasts!$D$10:'Podcasts'!$D$2535,0)))</f>
        <v>Zw3i</v>
      </c>
      <c r="O125" s="133">
        <f t="array" ref="O125">IF(COUNTIF(Podcasts!$D$10:'Podcasts'!$D$2535,$B125)&lt;COLUMN(D88),"",SMALL(IF(Podcasts!$D$10:'Podcasts'!$D$2535=$B125,Podcasts!$E$10:'Podcasts'!$E$2535),COLUMN(D88)))</f>
        <v>45198</v>
      </c>
      <c r="P125" s="132">
        <f t="array" ref="P125">IF(O125="","",INDEX(Podcasts!$F$10:'Podcasts'!$F$2535,MATCH(O125&amp;$B125,Podcasts!$E$10:'Podcasts'!$E$2535&amp;Podcasts!$D$10:'Podcasts'!$D$2535,0)))</f>
        <v>0.10748842592592593</v>
      </c>
      <c r="Q125" s="136" t="str">
        <f t="array" ref="Q125">IF(R125="","",INDEX(Podcasts!$J$10:'Podcasts'!$J$2535,MATCH(R125&amp;$B125,Podcasts!$E$10:'Podcasts'!$E$2535&amp;Podcasts!$D$10:'Podcasts'!$D$2535,0)))</f>
        <v>Zeichen</v>
      </c>
      <c r="R125" s="133">
        <f t="array" ref="R125">IF(COUNTIF(Podcasts!$D$10:'Podcasts'!$D$2535,$B125)&lt;COLUMN(E88),"",SMALL(IF(Podcasts!$D$10:'Podcasts'!$D$2535=$B125,Podcasts!$E$10:'Podcasts'!$E$2535),COLUMN(E88)))</f>
        <v>45319</v>
      </c>
      <c r="S125" s="132">
        <f t="array" ref="S125">IF(R125="","",INDEX(Podcasts!$F$10:'Podcasts'!$F$2535,MATCH(R125&amp;$B125,Podcasts!$E$10:'Podcasts'!$E$2535&amp;Podcasts!$D$10:'Podcasts'!$D$2535,0)))</f>
        <v>8.4027777777777771E-2</v>
      </c>
      <c r="T125" s="136" t="str">
        <f t="array" ref="T125">IF(U125="","",INDEX(Podcasts!$J$10:'Podcasts'!$J$2535,MATCH(U125&amp;$B125,Podcasts!$E$10:'Podcasts'!$E$2535&amp;Podcasts!$D$10:'Podcasts'!$D$2535,0)))</f>
        <v/>
      </c>
      <c r="U125" s="133" t="str">
        <f t="array" ref="U125">IF(COUNTIF(Podcasts!$D$10:'Podcasts'!$D$2535,$B125)&lt;COLUMN(F88),"",SMALL(IF(Podcasts!$D$10:'Podcasts'!$D$2535=$B125,Podcasts!$E$10:'Podcasts'!$E$2535),COLUMN(F88)))</f>
        <v/>
      </c>
      <c r="V125" s="132" t="str">
        <f t="array" ref="V125">IF(U125="","",INDEX(Podcasts!$F$10:'Podcasts'!$F$2535,MATCH(U125&amp;$B125,Podcasts!$E$10:'Podcasts'!$E$2535&amp;Podcasts!$D$10:'Podcasts'!$D$2535,0)))</f>
        <v/>
      </c>
      <c r="W125" s="136" t="str">
        <f t="array" ref="W125">IF(X125="","",INDEX(Podcasts!$J$10:'Podcasts'!$J$2535,MATCH(X125&amp;$B125,Podcasts!$E$10:'Podcasts'!$E$2535&amp;Podcasts!$D$10:'Podcasts'!$D$2535,0)))</f>
        <v/>
      </c>
      <c r="X125" s="133" t="str">
        <f t="array" ref="X125">IF(COUNTIF(Podcasts!$D$10:'Podcasts'!$D$2535,$B125)&lt;COLUMN(G88),"",SMALL(IF(Podcasts!$D$10:'Podcasts'!$D$2535=$B125,Podcasts!$E$10:'Podcasts'!$E$2535),COLUMN(G88)))</f>
        <v/>
      </c>
      <c r="Y125" s="132" t="str">
        <f t="array" ref="Y125">IF(X125="","",INDEX(Podcasts!$F$10:'Podcasts'!$F$2535,MATCH(X125&amp;$B125,Podcasts!$E$10:'Podcasts'!$E$2535&amp;Podcasts!$D$10:'Podcasts'!$D$2535,0)))</f>
        <v/>
      </c>
      <c r="Z125" s="136" t="str">
        <f t="array" ref="Z125">IF(AA125="","",INDEX(Podcasts!$J$10:'Podcasts'!$J$2535,MATCH(AA125&amp;$B125,Podcasts!$E$10:'Podcasts'!$E$2535&amp;Podcasts!$D$10:'Podcasts'!$D$2535,0)))</f>
        <v/>
      </c>
      <c r="AA125" s="134" t="str">
        <f t="array" ref="AA125">IF(COUNTIF(Podcasts!$D$10:'Podcasts'!$D$2535,$B125)&lt;COLUMN(H88),"",SMALL(IF(Podcasts!$D$10:'Podcasts'!$D$2535=$B125,Podcasts!$E$10:'Podcasts'!$E$2535),COLUMN(H88)))</f>
        <v/>
      </c>
      <c r="AB125" s="404" t="str">
        <f t="array" ref="AB125">IF(AA125="","",INDEX(Podcasts!$F$10:'Podcasts'!$F$2535,MATCH(AA125&amp;$B125,Podcasts!$E$10:'Podcasts'!$E$2535&amp;Podcasts!$D$10:'Podcasts'!$D$2535,0)))</f>
        <v/>
      </c>
      <c r="AC125" s="406" t="str">
        <f t="array" ref="AC125">IF(AD125="","",INDEX(Podcasts!$J$10:'Podcasts'!$J$2535,MATCH(AD125&amp;$B125,Podcasts!$E$10:'Podcasts'!$E$2535&amp;Podcasts!$D$10:'Podcasts'!$D$2535,0)))</f>
        <v/>
      </c>
      <c r="AD125" s="400" t="str">
        <f t="array" ref="AD125">IF(COUNTIF(Podcasts!$D$10:'Podcasts'!$D$2535,$B125)&lt;COLUMN(I88),"",SMALL(IF(Podcasts!$D$10:'Podcasts'!$D$2535=$B125,Podcasts!$E$10:'Podcasts'!$E$2535),COLUMN(I88)))</f>
        <v/>
      </c>
      <c r="AE125" s="401" t="str">
        <f t="array" ref="AE125">IF(AD125="","",INDEX(Podcasts!$F$10:'Podcasts'!$F$2535,MATCH(AD125&amp;$B125,Podcasts!$E$10:'Podcasts'!$E$2535&amp;Podcasts!$D$10:'Podcasts'!$D$2535,0)))</f>
        <v/>
      </c>
      <c r="AF125" s="406" t="str">
        <f t="array" ref="AF125">IF(AG125="","",INDEX(Podcasts!$J$10:'Podcasts'!$J$2535,MATCH(AG125&amp;$B125,Podcasts!$E$10:'Podcasts'!$E$2535&amp;Podcasts!$D$10:'Podcasts'!$D$2535,0)))</f>
        <v/>
      </c>
      <c r="AG125" s="400" t="str">
        <f t="array" ref="AG125">IF(COUNTIF(Podcasts!$D$10:'Podcasts'!$D$2535,$B125)&lt;COLUMN(J88),"",SMALL(IF(Podcasts!$D$10:'Podcasts'!$D$2535=$B125,Podcasts!$E$10:'Podcasts'!$E$2535),COLUMN(J88)))</f>
        <v/>
      </c>
      <c r="AH125" s="401" t="str">
        <f t="array" ref="AH125">IF(AG125="","",INDEX(Podcasts!$F$10:'Podcasts'!$F$2535,MATCH(AG125&amp;$B125,Podcasts!$E$10:'Podcasts'!$E$2535&amp;Podcasts!$D$10:'Podcasts'!$D$2535,0)))</f>
        <v/>
      </c>
      <c r="AI125" s="406" t="str">
        <f t="array" ref="AI125">IF(AJ125="","",INDEX(Podcasts!$J$10:'Podcasts'!$J$2535,MATCH(AJ125&amp;$B125,Podcasts!$E$10:'Podcasts'!$E$2535&amp;Podcasts!$D$10:'Podcasts'!$D$2535,0)))</f>
        <v/>
      </c>
      <c r="AJ125" s="400" t="str">
        <f t="array" ref="AJ125">IF(COUNTIF(Podcasts!$D$10:'Podcasts'!$D$2535,$B125)&lt;COLUMN(K88),"",SMALL(IF(Podcasts!$D$10:'Podcasts'!$D$2535=$B125,Podcasts!$E$10:'Podcasts'!$E$2535),COLUMN(K88)))</f>
        <v/>
      </c>
      <c r="AK125" s="401" t="str">
        <f t="array" ref="AK125">IF(AJ125="","",INDEX(Podcasts!$F$10:'Podcasts'!$F$2535,MATCH(AJ125&amp;$B125,Podcasts!$E$10:'Podcasts'!$E$2535&amp;Podcasts!$D$10:'Podcasts'!$D$2535,0)))</f>
        <v/>
      </c>
      <c r="AL125" s="406" t="str">
        <f t="array" ref="AL125">IF(AM125="","",INDEX(Podcasts!$J$10:'Podcasts'!$J$2535,MATCH(AM125&amp;$B125,Podcasts!$E$10:'Podcasts'!$E$2535&amp;Podcasts!$D$10:'Podcasts'!$D$2535,0)))</f>
        <v/>
      </c>
      <c r="AM125" s="400" t="str">
        <f t="array" ref="AM125">IF(COUNTIF(Podcasts!$D$10:'Podcasts'!$D$2535,$B125)&lt;COLUMN(L88),"",SMALL(IF(Podcasts!$D$10:'Podcasts'!$D$2535=$B125,Podcasts!$E$10:'Podcasts'!$E$2535),COLUMN(L88)))</f>
        <v/>
      </c>
      <c r="AN125" s="401" t="str">
        <f t="array" ref="AN125">IF(AM125="","",INDEX(Podcasts!$F$10:'Podcasts'!$F$2535,MATCH(AM125&amp;$B125,Podcasts!$E$10:'Podcasts'!$E$2535&amp;Podcasts!$D$10:'Podcasts'!$D$2535,0)))</f>
        <v/>
      </c>
      <c r="AO125" s="402"/>
      <c r="AP125" s="119"/>
      <c r="AQ125" s="117">
        <f t="array" aca="1" ref="AQ125" ca="1">IFERROR(SMALL(IF(COUNTIF(Podcasts!$D$10:'Podcasts'!$D$107,ROW(INDIRECT("1:"&amp;K$2)))=0,ROW(INDIRECT("1:"&amp;K$2))),ROW($A82)),"")</f>
        <v>112</v>
      </c>
      <c r="AR125" s="117">
        <f t="array" aca="1" ref="AR125" ca="1">IFERROR(SMALL(IF(COUNTIF(Podcasts!$D$113:'Podcasts'!$D$238,ROW(INDIRECT("1:"&amp;K$2)))=0,ROW(INDIRECT("1:"&amp;K$2))),ROW($A82)),"")</f>
        <v>82</v>
      </c>
      <c r="AS125" s="117">
        <f t="array" aca="1" ref="AS125" ca="1">IFERROR(SMALL(IF(COUNTIF(Podcasts!$D$244:'Podcasts'!$D$299,ROW(INDIRECT("1:"&amp;K$2)))=0,ROW(INDIRECT("1:"&amp;K$2))),ROW($A82)),"")</f>
        <v>100</v>
      </c>
      <c r="AT125" s="117">
        <f t="array" aca="1" ref="AT125" ca="1">IFERROR(SMALL(IF(COUNTIF(Podcasts!$D$305:'Podcasts'!$D$473,ROW(INDIRECT("1:"&amp;K$2)))=0,ROW(INDIRECT("1:"&amp;K$2))),ROW($A82)),"")</f>
        <v>217</v>
      </c>
      <c r="AU125" s="117">
        <f t="array" aca="1" ref="AU125" ca="1">IFERROR(SMALL(IF(COUNTIF(Podcasts!$D$479:'Podcasts'!$D$488,ROW(INDIRECT("1:"&amp;K$2)))=0,ROW(INDIRECT("1:"&amp;K$2))),ROW($A82)),"")</f>
        <v>83</v>
      </c>
      <c r="AV125" s="117">
        <f t="array" aca="1" ref="AV125" ca="1">IFERROR(SMALL(IF(COUNTIF(Podcasts!$D$494:'Podcasts'!$D$518,ROW(INDIRECT("1:"&amp;K$2)))=0,ROW(INDIRECT("1:"&amp;K$2))),ROW($A82)),"")</f>
        <v>101</v>
      </c>
      <c r="AW125" s="117">
        <f t="array" aca="1" ref="AW125" ca="1">IFERROR(SMALL(IF(COUNTIF(Podcasts!$D$524:'Podcasts'!$D$532,ROW(INDIRECT("1:"&amp;K$2)))=0,ROW(INDIRECT("1:"&amp;K$2))),ROW($A82)),"")</f>
        <v>82</v>
      </c>
      <c r="AX125" s="117">
        <f t="array" aca="1" ref="AX125" ca="1">IFERROR(SMALL(IF(COUNTIF(Podcasts!$D$538:'Podcasts'!$D$909,ROW(INDIRECT("1:"&amp;K$2)))=0,ROW(INDIRECT("1:"&amp;K$2))),ROW($A82)),"")</f>
        <v>211</v>
      </c>
      <c r="AY125" s="117">
        <f t="array" aca="1" ref="AY125" ca="1">IFERROR(SMALL(IF(COUNTIF(Podcasts!$D$915:'Podcasts'!$D$981,ROW(INDIRECT("1:"&amp;K$2)))=0,ROW(INDIRECT("1:"&amp;K$2))),ROW($A82)),"")</f>
        <v>126</v>
      </c>
      <c r="AZ125" s="445"/>
      <c r="BA125" s="117">
        <f t="array" aca="1" ref="BA125" ca="1">IFERROR(SMALL(IF(COUNTIF(Podcasts!$D$1001:'Podcasts'!$D$1251,ROW(INDIRECT("1:"&amp;K$2)))=0,ROW(INDIRECT("1:"&amp;K$2))),ROW($A82)),"")</f>
        <v>124</v>
      </c>
      <c r="BB125" s="117">
        <f t="array" aca="1" ref="BB125" ca="1">IFERROR(SMALL(IF(COUNTIF(Podcasts!$D$1257:'Podcasts'!$D$1267,ROW(INDIRECT("1:"&amp;K$2)))=0,ROW(INDIRECT("1:"&amp;K$2))),ROW($A82)),"")</f>
        <v>84</v>
      </c>
      <c r="BC125" s="117">
        <f t="array" aca="1" ref="BC125" ca="1">IFERROR(SMALL(IF(COUNTIF(Podcasts!$D$1273:'Podcasts'!$D$1283,ROW(INDIRECT("1:"&amp;K$2)))=0,ROW(INDIRECT("1:"&amp;K$2))),ROW($A82)),"")</f>
        <v>86</v>
      </c>
      <c r="BD125" s="117">
        <f t="array" aca="1" ref="BD125" ca="1">IFERROR(SMALL(IF(COUNTIF(Podcasts!$D$1289:'Podcasts'!$D$1295,ROW(INDIRECT("1:"&amp;K$2)))=0,ROW(INDIRECT("1:"&amp;K$2))),ROW($A82)),"")</f>
        <v>84</v>
      </c>
      <c r="BE125" s="117">
        <f t="array" aca="1" ref="BE125" ca="1">IFERROR(SMALL(IF(COUNTIF(Podcasts!$D$1301:'Podcasts'!$D$1356,ROW(INDIRECT("1:"&amp;K$2)))=0,ROW(INDIRECT("1:"&amp;K$2))),ROW($A82)),"")</f>
        <v>129</v>
      </c>
      <c r="BF125" s="117">
        <f t="array" aca="1" ref="BF125" ca="1">IFERROR(SMALL(IF(COUNTIF(Podcasts!$D$1362:'Podcasts'!$D$1364,ROW(INDIRECT("1:"&amp;K$2)))=0,ROW(INDIRECT("1:"&amp;K$2))),ROW($A82)),"")</f>
        <v>85</v>
      </c>
      <c r="BG125" s="202">
        <f t="array" aca="1" ref="BG125" ca="1">IFERROR(SMALL(IF(COUNTIF(Podcasts!$D$1370:'Podcasts'!$D$1419,ROW(INDIRECT("1:"&amp;K$2)))=0,ROW(INDIRECT("1:"&amp;K$2))),ROW($A82)),"")</f>
        <v>102</v>
      </c>
      <c r="BH125" s="202">
        <f t="array" aca="1" ref="BH125" ca="1">IFERROR(SMALL(IF(COUNTIF(Podcasts!$D$1425:'Podcasts'!$D$1446,ROW(INDIRECT("1:"&amp;K$2)))=0,ROW(INDIRECT("1:"&amp;K$2))),ROW($A82)),"")</f>
        <v>90</v>
      </c>
      <c r="BI125" s="202">
        <f t="array" aca="1" ref="BI125" ca="1">IFERROR(SMALL(IF(COUNTIF(Podcasts!$D$1452:'Podcasts'!$D$1574,ROW(INDIRECT("1:"&amp;K$2)))=0,ROW(INDIRECT("1:"&amp;K$2))),ROW($A82)),"")</f>
        <v>144</v>
      </c>
      <c r="BJ125" s="202">
        <f t="array" aca="1" ref="BJ125" ca="1">IFERROR(SMALL(IF(COUNTIF(Podcasts!$D$1580:'Podcasts'!$D$1705,ROW(INDIRECT("1:"&amp;K$2)))=0,ROW(INDIRECT("1:"&amp;K$2))),ROW($A82)),"")</f>
        <v>141</v>
      </c>
      <c r="BK125" s="202">
        <f t="array" aca="1" ref="BK125" ca="1">IFERROR(SMALL(IF(COUNTIF(Podcasts!$D$1711:'Podcasts'!$D$1833,ROW(INDIRECT("1:"&amp;K$2)))=0,ROW(INDIRECT("1:"&amp;K$2))),ROW($A82)),"")</f>
        <v>123</v>
      </c>
      <c r="BL125" s="202">
        <f t="array" aca="1" ref="BL125" ca="1">IFERROR(SMALL(IF(COUNTIF(Podcasts!$D$1839:'Podcasts'!$D$1855,ROW(INDIRECT("1:"&amp;K$2)))=0,ROW(INDIRECT("1:"&amp;K$2))),ROW($A82)),"")</f>
        <v>91</v>
      </c>
      <c r="BM125" s="567">
        <f t="array" aca="1" ref="BM125" ca="1">IFERROR(SMALL(IF(COUNTIF(Podcasts!$D$1861:'Podcasts'!$D$1994,ROW(INDIRECT("1:"&amp;K$2)))=0,ROW(INDIRECT("1:"&amp;K$2))),ROW($A82)),"")</f>
        <v>116</v>
      </c>
      <c r="BN125" s="567">
        <f t="array" aca="1" ref="BN125" ca="1">IFERROR(SMALL(IF(COUNTIF(Podcasts!$D$2000:'Podcasts'!$D$2057,ROW(INDIRECT("1:"&amp;K$2)))=0,ROW(INDIRECT("1:"&amp;K$2))),ROW($A82)),"")</f>
        <v>137</v>
      </c>
      <c r="BO125" s="567">
        <f t="array" aca="1" ref="BO125" ca="1">IFERROR(SMALL(IF(COUNTIF(Podcasts!$D$2063:'Podcasts'!$D$2071,ROW(INDIRECT("1:"&amp;K$2)))=0,ROW(INDIRECT("1:"&amp;K$2))),ROW($A82)),"")</f>
        <v>83</v>
      </c>
      <c r="BP125" s="202">
        <f t="array" aca="1" ref="BP125" ca="1">IFERROR(SMALL(IF(COUNTIF(Podcasts!$D$2077:'Podcasts'!$D$2092,ROW(INDIRECT("1:"&amp;K$2)))=0,ROW(INDIRECT("1:"&amp;K$2))),ROW($A82)),"")</f>
        <v>93</v>
      </c>
      <c r="BQ125" s="741">
        <f t="array" aca="1" ref="BQ125" ca="1">IFERROR(SMALL(IF(COUNTIF(Podcasts!$D$2098:'Podcasts'!$D$2114,ROW(INDIRECT("1:"&amp;K$2)))=0,ROW(INDIRECT("1:"&amp;K$2))),ROW($A82)),"")</f>
        <v>86</v>
      </c>
      <c r="BR125" s="744">
        <f t="array" aca="1" ref="BR125" ca="1">IFERROR(SMALL(IF(COUNTIF(Podcasts!$D$2120:'Podcasts'!$D$2124,ROW(INDIRECT("1:"&amp;K$2)))=0,ROW(INDIRECT("1:"&amp;K$2))),ROW($A82)),"")</f>
        <v>84</v>
      </c>
      <c r="BS125" s="28"/>
    </row>
    <row r="126" spans="1:71" outlineLevel="1">
      <c r="A126" s="28"/>
      <c r="B126" s="161">
        <v>83</v>
      </c>
      <c r="C126" s="161">
        <f>COUNTIF(Podcasts!$D$10:'Podcasts'!$D$2535,B126)</f>
        <v>3</v>
      </c>
      <c r="D126" s="158" t="s">
        <v>1111</v>
      </c>
      <c r="E126" s="156" t="str">
        <f t="array" ref="E126">IF(F126="","",INDEX(Podcasts!$J$10:'Podcasts'!$J$2535,MATCH(F126&amp;$B126,Podcasts!$E$10:'Podcasts'!$E$2535&amp;Podcasts!$D$10:'Podcasts'!$D$2535,0)))</f>
        <v>Fürst</v>
      </c>
      <c r="F126" s="131">
        <f t="array" ref="F126">IF(COUNTIF(Podcasts!$D$10:'Podcasts'!$D$2535,$B126)&lt;COLUMN(A89),"",SMALL(IF(Podcasts!$D$10:'Podcasts'!$D$2535=$B126,Podcasts!$E$10:'Podcasts'!$E$2535),COLUMN(A89)))</f>
        <v>41936</v>
      </c>
      <c r="G126" s="132">
        <f t="array" ref="G126">IF(F126="","",INDEX(Podcasts!$F$10:'Podcasts'!$F$2535,MATCH(F126&amp;$B126,Podcasts!$E$10:'Podcasts'!$E$2535&amp;Podcasts!$D$10:'Podcasts'!$D$2535,0)))</f>
        <v>6.8865740740740745E-3</v>
      </c>
      <c r="H126" s="136" t="str">
        <f t="array" ref="H126">IF(I126="","",INDEX(Podcasts!$J$10:'Podcasts'!$J$2535,MATCH(I126&amp;$B126,Podcasts!$E$10:'Podcasts'!$E$2535&amp;Podcasts!$D$10:'Podcasts'!$D$2535,0)))</f>
        <v>SSP</v>
      </c>
      <c r="I126" s="133">
        <f t="array" ref="I126">IF(COUNTIF(Podcasts!$D$10:'Podcasts'!$D$2535,$B126)&lt;COLUMN(B89),"",SMALL(IF(Podcasts!$D$10:'Podcasts'!$D$2535=$B126,Podcasts!$E$10:'Podcasts'!$E$2535),COLUMN(B89)))</f>
        <v>44540</v>
      </c>
      <c r="J126" s="132">
        <f t="array" ref="J126">IF(I126="","",INDEX(Podcasts!$F$10:'Podcasts'!$F$2535,MATCH(I126&amp;$B126,Podcasts!$E$10:'Podcasts'!$E$2535&amp;Podcasts!$D$10:'Podcasts'!$D$2535,0)))</f>
        <v>6.2824074074074074E-2</v>
      </c>
      <c r="K126" s="136" t="str">
        <f t="array" ref="K126">IF(L126="","",INDEX(Podcasts!$J$10:'Podcasts'!$J$2535,MATCH(L126&amp;$B126,Podcasts!$E$10:'Podcasts'!$E$2535&amp;Podcasts!$D$10:'Podcasts'!$D$2535,0)))</f>
        <v>Zw3i</v>
      </c>
      <c r="L126" s="133">
        <f t="array" ref="L126">IF(COUNTIF(Podcasts!$D$10:'Podcasts'!$D$2535,$B126)&lt;COLUMN(C89),"",SMALL(IF(Podcasts!$D$10:'Podcasts'!$D$2535=$B126,Podcasts!$E$10:'Podcasts'!$E$2535),COLUMN(C89)))</f>
        <v>45044</v>
      </c>
      <c r="M126" s="132">
        <f t="array" ref="M126">IF(L126="","",INDEX(Podcasts!$F$10:'Podcasts'!$F$2535,MATCH(L126&amp;$B126,Podcasts!$E$10:'Podcasts'!$E$2535&amp;Podcasts!$D$10:'Podcasts'!$D$2535,0)))</f>
        <v>0.1221875</v>
      </c>
      <c r="N126" s="136" t="str">
        <f t="array" ref="N126">IF(O126="","",INDEX(Podcasts!$J$10:'Podcasts'!$J$2535,MATCH(O126&amp;$B126,Podcasts!$E$10:'Podcasts'!$E$2535&amp;Podcasts!$D$10:'Podcasts'!$D$2535,0)))</f>
        <v/>
      </c>
      <c r="O126" s="133" t="str">
        <f t="array" ref="O126">IF(COUNTIF(Podcasts!$D$10:'Podcasts'!$D$2535,$B126)&lt;COLUMN(D89),"",SMALL(IF(Podcasts!$D$10:'Podcasts'!$D$2535=$B126,Podcasts!$E$10:'Podcasts'!$E$2535),COLUMN(D89)))</f>
        <v/>
      </c>
      <c r="P126" s="132" t="str">
        <f t="array" ref="P126">IF(O126="","",INDEX(Podcasts!$F$10:'Podcasts'!$F$2535,MATCH(O126&amp;$B126,Podcasts!$E$10:'Podcasts'!$E$2535&amp;Podcasts!$D$10:'Podcasts'!$D$2535,0)))</f>
        <v/>
      </c>
      <c r="Q126" s="136" t="str">
        <f t="array" ref="Q126">IF(R126="","",INDEX(Podcasts!$J$10:'Podcasts'!$J$2535,MATCH(R126&amp;$B126,Podcasts!$E$10:'Podcasts'!$E$2535&amp;Podcasts!$D$10:'Podcasts'!$D$2535,0)))</f>
        <v/>
      </c>
      <c r="R126" s="133" t="str">
        <f t="array" ref="R126">IF(COUNTIF(Podcasts!$D$10:'Podcasts'!$D$2535,$B126)&lt;COLUMN(E89),"",SMALL(IF(Podcasts!$D$10:'Podcasts'!$D$2535=$B126,Podcasts!$E$10:'Podcasts'!$E$2535),COLUMN(E89)))</f>
        <v/>
      </c>
      <c r="S126" s="132" t="str">
        <f t="array" ref="S126">IF(R126="","",INDEX(Podcasts!$F$10:'Podcasts'!$F$2535,MATCH(R126&amp;$B126,Podcasts!$E$10:'Podcasts'!$E$2535&amp;Podcasts!$D$10:'Podcasts'!$D$2535,0)))</f>
        <v/>
      </c>
      <c r="T126" s="136" t="str">
        <f t="array" ref="T126">IF(U126="","",INDEX(Podcasts!$J$10:'Podcasts'!$J$2535,MATCH(U126&amp;$B126,Podcasts!$E$10:'Podcasts'!$E$2535&amp;Podcasts!$D$10:'Podcasts'!$D$2535,0)))</f>
        <v/>
      </c>
      <c r="U126" s="133" t="str">
        <f t="array" ref="U126">IF(COUNTIF(Podcasts!$D$10:'Podcasts'!$D$2535,$B126)&lt;COLUMN(F89),"",SMALL(IF(Podcasts!$D$10:'Podcasts'!$D$2535=$B126,Podcasts!$E$10:'Podcasts'!$E$2535),COLUMN(F89)))</f>
        <v/>
      </c>
      <c r="V126" s="132" t="str">
        <f t="array" ref="V126">IF(U126="","",INDEX(Podcasts!$F$10:'Podcasts'!$F$2535,MATCH(U126&amp;$B126,Podcasts!$E$10:'Podcasts'!$E$2535&amp;Podcasts!$D$10:'Podcasts'!$D$2535,0)))</f>
        <v/>
      </c>
      <c r="W126" s="136" t="str">
        <f t="array" ref="W126">IF(X126="","",INDEX(Podcasts!$J$10:'Podcasts'!$J$2535,MATCH(X126&amp;$B126,Podcasts!$E$10:'Podcasts'!$E$2535&amp;Podcasts!$D$10:'Podcasts'!$D$2535,0)))</f>
        <v/>
      </c>
      <c r="X126" s="133" t="str">
        <f t="array" ref="X126">IF(COUNTIF(Podcasts!$D$10:'Podcasts'!$D$2535,$B126)&lt;COLUMN(G89),"",SMALL(IF(Podcasts!$D$10:'Podcasts'!$D$2535=$B126,Podcasts!$E$10:'Podcasts'!$E$2535),COLUMN(G89)))</f>
        <v/>
      </c>
      <c r="Y126" s="132" t="str">
        <f t="array" ref="Y126">IF(X126="","",INDEX(Podcasts!$F$10:'Podcasts'!$F$2535,MATCH(X126&amp;$B126,Podcasts!$E$10:'Podcasts'!$E$2535&amp;Podcasts!$D$10:'Podcasts'!$D$2535,0)))</f>
        <v/>
      </c>
      <c r="Z126" s="136" t="str">
        <f t="array" ref="Z126">IF(AA126="","",INDEX(Podcasts!$J$10:'Podcasts'!$J$2535,MATCH(AA126&amp;$B126,Podcasts!$E$10:'Podcasts'!$E$2535&amp;Podcasts!$D$10:'Podcasts'!$D$2535,0)))</f>
        <v/>
      </c>
      <c r="AA126" s="134" t="str">
        <f t="array" ref="AA126">IF(COUNTIF(Podcasts!$D$10:'Podcasts'!$D$2535,$B126)&lt;COLUMN(H89),"",SMALL(IF(Podcasts!$D$10:'Podcasts'!$D$2535=$B126,Podcasts!$E$10:'Podcasts'!$E$2535),COLUMN(H89)))</f>
        <v/>
      </c>
      <c r="AB126" s="404" t="str">
        <f t="array" ref="AB126">IF(AA126="","",INDEX(Podcasts!$F$10:'Podcasts'!$F$2535,MATCH(AA126&amp;$B126,Podcasts!$E$10:'Podcasts'!$E$2535&amp;Podcasts!$D$10:'Podcasts'!$D$2535,0)))</f>
        <v/>
      </c>
      <c r="AC126" s="406" t="str">
        <f t="array" ref="AC126">IF(AD126="","",INDEX(Podcasts!$J$10:'Podcasts'!$J$2535,MATCH(AD126&amp;$B126,Podcasts!$E$10:'Podcasts'!$E$2535&amp;Podcasts!$D$10:'Podcasts'!$D$2535,0)))</f>
        <v/>
      </c>
      <c r="AD126" s="400" t="str">
        <f t="array" ref="AD126">IF(COUNTIF(Podcasts!$D$10:'Podcasts'!$D$2535,$B126)&lt;COLUMN(I89),"",SMALL(IF(Podcasts!$D$10:'Podcasts'!$D$2535=$B126,Podcasts!$E$10:'Podcasts'!$E$2535),COLUMN(I89)))</f>
        <v/>
      </c>
      <c r="AE126" s="401" t="str">
        <f t="array" ref="AE126">IF(AD126="","",INDEX(Podcasts!$F$10:'Podcasts'!$F$2535,MATCH(AD126&amp;$B126,Podcasts!$E$10:'Podcasts'!$E$2535&amp;Podcasts!$D$10:'Podcasts'!$D$2535,0)))</f>
        <v/>
      </c>
      <c r="AF126" s="406" t="str">
        <f t="array" ref="AF126">IF(AG126="","",INDEX(Podcasts!$J$10:'Podcasts'!$J$2535,MATCH(AG126&amp;$B126,Podcasts!$E$10:'Podcasts'!$E$2535&amp;Podcasts!$D$10:'Podcasts'!$D$2535,0)))</f>
        <v/>
      </c>
      <c r="AG126" s="400" t="str">
        <f t="array" ref="AG126">IF(COUNTIF(Podcasts!$D$10:'Podcasts'!$D$2535,$B126)&lt;COLUMN(J89),"",SMALL(IF(Podcasts!$D$10:'Podcasts'!$D$2535=$B126,Podcasts!$E$10:'Podcasts'!$E$2535),COLUMN(J89)))</f>
        <v/>
      </c>
      <c r="AH126" s="401" t="str">
        <f t="array" ref="AH126">IF(AG126="","",INDEX(Podcasts!$F$10:'Podcasts'!$F$2535,MATCH(AG126&amp;$B126,Podcasts!$E$10:'Podcasts'!$E$2535&amp;Podcasts!$D$10:'Podcasts'!$D$2535,0)))</f>
        <v/>
      </c>
      <c r="AI126" s="406" t="str">
        <f t="array" ref="AI126">IF(AJ126="","",INDEX(Podcasts!$J$10:'Podcasts'!$J$2535,MATCH(AJ126&amp;$B126,Podcasts!$E$10:'Podcasts'!$E$2535&amp;Podcasts!$D$10:'Podcasts'!$D$2535,0)))</f>
        <v/>
      </c>
      <c r="AJ126" s="400" t="str">
        <f t="array" ref="AJ126">IF(COUNTIF(Podcasts!$D$10:'Podcasts'!$D$2535,$B126)&lt;COLUMN(K89),"",SMALL(IF(Podcasts!$D$10:'Podcasts'!$D$2535=$B126,Podcasts!$E$10:'Podcasts'!$E$2535),COLUMN(K89)))</f>
        <v/>
      </c>
      <c r="AK126" s="401" t="str">
        <f t="array" ref="AK126">IF(AJ126="","",INDEX(Podcasts!$F$10:'Podcasts'!$F$2535,MATCH(AJ126&amp;$B126,Podcasts!$E$10:'Podcasts'!$E$2535&amp;Podcasts!$D$10:'Podcasts'!$D$2535,0)))</f>
        <v/>
      </c>
      <c r="AL126" s="406" t="str">
        <f t="array" ref="AL126">IF(AM126="","",INDEX(Podcasts!$J$10:'Podcasts'!$J$2535,MATCH(AM126&amp;$B126,Podcasts!$E$10:'Podcasts'!$E$2535&amp;Podcasts!$D$10:'Podcasts'!$D$2535,0)))</f>
        <v/>
      </c>
      <c r="AM126" s="400" t="str">
        <f t="array" ref="AM126">IF(COUNTIF(Podcasts!$D$10:'Podcasts'!$D$2535,$B126)&lt;COLUMN(L89),"",SMALL(IF(Podcasts!$D$10:'Podcasts'!$D$2535=$B126,Podcasts!$E$10:'Podcasts'!$E$2535),COLUMN(L89)))</f>
        <v/>
      </c>
      <c r="AN126" s="401" t="str">
        <f t="array" ref="AN126">IF(AM126="","",INDEX(Podcasts!$F$10:'Podcasts'!$F$2535,MATCH(AM126&amp;$B126,Podcasts!$E$10:'Podcasts'!$E$2535&amp;Podcasts!$D$10:'Podcasts'!$D$2535,0)))</f>
        <v/>
      </c>
      <c r="AO126" s="402"/>
      <c r="AP126" s="119"/>
      <c r="AQ126" s="117">
        <f t="array" aca="1" ref="AQ126" ca="1">IFERROR(SMALL(IF(COUNTIF(Podcasts!$D$10:'Podcasts'!$D$107,ROW(INDIRECT("1:"&amp;K$2)))=0,ROW(INDIRECT("1:"&amp;K$2))),ROW($A83)),"")</f>
        <v>113</v>
      </c>
      <c r="AR126" s="117">
        <f t="array" aca="1" ref="AR126" ca="1">IFERROR(SMALL(IF(COUNTIF(Podcasts!$D$113:'Podcasts'!$D$238,ROW(INDIRECT("1:"&amp;K$2)))=0,ROW(INDIRECT("1:"&amp;K$2))),ROW($A83)),"")</f>
        <v>83</v>
      </c>
      <c r="AS126" s="117">
        <f t="array" aca="1" ref="AS126" ca="1">IFERROR(SMALL(IF(COUNTIF(Podcasts!$D$244:'Podcasts'!$D$299,ROW(INDIRECT("1:"&amp;K$2)))=0,ROW(INDIRECT("1:"&amp;K$2))),ROW($A83)),"")</f>
        <v>101</v>
      </c>
      <c r="AT126" s="117">
        <f t="array" aca="1" ref="AT126" ca="1">IFERROR(SMALL(IF(COUNTIF(Podcasts!$D$305:'Podcasts'!$D$473,ROW(INDIRECT("1:"&amp;K$2)))=0,ROW(INDIRECT("1:"&amp;K$2))),ROW($A83)),"")</f>
        <v>218</v>
      </c>
      <c r="AU126" s="117">
        <f t="array" aca="1" ref="AU126" ca="1">IFERROR(SMALL(IF(COUNTIF(Podcasts!$D$479:'Podcasts'!$D$488,ROW(INDIRECT("1:"&amp;K$2)))=0,ROW(INDIRECT("1:"&amp;K$2))),ROW($A83)),"")</f>
        <v>85</v>
      </c>
      <c r="AV126" s="117">
        <f t="array" aca="1" ref="AV126" ca="1">IFERROR(SMALL(IF(COUNTIF(Podcasts!$D$494:'Podcasts'!$D$518,ROW(INDIRECT("1:"&amp;K$2)))=0,ROW(INDIRECT("1:"&amp;K$2))),ROW($A83)),"")</f>
        <v>102</v>
      </c>
      <c r="AW126" s="117">
        <f t="array" aca="1" ref="AW126" ca="1">IFERROR(SMALL(IF(COUNTIF(Podcasts!$D$524:'Podcasts'!$D$532,ROW(INDIRECT("1:"&amp;K$2)))=0,ROW(INDIRECT("1:"&amp;K$2))),ROW($A83)),"")</f>
        <v>83</v>
      </c>
      <c r="AX126" s="117">
        <f t="array" aca="1" ref="AX126" ca="1">IFERROR(SMALL(IF(COUNTIF(Podcasts!$D$538:'Podcasts'!$D$909,ROW(INDIRECT("1:"&amp;K$2)))=0,ROW(INDIRECT("1:"&amp;K$2))),ROW($A83)),"")</f>
        <v>212</v>
      </c>
      <c r="AY126" s="117">
        <f t="array" aca="1" ref="AY126" ca="1">IFERROR(SMALL(IF(COUNTIF(Podcasts!$D$915:'Podcasts'!$D$981,ROW(INDIRECT("1:"&amp;K$2)))=0,ROW(INDIRECT("1:"&amp;K$2))),ROW($A83)),"")</f>
        <v>127</v>
      </c>
      <c r="AZ126" s="445"/>
      <c r="BA126" s="117">
        <f t="array" aca="1" ref="BA126" ca="1">IFERROR(SMALL(IF(COUNTIF(Podcasts!$D$1001:'Podcasts'!$D$1251,ROW(INDIRECT("1:"&amp;K$2)))=0,ROW(INDIRECT("1:"&amp;K$2))),ROW($A83)),"")</f>
        <v>127</v>
      </c>
      <c r="BB126" s="117">
        <f t="array" aca="1" ref="BB126" ca="1">IFERROR(SMALL(IF(COUNTIF(Podcasts!$D$1257:'Podcasts'!$D$1267,ROW(INDIRECT("1:"&amp;K$2)))=0,ROW(INDIRECT("1:"&amp;K$2))),ROW($A83)),"")</f>
        <v>85</v>
      </c>
      <c r="BC126" s="117">
        <f t="array" aca="1" ref="BC126" ca="1">IFERROR(SMALL(IF(COUNTIF(Podcasts!$D$1273:'Podcasts'!$D$1283,ROW(INDIRECT("1:"&amp;K$2)))=0,ROW(INDIRECT("1:"&amp;K$2))),ROW($A83)),"")</f>
        <v>87</v>
      </c>
      <c r="BD126" s="117">
        <f t="array" aca="1" ref="BD126" ca="1">IFERROR(SMALL(IF(COUNTIF(Podcasts!$D$1289:'Podcasts'!$D$1295,ROW(INDIRECT("1:"&amp;K$2)))=0,ROW(INDIRECT("1:"&amp;K$2))),ROW($A83)),"")</f>
        <v>85</v>
      </c>
      <c r="BE126" s="117">
        <f t="array" aca="1" ref="BE126" ca="1">IFERROR(SMALL(IF(COUNTIF(Podcasts!$D$1301:'Podcasts'!$D$1356,ROW(INDIRECT("1:"&amp;K$2)))=0,ROW(INDIRECT("1:"&amp;K$2))),ROW($A83)),"")</f>
        <v>130</v>
      </c>
      <c r="BF126" s="117">
        <f t="array" aca="1" ref="BF126" ca="1">IFERROR(SMALL(IF(COUNTIF(Podcasts!$D$1362:'Podcasts'!$D$1364,ROW(INDIRECT("1:"&amp;K$2)))=0,ROW(INDIRECT("1:"&amp;K$2))),ROW($A83)),"")</f>
        <v>86</v>
      </c>
      <c r="BG126" s="202">
        <f t="array" aca="1" ref="BG126" ca="1">IFERROR(SMALL(IF(COUNTIF(Podcasts!$D$1370:'Podcasts'!$D$1419,ROW(INDIRECT("1:"&amp;K$2)))=0,ROW(INDIRECT("1:"&amp;K$2))),ROW($A83)),"")</f>
        <v>104</v>
      </c>
      <c r="BH126" s="202">
        <f t="array" aca="1" ref="BH126" ca="1">IFERROR(SMALL(IF(COUNTIF(Podcasts!$D$1425:'Podcasts'!$D$1446,ROW(INDIRECT("1:"&amp;K$2)))=0,ROW(INDIRECT("1:"&amp;K$2))),ROW($A83)),"")</f>
        <v>91</v>
      </c>
      <c r="BI126" s="202">
        <f t="array" aca="1" ref="BI126" ca="1">IFERROR(SMALL(IF(COUNTIF(Podcasts!$D$1452:'Podcasts'!$D$1574,ROW(INDIRECT("1:"&amp;K$2)))=0,ROW(INDIRECT("1:"&amp;K$2))),ROW($A83)),"")</f>
        <v>145</v>
      </c>
      <c r="BJ126" s="202">
        <f t="array" aca="1" ref="BJ126" ca="1">IFERROR(SMALL(IF(COUNTIF(Podcasts!$D$1580:'Podcasts'!$D$1705,ROW(INDIRECT("1:"&amp;K$2)))=0,ROW(INDIRECT("1:"&amp;K$2))),ROW($A83)),"")</f>
        <v>142</v>
      </c>
      <c r="BK126" s="202">
        <f t="array" aca="1" ref="BK126" ca="1">IFERROR(SMALL(IF(COUNTIF(Podcasts!$D$1711:'Podcasts'!$D$1833,ROW(INDIRECT("1:"&amp;K$2)))=0,ROW(INDIRECT("1:"&amp;K$2))),ROW($A83)),"")</f>
        <v>124</v>
      </c>
      <c r="BL126" s="202">
        <f t="array" aca="1" ref="BL126" ca="1">IFERROR(SMALL(IF(COUNTIF(Podcasts!$D$1839:'Podcasts'!$D$1855,ROW(INDIRECT("1:"&amp;K$2)))=0,ROW(INDIRECT("1:"&amp;K$2))),ROW($A83)),"")</f>
        <v>92</v>
      </c>
      <c r="BM126" s="567">
        <f t="array" aca="1" ref="BM126" ca="1">IFERROR(SMALL(IF(COUNTIF(Podcasts!$D$1861:'Podcasts'!$D$1994,ROW(INDIRECT("1:"&amp;K$2)))=0,ROW(INDIRECT("1:"&amp;K$2))),ROW($A83)),"")</f>
        <v>117</v>
      </c>
      <c r="BN126" s="567">
        <f t="array" aca="1" ref="BN126" ca="1">IFERROR(SMALL(IF(COUNTIF(Podcasts!$D$2000:'Podcasts'!$D$2057,ROW(INDIRECT("1:"&amp;K$2)))=0,ROW(INDIRECT("1:"&amp;K$2))),ROW($A83)),"")</f>
        <v>138</v>
      </c>
      <c r="BO126" s="567">
        <f t="array" aca="1" ref="BO126" ca="1">IFERROR(SMALL(IF(COUNTIF(Podcasts!$D$2063:'Podcasts'!$D$2071,ROW(INDIRECT("1:"&amp;K$2)))=0,ROW(INDIRECT("1:"&amp;K$2))),ROW($A83)),"")</f>
        <v>84</v>
      </c>
      <c r="BP126" s="202">
        <f t="array" aca="1" ref="BP126" ca="1">IFERROR(SMALL(IF(COUNTIF(Podcasts!$D$2077:'Podcasts'!$D$2092,ROW(INDIRECT("1:"&amp;K$2)))=0,ROW(INDIRECT("1:"&amp;K$2))),ROW($A83)),"")</f>
        <v>94</v>
      </c>
      <c r="BQ126" s="741">
        <f t="array" aca="1" ref="BQ126" ca="1">IFERROR(SMALL(IF(COUNTIF(Podcasts!$D$2098:'Podcasts'!$D$2114,ROW(INDIRECT("1:"&amp;K$2)))=0,ROW(INDIRECT("1:"&amp;K$2))),ROW($A83)),"")</f>
        <v>87</v>
      </c>
      <c r="BR126" s="744">
        <f t="array" aca="1" ref="BR126" ca="1">IFERROR(SMALL(IF(COUNTIF(Podcasts!$D$2120:'Podcasts'!$D$2124,ROW(INDIRECT("1:"&amp;K$2)))=0,ROW(INDIRECT("1:"&amp;K$2))),ROW($A83)),"")</f>
        <v>85</v>
      </c>
      <c r="BS126" s="28"/>
    </row>
    <row r="127" spans="1:71" outlineLevel="1">
      <c r="A127" s="28"/>
      <c r="B127" s="161">
        <v>84</v>
      </c>
      <c r="C127" s="161">
        <f>COUNTIF(Podcasts!$D$10:'Podcasts'!$D$2535,B127)</f>
        <v>9</v>
      </c>
      <c r="D127" s="158" t="s">
        <v>1112</v>
      </c>
      <c r="E127" s="156" t="str">
        <f t="array" ref="E127">IF(F127="","",INDEX(Podcasts!$J$10:'Podcasts'!$J$2535,MATCH(F127&amp;$B127,Podcasts!$E$10:'Podcasts'!$E$2535&amp;Podcasts!$D$10:'Podcasts'!$D$2535,0)))</f>
        <v>Fürst</v>
      </c>
      <c r="F127" s="131">
        <f t="array" ref="F127">IF(COUNTIF(Podcasts!$D$10:'Podcasts'!$D$2535,$B127)&lt;COLUMN(A90),"",SMALL(IF(Podcasts!$D$10:'Podcasts'!$D$2535=$B127,Podcasts!$E$10:'Podcasts'!$E$2535),COLUMN(A90)))</f>
        <v>41959</v>
      </c>
      <c r="G127" s="132">
        <f t="array" ref="G127">IF(F127="","",INDEX(Podcasts!$F$10:'Podcasts'!$F$2535,MATCH(F127&amp;$B127,Podcasts!$E$10:'Podcasts'!$E$2535&amp;Podcasts!$D$10:'Podcasts'!$D$2535,0)))</f>
        <v>9.2592592592592605E-3</v>
      </c>
      <c r="H127" s="136" t="str">
        <f t="array" ref="H127">IF(I127="","",INDEX(Podcasts!$J$10:'Podcasts'!$J$2535,MATCH(I127&amp;$B127,Podcasts!$E$10:'Podcasts'!$E$2535&amp;Podcasts!$D$10:'Podcasts'!$D$2535,0)))</f>
        <v>Hoerst</v>
      </c>
      <c r="I127" s="133">
        <f t="array" ref="I127">IF(COUNTIF(Podcasts!$D$10:'Podcasts'!$D$2535,$B127)&lt;COLUMN(B90),"",SMALL(IF(Podcasts!$D$10:'Podcasts'!$D$2535=$B127,Podcasts!$E$10:'Podcasts'!$E$2535),COLUMN(B90)))</f>
        <v>42849</v>
      </c>
      <c r="J127" s="132">
        <f t="array" ref="J127">IF(I127="","",INDEX(Podcasts!$F$10:'Podcasts'!$F$2535,MATCH(I127&amp;$B127,Podcasts!$E$10:'Podcasts'!$E$2535&amp;Podcasts!$D$10:'Podcasts'!$D$2535,0)))</f>
        <v>5.7349537037037039E-2</v>
      </c>
      <c r="K127" s="136" t="str">
        <f t="array" ref="K127">IF(L127="","",INDEX(Podcasts!$J$10:'Podcasts'!$J$2535,MATCH(L127&amp;$B127,Podcasts!$E$10:'Podcasts'!$E$2535&amp;Podcasts!$D$10:'Podcasts'!$D$2535,0)))</f>
        <v>R&amp;A</v>
      </c>
      <c r="L127" s="133">
        <f t="array" ref="L127">IF(COUNTIF(Podcasts!$D$10:'Podcasts'!$D$2535,$B127)&lt;COLUMN(C90),"",SMALL(IF(Podcasts!$D$10:'Podcasts'!$D$2535=$B127,Podcasts!$E$10:'Podcasts'!$E$2535),COLUMN(C90)))</f>
        <v>43534.830520833333</v>
      </c>
      <c r="M127" s="132" t="str">
        <f t="array" ref="M127">IF(L127="","",INDEX(Podcasts!$F$10:'Podcasts'!$F$2535,MATCH(L127&amp;$B127,Podcasts!$E$10:'Podcasts'!$E$2535&amp;Podcasts!$D$10:'Podcasts'!$D$2535,0)))</f>
        <v>ca. 20 min.</v>
      </c>
      <c r="N127" s="136" t="str">
        <f t="array" ref="N127">IF(O127="","",INDEX(Podcasts!$J$10:'Podcasts'!$J$2535,MATCH(O127&amp;$B127,Podcasts!$E$10:'Podcasts'!$E$2535&amp;Podcasts!$D$10:'Podcasts'!$D$2535,0)))</f>
        <v>Zentrale</v>
      </c>
      <c r="O127" s="133">
        <f t="array" ref="O127">IF(COUNTIF(Podcasts!$D$10:'Podcasts'!$D$2535,$B127)&lt;COLUMN(D90),"",SMALL(IF(Podcasts!$D$10:'Podcasts'!$D$2535=$B127,Podcasts!$E$10:'Podcasts'!$E$2535),COLUMN(D90)))</f>
        <v>43651</v>
      </c>
      <c r="P127" s="132">
        <f t="array" ref="P127">IF(O127="","",INDEX(Podcasts!$F$10:'Podcasts'!$F$2535,MATCH(O127&amp;$B127,Podcasts!$E$10:'Podcasts'!$E$2535&amp;Podcasts!$D$10:'Podcasts'!$D$2535,0)))</f>
        <v>0.10259259259259258</v>
      </c>
      <c r="Q127" s="136" t="str">
        <f t="array" ref="Q127">IF(R127="","",INDEX(Podcasts!$J$10:'Podcasts'!$J$2535,MATCH(R127&amp;$B127,Podcasts!$E$10:'Podcasts'!$E$2535&amp;Podcasts!$D$10:'Podcasts'!$D$2535,0)))</f>
        <v>SSP</v>
      </c>
      <c r="R127" s="133">
        <f t="array" ref="R127">IF(COUNTIF(Podcasts!$D$10:'Podcasts'!$D$2535,$B127)&lt;COLUMN(E90),"",SMALL(IF(Podcasts!$D$10:'Podcasts'!$D$2535=$B127,Podcasts!$E$10:'Podcasts'!$E$2535),COLUMN(E90)))</f>
        <v>43739</v>
      </c>
      <c r="S127" s="132">
        <f t="array" ref="S127">IF(R127="","",INDEX(Podcasts!$F$10:'Podcasts'!$F$2535,MATCH(R127&amp;$B127,Podcasts!$E$10:'Podcasts'!$E$2535&amp;Podcasts!$D$10:'Podcasts'!$D$2535,0)))</f>
        <v>7.0543981481481485E-2</v>
      </c>
      <c r="T127" s="136" t="str">
        <f t="array" ref="T127">IF(U127="","",INDEX(Podcasts!$J$10:'Podcasts'!$J$2535,MATCH(U127&amp;$B127,Podcasts!$E$10:'Podcasts'!$E$2535&amp;Podcasts!$D$10:'Podcasts'!$D$2535,0)))</f>
        <v>Kanal</v>
      </c>
      <c r="U127" s="133">
        <f t="array" ref="U127">IF(COUNTIF(Podcasts!$D$10:'Podcasts'!$D$2535,$B127)&lt;COLUMN(F90),"",SMALL(IF(Podcasts!$D$10:'Podcasts'!$D$2535=$B127,Podcasts!$E$10:'Podcasts'!$E$2535),COLUMN(F90)))</f>
        <v>43995</v>
      </c>
      <c r="V127" s="132">
        <f t="array" ref="V127">IF(U127="","",INDEX(Podcasts!$F$10:'Podcasts'!$F$2535,MATCH(U127&amp;$B127,Podcasts!$E$10:'Podcasts'!$E$2535&amp;Podcasts!$D$10:'Podcasts'!$D$2535,0)))</f>
        <v>2.0729166666666667E-2</v>
      </c>
      <c r="W127" s="136" t="str">
        <f t="array" ref="W127">IF(X127="","",INDEX(Podcasts!$J$10:'Podcasts'!$J$2535,MATCH(X127&amp;$B127,Podcasts!$E$10:'Podcasts'!$E$2535&amp;Podcasts!$D$10:'Podcasts'!$D$2535,0)))</f>
        <v>Fan</v>
      </c>
      <c r="X127" s="133">
        <f t="array" ref="X127">IF(COUNTIF(Podcasts!$D$10:'Podcasts'!$D$2535,$B127)&lt;COLUMN(G90),"",SMALL(IF(Podcasts!$D$10:'Podcasts'!$D$2535=$B127,Podcasts!$E$10:'Podcasts'!$E$2535),COLUMN(G90)))</f>
        <v>44268</v>
      </c>
      <c r="Y127" s="132">
        <f t="array" ref="Y127">IF(X127="","",INDEX(Podcasts!$F$10:'Podcasts'!$F$2535,MATCH(X127&amp;$B127,Podcasts!$E$10:'Podcasts'!$E$2535&amp;Podcasts!$D$10:'Podcasts'!$D$2535,0)))</f>
        <v>8.7083333333333332E-2</v>
      </c>
      <c r="Z127" s="136" t="str">
        <f t="array" ref="Z127">IF(AA127="","",INDEX(Podcasts!$J$10:'Podcasts'!$J$2535,MATCH(AA127&amp;$B127,Podcasts!$E$10:'Podcasts'!$E$2535&amp;Podcasts!$D$10:'Podcasts'!$D$2535,0)))</f>
        <v>Zw3i</v>
      </c>
      <c r="AA127" s="134">
        <f t="array" ref="AA127">IF(COUNTIF(Podcasts!$D$10:'Podcasts'!$D$2535,$B127)&lt;COLUMN(H90),"",SMALL(IF(Podcasts!$D$10:'Podcasts'!$D$2535=$B127,Podcasts!$E$10:'Podcasts'!$E$2535),COLUMN(H90)))</f>
        <v>44659</v>
      </c>
      <c r="AB127" s="404">
        <f t="array" ref="AB127">IF(AA127="","",INDEX(Podcasts!$F$10:'Podcasts'!$F$2535,MATCH(AA127&amp;$B127,Podcasts!$E$10:'Podcasts'!$E$2535&amp;Podcasts!$D$10:'Podcasts'!$D$2535,0)))</f>
        <v>8.8761574074074076E-2</v>
      </c>
      <c r="AC127" s="406" t="str">
        <f t="array" ref="AC127">IF(AD127="","",INDEX(Podcasts!$J$10:'Podcasts'!$J$2535,MATCH(AD127&amp;$B127,Podcasts!$E$10:'Podcasts'!$E$2535&amp;Podcasts!$D$10:'Podcasts'!$D$2535,0)))</f>
        <v>Kuchen</v>
      </c>
      <c r="AD127" s="400">
        <f t="array" ref="AD127">IF(COUNTIF(Podcasts!$D$10:'Podcasts'!$D$2535,$B127)&lt;COLUMN(I90),"",SMALL(IF(Podcasts!$D$10:'Podcasts'!$D$2535=$B127,Podcasts!$E$10:'Podcasts'!$E$2535),COLUMN(I90)))</f>
        <v>44878</v>
      </c>
      <c r="AE127" s="401">
        <f t="array" ref="AE127">IF(AD127="","",INDEX(Podcasts!$F$10:'Podcasts'!$F$2535,MATCH(AD127&amp;$B127,Podcasts!$E$10:'Podcasts'!$E$2535&amp;Podcasts!$D$10:'Podcasts'!$D$2535,0)))</f>
        <v>8.5729166666666676E-2</v>
      </c>
      <c r="AF127" s="406" t="str">
        <f t="array" ref="AF127">IF(AG127="","",INDEX(Podcasts!$J$10:'Podcasts'!$J$2535,MATCH(AG127&amp;$B127,Podcasts!$E$10:'Podcasts'!$E$2535&amp;Podcasts!$D$10:'Podcasts'!$D$2535,0)))</f>
        <v/>
      </c>
      <c r="AG127" s="400" t="str">
        <f t="array" ref="AG127">IF(COUNTIF(Podcasts!$D$10:'Podcasts'!$D$2535,$B127)&lt;COLUMN(J90),"",SMALL(IF(Podcasts!$D$10:'Podcasts'!$D$2535=$B127,Podcasts!$E$10:'Podcasts'!$E$2535),COLUMN(J90)))</f>
        <v/>
      </c>
      <c r="AH127" s="401" t="str">
        <f t="array" ref="AH127">IF(AG127="","",INDEX(Podcasts!$F$10:'Podcasts'!$F$2535,MATCH(AG127&amp;$B127,Podcasts!$E$10:'Podcasts'!$E$2535&amp;Podcasts!$D$10:'Podcasts'!$D$2535,0)))</f>
        <v/>
      </c>
      <c r="AI127" s="406" t="str">
        <f t="array" ref="AI127">IF(AJ127="","",INDEX(Podcasts!$J$10:'Podcasts'!$J$2535,MATCH(AJ127&amp;$B127,Podcasts!$E$10:'Podcasts'!$E$2535&amp;Podcasts!$D$10:'Podcasts'!$D$2535,0)))</f>
        <v/>
      </c>
      <c r="AJ127" s="400" t="str">
        <f t="array" ref="AJ127">IF(COUNTIF(Podcasts!$D$10:'Podcasts'!$D$2535,$B127)&lt;COLUMN(K90),"",SMALL(IF(Podcasts!$D$10:'Podcasts'!$D$2535=$B127,Podcasts!$E$10:'Podcasts'!$E$2535),COLUMN(K90)))</f>
        <v/>
      </c>
      <c r="AK127" s="401" t="str">
        <f t="array" ref="AK127">IF(AJ127="","",INDEX(Podcasts!$F$10:'Podcasts'!$F$2535,MATCH(AJ127&amp;$B127,Podcasts!$E$10:'Podcasts'!$E$2535&amp;Podcasts!$D$10:'Podcasts'!$D$2535,0)))</f>
        <v/>
      </c>
      <c r="AL127" s="406" t="str">
        <f t="array" ref="AL127">IF(AM127="","",INDEX(Podcasts!$J$10:'Podcasts'!$J$2535,MATCH(AM127&amp;$B127,Podcasts!$E$10:'Podcasts'!$E$2535&amp;Podcasts!$D$10:'Podcasts'!$D$2535,0)))</f>
        <v/>
      </c>
      <c r="AM127" s="400" t="str">
        <f t="array" ref="AM127">IF(COUNTIF(Podcasts!$D$10:'Podcasts'!$D$2535,$B127)&lt;COLUMN(L90),"",SMALL(IF(Podcasts!$D$10:'Podcasts'!$D$2535=$B127,Podcasts!$E$10:'Podcasts'!$E$2535),COLUMN(L90)))</f>
        <v/>
      </c>
      <c r="AN127" s="401" t="str">
        <f t="array" ref="AN127">IF(AM127="","",INDEX(Podcasts!$F$10:'Podcasts'!$F$2535,MATCH(AM127&amp;$B127,Podcasts!$E$10:'Podcasts'!$E$2535&amp;Podcasts!$D$10:'Podcasts'!$D$2535,0)))</f>
        <v/>
      </c>
      <c r="AO127" s="402"/>
      <c r="AP127" s="119"/>
      <c r="AQ127" s="117">
        <f t="array" aca="1" ref="AQ127" ca="1">IFERROR(SMALL(IF(COUNTIF(Podcasts!$D$10:'Podcasts'!$D$107,ROW(INDIRECT("1:"&amp;K$2)))=0,ROW(INDIRECT("1:"&amp;K$2))),ROW($A84)),"")</f>
        <v>114</v>
      </c>
      <c r="AR127" s="117">
        <f t="array" aca="1" ref="AR127" ca="1">IFERROR(SMALL(IF(COUNTIF(Podcasts!$D$113:'Podcasts'!$D$238,ROW(INDIRECT("1:"&amp;K$2)))=0,ROW(INDIRECT("1:"&amp;K$2))),ROW($A84)),"")</f>
        <v>84</v>
      </c>
      <c r="AS127" s="117">
        <f t="array" aca="1" ref="AS127" ca="1">IFERROR(SMALL(IF(COUNTIF(Podcasts!$D$244:'Podcasts'!$D$299,ROW(INDIRECT("1:"&amp;K$2)))=0,ROW(INDIRECT("1:"&amp;K$2))),ROW($A84)),"")</f>
        <v>102</v>
      </c>
      <c r="AT127" s="117">
        <f t="array" aca="1" ref="AT127" ca="1">IFERROR(SMALL(IF(COUNTIF(Podcasts!$D$305:'Podcasts'!$D$473,ROW(INDIRECT("1:"&amp;K$2)))=0,ROW(INDIRECT("1:"&amp;K$2))),ROW($A84)),"")</f>
        <v>219</v>
      </c>
      <c r="AU127" s="117">
        <f t="array" aca="1" ref="AU127" ca="1">IFERROR(SMALL(IF(COUNTIF(Podcasts!$D$479:'Podcasts'!$D$488,ROW(INDIRECT("1:"&amp;K$2)))=0,ROW(INDIRECT("1:"&amp;K$2))),ROW($A84)),"")</f>
        <v>86</v>
      </c>
      <c r="AV127" s="117">
        <f t="array" aca="1" ref="AV127" ca="1">IFERROR(SMALL(IF(COUNTIF(Podcasts!$D$494:'Podcasts'!$D$518,ROW(INDIRECT("1:"&amp;K$2)))=0,ROW(INDIRECT("1:"&amp;K$2))),ROW($A84)),"")</f>
        <v>103</v>
      </c>
      <c r="AW127" s="117">
        <f t="array" aca="1" ref="AW127" ca="1">IFERROR(SMALL(IF(COUNTIF(Podcasts!$D$524:'Podcasts'!$D$532,ROW(INDIRECT("1:"&amp;K$2)))=0,ROW(INDIRECT("1:"&amp;K$2))),ROW($A84)),"")</f>
        <v>84</v>
      </c>
      <c r="AX127" s="117">
        <f t="array" aca="1" ref="AX127" ca="1">IFERROR(SMALL(IF(COUNTIF(Podcasts!$D$538:'Podcasts'!$D$909,ROW(INDIRECT("1:"&amp;K$2)))=0,ROW(INDIRECT("1:"&amp;K$2))),ROW($A84)),"")</f>
        <v>213</v>
      </c>
      <c r="AY127" s="117">
        <f t="array" aca="1" ref="AY127" ca="1">IFERROR(SMALL(IF(COUNTIF(Podcasts!$D$915:'Podcasts'!$D$981,ROW(INDIRECT("1:"&amp;K$2)))=0,ROW(INDIRECT("1:"&amp;K$2))),ROW($A84)),"")</f>
        <v>128</v>
      </c>
      <c r="AZ127" s="445"/>
      <c r="BA127" s="117">
        <f t="array" aca="1" ref="BA127" ca="1">IFERROR(SMALL(IF(COUNTIF(Podcasts!$D$1001:'Podcasts'!$D$1251,ROW(INDIRECT("1:"&amp;K$2)))=0,ROW(INDIRECT("1:"&amp;K$2))),ROW($A84)),"")</f>
        <v>128</v>
      </c>
      <c r="BB127" s="117">
        <f t="array" aca="1" ref="BB127" ca="1">IFERROR(SMALL(IF(COUNTIF(Podcasts!$D$1257:'Podcasts'!$D$1267,ROW(INDIRECT("1:"&amp;K$2)))=0,ROW(INDIRECT("1:"&amp;K$2))),ROW($A84)),"")</f>
        <v>86</v>
      </c>
      <c r="BC127" s="117">
        <f t="array" aca="1" ref="BC127" ca="1">IFERROR(SMALL(IF(COUNTIF(Podcasts!$D$1273:'Podcasts'!$D$1283,ROW(INDIRECT("1:"&amp;K$2)))=0,ROW(INDIRECT("1:"&amp;K$2))),ROW($A84)),"")</f>
        <v>88</v>
      </c>
      <c r="BD127" s="117">
        <f t="array" aca="1" ref="BD127" ca="1">IFERROR(SMALL(IF(COUNTIF(Podcasts!$D$1289:'Podcasts'!$D$1295,ROW(INDIRECT("1:"&amp;K$2)))=0,ROW(INDIRECT("1:"&amp;K$2))),ROW($A84)),"")</f>
        <v>86</v>
      </c>
      <c r="BE127" s="117">
        <f t="array" aca="1" ref="BE127" ca="1">IFERROR(SMALL(IF(COUNTIF(Podcasts!$D$1301:'Podcasts'!$D$1356,ROW(INDIRECT("1:"&amp;K$2)))=0,ROW(INDIRECT("1:"&amp;K$2))),ROW($A84)),"")</f>
        <v>131</v>
      </c>
      <c r="BF127" s="117">
        <f t="array" aca="1" ref="BF127" ca="1">IFERROR(SMALL(IF(COUNTIF(Podcasts!$D$1362:'Podcasts'!$D$1364,ROW(INDIRECT("1:"&amp;K$2)))=0,ROW(INDIRECT("1:"&amp;K$2))),ROW($A84)),"")</f>
        <v>87</v>
      </c>
      <c r="BG127" s="202">
        <f t="array" aca="1" ref="BG127" ca="1">IFERROR(SMALL(IF(COUNTIF(Podcasts!$D$1370:'Podcasts'!$D$1419,ROW(INDIRECT("1:"&amp;K$2)))=0,ROW(INDIRECT("1:"&amp;K$2))),ROW($A84)),"")</f>
        <v>105</v>
      </c>
      <c r="BH127" s="202">
        <f t="array" aca="1" ref="BH127" ca="1">IFERROR(SMALL(IF(COUNTIF(Podcasts!$D$1425:'Podcasts'!$D$1446,ROW(INDIRECT("1:"&amp;K$2)))=0,ROW(INDIRECT("1:"&amp;K$2))),ROW($A84)),"")</f>
        <v>92</v>
      </c>
      <c r="BI127" s="202">
        <f t="array" aca="1" ref="BI127" ca="1">IFERROR(SMALL(IF(COUNTIF(Podcasts!$D$1452:'Podcasts'!$D$1574,ROW(INDIRECT("1:"&amp;K$2)))=0,ROW(INDIRECT("1:"&amp;K$2))),ROW($A84)),"")</f>
        <v>146</v>
      </c>
      <c r="BJ127" s="202">
        <f t="array" aca="1" ref="BJ127" ca="1">IFERROR(SMALL(IF(COUNTIF(Podcasts!$D$1580:'Podcasts'!$D$1705,ROW(INDIRECT("1:"&amp;K$2)))=0,ROW(INDIRECT("1:"&amp;K$2))),ROW($A84)),"")</f>
        <v>143</v>
      </c>
      <c r="BK127" s="202">
        <f t="array" aca="1" ref="BK127" ca="1">IFERROR(SMALL(IF(COUNTIF(Podcasts!$D$1711:'Podcasts'!$D$1833,ROW(INDIRECT("1:"&amp;K$2)))=0,ROW(INDIRECT("1:"&amp;K$2))),ROW($A84)),"")</f>
        <v>128</v>
      </c>
      <c r="BL127" s="202">
        <f t="array" aca="1" ref="BL127" ca="1">IFERROR(SMALL(IF(COUNTIF(Podcasts!$D$1839:'Podcasts'!$D$1855,ROW(INDIRECT("1:"&amp;K$2)))=0,ROW(INDIRECT("1:"&amp;K$2))),ROW($A84)),"")</f>
        <v>93</v>
      </c>
      <c r="BM127" s="567">
        <f t="array" aca="1" ref="BM127" ca="1">IFERROR(SMALL(IF(COUNTIF(Podcasts!$D$1861:'Podcasts'!$D$1994,ROW(INDIRECT("1:"&amp;K$2)))=0,ROW(INDIRECT("1:"&amp;K$2))),ROW($A84)),"")</f>
        <v>118</v>
      </c>
      <c r="BN127" s="567">
        <f t="array" aca="1" ref="BN127" ca="1">IFERROR(SMALL(IF(COUNTIF(Podcasts!$D$2000:'Podcasts'!$D$2057,ROW(INDIRECT("1:"&amp;K$2)))=0,ROW(INDIRECT("1:"&amp;K$2))),ROW($A84)),"")</f>
        <v>139</v>
      </c>
      <c r="BO127" s="567">
        <f t="array" aca="1" ref="BO127" ca="1">IFERROR(SMALL(IF(COUNTIF(Podcasts!$D$2063:'Podcasts'!$D$2071,ROW(INDIRECT("1:"&amp;K$2)))=0,ROW(INDIRECT("1:"&amp;K$2))),ROW($A84)),"")</f>
        <v>85</v>
      </c>
      <c r="BP127" s="202">
        <f t="array" aca="1" ref="BP127" ca="1">IFERROR(SMALL(IF(COUNTIF(Podcasts!$D$2077:'Podcasts'!$D$2092,ROW(INDIRECT("1:"&amp;K$2)))=0,ROW(INDIRECT("1:"&amp;K$2))),ROW($A84)),"")</f>
        <v>95</v>
      </c>
      <c r="BQ127" s="741">
        <f t="array" aca="1" ref="BQ127" ca="1">IFERROR(SMALL(IF(COUNTIF(Podcasts!$D$2098:'Podcasts'!$D$2114,ROW(INDIRECT("1:"&amp;K$2)))=0,ROW(INDIRECT("1:"&amp;K$2))),ROW($A84)),"")</f>
        <v>89</v>
      </c>
      <c r="BR127" s="744">
        <f t="array" aca="1" ref="BR127" ca="1">IFERROR(SMALL(IF(COUNTIF(Podcasts!$D$2120:'Podcasts'!$D$2124,ROW(INDIRECT("1:"&amp;K$2)))=0,ROW(INDIRECT("1:"&amp;K$2))),ROW($A84)),"")</f>
        <v>86</v>
      </c>
      <c r="BS127" s="28"/>
    </row>
    <row r="128" spans="1:71" outlineLevel="1">
      <c r="A128" s="28"/>
      <c r="B128" s="161">
        <v>85</v>
      </c>
      <c r="C128" s="161">
        <f>COUNTIF(Podcasts!$D$10:'Podcasts'!$D$2535,B128)</f>
        <v>6</v>
      </c>
      <c r="D128" s="158" t="s">
        <v>1113</v>
      </c>
      <c r="E128" s="156" t="str">
        <f t="array" ref="E128">IF(F128="","",INDEX(Podcasts!$J$10:'Podcasts'!$J$2535,MATCH(F128&amp;$B128,Podcasts!$E$10:'Podcasts'!$E$2535&amp;Podcasts!$D$10:'Podcasts'!$D$2535,0)))</f>
        <v>Fürst</v>
      </c>
      <c r="F128" s="131">
        <f t="array" ref="F128">IF(COUNTIF(Podcasts!$D$10:'Podcasts'!$D$2535,$B128)&lt;COLUMN(A91),"",SMALL(IF(Podcasts!$D$10:'Podcasts'!$D$2535=$B128,Podcasts!$E$10:'Podcasts'!$E$2535),COLUMN(A91)))</f>
        <v>42050</v>
      </c>
      <c r="G128" s="132">
        <f t="array" ref="G128">IF(F128="","",INDEX(Podcasts!$F$10:'Podcasts'!$F$2535,MATCH(F128&amp;$B128,Podcasts!$E$10:'Podcasts'!$E$2535&amp;Podcasts!$D$10:'Podcasts'!$D$2535,0)))</f>
        <v>1.3310185185185187E-2</v>
      </c>
      <c r="H128" s="136" t="str">
        <f t="array" ref="H128">IF(I128="","",INDEX(Podcasts!$J$10:'Podcasts'!$J$2535,MATCH(I128&amp;$B128,Podcasts!$E$10:'Podcasts'!$E$2535&amp;Podcasts!$D$10:'Podcasts'!$D$2535,0)))</f>
        <v>???od</v>
      </c>
      <c r="I128" s="133">
        <f t="array" ref="I128">IF(COUNTIF(Podcasts!$D$10:'Podcasts'!$D$2535,$B128)&lt;COLUMN(B91),"",SMALL(IF(Podcasts!$D$10:'Podcasts'!$D$2535=$B128,Podcasts!$E$10:'Podcasts'!$E$2535),COLUMN(B91)))</f>
        <v>42974</v>
      </c>
      <c r="J128" s="132">
        <f t="array" ref="J128">IF(I128="","",INDEX(Podcasts!$F$10:'Podcasts'!$F$2535,MATCH(I128&amp;$B128,Podcasts!$E$10:'Podcasts'!$E$2535&amp;Podcasts!$D$10:'Podcasts'!$D$2535,0)))</f>
        <v>6.508101851851851E-2</v>
      </c>
      <c r="K128" s="136" t="str">
        <f t="array" ref="K128">IF(L128="","",INDEX(Podcasts!$J$10:'Podcasts'!$J$2535,MATCH(L128&amp;$B128,Podcasts!$E$10:'Podcasts'!$E$2535&amp;Podcasts!$D$10:'Podcasts'!$D$2535,0)))</f>
        <v>SSP</v>
      </c>
      <c r="L128" s="133">
        <f t="array" ref="L128">IF(COUNTIF(Podcasts!$D$10:'Podcasts'!$D$2535,$B128)&lt;COLUMN(C91),"",SMALL(IF(Podcasts!$D$10:'Podcasts'!$D$2535=$B128,Podcasts!$E$10:'Podcasts'!$E$2535),COLUMN(C91)))</f>
        <v>44175</v>
      </c>
      <c r="M128" s="132">
        <f t="array" ref="M128">IF(L128="","",INDEX(Podcasts!$F$10:'Podcasts'!$F$2535,MATCH(L128&amp;$B128,Podcasts!$E$10:'Podcasts'!$E$2535&amp;Podcasts!$D$10:'Podcasts'!$D$2535,0)))</f>
        <v>7.8842592592592589E-2</v>
      </c>
      <c r="N128" s="136" t="str">
        <f t="array" ref="N128">IF(O128="","",INDEX(Podcasts!$J$10:'Podcasts'!$J$2535,MATCH(O128&amp;$B128,Podcasts!$E$10:'Podcasts'!$E$2535&amp;Podcasts!$D$10:'Podcasts'!$D$2535,0)))</f>
        <v>Zeichen</v>
      </c>
      <c r="O128" s="133">
        <f t="array" ref="O128">IF(COUNTIF(Podcasts!$D$10:'Podcasts'!$D$2535,$B128)&lt;COLUMN(D91),"",SMALL(IF(Podcasts!$D$10:'Podcasts'!$D$2535=$B128,Podcasts!$E$10:'Podcasts'!$E$2535),COLUMN(D91)))</f>
        <v>44370</v>
      </c>
      <c r="P128" s="132">
        <f t="array" ref="P128">IF(O128="","",INDEX(Podcasts!$F$10:'Podcasts'!$F$2535,MATCH(O128&amp;$B128,Podcasts!$E$10:'Podcasts'!$E$2535&amp;Podcasts!$D$10:'Podcasts'!$D$2535,0)))</f>
        <v>8.0613425925925922E-2</v>
      </c>
      <c r="Q128" s="136" t="str">
        <f t="array" ref="Q128">IF(R128="","",INDEX(Podcasts!$J$10:'Podcasts'!$J$2535,MATCH(R128&amp;$B128,Podcasts!$E$10:'Podcasts'!$E$2535&amp;Podcasts!$D$10:'Podcasts'!$D$2535,0)))</f>
        <v>Zentrale</v>
      </c>
      <c r="R128" s="133">
        <f t="array" ref="R128">IF(COUNTIF(Podcasts!$D$10:'Podcasts'!$D$2535,$B128)&lt;COLUMN(E91),"",SMALL(IF(Podcasts!$D$10:'Podcasts'!$D$2535=$B128,Podcasts!$E$10:'Podcasts'!$E$2535),COLUMN(E91)))</f>
        <v>45065</v>
      </c>
      <c r="S128" s="132">
        <f t="array" ref="S128">IF(R128="","",INDEX(Podcasts!$F$10:'Podcasts'!$F$2535,MATCH(R128&amp;$B128,Podcasts!$E$10:'Podcasts'!$E$2535&amp;Podcasts!$D$10:'Podcasts'!$D$2535,0)))</f>
        <v>0.13997685185185185</v>
      </c>
      <c r="T128" s="136" t="str">
        <f t="array" ref="T128">IF(U128="","",INDEX(Podcasts!$J$10:'Podcasts'!$J$2535,MATCH(U128&amp;$B128,Podcasts!$E$10:'Podcasts'!$E$2535&amp;Podcasts!$D$10:'Podcasts'!$D$2535,0)))</f>
        <v>Kuchen</v>
      </c>
      <c r="U128" s="133">
        <f t="array" ref="U128">IF(COUNTIF(Podcasts!$D$10:'Podcasts'!$D$2535,$B128)&lt;COLUMN(F91),"",SMALL(IF(Podcasts!$D$10:'Podcasts'!$D$2535=$B128,Podcasts!$E$10:'Podcasts'!$E$2535),COLUMN(F91)))</f>
        <v>45102</v>
      </c>
      <c r="V128" s="132">
        <f t="array" ref="V128">IF(U128="","",INDEX(Podcasts!$F$10:'Podcasts'!$F$2535,MATCH(U128&amp;$B128,Podcasts!$E$10:'Podcasts'!$E$2535&amp;Podcasts!$D$10:'Podcasts'!$D$2535,0)))</f>
        <v>6.5520833333333334E-2</v>
      </c>
      <c r="W128" s="136" t="str">
        <f t="array" ref="W128">IF(X128="","",INDEX(Podcasts!$J$10:'Podcasts'!$J$2535,MATCH(X128&amp;$B128,Podcasts!$E$10:'Podcasts'!$E$2535&amp;Podcasts!$D$10:'Podcasts'!$D$2535,0)))</f>
        <v/>
      </c>
      <c r="X128" s="133" t="str">
        <f t="array" ref="X128">IF(COUNTIF(Podcasts!$D$10:'Podcasts'!$D$2535,$B128)&lt;COLUMN(G91),"",SMALL(IF(Podcasts!$D$10:'Podcasts'!$D$2535=$B128,Podcasts!$E$10:'Podcasts'!$E$2535),COLUMN(G91)))</f>
        <v/>
      </c>
      <c r="Y128" s="132" t="str">
        <f t="array" ref="Y128">IF(X128="","",INDEX(Podcasts!$F$10:'Podcasts'!$F$2535,MATCH(X128&amp;$B128,Podcasts!$E$10:'Podcasts'!$E$2535&amp;Podcasts!$D$10:'Podcasts'!$D$2535,0)))</f>
        <v/>
      </c>
      <c r="Z128" s="136" t="str">
        <f t="array" ref="Z128">IF(AA128="","",INDEX(Podcasts!$J$10:'Podcasts'!$J$2535,MATCH(AA128&amp;$B128,Podcasts!$E$10:'Podcasts'!$E$2535&amp;Podcasts!$D$10:'Podcasts'!$D$2535,0)))</f>
        <v/>
      </c>
      <c r="AA128" s="134" t="str">
        <f t="array" ref="AA128">IF(COUNTIF(Podcasts!$D$10:'Podcasts'!$D$2535,$B128)&lt;COLUMN(H91),"",SMALL(IF(Podcasts!$D$10:'Podcasts'!$D$2535=$B128,Podcasts!$E$10:'Podcasts'!$E$2535),COLUMN(H91)))</f>
        <v/>
      </c>
      <c r="AB128" s="404" t="str">
        <f t="array" ref="AB128">IF(AA128="","",INDEX(Podcasts!$F$10:'Podcasts'!$F$2535,MATCH(AA128&amp;$B128,Podcasts!$E$10:'Podcasts'!$E$2535&amp;Podcasts!$D$10:'Podcasts'!$D$2535,0)))</f>
        <v/>
      </c>
      <c r="AC128" s="406" t="str">
        <f t="array" ref="AC128">IF(AD128="","",INDEX(Podcasts!$J$10:'Podcasts'!$J$2535,MATCH(AD128&amp;$B128,Podcasts!$E$10:'Podcasts'!$E$2535&amp;Podcasts!$D$10:'Podcasts'!$D$2535,0)))</f>
        <v/>
      </c>
      <c r="AD128" s="400" t="str">
        <f t="array" ref="AD128">IF(COUNTIF(Podcasts!$D$10:'Podcasts'!$D$2535,$B128)&lt;COLUMN(I91),"",SMALL(IF(Podcasts!$D$10:'Podcasts'!$D$2535=$B128,Podcasts!$E$10:'Podcasts'!$E$2535),COLUMN(I91)))</f>
        <v/>
      </c>
      <c r="AE128" s="401" t="str">
        <f t="array" ref="AE128">IF(AD128="","",INDEX(Podcasts!$F$10:'Podcasts'!$F$2535,MATCH(AD128&amp;$B128,Podcasts!$E$10:'Podcasts'!$E$2535&amp;Podcasts!$D$10:'Podcasts'!$D$2535,0)))</f>
        <v/>
      </c>
      <c r="AF128" s="406" t="str">
        <f t="array" ref="AF128">IF(AG128="","",INDEX(Podcasts!$J$10:'Podcasts'!$J$2535,MATCH(AG128&amp;$B128,Podcasts!$E$10:'Podcasts'!$E$2535&amp;Podcasts!$D$10:'Podcasts'!$D$2535,0)))</f>
        <v/>
      </c>
      <c r="AG128" s="400" t="str">
        <f t="array" ref="AG128">IF(COUNTIF(Podcasts!$D$10:'Podcasts'!$D$2535,$B128)&lt;COLUMN(J91),"",SMALL(IF(Podcasts!$D$10:'Podcasts'!$D$2535=$B128,Podcasts!$E$10:'Podcasts'!$E$2535),COLUMN(J91)))</f>
        <v/>
      </c>
      <c r="AH128" s="401" t="str">
        <f t="array" ref="AH128">IF(AG128="","",INDEX(Podcasts!$F$10:'Podcasts'!$F$2535,MATCH(AG128&amp;$B128,Podcasts!$E$10:'Podcasts'!$E$2535&amp;Podcasts!$D$10:'Podcasts'!$D$2535,0)))</f>
        <v/>
      </c>
      <c r="AI128" s="406" t="str">
        <f t="array" ref="AI128">IF(AJ128="","",INDEX(Podcasts!$J$10:'Podcasts'!$J$2535,MATCH(AJ128&amp;$B128,Podcasts!$E$10:'Podcasts'!$E$2535&amp;Podcasts!$D$10:'Podcasts'!$D$2535,0)))</f>
        <v/>
      </c>
      <c r="AJ128" s="400" t="str">
        <f t="array" ref="AJ128">IF(COUNTIF(Podcasts!$D$10:'Podcasts'!$D$2535,$B128)&lt;COLUMN(K91),"",SMALL(IF(Podcasts!$D$10:'Podcasts'!$D$2535=$B128,Podcasts!$E$10:'Podcasts'!$E$2535),COLUMN(K91)))</f>
        <v/>
      </c>
      <c r="AK128" s="401" t="str">
        <f t="array" ref="AK128">IF(AJ128="","",INDEX(Podcasts!$F$10:'Podcasts'!$F$2535,MATCH(AJ128&amp;$B128,Podcasts!$E$10:'Podcasts'!$E$2535&amp;Podcasts!$D$10:'Podcasts'!$D$2535,0)))</f>
        <v/>
      </c>
      <c r="AL128" s="406" t="str">
        <f t="array" ref="AL128">IF(AM128="","",INDEX(Podcasts!$J$10:'Podcasts'!$J$2535,MATCH(AM128&amp;$B128,Podcasts!$E$10:'Podcasts'!$E$2535&amp;Podcasts!$D$10:'Podcasts'!$D$2535,0)))</f>
        <v/>
      </c>
      <c r="AM128" s="400" t="str">
        <f t="array" ref="AM128">IF(COUNTIF(Podcasts!$D$10:'Podcasts'!$D$2535,$B128)&lt;COLUMN(L91),"",SMALL(IF(Podcasts!$D$10:'Podcasts'!$D$2535=$B128,Podcasts!$E$10:'Podcasts'!$E$2535),COLUMN(L91)))</f>
        <v/>
      </c>
      <c r="AN128" s="401" t="str">
        <f t="array" ref="AN128">IF(AM128="","",INDEX(Podcasts!$F$10:'Podcasts'!$F$2535,MATCH(AM128&amp;$B128,Podcasts!$E$10:'Podcasts'!$E$2535&amp;Podcasts!$D$10:'Podcasts'!$D$2535,0)))</f>
        <v/>
      </c>
      <c r="AO128" s="402"/>
      <c r="AP128" s="119"/>
      <c r="AQ128" s="117">
        <f t="array" aca="1" ref="AQ128" ca="1">IFERROR(SMALL(IF(COUNTIF(Podcasts!$D$10:'Podcasts'!$D$107,ROW(INDIRECT("1:"&amp;K$2)))=0,ROW(INDIRECT("1:"&amp;K$2))),ROW($A85)),"")</f>
        <v>115</v>
      </c>
      <c r="AR128" s="117">
        <f t="array" aca="1" ref="AR128" ca="1">IFERROR(SMALL(IF(COUNTIF(Podcasts!$D$113:'Podcasts'!$D$238,ROW(INDIRECT("1:"&amp;K$2)))=0,ROW(INDIRECT("1:"&amp;K$2))),ROW($A85)),"")</f>
        <v>85</v>
      </c>
      <c r="AS128" s="117">
        <f t="array" aca="1" ref="AS128" ca="1">IFERROR(SMALL(IF(COUNTIF(Podcasts!$D$244:'Podcasts'!$D$299,ROW(INDIRECT("1:"&amp;K$2)))=0,ROW(INDIRECT("1:"&amp;K$2))),ROW($A85)),"")</f>
        <v>103</v>
      </c>
      <c r="AT128" s="117">
        <f t="array" aca="1" ref="AT128" ca="1">IFERROR(SMALL(IF(COUNTIF(Podcasts!$D$305:'Podcasts'!$D$473,ROW(INDIRECT("1:"&amp;K$2)))=0,ROW(INDIRECT("1:"&amp;K$2))),ROW($A85)),"")</f>
        <v>220</v>
      </c>
      <c r="AU128" s="117">
        <f t="array" aca="1" ref="AU128" ca="1">IFERROR(SMALL(IF(COUNTIF(Podcasts!$D$479:'Podcasts'!$D$488,ROW(INDIRECT("1:"&amp;K$2)))=0,ROW(INDIRECT("1:"&amp;K$2))),ROW($A85)),"")</f>
        <v>87</v>
      </c>
      <c r="AV128" s="117">
        <f t="array" aca="1" ref="AV128" ca="1">IFERROR(SMALL(IF(COUNTIF(Podcasts!$D$494:'Podcasts'!$D$518,ROW(INDIRECT("1:"&amp;K$2)))=0,ROW(INDIRECT("1:"&amp;K$2))),ROW($A85)),"")</f>
        <v>104</v>
      </c>
      <c r="AW128" s="117">
        <f t="array" aca="1" ref="AW128" ca="1">IFERROR(SMALL(IF(COUNTIF(Podcasts!$D$524:'Podcasts'!$D$532,ROW(INDIRECT("1:"&amp;K$2)))=0,ROW(INDIRECT("1:"&amp;K$2))),ROW($A85)),"")</f>
        <v>85</v>
      </c>
      <c r="AX128" s="117">
        <f t="array" aca="1" ref="AX128" ca="1">IFERROR(SMALL(IF(COUNTIF(Podcasts!$D$538:'Podcasts'!$D$909,ROW(INDIRECT("1:"&amp;K$2)))=0,ROW(INDIRECT("1:"&amp;K$2))),ROW($A85)),"")</f>
        <v>215</v>
      </c>
      <c r="AY128" s="117">
        <f t="array" aca="1" ref="AY128" ca="1">IFERROR(SMALL(IF(COUNTIF(Podcasts!$D$915:'Podcasts'!$D$981,ROW(INDIRECT("1:"&amp;K$2)))=0,ROW(INDIRECT("1:"&amp;K$2))),ROW($A85)),"")</f>
        <v>129</v>
      </c>
      <c r="AZ128" s="445"/>
      <c r="BA128" s="117">
        <f t="array" aca="1" ref="BA128" ca="1">IFERROR(SMALL(IF(COUNTIF(Podcasts!$D$1001:'Podcasts'!$D$1251,ROW(INDIRECT("1:"&amp;K$2)))=0,ROW(INDIRECT("1:"&amp;K$2))),ROW($A85)),"")</f>
        <v>130</v>
      </c>
      <c r="BB128" s="117">
        <f t="array" aca="1" ref="BB128" ca="1">IFERROR(SMALL(IF(COUNTIF(Podcasts!$D$1257:'Podcasts'!$D$1267,ROW(INDIRECT("1:"&amp;K$2)))=0,ROW(INDIRECT("1:"&amp;K$2))),ROW($A85)),"")</f>
        <v>87</v>
      </c>
      <c r="BC128" s="117">
        <f t="array" aca="1" ref="BC128" ca="1">IFERROR(SMALL(IF(COUNTIF(Podcasts!$D$1273:'Podcasts'!$D$1283,ROW(INDIRECT("1:"&amp;K$2)))=0,ROW(INDIRECT("1:"&amp;K$2))),ROW($A85)),"")</f>
        <v>89</v>
      </c>
      <c r="BD128" s="117">
        <f t="array" aca="1" ref="BD128" ca="1">IFERROR(SMALL(IF(COUNTIF(Podcasts!$D$1289:'Podcasts'!$D$1295,ROW(INDIRECT("1:"&amp;K$2)))=0,ROW(INDIRECT("1:"&amp;K$2))),ROW($A85)),"")</f>
        <v>87</v>
      </c>
      <c r="BE128" s="117">
        <f t="array" aca="1" ref="BE128" ca="1">IFERROR(SMALL(IF(COUNTIF(Podcasts!$D$1301:'Podcasts'!$D$1356,ROW(INDIRECT("1:"&amp;K$2)))=0,ROW(INDIRECT("1:"&amp;K$2))),ROW($A85)),"")</f>
        <v>132</v>
      </c>
      <c r="BF128" s="117">
        <f t="array" aca="1" ref="BF128" ca="1">IFERROR(SMALL(IF(COUNTIF(Podcasts!$D$1362:'Podcasts'!$D$1364,ROW(INDIRECT("1:"&amp;K$2)))=0,ROW(INDIRECT("1:"&amp;K$2))),ROW($A85)),"")</f>
        <v>88</v>
      </c>
      <c r="BG128" s="202">
        <f t="array" aca="1" ref="BG128" ca="1">IFERROR(SMALL(IF(COUNTIF(Podcasts!$D$1370:'Podcasts'!$D$1419,ROW(INDIRECT("1:"&amp;K$2)))=0,ROW(INDIRECT("1:"&amp;K$2))),ROW($A85)),"")</f>
        <v>106</v>
      </c>
      <c r="BH128" s="202">
        <f t="array" aca="1" ref="BH128" ca="1">IFERROR(SMALL(IF(COUNTIF(Podcasts!$D$1425:'Podcasts'!$D$1446,ROW(INDIRECT("1:"&amp;K$2)))=0,ROW(INDIRECT("1:"&amp;K$2))),ROW($A85)),"")</f>
        <v>93</v>
      </c>
      <c r="BI128" s="202">
        <f t="array" aca="1" ref="BI128" ca="1">IFERROR(SMALL(IF(COUNTIF(Podcasts!$D$1452:'Podcasts'!$D$1574,ROW(INDIRECT("1:"&amp;K$2)))=0,ROW(INDIRECT("1:"&amp;K$2))),ROW($A85)),"")</f>
        <v>149</v>
      </c>
      <c r="BJ128" s="202">
        <f t="array" aca="1" ref="BJ128" ca="1">IFERROR(SMALL(IF(COUNTIF(Podcasts!$D$1580:'Podcasts'!$D$1705,ROW(INDIRECT("1:"&amp;K$2)))=0,ROW(INDIRECT("1:"&amp;K$2))),ROW($A85)),"")</f>
        <v>144</v>
      </c>
      <c r="BK128" s="202">
        <f t="array" aca="1" ref="BK128" ca="1">IFERROR(SMALL(IF(COUNTIF(Podcasts!$D$1711:'Podcasts'!$D$1833,ROW(INDIRECT("1:"&amp;K$2)))=0,ROW(INDIRECT("1:"&amp;K$2))),ROW($A85)),"")</f>
        <v>132</v>
      </c>
      <c r="BL128" s="202">
        <f t="array" aca="1" ref="BL128" ca="1">IFERROR(SMALL(IF(COUNTIF(Podcasts!$D$1839:'Podcasts'!$D$1855,ROW(INDIRECT("1:"&amp;K$2)))=0,ROW(INDIRECT("1:"&amp;K$2))),ROW($A85)),"")</f>
        <v>94</v>
      </c>
      <c r="BM128" s="567">
        <f t="array" aca="1" ref="BM128" ca="1">IFERROR(SMALL(IF(COUNTIF(Podcasts!$D$1861:'Podcasts'!$D$1994,ROW(INDIRECT("1:"&amp;K$2)))=0,ROW(INDIRECT("1:"&amp;K$2))),ROW($A85)),"")</f>
        <v>119</v>
      </c>
      <c r="BN128" s="567">
        <f t="array" aca="1" ref="BN128" ca="1">IFERROR(SMALL(IF(COUNTIF(Podcasts!$D$2000:'Podcasts'!$D$2057,ROW(INDIRECT("1:"&amp;K$2)))=0,ROW(INDIRECT("1:"&amp;K$2))),ROW($A85)),"")</f>
        <v>140</v>
      </c>
      <c r="BO128" s="567">
        <f t="array" aca="1" ref="BO128" ca="1">IFERROR(SMALL(IF(COUNTIF(Podcasts!$D$2063:'Podcasts'!$D$2071,ROW(INDIRECT("1:"&amp;K$2)))=0,ROW(INDIRECT("1:"&amp;K$2))),ROW($A85)),"")</f>
        <v>88</v>
      </c>
      <c r="BP128" s="202">
        <f t="array" aca="1" ref="BP128" ca="1">IFERROR(SMALL(IF(COUNTIF(Podcasts!$D$2077:'Podcasts'!$D$2092,ROW(INDIRECT("1:"&amp;K$2)))=0,ROW(INDIRECT("1:"&amp;K$2))),ROW($A85)),"")</f>
        <v>96</v>
      </c>
      <c r="BQ128" s="741">
        <f t="array" aca="1" ref="BQ128" ca="1">IFERROR(SMALL(IF(COUNTIF(Podcasts!$D$2098:'Podcasts'!$D$2114,ROW(INDIRECT("1:"&amp;K$2)))=0,ROW(INDIRECT("1:"&amp;K$2))),ROW($A85)),"")</f>
        <v>90</v>
      </c>
      <c r="BR128" s="744">
        <f t="array" aca="1" ref="BR128" ca="1">IFERROR(SMALL(IF(COUNTIF(Podcasts!$D$2120:'Podcasts'!$D$2124,ROW(INDIRECT("1:"&amp;K$2)))=0,ROW(INDIRECT("1:"&amp;K$2))),ROW($A85)),"")</f>
        <v>87</v>
      </c>
      <c r="BS128" s="28"/>
    </row>
    <row r="129" spans="1:71" outlineLevel="1">
      <c r="A129" s="28"/>
      <c r="B129" s="161">
        <v>86</v>
      </c>
      <c r="C129" s="161">
        <f>COUNTIF(Podcasts!$D$10:'Podcasts'!$D$2535,B129)</f>
        <v>11</v>
      </c>
      <c r="D129" s="158" t="s">
        <v>1114</v>
      </c>
      <c r="E129" s="156" t="str">
        <f t="array" ref="E129">IF(F129="","",INDEX(Podcasts!$J$10:'Podcasts'!$J$2535,MATCH(F129&amp;$B129,Podcasts!$E$10:'Podcasts'!$E$2535&amp;Podcasts!$D$10:'Podcasts'!$D$2535,0)))</f>
        <v>Fürst</v>
      </c>
      <c r="F129" s="131">
        <f t="array" ref="F129">IF(COUNTIF(Podcasts!$D$10:'Podcasts'!$D$2535,$B129)&lt;COLUMN(A92),"",SMALL(IF(Podcasts!$D$10:'Podcasts'!$D$2535=$B129,Podcasts!$E$10:'Podcasts'!$E$2535),COLUMN(A92)))</f>
        <v>41936</v>
      </c>
      <c r="G129" s="132">
        <f t="array" ref="G129">IF(F129="","",INDEX(Podcasts!$F$10:'Podcasts'!$F$2535,MATCH(F129&amp;$B129,Podcasts!$E$10:'Podcasts'!$E$2535&amp;Podcasts!$D$10:'Podcasts'!$D$2535,0)))</f>
        <v>5.2083333333333287E-3</v>
      </c>
      <c r="H129" s="136" t="str">
        <f t="array" ref="H129">IF(I129="","",INDEX(Podcasts!$J$10:'Podcasts'!$J$2535,MATCH(I129&amp;$B129,Podcasts!$E$10:'Podcasts'!$E$2535&amp;Podcasts!$D$10:'Podcasts'!$D$2535,0)))</f>
        <v>???od</v>
      </c>
      <c r="I129" s="133">
        <f t="array" ref="I129">IF(COUNTIF(Podcasts!$D$10:'Podcasts'!$D$2535,$B129)&lt;COLUMN(B92),"",SMALL(IF(Podcasts!$D$10:'Podcasts'!$D$2535=$B129,Podcasts!$E$10:'Podcasts'!$E$2535),COLUMN(B92)))</f>
        <v>43023</v>
      </c>
      <c r="J129" s="132">
        <f t="array" ref="J129">IF(I129="","",INDEX(Podcasts!$F$10:'Podcasts'!$F$2535,MATCH(I129&amp;$B129,Podcasts!$E$10:'Podcasts'!$E$2535&amp;Podcasts!$D$10:'Podcasts'!$D$2535,0)))</f>
        <v>6.2523148148148147E-2</v>
      </c>
      <c r="K129" s="136" t="str">
        <f t="array" ref="K129">IF(L129="","",INDEX(Podcasts!$J$10:'Podcasts'!$J$2535,MATCH(L129&amp;$B129,Podcasts!$E$10:'Podcasts'!$E$2535&amp;Podcasts!$D$10:'Podcasts'!$D$2535,0)))</f>
        <v>SSP</v>
      </c>
      <c r="L129" s="133">
        <f t="array" ref="L129">IF(COUNTIF(Podcasts!$D$10:'Podcasts'!$D$2535,$B129)&lt;COLUMN(C92),"",SMALL(IF(Podcasts!$D$10:'Podcasts'!$D$2535=$B129,Podcasts!$E$10:'Podcasts'!$E$2535),COLUMN(C92)))</f>
        <v>43571</v>
      </c>
      <c r="M129" s="132">
        <f t="array" ref="M129">IF(L129="","",INDEX(Podcasts!$F$10:'Podcasts'!$F$2535,MATCH(L129&amp;$B129,Podcasts!$E$10:'Podcasts'!$E$2535&amp;Podcasts!$D$10:'Podcasts'!$D$2535,0)))</f>
        <v>8.9340277777777768E-2</v>
      </c>
      <c r="N129" s="136" t="str">
        <f t="array" ref="N129">IF(O129="","",INDEX(Podcasts!$J$10:'Podcasts'!$J$2535,MATCH(O129&amp;$B129,Podcasts!$E$10:'Podcasts'!$E$2535&amp;Podcasts!$D$10:'Podcasts'!$D$2535,0)))</f>
        <v>Fan</v>
      </c>
      <c r="O129" s="133">
        <f t="array" ref="O129">IF(COUNTIF(Podcasts!$D$10:'Podcasts'!$D$2535,$B129)&lt;COLUMN(D92),"",SMALL(IF(Podcasts!$D$10:'Podcasts'!$D$2535=$B129,Podcasts!$E$10:'Podcasts'!$E$2535),COLUMN(D92)))</f>
        <v>44299</v>
      </c>
      <c r="P129" s="132">
        <f t="array" ref="P129">IF(O129="","",INDEX(Podcasts!$F$10:'Podcasts'!$F$2535,MATCH(O129&amp;$B129,Podcasts!$E$10:'Podcasts'!$E$2535&amp;Podcasts!$D$10:'Podcasts'!$D$2535,0)))</f>
        <v>5.3217592592592594E-2</v>
      </c>
      <c r="Q129" s="136" t="str">
        <f t="array" ref="Q129">IF(R129="","",INDEX(Podcasts!$J$10:'Podcasts'!$J$2535,MATCH(R129&amp;$B129,Podcasts!$E$10:'Podcasts'!$E$2535&amp;Podcasts!$D$10:'Podcasts'!$D$2535,0)))</f>
        <v>Zw3i</v>
      </c>
      <c r="R129" s="133">
        <f t="array" ref="R129">IF(COUNTIF(Podcasts!$D$10:'Podcasts'!$D$2535,$B129)&lt;COLUMN(E92),"",SMALL(IF(Podcasts!$D$10:'Podcasts'!$D$2535=$B129,Podcasts!$E$10:'Podcasts'!$E$2535),COLUMN(E92)))</f>
        <v>44378</v>
      </c>
      <c r="S129" s="132">
        <f t="array" ref="S129">IF(R129="","",INDEX(Podcasts!$F$10:'Podcasts'!$F$2535,MATCH(R129&amp;$B129,Podcasts!$E$10:'Podcasts'!$E$2535&amp;Podcasts!$D$10:'Podcasts'!$D$2535,0)))</f>
        <v>4.8518518518518516E-2</v>
      </c>
      <c r="T129" s="136" t="str">
        <f t="array" ref="T129">IF(U129="","",INDEX(Podcasts!$J$10:'Podcasts'!$J$2535,MATCH(U129&amp;$B129,Podcasts!$E$10:'Podcasts'!$E$2535&amp;Podcasts!$D$10:'Podcasts'!$D$2535,0)))</f>
        <v>R&amp;A</v>
      </c>
      <c r="U129" s="133">
        <f t="array" ref="U129">IF(COUNTIF(Podcasts!$D$10:'Podcasts'!$D$2535,$B129)&lt;COLUMN(F92),"",SMALL(IF(Podcasts!$D$10:'Podcasts'!$D$2535=$B129,Podcasts!$E$10:'Podcasts'!$E$2535),COLUMN(F92)))</f>
        <v>44439.701388888891</v>
      </c>
      <c r="V129" s="132">
        <f t="array" ref="V129">IF(U129="","",INDEX(Podcasts!$F$10:'Podcasts'!$F$2535,MATCH(U129&amp;$B129,Podcasts!$E$10:'Podcasts'!$E$2535&amp;Podcasts!$D$10:'Podcasts'!$D$2535,0)))</f>
        <v>9.2060185185185175E-2</v>
      </c>
      <c r="W129" s="136" t="str">
        <f t="array" ref="W129">IF(X129="","",INDEX(Podcasts!$J$10:'Podcasts'!$J$2535,MATCH(X129&amp;$B129,Podcasts!$E$10:'Podcasts'!$E$2535&amp;Podcasts!$D$10:'Podcasts'!$D$2535,0)))</f>
        <v>Kaffee</v>
      </c>
      <c r="X129" s="133">
        <f t="array" ref="X129">IF(COUNTIF(Podcasts!$D$10:'Podcasts'!$D$2535,$B129)&lt;COLUMN(G92),"",SMALL(IF(Podcasts!$D$10:'Podcasts'!$D$2535=$B129,Podcasts!$E$10:'Podcasts'!$E$2535),COLUMN(G92)))</f>
        <v>44883</v>
      </c>
      <c r="Y129" s="132">
        <f t="array" ref="Y129">IF(X129="","",INDEX(Podcasts!$F$10:'Podcasts'!$F$2535,MATCH(X129&amp;$B129,Podcasts!$E$10:'Podcasts'!$E$2535&amp;Podcasts!$D$10:'Podcasts'!$D$2535,0)))</f>
        <v>4.2766203703703702E-2</v>
      </c>
      <c r="Z129" s="136" t="str">
        <f t="array" ref="Z129">IF(AA129="","",INDEX(Podcasts!$J$10:'Podcasts'!$J$2535,MATCH(AA129&amp;$B129,Podcasts!$E$10:'Podcasts'!$E$2535&amp;Podcasts!$D$10:'Podcasts'!$D$2535,0)))</f>
        <v>:punkt</v>
      </c>
      <c r="AA129" s="134">
        <f t="array" ref="AA129">IF(COUNTIF(Podcasts!$D$10:'Podcasts'!$D$2535,$B129)&lt;COLUMN(H92),"",SMALL(IF(Podcasts!$D$10:'Podcasts'!$D$2535=$B129,Podcasts!$E$10:'Podcasts'!$E$2535),COLUMN(H92)))</f>
        <v>44990</v>
      </c>
      <c r="AB129" s="404">
        <f t="array" ref="AB129">IF(AA129="","",INDEX(Podcasts!$F$10:'Podcasts'!$F$2535,MATCH(AA129&amp;$B129,Podcasts!$E$10:'Podcasts'!$E$2535&amp;Podcasts!$D$10:'Podcasts'!$D$2535,0)))</f>
        <v>4.0289351851851847E-2</v>
      </c>
      <c r="AC129" s="406" t="str">
        <f t="array" ref="AC129">IF(AD129="","",INDEX(Podcasts!$J$10:'Podcasts'!$J$2535,MATCH(AD129&amp;$B129,Podcasts!$E$10:'Podcasts'!$E$2535&amp;Podcasts!$D$10:'Podcasts'!$D$2535,0)))</f>
        <v>Zeichen</v>
      </c>
      <c r="AD129" s="400">
        <f t="array" ref="AD129">IF(COUNTIF(Podcasts!$D$10:'Podcasts'!$D$2535,$B129)&lt;COLUMN(I92),"",SMALL(IF(Podcasts!$D$10:'Podcasts'!$D$2535=$B129,Podcasts!$E$10:'Podcasts'!$E$2535),COLUMN(I92)))</f>
        <v>45101</v>
      </c>
      <c r="AE129" s="401">
        <f t="array" ref="AE129">IF(AD129="","",INDEX(Podcasts!$F$10:'Podcasts'!$F$2535,MATCH(AD129&amp;$B129,Podcasts!$E$10:'Podcasts'!$E$2535&amp;Podcasts!$D$10:'Podcasts'!$D$2535,0)))</f>
        <v>8.0266203703703701E-2</v>
      </c>
      <c r="AF129" s="406" t="str">
        <f t="array" ref="AF129">IF(AG129="","",INDEX(Podcasts!$J$10:'Podcasts'!$J$2535,MATCH(AG129&amp;$B129,Podcasts!$E$10:'Podcasts'!$E$2535&amp;Podcasts!$D$10:'Podcasts'!$D$2535,0)))</f>
        <v>beachcast</v>
      </c>
      <c r="AG129" s="400">
        <f t="array" ref="AG129">IF(COUNTIF(Podcasts!$D$10:'Podcasts'!$D$2535,$B129)&lt;COLUMN(J92),"",SMALL(IF(Podcasts!$D$10:'Podcasts'!$D$2535=$B129,Podcasts!$E$10:'Podcasts'!$E$2535),COLUMN(J92)))</f>
        <v>45206</v>
      </c>
      <c r="AH129" s="401">
        <f t="array" ref="AH129">IF(AG129="","",INDEX(Podcasts!$F$10:'Podcasts'!$F$2535,MATCH(AG129&amp;$B129,Podcasts!$E$10:'Podcasts'!$E$2535&amp;Podcasts!$D$10:'Podcasts'!$D$2535,0)))</f>
        <v>6.8402777777777771E-2</v>
      </c>
      <c r="AI129" s="406" t="str">
        <f t="array" ref="AI129">IF(AJ129="","",INDEX(Podcasts!$J$10:'Podcasts'!$J$2535,MATCH(AJ129&amp;$B129,Podcasts!$E$10:'Podcasts'!$E$2535&amp;Podcasts!$D$10:'Podcasts'!$D$2535,0)))</f>
        <v>Rose</v>
      </c>
      <c r="AJ129" s="400">
        <f t="array" ref="AJ129">IF(COUNTIF(Podcasts!$D$10:'Podcasts'!$D$2535,$B129)&lt;COLUMN(K92),"",SMALL(IF(Podcasts!$D$10:'Podcasts'!$D$2535=$B129,Podcasts!$E$10:'Podcasts'!$E$2535),COLUMN(K92)))</f>
        <v>45396</v>
      </c>
      <c r="AK129" s="401">
        <f t="array" ref="AK129">IF(AJ129="","",INDEX(Podcasts!$F$10:'Podcasts'!$F$2535,MATCH(AJ129&amp;$B129,Podcasts!$E$10:'Podcasts'!$E$2535&amp;Podcasts!$D$10:'Podcasts'!$D$2535,0)))</f>
        <v>7.4791666666666673E-2</v>
      </c>
      <c r="AL129" s="406" t="str">
        <f t="array" ref="AL129">IF(AM129="","",INDEX(Podcasts!$J$10:'Podcasts'!$J$2535,MATCH(AM129&amp;$B129,Podcasts!$E$10:'Podcasts'!$E$2535&amp;Podcasts!$D$10:'Podcasts'!$D$2535,0)))</f>
        <v/>
      </c>
      <c r="AM129" s="400" t="str">
        <f t="array" ref="AM129">IF(COUNTIF(Podcasts!$D$10:'Podcasts'!$D$2535,$B129)&lt;COLUMN(L92),"",SMALL(IF(Podcasts!$D$10:'Podcasts'!$D$2535=$B129,Podcasts!$E$10:'Podcasts'!$E$2535),COLUMN(L92)))</f>
        <v/>
      </c>
      <c r="AN129" s="401" t="str">
        <f t="array" ref="AN129">IF(AM129="","",INDEX(Podcasts!$F$10:'Podcasts'!$F$2535,MATCH(AM129&amp;$B129,Podcasts!$E$10:'Podcasts'!$E$2535&amp;Podcasts!$D$10:'Podcasts'!$D$2535,0)))</f>
        <v/>
      </c>
      <c r="AO129" s="402"/>
      <c r="AP129" s="119"/>
      <c r="AQ129" s="117">
        <f t="array" aca="1" ref="AQ129" ca="1">IFERROR(SMALL(IF(COUNTIF(Podcasts!$D$10:'Podcasts'!$D$107,ROW(INDIRECT("1:"&amp;K$2)))=0,ROW(INDIRECT("1:"&amp;K$2))),ROW($A86)),"")</f>
        <v>117</v>
      </c>
      <c r="AR129" s="117">
        <f t="array" aca="1" ref="AR129" ca="1">IFERROR(SMALL(IF(COUNTIF(Podcasts!$D$113:'Podcasts'!$D$238,ROW(INDIRECT("1:"&amp;K$2)))=0,ROW(INDIRECT("1:"&amp;K$2))),ROW($A86)),"")</f>
        <v>86</v>
      </c>
      <c r="AS129" s="117">
        <f t="array" aca="1" ref="AS129" ca="1">IFERROR(SMALL(IF(COUNTIF(Podcasts!$D$244:'Podcasts'!$D$299,ROW(INDIRECT("1:"&amp;K$2)))=0,ROW(INDIRECT("1:"&amp;K$2))),ROW($A86)),"")</f>
        <v>104</v>
      </c>
      <c r="AT129" s="117">
        <f t="array" aca="1" ref="AT129" ca="1">IFERROR(SMALL(IF(COUNTIF(Podcasts!$D$305:'Podcasts'!$D$473,ROW(INDIRECT("1:"&amp;K$2)))=0,ROW(INDIRECT("1:"&amp;K$2))),ROW($A86)),"")</f>
        <v>221</v>
      </c>
      <c r="AU129" s="117">
        <f t="array" aca="1" ref="AU129" ca="1">IFERROR(SMALL(IF(COUNTIF(Podcasts!$D$479:'Podcasts'!$D$488,ROW(INDIRECT("1:"&amp;K$2)))=0,ROW(INDIRECT("1:"&amp;K$2))),ROW($A86)),"")</f>
        <v>88</v>
      </c>
      <c r="AV129" s="117">
        <f t="array" aca="1" ref="AV129" ca="1">IFERROR(SMALL(IF(COUNTIF(Podcasts!$D$494:'Podcasts'!$D$518,ROW(INDIRECT("1:"&amp;K$2)))=0,ROW(INDIRECT("1:"&amp;K$2))),ROW($A86)),"")</f>
        <v>105</v>
      </c>
      <c r="AW129" s="117">
        <f t="array" aca="1" ref="AW129" ca="1">IFERROR(SMALL(IF(COUNTIF(Podcasts!$D$524:'Podcasts'!$D$532,ROW(INDIRECT("1:"&amp;K$2)))=0,ROW(INDIRECT("1:"&amp;K$2))),ROW($A86)),"")</f>
        <v>86</v>
      </c>
      <c r="AX129" s="117">
        <f t="array" aca="1" ref="AX129" ca="1">IFERROR(SMALL(IF(COUNTIF(Podcasts!$D$538:'Podcasts'!$D$909,ROW(INDIRECT("1:"&amp;K$2)))=0,ROW(INDIRECT("1:"&amp;K$2))),ROW($A86)),"")</f>
        <v>216</v>
      </c>
      <c r="AY129" s="117">
        <f t="array" aca="1" ref="AY129" ca="1">IFERROR(SMALL(IF(COUNTIF(Podcasts!$D$915:'Podcasts'!$D$981,ROW(INDIRECT("1:"&amp;K$2)))=0,ROW(INDIRECT("1:"&amp;K$2))),ROW($A86)),"")</f>
        <v>130</v>
      </c>
      <c r="AZ129" s="445"/>
      <c r="BA129" s="117">
        <f t="array" aca="1" ref="BA129" ca="1">IFERROR(SMALL(IF(COUNTIF(Podcasts!$D$1001:'Podcasts'!$D$1251,ROW(INDIRECT("1:"&amp;K$2)))=0,ROW(INDIRECT("1:"&amp;K$2))),ROW($A86)),"")</f>
        <v>131</v>
      </c>
      <c r="BB129" s="117">
        <f t="array" aca="1" ref="BB129" ca="1">IFERROR(SMALL(IF(COUNTIF(Podcasts!$D$1257:'Podcasts'!$D$1267,ROW(INDIRECT("1:"&amp;K$2)))=0,ROW(INDIRECT("1:"&amp;K$2))),ROW($A86)),"")</f>
        <v>88</v>
      </c>
      <c r="BC129" s="117">
        <f t="array" aca="1" ref="BC129" ca="1">IFERROR(SMALL(IF(COUNTIF(Podcasts!$D$1273:'Podcasts'!$D$1283,ROW(INDIRECT("1:"&amp;K$2)))=0,ROW(INDIRECT("1:"&amp;K$2))),ROW($A86)),"")</f>
        <v>90</v>
      </c>
      <c r="BD129" s="117">
        <f t="array" aca="1" ref="BD129" ca="1">IFERROR(SMALL(IF(COUNTIF(Podcasts!$D$1289:'Podcasts'!$D$1295,ROW(INDIRECT("1:"&amp;K$2)))=0,ROW(INDIRECT("1:"&amp;K$2))),ROW($A86)),"")</f>
        <v>88</v>
      </c>
      <c r="BE129" s="117">
        <f t="array" aca="1" ref="BE129" ca="1">IFERROR(SMALL(IF(COUNTIF(Podcasts!$D$1301:'Podcasts'!$D$1356,ROW(INDIRECT("1:"&amp;K$2)))=0,ROW(INDIRECT("1:"&amp;K$2))),ROW($A86)),"")</f>
        <v>133</v>
      </c>
      <c r="BF129" s="117">
        <f t="array" aca="1" ref="BF129" ca="1">IFERROR(SMALL(IF(COUNTIF(Podcasts!$D$1362:'Podcasts'!$D$1364,ROW(INDIRECT("1:"&amp;K$2)))=0,ROW(INDIRECT("1:"&amp;K$2))),ROW($A86)),"")</f>
        <v>89</v>
      </c>
      <c r="BG129" s="202">
        <f t="array" aca="1" ref="BG129" ca="1">IFERROR(SMALL(IF(COUNTIF(Podcasts!$D$1370:'Podcasts'!$D$1419,ROW(INDIRECT("1:"&amp;K$2)))=0,ROW(INDIRECT("1:"&amp;K$2))),ROW($A86)),"")</f>
        <v>108</v>
      </c>
      <c r="BH129" s="202">
        <f t="array" aca="1" ref="BH129" ca="1">IFERROR(SMALL(IF(COUNTIF(Podcasts!$D$1425:'Podcasts'!$D$1446,ROW(INDIRECT("1:"&amp;K$2)))=0,ROW(INDIRECT("1:"&amp;K$2))),ROW($A86)),"")</f>
        <v>94</v>
      </c>
      <c r="BI129" s="202">
        <f t="array" aca="1" ref="BI129" ca="1">IFERROR(SMALL(IF(COUNTIF(Podcasts!$D$1452:'Podcasts'!$D$1574,ROW(INDIRECT("1:"&amp;K$2)))=0,ROW(INDIRECT("1:"&amp;K$2))),ROW($A86)),"")</f>
        <v>150</v>
      </c>
      <c r="BJ129" s="202">
        <f t="array" aca="1" ref="BJ129" ca="1">IFERROR(SMALL(IF(COUNTIF(Podcasts!$D$1580:'Podcasts'!$D$1705,ROW(INDIRECT("1:"&amp;K$2)))=0,ROW(INDIRECT("1:"&amp;K$2))),ROW($A86)),"")</f>
        <v>145</v>
      </c>
      <c r="BK129" s="202">
        <f t="array" aca="1" ref="BK129" ca="1">IFERROR(SMALL(IF(COUNTIF(Podcasts!$D$1711:'Podcasts'!$D$1833,ROW(INDIRECT("1:"&amp;K$2)))=0,ROW(INDIRECT("1:"&amp;K$2))),ROW($A86)),"")</f>
        <v>134</v>
      </c>
      <c r="BL129" s="202">
        <f t="array" aca="1" ref="BL129" ca="1">IFERROR(SMALL(IF(COUNTIF(Podcasts!$D$1839:'Podcasts'!$D$1855,ROW(INDIRECT("1:"&amp;K$2)))=0,ROW(INDIRECT("1:"&amp;K$2))),ROW($A86)),"")</f>
        <v>95</v>
      </c>
      <c r="BM129" s="567">
        <f t="array" aca="1" ref="BM129" ca="1">IFERROR(SMALL(IF(COUNTIF(Podcasts!$D$1861:'Podcasts'!$D$1994,ROW(INDIRECT("1:"&amp;K$2)))=0,ROW(INDIRECT("1:"&amp;K$2))),ROW($A86)),"")</f>
        <v>120</v>
      </c>
      <c r="BN129" s="567">
        <f t="array" aca="1" ref="BN129" ca="1">IFERROR(SMALL(IF(COUNTIF(Podcasts!$D$2000:'Podcasts'!$D$2057,ROW(INDIRECT("1:"&amp;K$2)))=0,ROW(INDIRECT("1:"&amp;K$2))),ROW($A86)),"")</f>
        <v>141</v>
      </c>
      <c r="BO129" s="567">
        <f t="array" aca="1" ref="BO129" ca="1">IFERROR(SMALL(IF(COUNTIF(Podcasts!$D$2063:'Podcasts'!$D$2071,ROW(INDIRECT("1:"&amp;K$2)))=0,ROW(INDIRECT("1:"&amp;K$2))),ROW($A86)),"")</f>
        <v>89</v>
      </c>
      <c r="BP129" s="202">
        <f t="array" aca="1" ref="BP129" ca="1">IFERROR(SMALL(IF(COUNTIF(Podcasts!$D$2077:'Podcasts'!$D$2092,ROW(INDIRECT("1:"&amp;K$2)))=0,ROW(INDIRECT("1:"&amp;K$2))),ROW($A86)),"")</f>
        <v>97</v>
      </c>
      <c r="BQ129" s="741">
        <f t="array" aca="1" ref="BQ129" ca="1">IFERROR(SMALL(IF(COUNTIF(Podcasts!$D$2098:'Podcasts'!$D$2114,ROW(INDIRECT("1:"&amp;K$2)))=0,ROW(INDIRECT("1:"&amp;K$2))),ROW($A86)),"")</f>
        <v>91</v>
      </c>
      <c r="BR129" s="744">
        <f t="array" aca="1" ref="BR129" ca="1">IFERROR(SMALL(IF(COUNTIF(Podcasts!$D$2120:'Podcasts'!$D$2124,ROW(INDIRECT("1:"&amp;K$2)))=0,ROW(INDIRECT("1:"&amp;K$2))),ROW($A86)),"")</f>
        <v>88</v>
      </c>
      <c r="BS129" s="28"/>
    </row>
    <row r="130" spans="1:71" outlineLevel="1">
      <c r="A130" s="28"/>
      <c r="B130" s="161">
        <v>87</v>
      </c>
      <c r="C130" s="161">
        <f>COUNTIF(Podcasts!$D$10:'Podcasts'!$D$2535,B130)</f>
        <v>4</v>
      </c>
      <c r="D130" s="158" t="s">
        <v>1115</v>
      </c>
      <c r="E130" s="156" t="str">
        <f t="array" ref="E130">IF(F130="","",INDEX(Podcasts!$J$10:'Podcasts'!$J$2535,MATCH(F130&amp;$B130,Podcasts!$E$10:'Podcasts'!$E$2535&amp;Podcasts!$D$10:'Podcasts'!$D$2535,0)))</f>
        <v>Fürst</v>
      </c>
      <c r="F130" s="131">
        <f t="array" ref="F130">IF(COUNTIF(Podcasts!$D$10:'Podcasts'!$D$2535,$B130)&lt;COLUMN(A93),"",SMALL(IF(Podcasts!$D$10:'Podcasts'!$D$2535=$B130,Podcasts!$E$10:'Podcasts'!$E$2535),COLUMN(A93)))</f>
        <v>41936</v>
      </c>
      <c r="G130" s="132">
        <f t="array" ref="G130">IF(F130="","",INDEX(Podcasts!$F$10:'Podcasts'!$F$2535,MATCH(F130&amp;$B130,Podcasts!$E$10:'Podcasts'!$E$2535&amp;Podcasts!$D$10:'Podcasts'!$D$2535,0)))</f>
        <v>7.5231481481481469E-3</v>
      </c>
      <c r="H130" s="136" t="str">
        <f t="array" ref="H130">IF(I130="","",INDEX(Podcasts!$J$10:'Podcasts'!$J$2535,MATCH(I130&amp;$B130,Podcasts!$E$10:'Podcasts'!$E$2535&amp;Podcasts!$D$10:'Podcasts'!$D$2535,0)))</f>
        <v>Kuchen</v>
      </c>
      <c r="I130" s="133">
        <f t="array" ref="I130">IF(COUNTIF(Podcasts!$D$10:'Podcasts'!$D$2535,$B130)&lt;COLUMN(B93),"",SMALL(IF(Podcasts!$D$10:'Podcasts'!$D$2535=$B130,Podcasts!$E$10:'Podcasts'!$E$2535),COLUMN(B93)))</f>
        <v>44353</v>
      </c>
      <c r="J130" s="132">
        <f t="array" ref="J130">IF(I130="","",INDEX(Podcasts!$F$10:'Podcasts'!$F$2535,MATCH(I130&amp;$B130,Podcasts!$E$10:'Podcasts'!$E$2535&amp;Podcasts!$D$10:'Podcasts'!$D$2535,0)))</f>
        <v>5.3900462962962963E-2</v>
      </c>
      <c r="K130" s="136" t="str">
        <f t="array" ref="K130">IF(L130="","",INDEX(Podcasts!$J$10:'Podcasts'!$J$2535,MATCH(L130&amp;$B130,Podcasts!$E$10:'Podcasts'!$E$2535&amp;Podcasts!$D$10:'Podcasts'!$D$2535,0)))</f>
        <v>SSP</v>
      </c>
      <c r="L130" s="133">
        <f t="array" ref="L130">IF(COUNTIF(Podcasts!$D$10:'Podcasts'!$D$2535,$B130)&lt;COLUMN(C93),"",SMALL(IF(Podcasts!$D$10:'Podcasts'!$D$2535=$B130,Podcasts!$E$10:'Podcasts'!$E$2535),COLUMN(C93)))</f>
        <v>44509</v>
      </c>
      <c r="M130" s="132">
        <f t="array" ref="M130">IF(L130="","",INDEX(Podcasts!$F$10:'Podcasts'!$F$2535,MATCH(L130&amp;$B130,Podcasts!$E$10:'Podcasts'!$E$2535&amp;Podcasts!$D$10:'Podcasts'!$D$2535,0)))</f>
        <v>7.1539351851851854E-2</v>
      </c>
      <c r="N130" s="136" t="str">
        <f t="array" ref="N130">IF(O130="","",INDEX(Podcasts!$J$10:'Podcasts'!$J$2535,MATCH(O130&amp;$B130,Podcasts!$E$10:'Podcasts'!$E$2535&amp;Podcasts!$D$10:'Podcasts'!$D$2535,0)))</f>
        <v>:punkt</v>
      </c>
      <c r="O130" s="133">
        <f t="array" ref="O130">IF(COUNTIF(Podcasts!$D$10:'Podcasts'!$D$2535,$B130)&lt;COLUMN(D93),"",SMALL(IF(Podcasts!$D$10:'Podcasts'!$D$2535=$B130,Podcasts!$E$10:'Podcasts'!$E$2535),COLUMN(D93)))</f>
        <v>44843</v>
      </c>
      <c r="P130" s="132">
        <f t="array" ref="P130">IF(O130="","",INDEX(Podcasts!$F$10:'Podcasts'!$F$2535,MATCH(O130&amp;$B130,Podcasts!$E$10:'Podcasts'!$E$2535&amp;Podcasts!$D$10:'Podcasts'!$D$2535,0)))</f>
        <v>4.0509259259259259E-2</v>
      </c>
      <c r="Q130" s="136" t="str">
        <f t="array" ref="Q130">IF(R130="","",INDEX(Podcasts!$J$10:'Podcasts'!$J$2535,MATCH(R130&amp;$B130,Podcasts!$E$10:'Podcasts'!$E$2535&amp;Podcasts!$D$10:'Podcasts'!$D$2535,0)))</f>
        <v/>
      </c>
      <c r="R130" s="133" t="str">
        <f t="array" ref="R130">IF(COUNTIF(Podcasts!$D$10:'Podcasts'!$D$2535,$B130)&lt;COLUMN(E93),"",SMALL(IF(Podcasts!$D$10:'Podcasts'!$D$2535=$B130,Podcasts!$E$10:'Podcasts'!$E$2535),COLUMN(E93)))</f>
        <v/>
      </c>
      <c r="S130" s="132" t="str">
        <f t="array" ref="S130">IF(R130="","",INDEX(Podcasts!$F$10:'Podcasts'!$F$2535,MATCH(R130&amp;$B130,Podcasts!$E$10:'Podcasts'!$E$2535&amp;Podcasts!$D$10:'Podcasts'!$D$2535,0)))</f>
        <v/>
      </c>
      <c r="T130" s="136" t="str">
        <f t="array" ref="T130">IF(U130="","",INDEX(Podcasts!$J$10:'Podcasts'!$J$2535,MATCH(U130&amp;$B130,Podcasts!$E$10:'Podcasts'!$E$2535&amp;Podcasts!$D$10:'Podcasts'!$D$2535,0)))</f>
        <v/>
      </c>
      <c r="U130" s="133" t="str">
        <f t="array" ref="U130">IF(COUNTIF(Podcasts!$D$10:'Podcasts'!$D$2535,$B130)&lt;COLUMN(F93),"",SMALL(IF(Podcasts!$D$10:'Podcasts'!$D$2535=$B130,Podcasts!$E$10:'Podcasts'!$E$2535),COLUMN(F93)))</f>
        <v/>
      </c>
      <c r="V130" s="132" t="str">
        <f t="array" ref="V130">IF(U130="","",INDEX(Podcasts!$F$10:'Podcasts'!$F$2535,MATCH(U130&amp;$B130,Podcasts!$E$10:'Podcasts'!$E$2535&amp;Podcasts!$D$10:'Podcasts'!$D$2535,0)))</f>
        <v/>
      </c>
      <c r="W130" s="136" t="str">
        <f t="array" ref="W130">IF(X130="","",INDEX(Podcasts!$J$10:'Podcasts'!$J$2535,MATCH(X130&amp;$B130,Podcasts!$E$10:'Podcasts'!$E$2535&amp;Podcasts!$D$10:'Podcasts'!$D$2535,0)))</f>
        <v/>
      </c>
      <c r="X130" s="133" t="str">
        <f t="array" ref="X130">IF(COUNTIF(Podcasts!$D$10:'Podcasts'!$D$2535,$B130)&lt;COLUMN(G93),"",SMALL(IF(Podcasts!$D$10:'Podcasts'!$D$2535=$B130,Podcasts!$E$10:'Podcasts'!$E$2535),COLUMN(G93)))</f>
        <v/>
      </c>
      <c r="Y130" s="132" t="str">
        <f t="array" ref="Y130">IF(X130="","",INDEX(Podcasts!$F$10:'Podcasts'!$F$2535,MATCH(X130&amp;$B130,Podcasts!$E$10:'Podcasts'!$E$2535&amp;Podcasts!$D$10:'Podcasts'!$D$2535,0)))</f>
        <v/>
      </c>
      <c r="Z130" s="136" t="str">
        <f t="array" ref="Z130">IF(AA130="","",INDEX(Podcasts!$J$10:'Podcasts'!$J$2535,MATCH(AA130&amp;$B130,Podcasts!$E$10:'Podcasts'!$E$2535&amp;Podcasts!$D$10:'Podcasts'!$D$2535,0)))</f>
        <v/>
      </c>
      <c r="AA130" s="134" t="str">
        <f t="array" ref="AA130">IF(COUNTIF(Podcasts!$D$10:'Podcasts'!$D$2535,$B130)&lt;COLUMN(H93),"",SMALL(IF(Podcasts!$D$10:'Podcasts'!$D$2535=$B130,Podcasts!$E$10:'Podcasts'!$E$2535),COLUMN(H93)))</f>
        <v/>
      </c>
      <c r="AB130" s="404" t="str">
        <f t="array" ref="AB130">IF(AA130="","",INDEX(Podcasts!$F$10:'Podcasts'!$F$2535,MATCH(AA130&amp;$B130,Podcasts!$E$10:'Podcasts'!$E$2535&amp;Podcasts!$D$10:'Podcasts'!$D$2535,0)))</f>
        <v/>
      </c>
      <c r="AC130" s="406" t="str">
        <f t="array" ref="AC130">IF(AD130="","",INDEX(Podcasts!$J$10:'Podcasts'!$J$2535,MATCH(AD130&amp;$B130,Podcasts!$E$10:'Podcasts'!$E$2535&amp;Podcasts!$D$10:'Podcasts'!$D$2535,0)))</f>
        <v/>
      </c>
      <c r="AD130" s="400" t="str">
        <f t="array" ref="AD130">IF(COUNTIF(Podcasts!$D$10:'Podcasts'!$D$2535,$B130)&lt;COLUMN(I93),"",SMALL(IF(Podcasts!$D$10:'Podcasts'!$D$2535=$B130,Podcasts!$E$10:'Podcasts'!$E$2535),COLUMN(I93)))</f>
        <v/>
      </c>
      <c r="AE130" s="401" t="str">
        <f t="array" ref="AE130">IF(AD130="","",INDEX(Podcasts!$F$10:'Podcasts'!$F$2535,MATCH(AD130&amp;$B130,Podcasts!$E$10:'Podcasts'!$E$2535&amp;Podcasts!$D$10:'Podcasts'!$D$2535,0)))</f>
        <v/>
      </c>
      <c r="AF130" s="406" t="str">
        <f t="array" ref="AF130">IF(AG130="","",INDEX(Podcasts!$J$10:'Podcasts'!$J$2535,MATCH(AG130&amp;$B130,Podcasts!$E$10:'Podcasts'!$E$2535&amp;Podcasts!$D$10:'Podcasts'!$D$2535,0)))</f>
        <v/>
      </c>
      <c r="AG130" s="400" t="str">
        <f t="array" ref="AG130">IF(COUNTIF(Podcasts!$D$10:'Podcasts'!$D$2535,$B130)&lt;COLUMN(J93),"",SMALL(IF(Podcasts!$D$10:'Podcasts'!$D$2535=$B130,Podcasts!$E$10:'Podcasts'!$E$2535),COLUMN(J93)))</f>
        <v/>
      </c>
      <c r="AH130" s="401" t="str">
        <f t="array" ref="AH130">IF(AG130="","",INDEX(Podcasts!$F$10:'Podcasts'!$F$2535,MATCH(AG130&amp;$B130,Podcasts!$E$10:'Podcasts'!$E$2535&amp;Podcasts!$D$10:'Podcasts'!$D$2535,0)))</f>
        <v/>
      </c>
      <c r="AI130" s="406" t="str">
        <f t="array" ref="AI130">IF(AJ130="","",INDEX(Podcasts!$J$10:'Podcasts'!$J$2535,MATCH(AJ130&amp;$B130,Podcasts!$E$10:'Podcasts'!$E$2535&amp;Podcasts!$D$10:'Podcasts'!$D$2535,0)))</f>
        <v/>
      </c>
      <c r="AJ130" s="400" t="str">
        <f t="array" ref="AJ130">IF(COUNTIF(Podcasts!$D$10:'Podcasts'!$D$2535,$B130)&lt;COLUMN(K93),"",SMALL(IF(Podcasts!$D$10:'Podcasts'!$D$2535=$B130,Podcasts!$E$10:'Podcasts'!$E$2535),COLUMN(K93)))</f>
        <v/>
      </c>
      <c r="AK130" s="401" t="str">
        <f t="array" ref="AK130">IF(AJ130="","",INDEX(Podcasts!$F$10:'Podcasts'!$F$2535,MATCH(AJ130&amp;$B130,Podcasts!$E$10:'Podcasts'!$E$2535&amp;Podcasts!$D$10:'Podcasts'!$D$2535,0)))</f>
        <v/>
      </c>
      <c r="AL130" s="406" t="str">
        <f t="array" ref="AL130">IF(AM130="","",INDEX(Podcasts!$J$10:'Podcasts'!$J$2535,MATCH(AM130&amp;$B130,Podcasts!$E$10:'Podcasts'!$E$2535&amp;Podcasts!$D$10:'Podcasts'!$D$2535,0)))</f>
        <v/>
      </c>
      <c r="AM130" s="400" t="str">
        <f t="array" ref="AM130">IF(COUNTIF(Podcasts!$D$10:'Podcasts'!$D$2535,$B130)&lt;COLUMN(L93),"",SMALL(IF(Podcasts!$D$10:'Podcasts'!$D$2535=$B130,Podcasts!$E$10:'Podcasts'!$E$2535),COLUMN(L93)))</f>
        <v/>
      </c>
      <c r="AN130" s="401" t="str">
        <f t="array" ref="AN130">IF(AM130="","",INDEX(Podcasts!$F$10:'Podcasts'!$F$2535,MATCH(AM130&amp;$B130,Podcasts!$E$10:'Podcasts'!$E$2535&amp;Podcasts!$D$10:'Podcasts'!$D$2535,0)))</f>
        <v/>
      </c>
      <c r="AO130" s="402"/>
      <c r="AP130" s="119"/>
      <c r="AQ130" s="117">
        <f t="array" aca="1" ref="AQ130" ca="1">IFERROR(SMALL(IF(COUNTIF(Podcasts!$D$10:'Podcasts'!$D$107,ROW(INDIRECT("1:"&amp;K$2)))=0,ROW(INDIRECT("1:"&amp;K$2))),ROW($A87)),"")</f>
        <v>118</v>
      </c>
      <c r="AR130" s="117">
        <f t="array" aca="1" ref="AR130" ca="1">IFERROR(SMALL(IF(COUNTIF(Podcasts!$D$113:'Podcasts'!$D$238,ROW(INDIRECT("1:"&amp;K$2)))=0,ROW(INDIRECT("1:"&amp;K$2))),ROW($A87)),"")</f>
        <v>87</v>
      </c>
      <c r="AS130" s="117">
        <f t="array" aca="1" ref="AS130" ca="1">IFERROR(SMALL(IF(COUNTIF(Podcasts!$D$244:'Podcasts'!$D$299,ROW(INDIRECT("1:"&amp;K$2)))=0,ROW(INDIRECT("1:"&amp;K$2))),ROW($A87)),"")</f>
        <v>105</v>
      </c>
      <c r="AT130" s="117">
        <f t="array" aca="1" ref="AT130" ca="1">IFERROR(SMALL(IF(COUNTIF(Podcasts!$D$305:'Podcasts'!$D$473,ROW(INDIRECT("1:"&amp;K$2)))=0,ROW(INDIRECT("1:"&amp;K$2))),ROW($A87)),"")</f>
        <v>222</v>
      </c>
      <c r="AU130" s="117">
        <f t="array" aca="1" ref="AU130" ca="1">IFERROR(SMALL(IF(COUNTIF(Podcasts!$D$479:'Podcasts'!$D$488,ROW(INDIRECT("1:"&amp;K$2)))=0,ROW(INDIRECT("1:"&amp;K$2))),ROW($A87)),"")</f>
        <v>89</v>
      </c>
      <c r="AV130" s="117">
        <f t="array" aca="1" ref="AV130" ca="1">IFERROR(SMALL(IF(COUNTIF(Podcasts!$D$494:'Podcasts'!$D$518,ROW(INDIRECT("1:"&amp;K$2)))=0,ROW(INDIRECT("1:"&amp;K$2))),ROW($A87)),"")</f>
        <v>106</v>
      </c>
      <c r="AW130" s="117">
        <f t="array" aca="1" ref="AW130" ca="1">IFERROR(SMALL(IF(COUNTIF(Podcasts!$D$524:'Podcasts'!$D$532,ROW(INDIRECT("1:"&amp;K$2)))=0,ROW(INDIRECT("1:"&amp;K$2))),ROW($A87)),"")</f>
        <v>87</v>
      </c>
      <c r="AX130" s="117">
        <f t="array" aca="1" ref="AX130" ca="1">IFERROR(SMALL(IF(COUNTIF(Podcasts!$D$538:'Podcasts'!$D$909,ROW(INDIRECT("1:"&amp;K$2)))=0,ROW(INDIRECT("1:"&amp;K$2))),ROW($A87)),"")</f>
        <v>217</v>
      </c>
      <c r="AY130" s="117">
        <f t="array" aca="1" ref="AY130" ca="1">IFERROR(SMALL(IF(COUNTIF(Podcasts!$D$915:'Podcasts'!$D$981,ROW(INDIRECT("1:"&amp;K$2)))=0,ROW(INDIRECT("1:"&amp;K$2))),ROW($A87)),"")</f>
        <v>131</v>
      </c>
      <c r="AZ130" s="445"/>
      <c r="BA130" s="117">
        <f t="array" aca="1" ref="BA130" ca="1">IFERROR(SMALL(IF(COUNTIF(Podcasts!$D$1001:'Podcasts'!$D$1251,ROW(INDIRECT("1:"&amp;K$2)))=0,ROW(INDIRECT("1:"&amp;K$2))),ROW($A87)),"")</f>
        <v>132</v>
      </c>
      <c r="BB130" s="117">
        <f t="array" aca="1" ref="BB130" ca="1">IFERROR(SMALL(IF(COUNTIF(Podcasts!$D$1257:'Podcasts'!$D$1267,ROW(INDIRECT("1:"&amp;K$2)))=0,ROW(INDIRECT("1:"&amp;K$2))),ROW($A87)),"")</f>
        <v>89</v>
      </c>
      <c r="BC130" s="117">
        <f t="array" aca="1" ref="BC130" ca="1">IFERROR(SMALL(IF(COUNTIF(Podcasts!$D$1273:'Podcasts'!$D$1283,ROW(INDIRECT("1:"&amp;K$2)))=0,ROW(INDIRECT("1:"&amp;K$2))),ROW($A87)),"")</f>
        <v>91</v>
      </c>
      <c r="BD130" s="117">
        <f t="array" aca="1" ref="BD130" ca="1">IFERROR(SMALL(IF(COUNTIF(Podcasts!$D$1289:'Podcasts'!$D$1295,ROW(INDIRECT("1:"&amp;K$2)))=0,ROW(INDIRECT("1:"&amp;K$2))),ROW($A87)),"")</f>
        <v>89</v>
      </c>
      <c r="BE130" s="117">
        <f t="array" aca="1" ref="BE130" ca="1">IFERROR(SMALL(IF(COUNTIF(Podcasts!$D$1301:'Podcasts'!$D$1356,ROW(INDIRECT("1:"&amp;K$2)))=0,ROW(INDIRECT("1:"&amp;K$2))),ROW($A87)),"")</f>
        <v>134</v>
      </c>
      <c r="BF130" s="117">
        <f t="array" aca="1" ref="BF130" ca="1">IFERROR(SMALL(IF(COUNTIF(Podcasts!$D$1362:'Podcasts'!$D$1364,ROW(INDIRECT("1:"&amp;K$2)))=0,ROW(INDIRECT("1:"&amp;K$2))),ROW($A87)),"")</f>
        <v>90</v>
      </c>
      <c r="BG130" s="202">
        <f t="array" aca="1" ref="BG130" ca="1">IFERROR(SMALL(IF(COUNTIF(Podcasts!$D$1370:'Podcasts'!$D$1419,ROW(INDIRECT("1:"&amp;K$2)))=0,ROW(INDIRECT("1:"&amp;K$2))),ROW($A87)),"")</f>
        <v>109</v>
      </c>
      <c r="BH130" s="202">
        <f t="array" aca="1" ref="BH130" ca="1">IFERROR(SMALL(IF(COUNTIF(Podcasts!$D$1425:'Podcasts'!$D$1446,ROW(INDIRECT("1:"&amp;K$2)))=0,ROW(INDIRECT("1:"&amp;K$2))),ROW($A87)),"")</f>
        <v>95</v>
      </c>
      <c r="BI130" s="202">
        <f t="array" aca="1" ref="BI130" ca="1">IFERROR(SMALL(IF(COUNTIF(Podcasts!$D$1452:'Podcasts'!$D$1574,ROW(INDIRECT("1:"&amp;K$2)))=0,ROW(INDIRECT("1:"&amp;K$2))),ROW($A87)),"")</f>
        <v>151</v>
      </c>
      <c r="BJ130" s="202">
        <f t="array" aca="1" ref="BJ130" ca="1">IFERROR(SMALL(IF(COUNTIF(Podcasts!$D$1580:'Podcasts'!$D$1705,ROW(INDIRECT("1:"&amp;K$2)))=0,ROW(INDIRECT("1:"&amp;K$2))),ROW($A87)),"")</f>
        <v>150</v>
      </c>
      <c r="BK130" s="202">
        <f t="array" aca="1" ref="BK130" ca="1">IFERROR(SMALL(IF(COUNTIF(Podcasts!$D$1711:'Podcasts'!$D$1833,ROW(INDIRECT("1:"&amp;K$2)))=0,ROW(INDIRECT("1:"&amp;K$2))),ROW($A87)),"")</f>
        <v>135</v>
      </c>
      <c r="BL130" s="202">
        <f t="array" aca="1" ref="BL130" ca="1">IFERROR(SMALL(IF(COUNTIF(Podcasts!$D$1839:'Podcasts'!$D$1855,ROW(INDIRECT("1:"&amp;K$2)))=0,ROW(INDIRECT("1:"&amp;K$2))),ROW($A87)),"")</f>
        <v>96</v>
      </c>
      <c r="BM130" s="567">
        <f t="array" aca="1" ref="BM130" ca="1">IFERROR(SMALL(IF(COUNTIF(Podcasts!$D$1861:'Podcasts'!$D$1994,ROW(INDIRECT("1:"&amp;K$2)))=0,ROW(INDIRECT("1:"&amp;K$2))),ROW($A87)),"")</f>
        <v>121</v>
      </c>
      <c r="BN130" s="567">
        <f t="array" aca="1" ref="BN130" ca="1">IFERROR(SMALL(IF(COUNTIF(Podcasts!$D$2000:'Podcasts'!$D$2057,ROW(INDIRECT("1:"&amp;K$2)))=0,ROW(INDIRECT("1:"&amp;K$2))),ROW($A87)),"")</f>
        <v>142</v>
      </c>
      <c r="BO130" s="567">
        <f t="array" aca="1" ref="BO130" ca="1">IFERROR(SMALL(IF(COUNTIF(Podcasts!$D$2063:'Podcasts'!$D$2071,ROW(INDIRECT("1:"&amp;K$2)))=0,ROW(INDIRECT("1:"&amp;K$2))),ROW($A87)),"")</f>
        <v>91</v>
      </c>
      <c r="BP130" s="202">
        <f t="array" aca="1" ref="BP130" ca="1">IFERROR(SMALL(IF(COUNTIF(Podcasts!$D$2077:'Podcasts'!$D$2092,ROW(INDIRECT("1:"&amp;K$2)))=0,ROW(INDIRECT("1:"&amp;K$2))),ROW($A87)),"")</f>
        <v>98</v>
      </c>
      <c r="BQ130" s="741">
        <f t="array" aca="1" ref="BQ130" ca="1">IFERROR(SMALL(IF(COUNTIF(Podcasts!$D$2098:'Podcasts'!$D$2114,ROW(INDIRECT("1:"&amp;K$2)))=0,ROW(INDIRECT("1:"&amp;K$2))),ROW($A87)),"")</f>
        <v>93</v>
      </c>
      <c r="BR130" s="744">
        <f t="array" aca="1" ref="BR130" ca="1">IFERROR(SMALL(IF(COUNTIF(Podcasts!$D$2120:'Podcasts'!$D$2124,ROW(INDIRECT("1:"&amp;K$2)))=0,ROW(INDIRECT("1:"&amp;K$2))),ROW($A87)),"")</f>
        <v>89</v>
      </c>
      <c r="BS130" s="28"/>
    </row>
    <row r="131" spans="1:71" outlineLevel="1">
      <c r="A131" s="28"/>
      <c r="B131" s="161">
        <v>88</v>
      </c>
      <c r="C131" s="161">
        <f>COUNTIF(Podcasts!$D$10:'Podcasts'!$D$2535,B131)</f>
        <v>8</v>
      </c>
      <c r="D131" s="158" t="s">
        <v>1116</v>
      </c>
      <c r="E131" s="156" t="str">
        <f t="array" ref="E131">IF(F131="","",INDEX(Podcasts!$J$10:'Podcasts'!$J$2535,MATCH(F131&amp;$B131,Podcasts!$E$10:'Podcasts'!$E$2535&amp;Podcasts!$D$10:'Podcasts'!$D$2535,0)))</f>
        <v>Fürst</v>
      </c>
      <c r="F131" s="131">
        <f t="array" ref="F131">IF(COUNTIF(Podcasts!$D$10:'Podcasts'!$D$2535,$B131)&lt;COLUMN(A94),"",SMALL(IF(Podcasts!$D$10:'Podcasts'!$D$2535=$B131,Podcasts!$E$10:'Podcasts'!$E$2535),COLUMN(A94)))</f>
        <v>41917</v>
      </c>
      <c r="G131" s="132">
        <f t="array" ref="G131">IF(F131="","",INDEX(Podcasts!$F$10:'Podcasts'!$F$2535,MATCH(F131&amp;$B131,Podcasts!$E$10:'Podcasts'!$E$2535&amp;Podcasts!$D$10:'Podcasts'!$D$2535,0)))</f>
        <v>7.6388888888889034E-3</v>
      </c>
      <c r="H131" s="136" t="str">
        <f t="array" ref="H131">IF(I131="","",INDEX(Podcasts!$J$10:'Podcasts'!$J$2535,MATCH(I131&amp;$B131,Podcasts!$E$10:'Podcasts'!$E$2535&amp;Podcasts!$D$10:'Podcasts'!$D$2535,0)))</f>
        <v>SSP</v>
      </c>
      <c r="I131" s="133">
        <f t="array" ref="I131">IF(COUNTIF(Podcasts!$D$10:'Podcasts'!$D$2535,$B131)&lt;COLUMN(B94),"",SMALL(IF(Podcasts!$D$10:'Podcasts'!$D$2535=$B131,Podcasts!$E$10:'Podcasts'!$E$2535),COLUMN(B94)))</f>
        <v>42906</v>
      </c>
      <c r="J131" s="132">
        <f t="array" ref="J131">IF(I131="","",INDEX(Podcasts!$F$10:'Podcasts'!$F$2535,MATCH(I131&amp;$B131,Podcasts!$E$10:'Podcasts'!$E$2535&amp;Podcasts!$D$10:'Podcasts'!$D$2535,0)))</f>
        <v>7.2916666666666671E-2</v>
      </c>
      <c r="K131" s="136" t="str">
        <f t="array" ref="K131">IF(L131="","",INDEX(Podcasts!$J$10:'Podcasts'!$J$2535,MATCH(L131&amp;$B131,Podcasts!$E$10:'Podcasts'!$E$2535&amp;Podcasts!$D$10:'Podcasts'!$D$2535,0)))</f>
        <v>???od</v>
      </c>
      <c r="L131" s="133">
        <f t="array" ref="L131">IF(COUNTIF(Podcasts!$D$10:'Podcasts'!$D$2535,$B131)&lt;COLUMN(C94),"",SMALL(IF(Podcasts!$D$10:'Podcasts'!$D$2535=$B131,Podcasts!$E$10:'Podcasts'!$E$2535),COLUMN(C94)))</f>
        <v>43458</v>
      </c>
      <c r="M131" s="132">
        <f t="array" ref="M131">IF(L131="","",INDEX(Podcasts!$F$10:'Podcasts'!$F$2535,MATCH(L131&amp;$B131,Podcasts!$E$10:'Podcasts'!$E$2535&amp;Podcasts!$D$10:'Podcasts'!$D$2535,0)))</f>
        <v>2.6840277777777779E-2</v>
      </c>
      <c r="N131" s="136" t="str">
        <f t="array" ref="N131">IF(O131="","",INDEX(Podcasts!$J$10:'Podcasts'!$J$2535,MATCH(O131&amp;$B131,Podcasts!$E$10:'Podcasts'!$E$2535&amp;Podcasts!$D$10:'Podcasts'!$D$2535,0)))</f>
        <v>Zeichen</v>
      </c>
      <c r="O131" s="133">
        <f t="array" ref="O131">IF(COUNTIF(Podcasts!$D$10:'Podcasts'!$D$2535,$B131)&lt;COLUMN(D94),"",SMALL(IF(Podcasts!$D$10:'Podcasts'!$D$2535=$B131,Podcasts!$E$10:'Podcasts'!$E$2535),COLUMN(D94)))</f>
        <v>44251</v>
      </c>
      <c r="P131" s="132">
        <f t="array" ref="P131">IF(O131="","",INDEX(Podcasts!$F$10:'Podcasts'!$F$2535,MATCH(O131&amp;$B131,Podcasts!$E$10:'Podcasts'!$E$2535&amp;Podcasts!$D$10:'Podcasts'!$D$2535,0)))</f>
        <v>8.7962962962962965E-2</v>
      </c>
      <c r="Q131" s="136" t="str">
        <f t="array" ref="Q131">IF(R131="","",INDEX(Podcasts!$J$10:'Podcasts'!$J$2535,MATCH(R131&amp;$B131,Podcasts!$E$10:'Podcasts'!$E$2535&amp;Podcasts!$D$10:'Podcasts'!$D$2535,0)))</f>
        <v>Kuchen</v>
      </c>
      <c r="R131" s="133">
        <f t="array" ref="R131">IF(COUNTIF(Podcasts!$D$10:'Podcasts'!$D$2535,$B131)&lt;COLUMN(E94),"",SMALL(IF(Podcasts!$D$10:'Podcasts'!$D$2535=$B131,Podcasts!$E$10:'Podcasts'!$E$2535),COLUMN(E94)))</f>
        <v>44255</v>
      </c>
      <c r="S131" s="132">
        <f t="array" ref="S131">IF(R131="","",INDEX(Podcasts!$F$10:'Podcasts'!$F$2535,MATCH(R131&amp;$B131,Podcasts!$E$10:'Podcasts'!$E$2535&amp;Podcasts!$D$10:'Podcasts'!$D$2535,0)))</f>
        <v>6.0636574074074079E-2</v>
      </c>
      <c r="T131" s="136" t="str">
        <f t="array" ref="T131">IF(U131="","",INDEX(Podcasts!$J$10:'Podcasts'!$J$2535,MATCH(U131&amp;$B131,Podcasts!$E$10:'Podcasts'!$E$2535&amp;Podcasts!$D$10:'Podcasts'!$D$2535,0)))</f>
        <v>Zw3i</v>
      </c>
      <c r="U131" s="133">
        <f t="array" ref="U131">IF(COUNTIF(Podcasts!$D$10:'Podcasts'!$D$2535,$B131)&lt;COLUMN(F94),"",SMALL(IF(Podcasts!$D$10:'Podcasts'!$D$2535=$B131,Podcasts!$E$10:'Podcasts'!$E$2535),COLUMN(F94)))</f>
        <v>44399</v>
      </c>
      <c r="V131" s="132">
        <f t="array" ref="V131">IF(U131="","",INDEX(Podcasts!$F$10:'Podcasts'!$F$2535,MATCH(U131&amp;$B131,Podcasts!$E$10:'Podcasts'!$E$2535&amp;Podcasts!$D$10:'Podcasts'!$D$2535,0)))</f>
        <v>4.9328703703703701E-2</v>
      </c>
      <c r="W131" s="136" t="str">
        <f t="array" ref="W131">IF(X131="","",INDEX(Podcasts!$J$10:'Podcasts'!$J$2535,MATCH(X131&amp;$B131,Podcasts!$E$10:'Podcasts'!$E$2535&amp;Podcasts!$D$10:'Podcasts'!$D$2535,0)))</f>
        <v>DGdB</v>
      </c>
      <c r="X131" s="133">
        <f t="array" ref="X131">IF(COUNTIF(Podcasts!$D$10:'Podcasts'!$D$2535,$B131)&lt;COLUMN(G94),"",SMALL(IF(Podcasts!$D$10:'Podcasts'!$D$2535=$B131,Podcasts!$E$10:'Podcasts'!$E$2535),COLUMN(G94)))</f>
        <v>45231</v>
      </c>
      <c r="Y131" s="132">
        <f t="array" ref="Y131">IF(X131="","",INDEX(Podcasts!$F$10:'Podcasts'!$F$2535,MATCH(X131&amp;$B131,Podcasts!$E$10:'Podcasts'!$E$2535&amp;Podcasts!$D$10:'Podcasts'!$D$2535,0)))</f>
        <v>0.11564814814814815</v>
      </c>
      <c r="Z131" s="136" t="str">
        <f t="array" ref="Z131">IF(AA131="","",INDEX(Podcasts!$J$10:'Podcasts'!$J$2535,MATCH(AA131&amp;$B131,Podcasts!$E$10:'Podcasts'!$E$2535&amp;Podcasts!$D$10:'Podcasts'!$D$2535,0)))</f>
        <v>Zentrale</v>
      </c>
      <c r="AA131" s="134">
        <f t="array" ref="AA131">IF(COUNTIF(Podcasts!$D$10:'Podcasts'!$D$2535,$B131)&lt;COLUMN(H94),"",SMALL(IF(Podcasts!$D$10:'Podcasts'!$D$2535=$B131,Podcasts!$E$10:'Podcasts'!$E$2535),COLUMN(H94)))</f>
        <v>45399</v>
      </c>
      <c r="AB131" s="404">
        <f t="array" ref="AB131">IF(AA131="","",INDEX(Podcasts!$F$10:'Podcasts'!$F$2535,MATCH(AA131&amp;$B131,Podcasts!$E$10:'Podcasts'!$E$2535&amp;Podcasts!$D$10:'Podcasts'!$D$2535,0)))</f>
        <v>0.15184027777777778</v>
      </c>
      <c r="AC131" s="406" t="str">
        <f t="array" ref="AC131">IF(AD131="","",INDEX(Podcasts!$J$10:'Podcasts'!$J$2535,MATCH(AD131&amp;$B131,Podcasts!$E$10:'Podcasts'!$E$2535&amp;Podcasts!$D$10:'Podcasts'!$D$2535,0)))</f>
        <v/>
      </c>
      <c r="AD131" s="400" t="str">
        <f t="array" ref="AD131">IF(COUNTIF(Podcasts!$D$10:'Podcasts'!$D$2535,$B131)&lt;COLUMN(I94),"",SMALL(IF(Podcasts!$D$10:'Podcasts'!$D$2535=$B131,Podcasts!$E$10:'Podcasts'!$E$2535),COLUMN(I94)))</f>
        <v/>
      </c>
      <c r="AE131" s="401" t="str">
        <f t="array" ref="AE131">IF(AD131="","",INDEX(Podcasts!$F$10:'Podcasts'!$F$2535,MATCH(AD131&amp;$B131,Podcasts!$E$10:'Podcasts'!$E$2535&amp;Podcasts!$D$10:'Podcasts'!$D$2535,0)))</f>
        <v/>
      </c>
      <c r="AF131" s="406" t="str">
        <f t="array" ref="AF131">IF(AG131="","",INDEX(Podcasts!$J$10:'Podcasts'!$J$2535,MATCH(AG131&amp;$B131,Podcasts!$E$10:'Podcasts'!$E$2535&amp;Podcasts!$D$10:'Podcasts'!$D$2535,0)))</f>
        <v/>
      </c>
      <c r="AG131" s="400" t="str">
        <f t="array" ref="AG131">IF(COUNTIF(Podcasts!$D$10:'Podcasts'!$D$2535,$B131)&lt;COLUMN(J94),"",SMALL(IF(Podcasts!$D$10:'Podcasts'!$D$2535=$B131,Podcasts!$E$10:'Podcasts'!$E$2535),COLUMN(J94)))</f>
        <v/>
      </c>
      <c r="AH131" s="401" t="str">
        <f t="array" ref="AH131">IF(AG131="","",INDEX(Podcasts!$F$10:'Podcasts'!$F$2535,MATCH(AG131&amp;$B131,Podcasts!$E$10:'Podcasts'!$E$2535&amp;Podcasts!$D$10:'Podcasts'!$D$2535,0)))</f>
        <v/>
      </c>
      <c r="AI131" s="406" t="str">
        <f t="array" ref="AI131">IF(AJ131="","",INDEX(Podcasts!$J$10:'Podcasts'!$J$2535,MATCH(AJ131&amp;$B131,Podcasts!$E$10:'Podcasts'!$E$2535&amp;Podcasts!$D$10:'Podcasts'!$D$2535,0)))</f>
        <v/>
      </c>
      <c r="AJ131" s="400" t="str">
        <f t="array" ref="AJ131">IF(COUNTIF(Podcasts!$D$10:'Podcasts'!$D$2535,$B131)&lt;COLUMN(K94),"",SMALL(IF(Podcasts!$D$10:'Podcasts'!$D$2535=$B131,Podcasts!$E$10:'Podcasts'!$E$2535),COLUMN(K94)))</f>
        <v/>
      </c>
      <c r="AK131" s="401" t="str">
        <f t="array" ref="AK131">IF(AJ131="","",INDEX(Podcasts!$F$10:'Podcasts'!$F$2535,MATCH(AJ131&amp;$B131,Podcasts!$E$10:'Podcasts'!$E$2535&amp;Podcasts!$D$10:'Podcasts'!$D$2535,0)))</f>
        <v/>
      </c>
      <c r="AL131" s="406" t="str">
        <f t="array" ref="AL131">IF(AM131="","",INDEX(Podcasts!$J$10:'Podcasts'!$J$2535,MATCH(AM131&amp;$B131,Podcasts!$E$10:'Podcasts'!$E$2535&amp;Podcasts!$D$10:'Podcasts'!$D$2535,0)))</f>
        <v/>
      </c>
      <c r="AM131" s="400" t="str">
        <f t="array" ref="AM131">IF(COUNTIF(Podcasts!$D$10:'Podcasts'!$D$2535,$B131)&lt;COLUMN(L94),"",SMALL(IF(Podcasts!$D$10:'Podcasts'!$D$2535=$B131,Podcasts!$E$10:'Podcasts'!$E$2535),COLUMN(L94)))</f>
        <v/>
      </c>
      <c r="AN131" s="401" t="str">
        <f t="array" ref="AN131">IF(AM131="","",INDEX(Podcasts!$F$10:'Podcasts'!$F$2535,MATCH(AM131&amp;$B131,Podcasts!$E$10:'Podcasts'!$E$2535&amp;Podcasts!$D$10:'Podcasts'!$D$2535,0)))</f>
        <v/>
      </c>
      <c r="AO131" s="402"/>
      <c r="AP131" s="119"/>
      <c r="AQ131" s="117">
        <f t="array" aca="1" ref="AQ131" ca="1">IFERROR(SMALL(IF(COUNTIF(Podcasts!$D$10:'Podcasts'!$D$107,ROW(INDIRECT("1:"&amp;K$2)))=0,ROW(INDIRECT("1:"&amp;K$2))),ROW($A88)),"")</f>
        <v>119</v>
      </c>
      <c r="AR131" s="117">
        <f t="array" aca="1" ref="AR131" ca="1">IFERROR(SMALL(IF(COUNTIF(Podcasts!$D$113:'Podcasts'!$D$238,ROW(INDIRECT("1:"&amp;K$2)))=0,ROW(INDIRECT("1:"&amp;K$2))),ROW($A88)),"")</f>
        <v>88</v>
      </c>
      <c r="AS131" s="117">
        <f t="array" aca="1" ref="AS131" ca="1">IFERROR(SMALL(IF(COUNTIF(Podcasts!$D$244:'Podcasts'!$D$299,ROW(INDIRECT("1:"&amp;K$2)))=0,ROW(INDIRECT("1:"&amp;K$2))),ROW($A88)),"")</f>
        <v>106</v>
      </c>
      <c r="AT131" s="117">
        <f t="array" aca="1" ref="AT131" ca="1">IFERROR(SMALL(IF(COUNTIF(Podcasts!$D$305:'Podcasts'!$D$473,ROW(INDIRECT("1:"&amp;K$2)))=0,ROW(INDIRECT("1:"&amp;K$2))),ROW($A88)),"")</f>
        <v>223</v>
      </c>
      <c r="AU131" s="117">
        <f t="array" aca="1" ref="AU131" ca="1">IFERROR(SMALL(IF(COUNTIF(Podcasts!$D$479:'Podcasts'!$D$488,ROW(INDIRECT("1:"&amp;K$2)))=0,ROW(INDIRECT("1:"&amp;K$2))),ROW($A88)),"")</f>
        <v>90</v>
      </c>
      <c r="AV131" s="117">
        <f t="array" aca="1" ref="AV131" ca="1">IFERROR(SMALL(IF(COUNTIF(Podcasts!$D$494:'Podcasts'!$D$518,ROW(INDIRECT("1:"&amp;K$2)))=0,ROW(INDIRECT("1:"&amp;K$2))),ROW($A88)),"")</f>
        <v>107</v>
      </c>
      <c r="AW131" s="117">
        <f t="array" aca="1" ref="AW131" ca="1">IFERROR(SMALL(IF(COUNTIF(Podcasts!$D$524:'Podcasts'!$D$532,ROW(INDIRECT("1:"&amp;K$2)))=0,ROW(INDIRECT("1:"&amp;K$2))),ROW($A88)),"")</f>
        <v>88</v>
      </c>
      <c r="AX131" s="117">
        <f t="array" aca="1" ref="AX131" ca="1">IFERROR(SMALL(IF(COUNTIF(Podcasts!$D$538:'Podcasts'!$D$909,ROW(INDIRECT("1:"&amp;K$2)))=0,ROW(INDIRECT("1:"&amp;K$2))),ROW($A88)),"")</f>
        <v>218</v>
      </c>
      <c r="AY131" s="117">
        <f t="array" aca="1" ref="AY131" ca="1">IFERROR(SMALL(IF(COUNTIF(Podcasts!$D$915:'Podcasts'!$D$981,ROW(INDIRECT("1:"&amp;K$2)))=0,ROW(INDIRECT("1:"&amp;K$2))),ROW($A88)),"")</f>
        <v>132</v>
      </c>
      <c r="AZ131" s="445"/>
      <c r="BA131" s="117">
        <f t="array" aca="1" ref="BA131" ca="1">IFERROR(SMALL(IF(COUNTIF(Podcasts!$D$1001:'Podcasts'!$D$1251,ROW(INDIRECT("1:"&amp;K$2)))=0,ROW(INDIRECT("1:"&amp;K$2))),ROW($A88)),"")</f>
        <v>133</v>
      </c>
      <c r="BB131" s="117">
        <f t="array" aca="1" ref="BB131" ca="1">IFERROR(SMALL(IF(COUNTIF(Podcasts!$D$1257:'Podcasts'!$D$1267,ROW(INDIRECT("1:"&amp;K$2)))=0,ROW(INDIRECT("1:"&amp;K$2))),ROW($A88)),"")</f>
        <v>90</v>
      </c>
      <c r="BC131" s="117">
        <f t="array" aca="1" ref="BC131" ca="1">IFERROR(SMALL(IF(COUNTIF(Podcasts!$D$1273:'Podcasts'!$D$1283,ROW(INDIRECT("1:"&amp;K$2)))=0,ROW(INDIRECT("1:"&amp;K$2))),ROW($A88)),"")</f>
        <v>92</v>
      </c>
      <c r="BD131" s="117">
        <f t="array" aca="1" ref="BD131" ca="1">IFERROR(SMALL(IF(COUNTIF(Podcasts!$D$1289:'Podcasts'!$D$1295,ROW(INDIRECT("1:"&amp;K$2)))=0,ROW(INDIRECT("1:"&amp;K$2))),ROW($A88)),"")</f>
        <v>90</v>
      </c>
      <c r="BE131" s="117">
        <f t="array" aca="1" ref="BE131" ca="1">IFERROR(SMALL(IF(COUNTIF(Podcasts!$D$1301:'Podcasts'!$D$1356,ROW(INDIRECT("1:"&amp;K$2)))=0,ROW(INDIRECT("1:"&amp;K$2))),ROW($A88)),"")</f>
        <v>135</v>
      </c>
      <c r="BF131" s="117">
        <f t="array" aca="1" ref="BF131" ca="1">IFERROR(SMALL(IF(COUNTIF(Podcasts!$D$1362:'Podcasts'!$D$1364,ROW(INDIRECT("1:"&amp;K$2)))=0,ROW(INDIRECT("1:"&amp;K$2))),ROW($A88)),"")</f>
        <v>91</v>
      </c>
      <c r="BG131" s="202">
        <f t="array" aca="1" ref="BG131" ca="1">IFERROR(SMALL(IF(COUNTIF(Podcasts!$D$1370:'Podcasts'!$D$1419,ROW(INDIRECT("1:"&amp;K$2)))=0,ROW(INDIRECT("1:"&amp;K$2))),ROW($A88)),"")</f>
        <v>111</v>
      </c>
      <c r="BH131" s="202">
        <f t="array" aca="1" ref="BH131" ca="1">IFERROR(SMALL(IF(COUNTIF(Podcasts!$D$1425:'Podcasts'!$D$1446,ROW(INDIRECT("1:"&amp;K$2)))=0,ROW(INDIRECT("1:"&amp;K$2))),ROW($A88)),"")</f>
        <v>96</v>
      </c>
      <c r="BI131" s="202">
        <f t="array" aca="1" ref="BI131" ca="1">IFERROR(SMALL(IF(COUNTIF(Podcasts!$D$1452:'Podcasts'!$D$1574,ROW(INDIRECT("1:"&amp;K$2)))=0,ROW(INDIRECT("1:"&amp;K$2))),ROW($A88)),"")</f>
        <v>152</v>
      </c>
      <c r="BJ131" s="202">
        <f t="array" aca="1" ref="BJ131" ca="1">IFERROR(SMALL(IF(COUNTIF(Podcasts!$D$1580:'Podcasts'!$D$1705,ROW(INDIRECT("1:"&amp;K$2)))=0,ROW(INDIRECT("1:"&amp;K$2))),ROW($A88)),"")</f>
        <v>151</v>
      </c>
      <c r="BK131" s="202">
        <f t="array" aca="1" ref="BK131" ca="1">IFERROR(SMALL(IF(COUNTIF(Podcasts!$D$1711:'Podcasts'!$D$1833,ROW(INDIRECT("1:"&amp;K$2)))=0,ROW(INDIRECT("1:"&amp;K$2))),ROW($A88)),"")</f>
        <v>137</v>
      </c>
      <c r="BL131" s="202">
        <f t="array" aca="1" ref="BL131" ca="1">IFERROR(SMALL(IF(COUNTIF(Podcasts!$D$1839:'Podcasts'!$D$1855,ROW(INDIRECT("1:"&amp;K$2)))=0,ROW(INDIRECT("1:"&amp;K$2))),ROW($A88)),"")</f>
        <v>97</v>
      </c>
      <c r="BM131" s="567">
        <f t="array" aca="1" ref="BM131" ca="1">IFERROR(SMALL(IF(COUNTIF(Podcasts!$D$1861:'Podcasts'!$D$1994,ROW(INDIRECT("1:"&amp;K$2)))=0,ROW(INDIRECT("1:"&amp;K$2))),ROW($A88)),"")</f>
        <v>123</v>
      </c>
      <c r="BN131" s="567">
        <f t="array" aca="1" ref="BN131" ca="1">IFERROR(SMALL(IF(COUNTIF(Podcasts!$D$2000:'Podcasts'!$D$2057,ROW(INDIRECT("1:"&amp;K$2)))=0,ROW(INDIRECT("1:"&amp;K$2))),ROW($A88)),"")</f>
        <v>143</v>
      </c>
      <c r="BO131" s="567">
        <f t="array" aca="1" ref="BO131" ca="1">IFERROR(SMALL(IF(COUNTIF(Podcasts!$D$2063:'Podcasts'!$D$2071,ROW(INDIRECT("1:"&amp;K$2)))=0,ROW(INDIRECT("1:"&amp;K$2))),ROW($A88)),"")</f>
        <v>92</v>
      </c>
      <c r="BP131" s="202">
        <f t="array" aca="1" ref="BP131" ca="1">IFERROR(SMALL(IF(COUNTIF(Podcasts!$D$2077:'Podcasts'!$D$2092,ROW(INDIRECT("1:"&amp;K$2)))=0,ROW(INDIRECT("1:"&amp;K$2))),ROW($A88)),"")</f>
        <v>99</v>
      </c>
      <c r="BQ131" s="741">
        <f t="array" aca="1" ref="BQ131" ca="1">IFERROR(SMALL(IF(COUNTIF(Podcasts!$D$2098:'Podcasts'!$D$2114,ROW(INDIRECT("1:"&amp;K$2)))=0,ROW(INDIRECT("1:"&amp;K$2))),ROW($A88)),"")</f>
        <v>94</v>
      </c>
      <c r="BR131" s="744">
        <f t="array" aca="1" ref="BR131" ca="1">IFERROR(SMALL(IF(COUNTIF(Podcasts!$D$2120:'Podcasts'!$D$2124,ROW(INDIRECT("1:"&amp;K$2)))=0,ROW(INDIRECT("1:"&amp;K$2))),ROW($A88)),"")</f>
        <v>90</v>
      </c>
      <c r="BS131" s="28"/>
    </row>
    <row r="132" spans="1:71" outlineLevel="1">
      <c r="A132" s="28"/>
      <c r="B132" s="161">
        <v>89</v>
      </c>
      <c r="C132" s="161">
        <f>COUNTIF(Podcasts!$D$10:'Podcasts'!$D$2535,B132)-1</f>
        <v>6</v>
      </c>
      <c r="D132" s="158" t="s">
        <v>1117</v>
      </c>
      <c r="E132" s="156" t="str">
        <f t="array" ref="E132">IF(F132="","",INDEX(Podcasts!$J$10:'Podcasts'!$J$2535,MATCH(F132&amp;$B132,Podcasts!$E$10:'Podcasts'!$E$2535&amp;Podcasts!$D$10:'Podcasts'!$D$2535,0)))</f>
        <v>Fürst</v>
      </c>
      <c r="F132" s="131">
        <f t="array" ref="F132">IF(COUNTIF(Podcasts!$D$10:'Podcasts'!$D$2535,$B132)&lt;COLUMN(A95),"",SMALL(IF(Podcasts!$D$10:'Podcasts'!$D$2535=$B132,Podcasts!$E$10:'Podcasts'!$E$2535),COLUMN(A95)))</f>
        <v>41811</v>
      </c>
      <c r="G132" s="132">
        <f t="array" ref="G132">IF(F132="","",INDEX(Podcasts!$F$10:'Podcasts'!$F$2535,MATCH(F132&amp;$B132,Podcasts!$E$10:'Podcasts'!$E$2535&amp;Podcasts!$D$10:'Podcasts'!$D$2535,0)))</f>
        <v>4.5138888888888937E-3</v>
      </c>
      <c r="H132" s="136" t="str">
        <f t="array" ref="H132">IF(I132="","",INDEX(Podcasts!$J$10:'Podcasts'!$J$2535,MATCH(I132&amp;$B132,Podcasts!$E$10:'Podcasts'!$E$2535&amp;Podcasts!$D$10:'Podcasts'!$D$2535,0)))</f>
        <v>SSP</v>
      </c>
      <c r="I132" s="133">
        <f t="array" ref="I132">IF(COUNTIF(Podcasts!$D$10:'Podcasts'!$D$2535,$B132)&lt;COLUMN(B95),"",SMALL(IF(Podcasts!$D$10:'Podcasts'!$D$2535=$B132,Podcasts!$E$10:'Podcasts'!$E$2535),COLUMN(B95)))</f>
        <v>43809</v>
      </c>
      <c r="J132" s="132">
        <f t="array" ref="J132">IF(I132="","",INDEX(Podcasts!$F$10:'Podcasts'!$F$2535,MATCH(I132&amp;$B132,Podcasts!$E$10:'Podcasts'!$E$2535&amp;Podcasts!$D$10:'Podcasts'!$D$2535,0)))</f>
        <v>8.4363425925925925E-2</v>
      </c>
      <c r="K132" s="136" t="str">
        <f t="array" ref="K132">IF(L132="","",INDEX(Podcasts!$J$10:'Podcasts'!$J$2535,MATCH(L132&amp;$B132,Podcasts!$E$10:'Podcasts'!$E$2535&amp;Podcasts!$D$10:'Podcasts'!$D$2535,0)))</f>
        <v>???od</v>
      </c>
      <c r="L132" s="133">
        <f t="array" ref="L132">IF(COUNTIF(Podcasts!$D$10:'Podcasts'!$D$2535,$B132)&lt;COLUMN(C95),"",SMALL(IF(Podcasts!$D$10:'Podcasts'!$D$2535=$B132,Podcasts!$E$10:'Podcasts'!$E$2535),COLUMN(C95)))</f>
        <v>44270</v>
      </c>
      <c r="M132" s="132">
        <f t="array" ref="M132">IF(L132="","",INDEX(Podcasts!$F$10:'Podcasts'!$F$2535,MATCH(L132&amp;$B132,Podcasts!$E$10:'Podcasts'!$E$2535&amp;Podcasts!$D$10:'Podcasts'!$D$2535,0)))</f>
        <v>5.9317129629629629E-2</v>
      </c>
      <c r="N132" s="136" t="str">
        <f t="array" ref="N132">IF(O132="","",INDEX(Podcasts!$J$10:'Podcasts'!$J$2535,MATCH(O132&amp;$B132,Podcasts!$E$10:'Podcasts'!$E$2535&amp;Podcasts!$D$10:'Podcasts'!$D$2535,0)))</f>
        <v>Kaffee</v>
      </c>
      <c r="O132" s="133">
        <f t="array" ref="O132">IF(COUNTIF(Podcasts!$D$10:'Podcasts'!$D$2535,$B132)&lt;COLUMN(D95),"",SMALL(IF(Podcasts!$D$10:'Podcasts'!$D$2535=$B132,Podcasts!$E$10:'Podcasts'!$E$2535),COLUMN(D95)))</f>
        <v>44526</v>
      </c>
      <c r="P132" s="132">
        <f t="array" ref="P132">IF(O132="","",INDEX(Podcasts!$F$10:'Podcasts'!$F$2535,MATCH(O132&amp;$B132,Podcasts!$E$10:'Podcasts'!$E$2535&amp;Podcasts!$D$10:'Podcasts'!$D$2535,0)))</f>
        <v>1.4444444444444446E-2</v>
      </c>
      <c r="Q132" s="136" t="str">
        <f t="array" ref="Q132">IF(R132="","",INDEX(Podcasts!$J$10:'Podcasts'!$J$2535,MATCH(R132&amp;$B132,Podcasts!$E$10:'Podcasts'!$E$2535&amp;Podcasts!$D$10:'Podcasts'!$D$2535,0)))</f>
        <v>Zw3i</v>
      </c>
      <c r="R132" s="133">
        <f t="array" ref="R132">IF(COUNTIF(Podcasts!$D$10:'Podcasts'!$D$2535,$B132)&lt;COLUMN(E95),"",SMALL(IF(Podcasts!$D$10:'Podcasts'!$D$2535=$B132,Podcasts!$E$10:'Podcasts'!$E$2535),COLUMN(E95)))</f>
        <v>44533</v>
      </c>
      <c r="S132" s="132">
        <f t="array" ref="S132">IF(R132="","",INDEX(Podcasts!$F$10:'Podcasts'!$F$2535,MATCH(R132&amp;$B132,Podcasts!$E$10:'Podcasts'!$E$2535&amp;Podcasts!$D$10:'Podcasts'!$D$2535,0)))</f>
        <v>7.7407407407407411E-2</v>
      </c>
      <c r="T132" s="136" t="str">
        <f t="array" ref="T132">IF(U132="","",INDEX(Podcasts!$J$10:'Podcasts'!$J$2535,MATCH(U132&amp;$B132,Podcasts!$E$10:'Podcasts'!$E$2535&amp;Podcasts!$D$10:'Podcasts'!$D$2535,0)))</f>
        <v>R&amp;A</v>
      </c>
      <c r="U132" s="133">
        <f t="array" ref="U132">IF(COUNTIF(Podcasts!$D$10:'Podcasts'!$D$2535,$B132)&lt;COLUMN(F95),"",SMALL(IF(Podcasts!$D$10:'Podcasts'!$D$2535=$B132,Podcasts!$E$10:'Podcasts'!$E$2535),COLUMN(F95)))</f>
        <v>44591.6875</v>
      </c>
      <c r="V132" s="132">
        <f t="array" ref="V132">IF(U132="","",INDEX(Podcasts!$F$10:'Podcasts'!$F$2535,MATCH(U132&amp;$B132,Podcasts!$E$10:'Podcasts'!$E$2535&amp;Podcasts!$D$10:'Podcasts'!$D$2535,0)))</f>
        <v>0.10025462962962962</v>
      </c>
      <c r="W132" s="136" t="str">
        <f t="array" ref="W132">IF(X132="","",INDEX(Podcasts!$J$10:'Podcasts'!$J$2535,MATCH(X132&amp;$B132,Podcasts!$E$10:'Podcasts'!$E$2535&amp;Podcasts!$D$10:'Podcasts'!$D$2535,0)))</f>
        <v>Kaffee</v>
      </c>
      <c r="X132" s="133">
        <f t="array" ref="X132">IF(COUNTIF(Podcasts!$D$10:'Podcasts'!$D$2535,$B132)&lt;COLUMN(G95),"",SMALL(IF(Podcasts!$D$10:'Podcasts'!$D$2535=$B132,Podcasts!$E$10:'Podcasts'!$E$2535),COLUMN(G95)))</f>
        <v>44890</v>
      </c>
      <c r="Y132" s="132">
        <f t="array" ref="Y132">IF(X132="","",INDEX(Podcasts!$F$10:'Podcasts'!$F$2535,MATCH(X132&amp;$B132,Podcasts!$E$10:'Podcasts'!$E$2535&amp;Podcasts!$D$10:'Podcasts'!$D$2535,0)))</f>
        <v>3.5474537037037041E-2</v>
      </c>
      <c r="Z132" s="136" t="str">
        <f t="array" ref="Z132">IF(AA132="","",INDEX(Podcasts!$J$10:'Podcasts'!$J$2535,MATCH(AA132&amp;$B132,Podcasts!$E$10:'Podcasts'!$E$2535&amp;Podcasts!$D$10:'Podcasts'!$D$2535,0)))</f>
        <v/>
      </c>
      <c r="AA132" s="134" t="str">
        <f t="array" ref="AA132">IF(COUNTIF(Podcasts!$D$10:'Podcasts'!$D$2535,$B132)&lt;COLUMN(H95),"",SMALL(IF(Podcasts!$D$10:'Podcasts'!$D$2535=$B132,Podcasts!$E$10:'Podcasts'!$E$2535),COLUMN(H95)))</f>
        <v/>
      </c>
      <c r="AB132" s="404" t="str">
        <f t="array" ref="AB132">IF(AA132="","",INDEX(Podcasts!$F$10:'Podcasts'!$F$2535,MATCH(AA132&amp;$B132,Podcasts!$E$10:'Podcasts'!$E$2535&amp;Podcasts!$D$10:'Podcasts'!$D$2535,0)))</f>
        <v/>
      </c>
      <c r="AC132" s="406" t="str">
        <f t="array" ref="AC132">IF(AD132="","",INDEX(Podcasts!$J$10:'Podcasts'!$J$2535,MATCH(AD132&amp;$B132,Podcasts!$E$10:'Podcasts'!$E$2535&amp;Podcasts!$D$10:'Podcasts'!$D$2535,0)))</f>
        <v/>
      </c>
      <c r="AD132" s="400" t="str">
        <f t="array" ref="AD132">IF(COUNTIF(Podcasts!$D$10:'Podcasts'!$D$2535,$B132)&lt;COLUMN(I95),"",SMALL(IF(Podcasts!$D$10:'Podcasts'!$D$2535=$B132,Podcasts!$E$10:'Podcasts'!$E$2535),COLUMN(I95)))</f>
        <v/>
      </c>
      <c r="AE132" s="401" t="str">
        <f t="array" ref="AE132">IF(AD132="","",INDEX(Podcasts!$F$10:'Podcasts'!$F$2535,MATCH(AD132&amp;$B132,Podcasts!$E$10:'Podcasts'!$E$2535&amp;Podcasts!$D$10:'Podcasts'!$D$2535,0)))</f>
        <v/>
      </c>
      <c r="AF132" s="406" t="str">
        <f t="array" ref="AF132">IF(AG132="","",INDEX(Podcasts!$J$10:'Podcasts'!$J$2535,MATCH(AG132&amp;$B132,Podcasts!$E$10:'Podcasts'!$E$2535&amp;Podcasts!$D$10:'Podcasts'!$D$2535,0)))</f>
        <v/>
      </c>
      <c r="AG132" s="400" t="str">
        <f t="array" ref="AG132">IF(COUNTIF(Podcasts!$D$10:'Podcasts'!$D$2535,$B132)&lt;COLUMN(J95),"",SMALL(IF(Podcasts!$D$10:'Podcasts'!$D$2535=$B132,Podcasts!$E$10:'Podcasts'!$E$2535),COLUMN(J95)))</f>
        <v/>
      </c>
      <c r="AH132" s="401" t="str">
        <f t="array" ref="AH132">IF(AG132="","",INDEX(Podcasts!$F$10:'Podcasts'!$F$2535,MATCH(AG132&amp;$B132,Podcasts!$E$10:'Podcasts'!$E$2535&amp;Podcasts!$D$10:'Podcasts'!$D$2535,0)))</f>
        <v/>
      </c>
      <c r="AI132" s="406" t="str">
        <f t="array" ref="AI132">IF(AJ132="","",INDEX(Podcasts!$J$10:'Podcasts'!$J$2535,MATCH(AJ132&amp;$B132,Podcasts!$E$10:'Podcasts'!$E$2535&amp;Podcasts!$D$10:'Podcasts'!$D$2535,0)))</f>
        <v/>
      </c>
      <c r="AJ132" s="400" t="str">
        <f t="array" ref="AJ132">IF(COUNTIF(Podcasts!$D$10:'Podcasts'!$D$2535,$B132)&lt;COLUMN(K95),"",SMALL(IF(Podcasts!$D$10:'Podcasts'!$D$2535=$B132,Podcasts!$E$10:'Podcasts'!$E$2535),COLUMN(K95)))</f>
        <v/>
      </c>
      <c r="AK132" s="401" t="str">
        <f t="array" ref="AK132">IF(AJ132="","",INDEX(Podcasts!$F$10:'Podcasts'!$F$2535,MATCH(AJ132&amp;$B132,Podcasts!$E$10:'Podcasts'!$E$2535&amp;Podcasts!$D$10:'Podcasts'!$D$2535,0)))</f>
        <v/>
      </c>
      <c r="AL132" s="406" t="str">
        <f t="array" ref="AL132">IF(AM132="","",INDEX(Podcasts!$J$10:'Podcasts'!$J$2535,MATCH(AM132&amp;$B132,Podcasts!$E$10:'Podcasts'!$E$2535&amp;Podcasts!$D$10:'Podcasts'!$D$2535,0)))</f>
        <v/>
      </c>
      <c r="AM132" s="400" t="str">
        <f t="array" ref="AM132">IF(COUNTIF(Podcasts!$D$10:'Podcasts'!$D$2535,$B132)&lt;COLUMN(L95),"",SMALL(IF(Podcasts!$D$10:'Podcasts'!$D$2535=$B132,Podcasts!$E$10:'Podcasts'!$E$2535),COLUMN(L95)))</f>
        <v/>
      </c>
      <c r="AN132" s="401" t="str">
        <f t="array" ref="AN132">IF(AM132="","",INDEX(Podcasts!$F$10:'Podcasts'!$F$2535,MATCH(AM132&amp;$B132,Podcasts!$E$10:'Podcasts'!$E$2535&amp;Podcasts!$D$10:'Podcasts'!$D$2535,0)))</f>
        <v/>
      </c>
      <c r="AO132" s="402"/>
      <c r="AP132" s="119"/>
      <c r="AQ132" s="117">
        <f t="array" aca="1" ref="AQ132" ca="1">IFERROR(SMALL(IF(COUNTIF(Podcasts!$D$10:'Podcasts'!$D$107,ROW(INDIRECT("1:"&amp;K$2)))=0,ROW(INDIRECT("1:"&amp;K$2))),ROW($A89)),"")</f>
        <v>120</v>
      </c>
      <c r="AR132" s="117">
        <f t="array" aca="1" ref="AR132" ca="1">IFERROR(SMALL(IF(COUNTIF(Podcasts!$D$113:'Podcasts'!$D$238,ROW(INDIRECT("1:"&amp;K$2)))=0,ROW(INDIRECT("1:"&amp;K$2))),ROW($A89)),"")</f>
        <v>89</v>
      </c>
      <c r="AS132" s="117">
        <f t="array" aca="1" ref="AS132" ca="1">IFERROR(SMALL(IF(COUNTIF(Podcasts!$D$244:'Podcasts'!$D$299,ROW(INDIRECT("1:"&amp;K$2)))=0,ROW(INDIRECT("1:"&amp;K$2))),ROW($A89)),"")</f>
        <v>107</v>
      </c>
      <c r="AT132" s="117">
        <f t="array" aca="1" ref="AT132" ca="1">IFERROR(SMALL(IF(COUNTIF(Podcasts!$D$305:'Podcasts'!$D$473,ROW(INDIRECT("1:"&amp;K$2)))=0,ROW(INDIRECT("1:"&amp;K$2))),ROW($A89)),"")</f>
        <v>224</v>
      </c>
      <c r="AU132" s="117">
        <f t="array" aca="1" ref="AU132" ca="1">IFERROR(SMALL(IF(COUNTIF(Podcasts!$D$479:'Podcasts'!$D$488,ROW(INDIRECT("1:"&amp;K$2)))=0,ROW(INDIRECT("1:"&amp;K$2))),ROW($A89)),"")</f>
        <v>91</v>
      </c>
      <c r="AV132" s="117">
        <f t="array" aca="1" ref="AV132" ca="1">IFERROR(SMALL(IF(COUNTIF(Podcasts!$D$494:'Podcasts'!$D$518,ROW(INDIRECT("1:"&amp;K$2)))=0,ROW(INDIRECT("1:"&amp;K$2))),ROW($A89)),"")</f>
        <v>108</v>
      </c>
      <c r="AW132" s="117">
        <f t="array" aca="1" ref="AW132" ca="1">IFERROR(SMALL(IF(COUNTIF(Podcasts!$D$524:'Podcasts'!$D$532,ROW(INDIRECT("1:"&amp;K$2)))=0,ROW(INDIRECT("1:"&amp;K$2))),ROW($A89)),"")</f>
        <v>89</v>
      </c>
      <c r="AX132" s="117">
        <f t="array" aca="1" ref="AX132" ca="1">IFERROR(SMALL(IF(COUNTIF(Podcasts!$D$538:'Podcasts'!$D$909,ROW(INDIRECT("1:"&amp;K$2)))=0,ROW(INDIRECT("1:"&amp;K$2))),ROW($A89)),"")</f>
        <v>220</v>
      </c>
      <c r="AY132" s="117">
        <f t="array" aca="1" ref="AY132" ca="1">IFERROR(SMALL(IF(COUNTIF(Podcasts!$D$915:'Podcasts'!$D$981,ROW(INDIRECT("1:"&amp;K$2)))=0,ROW(INDIRECT("1:"&amp;K$2))),ROW($A89)),"")</f>
        <v>133</v>
      </c>
      <c r="AZ132" s="445"/>
      <c r="BA132" s="117">
        <f t="array" aca="1" ref="BA132" ca="1">IFERROR(SMALL(IF(COUNTIF(Podcasts!$D$1001:'Podcasts'!$D$1251,ROW(INDIRECT("1:"&amp;K$2)))=0,ROW(INDIRECT("1:"&amp;K$2))),ROW($A89)),"")</f>
        <v>134</v>
      </c>
      <c r="BB132" s="117">
        <f t="array" aca="1" ref="BB132" ca="1">IFERROR(SMALL(IF(COUNTIF(Podcasts!$D$1257:'Podcasts'!$D$1267,ROW(INDIRECT("1:"&amp;K$2)))=0,ROW(INDIRECT("1:"&amp;K$2))),ROW($A89)),"")</f>
        <v>91</v>
      </c>
      <c r="BC132" s="117">
        <f t="array" aca="1" ref="BC132" ca="1">IFERROR(SMALL(IF(COUNTIF(Podcasts!$D$1273:'Podcasts'!$D$1283,ROW(INDIRECT("1:"&amp;K$2)))=0,ROW(INDIRECT("1:"&amp;K$2))),ROW($A89)),"")</f>
        <v>93</v>
      </c>
      <c r="BD132" s="117">
        <f t="array" aca="1" ref="BD132" ca="1">IFERROR(SMALL(IF(COUNTIF(Podcasts!$D$1289:'Podcasts'!$D$1295,ROW(INDIRECT("1:"&amp;K$2)))=0,ROW(INDIRECT("1:"&amp;K$2))),ROW($A89)),"")</f>
        <v>91</v>
      </c>
      <c r="BE132" s="117">
        <f t="array" aca="1" ref="BE132" ca="1">IFERROR(SMALL(IF(COUNTIF(Podcasts!$D$1301:'Podcasts'!$D$1356,ROW(INDIRECT("1:"&amp;K$2)))=0,ROW(INDIRECT("1:"&amp;K$2))),ROW($A89)),"")</f>
        <v>136</v>
      </c>
      <c r="BF132" s="117">
        <f t="array" aca="1" ref="BF132" ca="1">IFERROR(SMALL(IF(COUNTIF(Podcasts!$D$1362:'Podcasts'!$D$1364,ROW(INDIRECT("1:"&amp;K$2)))=0,ROW(INDIRECT("1:"&amp;K$2))),ROW($A89)),"")</f>
        <v>92</v>
      </c>
      <c r="BG132" s="202">
        <f t="array" aca="1" ref="BG132" ca="1">IFERROR(SMALL(IF(COUNTIF(Podcasts!$D$1370:'Podcasts'!$D$1419,ROW(INDIRECT("1:"&amp;K$2)))=0,ROW(INDIRECT("1:"&amp;K$2))),ROW($A89)),"")</f>
        <v>112</v>
      </c>
      <c r="BH132" s="202">
        <f t="array" aca="1" ref="BH132" ca="1">IFERROR(SMALL(IF(COUNTIF(Podcasts!$D$1425:'Podcasts'!$D$1446,ROW(INDIRECT("1:"&amp;K$2)))=0,ROW(INDIRECT("1:"&amp;K$2))),ROW($A89)),"")</f>
        <v>97</v>
      </c>
      <c r="BI132" s="202">
        <f t="array" aca="1" ref="BI132" ca="1">IFERROR(SMALL(IF(COUNTIF(Podcasts!$D$1452:'Podcasts'!$D$1574,ROW(INDIRECT("1:"&amp;K$2)))=0,ROW(INDIRECT("1:"&amp;K$2))),ROW($A89)),"")</f>
        <v>153</v>
      </c>
      <c r="BJ132" s="202">
        <f t="array" aca="1" ref="BJ132" ca="1">IFERROR(SMALL(IF(COUNTIF(Podcasts!$D$1580:'Podcasts'!$D$1705,ROW(INDIRECT("1:"&amp;K$2)))=0,ROW(INDIRECT("1:"&amp;K$2))),ROW($A89)),"")</f>
        <v>152</v>
      </c>
      <c r="BK132" s="202">
        <f t="array" aca="1" ref="BK132" ca="1">IFERROR(SMALL(IF(COUNTIF(Podcasts!$D$1711:'Podcasts'!$D$1833,ROW(INDIRECT("1:"&amp;K$2)))=0,ROW(INDIRECT("1:"&amp;K$2))),ROW($A89)),"")</f>
        <v>138</v>
      </c>
      <c r="BL132" s="202">
        <f t="array" aca="1" ref="BL132" ca="1">IFERROR(SMALL(IF(COUNTIF(Podcasts!$D$1839:'Podcasts'!$D$1855,ROW(INDIRECT("1:"&amp;K$2)))=0,ROW(INDIRECT("1:"&amp;K$2))),ROW($A89)),"")</f>
        <v>98</v>
      </c>
      <c r="BM132" s="567">
        <f t="array" aca="1" ref="BM132" ca="1">IFERROR(SMALL(IF(COUNTIF(Podcasts!$D$1861:'Podcasts'!$D$1994,ROW(INDIRECT("1:"&amp;K$2)))=0,ROW(INDIRECT("1:"&amp;K$2))),ROW($A89)),"")</f>
        <v>125</v>
      </c>
      <c r="BN132" s="567">
        <f t="array" aca="1" ref="BN132" ca="1">IFERROR(SMALL(IF(COUNTIF(Podcasts!$D$2000:'Podcasts'!$D$2057,ROW(INDIRECT("1:"&amp;K$2)))=0,ROW(INDIRECT("1:"&amp;K$2))),ROW($A89)),"")</f>
        <v>144</v>
      </c>
      <c r="BO132" s="567">
        <f t="array" aca="1" ref="BO132" ca="1">IFERROR(SMALL(IF(COUNTIF(Podcasts!$D$2063:'Podcasts'!$D$2071,ROW(INDIRECT("1:"&amp;K$2)))=0,ROW(INDIRECT("1:"&amp;K$2))),ROW($A89)),"")</f>
        <v>93</v>
      </c>
      <c r="BP132" s="202">
        <f t="array" aca="1" ref="BP132" ca="1">IFERROR(SMALL(IF(COUNTIF(Podcasts!$D$2077:'Podcasts'!$D$2092,ROW(INDIRECT("1:"&amp;K$2)))=0,ROW(INDIRECT("1:"&amp;K$2))),ROW($A89)),"")</f>
        <v>100</v>
      </c>
      <c r="BQ132" s="741">
        <f t="array" aca="1" ref="BQ132" ca="1">IFERROR(SMALL(IF(COUNTIF(Podcasts!$D$2098:'Podcasts'!$D$2114,ROW(INDIRECT("1:"&amp;K$2)))=0,ROW(INDIRECT("1:"&amp;K$2))),ROW($A89)),"")</f>
        <v>95</v>
      </c>
      <c r="BR132" s="744">
        <f t="array" aca="1" ref="BR132" ca="1">IFERROR(SMALL(IF(COUNTIF(Podcasts!$D$2120:'Podcasts'!$D$2124,ROW(INDIRECT("1:"&amp;K$2)))=0,ROW(INDIRECT("1:"&amp;K$2))),ROW($A89)),"")</f>
        <v>91</v>
      </c>
      <c r="BS132" s="28"/>
    </row>
    <row r="133" spans="1:71" outlineLevel="1">
      <c r="A133" s="28"/>
      <c r="B133" s="161">
        <v>90</v>
      </c>
      <c r="C133" s="161">
        <f>COUNTIF(Podcasts!$D$10:'Podcasts'!$D$2535,B133)-1</f>
        <v>6</v>
      </c>
      <c r="D133" s="159" t="s">
        <v>1118</v>
      </c>
      <c r="E133" s="156" t="str">
        <f t="array" ref="E133">IF(F133="","",INDEX(Podcasts!$J$10:'Podcasts'!$J$2535,MATCH(F133&amp;$B133,Podcasts!$E$10:'Podcasts'!$E$2535&amp;Podcasts!$D$10:'Podcasts'!$D$2535,0)))</f>
        <v>Talker</v>
      </c>
      <c r="F133" s="131">
        <f t="array" ref="F133">IF(COUNTIF(Podcasts!$D$10:'Podcasts'!$D$2535,$B133)&lt;COLUMN(A96),"",SMALL(IF(Podcasts!$D$10:'Podcasts'!$D$2535=$B133,Podcasts!$E$10:'Podcasts'!$E$2535),COLUMN(A96)))</f>
        <v>41213</v>
      </c>
      <c r="G133" s="132">
        <f t="array" ref="G133">IF(F133="","",INDEX(Podcasts!$F$10:'Podcasts'!$F$2535,MATCH(F133&amp;$B133,Podcasts!$E$10:'Podcasts'!$E$2535&amp;Podcasts!$D$10:'Podcasts'!$D$2535,0)))</f>
        <v>1.8449074074074073E-2</v>
      </c>
      <c r="H133" s="136" t="str">
        <f t="array" ref="H133">IF(I133="","",INDEX(Podcasts!$J$10:'Podcasts'!$J$2535,MATCH(I133&amp;$B133,Podcasts!$E$10:'Podcasts'!$E$2535&amp;Podcasts!$D$10:'Podcasts'!$D$2535,0)))</f>
        <v>Fürst</v>
      </c>
      <c r="I133" s="133">
        <f t="array" ref="I133">IF(COUNTIF(Podcasts!$D$10:'Podcasts'!$D$2535,$B133)&lt;COLUMN(B96),"",SMALL(IF(Podcasts!$D$10:'Podcasts'!$D$2535=$B133,Podcasts!$E$10:'Podcasts'!$E$2535),COLUMN(B96)))</f>
        <v>41839</v>
      </c>
      <c r="J133" s="132">
        <f t="array" ref="J133">IF(I133="","",INDEX(Podcasts!$F$10:'Podcasts'!$F$2535,MATCH(I133&amp;$B133,Podcasts!$E$10:'Podcasts'!$E$2535&amp;Podcasts!$D$10:'Podcasts'!$D$2535,0)))</f>
        <v>4.2824074074074153E-3</v>
      </c>
      <c r="K133" s="136" t="str">
        <f t="array" ref="K133">IF(L133="","",INDEX(Podcasts!$J$10:'Podcasts'!$J$2535,MATCH(L133&amp;$B133,Podcasts!$E$10:'Podcasts'!$E$2535&amp;Podcasts!$D$10:'Podcasts'!$D$2535,0)))</f>
        <v>SSP</v>
      </c>
      <c r="L133" s="133">
        <f t="array" ref="L133">IF(COUNTIF(Podcasts!$D$10:'Podcasts'!$D$2535,$B133)&lt;COLUMN(C96),"",SMALL(IF(Podcasts!$D$10:'Podcasts'!$D$2535=$B133,Podcasts!$E$10:'Podcasts'!$E$2535),COLUMN(C96)))</f>
        <v>43592</v>
      </c>
      <c r="M133" s="132">
        <f t="array" ref="M133">IF(L133="","",INDEX(Podcasts!$F$10:'Podcasts'!$F$2535,MATCH(L133&amp;$B133,Podcasts!$E$10:'Podcasts'!$E$2535&amp;Podcasts!$D$10:'Podcasts'!$D$2535,0)))</f>
        <v>0.10429398148148149</v>
      </c>
      <c r="N133" s="136" t="str">
        <f t="array" ref="N133">IF(O133="","",INDEX(Podcasts!$J$10:'Podcasts'!$J$2535,MATCH(O133&amp;$B133,Podcasts!$E$10:'Podcasts'!$E$2535&amp;Podcasts!$D$10:'Podcasts'!$D$2535,0)))</f>
        <v>Zentrale</v>
      </c>
      <c r="O133" s="133">
        <f t="array" ref="O133">IF(COUNTIF(Podcasts!$D$10:'Podcasts'!$D$2535,$B133)&lt;COLUMN(D96),"",SMALL(IF(Podcasts!$D$10:'Podcasts'!$D$2535=$B133,Podcasts!$E$10:'Podcasts'!$E$2535),COLUMN(D96)))</f>
        <v>44771</v>
      </c>
      <c r="P133" s="132">
        <f t="array" ref="P133">IF(O133="","",INDEX(Podcasts!$F$10:'Podcasts'!$F$2535,MATCH(O133&amp;$B133,Podcasts!$E$10:'Podcasts'!$E$2535&amp;Podcasts!$D$10:'Podcasts'!$D$2535,0)))</f>
        <v>0.15939814814814815</v>
      </c>
      <c r="Q133" s="136" t="str">
        <f t="array" ref="Q133">IF(R133="","",INDEX(Podcasts!$J$10:'Podcasts'!$J$2535,MATCH(R133&amp;$B133,Podcasts!$E$10:'Podcasts'!$E$2535&amp;Podcasts!$D$10:'Podcasts'!$D$2535,0)))</f>
        <v>Zw3i</v>
      </c>
      <c r="R133" s="133">
        <f t="array" ref="R133">IF(COUNTIF(Podcasts!$D$10:'Podcasts'!$D$2535,$B133)&lt;COLUMN(E96),"",SMALL(IF(Podcasts!$D$10:'Podcasts'!$D$2535=$B133,Podcasts!$E$10:'Podcasts'!$E$2535),COLUMN(E96)))</f>
        <v>44862</v>
      </c>
      <c r="S133" s="132">
        <f t="array" ref="S133">IF(R133="","",INDEX(Podcasts!$F$10:'Podcasts'!$F$2535,MATCH(R133&amp;$B133,Podcasts!$E$10:'Podcasts'!$E$2535&amp;Podcasts!$D$10:'Podcasts'!$D$2535,0)))</f>
        <v>0.13760416666666667</v>
      </c>
      <c r="T133" s="136" t="str">
        <f t="array" ref="T133">IF(U133="","",INDEX(Podcasts!$J$10:'Podcasts'!$J$2535,MATCH(U133&amp;$B133,Podcasts!$E$10:'Podcasts'!$E$2535&amp;Podcasts!$D$10:'Podcasts'!$D$2535,0)))</f>
        <v>:punkt</v>
      </c>
      <c r="U133" s="133">
        <f t="array" ref="U133">IF(COUNTIF(Podcasts!$D$10:'Podcasts'!$D$2535,$B133)&lt;COLUMN(F96),"",SMALL(IF(Podcasts!$D$10:'Podcasts'!$D$2535=$B133,Podcasts!$E$10:'Podcasts'!$E$2535),COLUMN(F96)))</f>
        <v>44871</v>
      </c>
      <c r="V133" s="132">
        <f t="array" ref="V133">IF(U133="","",INDEX(Podcasts!$F$10:'Podcasts'!$F$2535,MATCH(U133&amp;$B133,Podcasts!$E$10:'Podcasts'!$E$2535&amp;Podcasts!$D$10:'Podcasts'!$D$2535,0)))</f>
        <v>4.3437499999999997E-2</v>
      </c>
      <c r="W133" s="136" t="str">
        <f t="array" ref="W133">IF(X133="","",INDEX(Podcasts!$J$10:'Podcasts'!$J$2535,MATCH(X133&amp;$B133,Podcasts!$E$10:'Podcasts'!$E$2535&amp;Podcasts!$D$10:'Podcasts'!$D$2535,0)))</f>
        <v>Zentrale</v>
      </c>
      <c r="X133" s="133">
        <f t="array" ref="X133">IF(COUNTIF(Podcasts!$D$10:'Podcasts'!$D$2535,$B133)&lt;COLUMN(G96),"",SMALL(IF(Podcasts!$D$10:'Podcasts'!$D$2535=$B133,Podcasts!$E$10:'Podcasts'!$E$2535),COLUMN(G96)))</f>
        <v>45009</v>
      </c>
      <c r="Y133" s="132">
        <f t="array" ref="Y133">IF(X133="","",INDEX(Podcasts!$F$10:'Podcasts'!$F$2535,MATCH(X133&amp;$B133,Podcasts!$E$10:'Podcasts'!$E$2535&amp;Podcasts!$D$10:'Podcasts'!$D$2535,0)))</f>
        <v>0.14021990740740742</v>
      </c>
      <c r="Z133" s="136" t="str">
        <f t="array" ref="Z133">IF(AA133="","",INDEX(Podcasts!$J$10:'Podcasts'!$J$2535,MATCH(AA133&amp;$B133,Podcasts!$E$10:'Podcasts'!$E$2535&amp;Podcasts!$D$10:'Podcasts'!$D$2535,0)))</f>
        <v/>
      </c>
      <c r="AA133" s="134" t="str">
        <f t="array" ref="AA133">IF(COUNTIF(Podcasts!$D$10:'Podcasts'!$D$2535,$B133)&lt;COLUMN(H96),"",SMALL(IF(Podcasts!$D$10:'Podcasts'!$D$2535=$B133,Podcasts!$E$10:'Podcasts'!$E$2535),COLUMN(H96)))</f>
        <v/>
      </c>
      <c r="AB133" s="404" t="str">
        <f t="array" ref="AB133">IF(AA133="","",INDEX(Podcasts!$F$10:'Podcasts'!$F$2535,MATCH(AA133&amp;$B133,Podcasts!$E$10:'Podcasts'!$E$2535&amp;Podcasts!$D$10:'Podcasts'!$D$2535,0)))</f>
        <v/>
      </c>
      <c r="AC133" s="406" t="str">
        <f t="array" ref="AC133">IF(AD133="","",INDEX(Podcasts!$J$10:'Podcasts'!$J$2535,MATCH(AD133&amp;$B133,Podcasts!$E$10:'Podcasts'!$E$2535&amp;Podcasts!$D$10:'Podcasts'!$D$2535,0)))</f>
        <v/>
      </c>
      <c r="AD133" s="400" t="str">
        <f t="array" ref="AD133">IF(COUNTIF(Podcasts!$D$10:'Podcasts'!$D$2535,$B133)&lt;COLUMN(I96),"",SMALL(IF(Podcasts!$D$10:'Podcasts'!$D$2535=$B133,Podcasts!$E$10:'Podcasts'!$E$2535),COLUMN(I96)))</f>
        <v/>
      </c>
      <c r="AE133" s="401" t="str">
        <f t="array" ref="AE133">IF(AD133="","",INDEX(Podcasts!$F$10:'Podcasts'!$F$2535,MATCH(AD133&amp;$B133,Podcasts!$E$10:'Podcasts'!$E$2535&amp;Podcasts!$D$10:'Podcasts'!$D$2535,0)))</f>
        <v/>
      </c>
      <c r="AF133" s="406" t="str">
        <f t="array" ref="AF133">IF(AG133="","",INDEX(Podcasts!$J$10:'Podcasts'!$J$2535,MATCH(AG133&amp;$B133,Podcasts!$E$10:'Podcasts'!$E$2535&amp;Podcasts!$D$10:'Podcasts'!$D$2535,0)))</f>
        <v/>
      </c>
      <c r="AG133" s="400" t="str">
        <f t="array" ref="AG133">IF(COUNTIF(Podcasts!$D$10:'Podcasts'!$D$2535,$B133)&lt;COLUMN(J96),"",SMALL(IF(Podcasts!$D$10:'Podcasts'!$D$2535=$B133,Podcasts!$E$10:'Podcasts'!$E$2535),COLUMN(J96)))</f>
        <v/>
      </c>
      <c r="AH133" s="401" t="str">
        <f t="array" ref="AH133">IF(AG133="","",INDEX(Podcasts!$F$10:'Podcasts'!$F$2535,MATCH(AG133&amp;$B133,Podcasts!$E$10:'Podcasts'!$E$2535&amp;Podcasts!$D$10:'Podcasts'!$D$2535,0)))</f>
        <v/>
      </c>
      <c r="AI133" s="406" t="str">
        <f t="array" ref="AI133">IF(AJ133="","",INDEX(Podcasts!$J$10:'Podcasts'!$J$2535,MATCH(AJ133&amp;$B133,Podcasts!$E$10:'Podcasts'!$E$2535&amp;Podcasts!$D$10:'Podcasts'!$D$2535,0)))</f>
        <v/>
      </c>
      <c r="AJ133" s="400" t="str">
        <f t="array" ref="AJ133">IF(COUNTIF(Podcasts!$D$10:'Podcasts'!$D$2535,$B133)&lt;COLUMN(K96),"",SMALL(IF(Podcasts!$D$10:'Podcasts'!$D$2535=$B133,Podcasts!$E$10:'Podcasts'!$E$2535),COLUMN(K96)))</f>
        <v/>
      </c>
      <c r="AK133" s="401" t="str">
        <f t="array" ref="AK133">IF(AJ133="","",INDEX(Podcasts!$F$10:'Podcasts'!$F$2535,MATCH(AJ133&amp;$B133,Podcasts!$E$10:'Podcasts'!$E$2535&amp;Podcasts!$D$10:'Podcasts'!$D$2535,0)))</f>
        <v/>
      </c>
      <c r="AL133" s="406" t="str">
        <f t="array" ref="AL133">IF(AM133="","",INDEX(Podcasts!$J$10:'Podcasts'!$J$2535,MATCH(AM133&amp;$B133,Podcasts!$E$10:'Podcasts'!$E$2535&amp;Podcasts!$D$10:'Podcasts'!$D$2535,0)))</f>
        <v/>
      </c>
      <c r="AM133" s="400" t="str">
        <f t="array" ref="AM133">IF(COUNTIF(Podcasts!$D$10:'Podcasts'!$D$2535,$B133)&lt;COLUMN(L96),"",SMALL(IF(Podcasts!$D$10:'Podcasts'!$D$2535=$B133,Podcasts!$E$10:'Podcasts'!$E$2535),COLUMN(L96)))</f>
        <v/>
      </c>
      <c r="AN133" s="401" t="str">
        <f t="array" ref="AN133">IF(AM133="","",INDEX(Podcasts!$F$10:'Podcasts'!$F$2535,MATCH(AM133&amp;$B133,Podcasts!$E$10:'Podcasts'!$E$2535&amp;Podcasts!$D$10:'Podcasts'!$D$2535,0)))</f>
        <v/>
      </c>
      <c r="AO133" s="402"/>
      <c r="AP133" s="119"/>
      <c r="AQ133" s="117">
        <f t="array" aca="1" ref="AQ133" ca="1">IFERROR(SMALL(IF(COUNTIF(Podcasts!$D$10:'Podcasts'!$D$107,ROW(INDIRECT("1:"&amp;K$2)))=0,ROW(INDIRECT("1:"&amp;K$2))),ROW($A90)),"")</f>
        <v>121</v>
      </c>
      <c r="AR133" s="117">
        <f t="array" aca="1" ref="AR133" ca="1">IFERROR(SMALL(IF(COUNTIF(Podcasts!$D$113:'Podcasts'!$D$238,ROW(INDIRECT("1:"&amp;K$2)))=0,ROW(INDIRECT("1:"&amp;K$2))),ROW($A90)),"")</f>
        <v>90</v>
      </c>
      <c r="AS133" s="117">
        <f t="array" aca="1" ref="AS133" ca="1">IFERROR(SMALL(IF(COUNTIF(Podcasts!$D$244:'Podcasts'!$D$299,ROW(INDIRECT("1:"&amp;K$2)))=0,ROW(INDIRECT("1:"&amp;K$2))),ROW($A90)),"")</f>
        <v>108</v>
      </c>
      <c r="AT133" s="117">
        <f t="array" aca="1" ref="AT133" ca="1">IFERROR(SMALL(IF(COUNTIF(Podcasts!$D$305:'Podcasts'!$D$473,ROW(INDIRECT("1:"&amp;K$2)))=0,ROW(INDIRECT("1:"&amp;K$2))),ROW($A90)),"")</f>
        <v>225</v>
      </c>
      <c r="AU133" s="117">
        <f t="array" aca="1" ref="AU133" ca="1">IFERROR(SMALL(IF(COUNTIF(Podcasts!$D$479:'Podcasts'!$D$488,ROW(INDIRECT("1:"&amp;K$2)))=0,ROW(INDIRECT("1:"&amp;K$2))),ROW($A90)),"")</f>
        <v>92</v>
      </c>
      <c r="AV133" s="117">
        <f t="array" aca="1" ref="AV133" ca="1">IFERROR(SMALL(IF(COUNTIF(Podcasts!$D$494:'Podcasts'!$D$518,ROW(INDIRECT("1:"&amp;K$2)))=0,ROW(INDIRECT("1:"&amp;K$2))),ROW($A90)),"")</f>
        <v>109</v>
      </c>
      <c r="AW133" s="117">
        <f t="array" aca="1" ref="AW133" ca="1">IFERROR(SMALL(IF(COUNTIF(Podcasts!$D$524:'Podcasts'!$D$532,ROW(INDIRECT("1:"&amp;K$2)))=0,ROW(INDIRECT("1:"&amp;K$2))),ROW($A90)),"")</f>
        <v>90</v>
      </c>
      <c r="AX133" s="117">
        <f t="array" aca="1" ref="AX133" ca="1">IFERROR(SMALL(IF(COUNTIF(Podcasts!$D$538:'Podcasts'!$D$909,ROW(INDIRECT("1:"&amp;K$2)))=0,ROW(INDIRECT("1:"&amp;K$2))),ROW($A90)),"")</f>
        <v>221</v>
      </c>
      <c r="AY133" s="117">
        <f t="array" aca="1" ref="AY133" ca="1">IFERROR(SMALL(IF(COUNTIF(Podcasts!$D$915:'Podcasts'!$D$981,ROW(INDIRECT("1:"&amp;K$2)))=0,ROW(INDIRECT("1:"&amp;K$2))),ROW($A90)),"")</f>
        <v>134</v>
      </c>
      <c r="AZ133" s="445"/>
      <c r="BA133" s="117">
        <f t="array" aca="1" ref="BA133" ca="1">IFERROR(SMALL(IF(COUNTIF(Podcasts!$D$1001:'Podcasts'!$D$1251,ROW(INDIRECT("1:"&amp;K$2)))=0,ROW(INDIRECT("1:"&amp;K$2))),ROW($A90)),"")</f>
        <v>135</v>
      </c>
      <c r="BB133" s="117">
        <f t="array" aca="1" ref="BB133" ca="1">IFERROR(SMALL(IF(COUNTIF(Podcasts!$D$1257:'Podcasts'!$D$1267,ROW(INDIRECT("1:"&amp;K$2)))=0,ROW(INDIRECT("1:"&amp;K$2))),ROW($A90)),"")</f>
        <v>93</v>
      </c>
      <c r="BC133" s="117">
        <f t="array" aca="1" ref="BC133" ca="1">IFERROR(SMALL(IF(COUNTIF(Podcasts!$D$1273:'Podcasts'!$D$1283,ROW(INDIRECT("1:"&amp;K$2)))=0,ROW(INDIRECT("1:"&amp;K$2))),ROW($A90)),"")</f>
        <v>94</v>
      </c>
      <c r="BD133" s="117">
        <f t="array" aca="1" ref="BD133" ca="1">IFERROR(SMALL(IF(COUNTIF(Podcasts!$D$1289:'Podcasts'!$D$1295,ROW(INDIRECT("1:"&amp;K$2)))=0,ROW(INDIRECT("1:"&amp;K$2))),ROW($A90)),"")</f>
        <v>92</v>
      </c>
      <c r="BE133" s="117">
        <f t="array" aca="1" ref="BE133" ca="1">IFERROR(SMALL(IF(COUNTIF(Podcasts!$D$1301:'Podcasts'!$D$1356,ROW(INDIRECT("1:"&amp;K$2)))=0,ROW(INDIRECT("1:"&amp;K$2))),ROW($A90)),"")</f>
        <v>137</v>
      </c>
      <c r="BF133" s="117">
        <f t="array" aca="1" ref="BF133" ca="1">IFERROR(SMALL(IF(COUNTIF(Podcasts!$D$1362:'Podcasts'!$D$1364,ROW(INDIRECT("1:"&amp;K$2)))=0,ROW(INDIRECT("1:"&amp;K$2))),ROW($A90)),"")</f>
        <v>93</v>
      </c>
      <c r="BG133" s="202">
        <f t="array" aca="1" ref="BG133" ca="1">IFERROR(SMALL(IF(COUNTIF(Podcasts!$D$1370:'Podcasts'!$D$1419,ROW(INDIRECT("1:"&amp;K$2)))=0,ROW(INDIRECT("1:"&amp;K$2))),ROW($A90)),"")</f>
        <v>114</v>
      </c>
      <c r="BH133" s="202">
        <f t="array" aca="1" ref="BH133" ca="1">IFERROR(SMALL(IF(COUNTIF(Podcasts!$D$1425:'Podcasts'!$D$1446,ROW(INDIRECT("1:"&amp;K$2)))=0,ROW(INDIRECT("1:"&amp;K$2))),ROW($A90)),"")</f>
        <v>98</v>
      </c>
      <c r="BI133" s="202">
        <f t="array" aca="1" ref="BI133" ca="1">IFERROR(SMALL(IF(COUNTIF(Podcasts!$D$1452:'Podcasts'!$D$1574,ROW(INDIRECT("1:"&amp;K$2)))=0,ROW(INDIRECT("1:"&amp;K$2))),ROW($A90)),"")</f>
        <v>154</v>
      </c>
      <c r="BJ133" s="202">
        <f t="array" aca="1" ref="BJ133" ca="1">IFERROR(SMALL(IF(COUNTIF(Podcasts!$D$1580:'Podcasts'!$D$1705,ROW(INDIRECT("1:"&amp;K$2)))=0,ROW(INDIRECT("1:"&amp;K$2))),ROW($A90)),"")</f>
        <v>153</v>
      </c>
      <c r="BK133" s="202">
        <f t="array" aca="1" ref="BK133" ca="1">IFERROR(SMALL(IF(COUNTIF(Podcasts!$D$1711:'Podcasts'!$D$1833,ROW(INDIRECT("1:"&amp;K$2)))=0,ROW(INDIRECT("1:"&amp;K$2))),ROW($A90)),"")</f>
        <v>140</v>
      </c>
      <c r="BL133" s="202">
        <f t="array" aca="1" ref="BL133" ca="1">IFERROR(SMALL(IF(COUNTIF(Podcasts!$D$1839:'Podcasts'!$D$1855,ROW(INDIRECT("1:"&amp;K$2)))=0,ROW(INDIRECT("1:"&amp;K$2))),ROW($A90)),"")</f>
        <v>99</v>
      </c>
      <c r="BM133" s="567">
        <f t="array" aca="1" ref="BM133" ca="1">IFERROR(SMALL(IF(COUNTIF(Podcasts!$D$1861:'Podcasts'!$D$1994,ROW(INDIRECT("1:"&amp;K$2)))=0,ROW(INDIRECT("1:"&amp;K$2))),ROW($A90)),"")</f>
        <v>128</v>
      </c>
      <c r="BN133" s="567">
        <f t="array" aca="1" ref="BN133" ca="1">IFERROR(SMALL(IF(COUNTIF(Podcasts!$D$2000:'Podcasts'!$D$2057,ROW(INDIRECT("1:"&amp;K$2)))=0,ROW(INDIRECT("1:"&amp;K$2))),ROW($A90)),"")</f>
        <v>145</v>
      </c>
      <c r="BO133" s="567">
        <f t="array" aca="1" ref="BO133" ca="1">IFERROR(SMALL(IF(COUNTIF(Podcasts!$D$2063:'Podcasts'!$D$2071,ROW(INDIRECT("1:"&amp;K$2)))=0,ROW(INDIRECT("1:"&amp;K$2))),ROW($A90)),"")</f>
        <v>94</v>
      </c>
      <c r="BP133" s="202">
        <f t="array" aca="1" ref="BP133" ca="1">IFERROR(SMALL(IF(COUNTIF(Podcasts!$D$2077:'Podcasts'!$D$2092,ROW(INDIRECT("1:"&amp;K$2)))=0,ROW(INDIRECT("1:"&amp;K$2))),ROW($A90)),"")</f>
        <v>101</v>
      </c>
      <c r="BQ133" s="741">
        <f t="array" aca="1" ref="BQ133" ca="1">IFERROR(SMALL(IF(COUNTIF(Podcasts!$D$2098:'Podcasts'!$D$2114,ROW(INDIRECT("1:"&amp;K$2)))=0,ROW(INDIRECT("1:"&amp;K$2))),ROW($A90)),"")</f>
        <v>96</v>
      </c>
      <c r="BR133" s="744">
        <f t="array" aca="1" ref="BR133" ca="1">IFERROR(SMALL(IF(COUNTIF(Podcasts!$D$2120:'Podcasts'!$D$2124,ROW(INDIRECT("1:"&amp;K$2)))=0,ROW(INDIRECT("1:"&amp;K$2))),ROW($A90)),"")</f>
        <v>92</v>
      </c>
      <c r="BS133" s="28"/>
    </row>
    <row r="134" spans="1:71" outlineLevel="1">
      <c r="A134" s="28"/>
      <c r="B134" s="161">
        <v>91</v>
      </c>
      <c r="C134" s="161">
        <f>COUNTIF(Podcasts!$D$10:'Podcasts'!$D$2535,B134)</f>
        <v>5</v>
      </c>
      <c r="D134" s="159" t="s">
        <v>1119</v>
      </c>
      <c r="E134" s="156" t="str">
        <f t="array" ref="E134">IF(F134="","",INDEX(Podcasts!$J$10:'Podcasts'!$J$2535,MATCH(F134&amp;$B134,Podcasts!$E$10:'Podcasts'!$E$2535&amp;Podcasts!$D$10:'Podcasts'!$D$2535,0)))</f>
        <v>Fürst</v>
      </c>
      <c r="F134" s="131">
        <f t="array" ref="F134">IF(COUNTIF(Podcasts!$D$10:'Podcasts'!$D$2535,$B134)&lt;COLUMN(A97),"",SMALL(IF(Podcasts!$D$10:'Podcasts'!$D$2535=$B134,Podcasts!$E$10:'Podcasts'!$E$2535),COLUMN(A97)))</f>
        <v>41959</v>
      </c>
      <c r="G134" s="132">
        <f t="array" ref="G134">IF(F134="","",INDEX(Podcasts!$F$10:'Podcasts'!$F$2535,MATCH(F134&amp;$B134,Podcasts!$E$10:'Podcasts'!$E$2535&amp;Podcasts!$D$10:'Podcasts'!$D$2535,0)))</f>
        <v>1.0243055555555556E-2</v>
      </c>
      <c r="H134" s="136" t="str">
        <f t="array" ref="H134">IF(I134="","",INDEX(Podcasts!$J$10:'Podcasts'!$J$2535,MATCH(I134&amp;$B134,Podcasts!$E$10:'Podcasts'!$E$2535&amp;Podcasts!$D$10:'Podcasts'!$D$2535,0)))</f>
        <v>SSP</v>
      </c>
      <c r="I134" s="133">
        <f t="array" ref="I134">IF(COUNTIF(Podcasts!$D$10:'Podcasts'!$D$2535,$B134)&lt;COLUMN(B97),"",SMALL(IF(Podcasts!$D$10:'Podcasts'!$D$2535=$B134,Podcasts!$E$10:'Podcasts'!$E$2535),COLUMN(B97)))</f>
        <v>42886</v>
      </c>
      <c r="J134" s="132">
        <f t="array" ref="J134">IF(I134="","",INDEX(Podcasts!$F$10:'Podcasts'!$F$2535,MATCH(I134&amp;$B134,Podcasts!$E$10:'Podcasts'!$E$2535&amp;Podcasts!$D$10:'Podcasts'!$D$2535,0)))</f>
        <v>5.9236111111111107E-2</v>
      </c>
      <c r="K134" s="136" t="str">
        <f t="array" ref="K134">IF(L134="","",INDEX(Podcasts!$J$10:'Podcasts'!$J$2535,MATCH(L134&amp;$B134,Podcasts!$E$10:'Podcasts'!$E$2535&amp;Podcasts!$D$10:'Podcasts'!$D$2535,0)))</f>
        <v>Kuchen</v>
      </c>
      <c r="L134" s="133">
        <f t="array" ref="L134">IF(COUNTIF(Podcasts!$D$10:'Podcasts'!$D$2535,$B134)&lt;COLUMN(C97),"",SMALL(IF(Podcasts!$D$10:'Podcasts'!$D$2535=$B134,Podcasts!$E$10:'Podcasts'!$E$2535),COLUMN(C97)))</f>
        <v>44668</v>
      </c>
      <c r="M134" s="132">
        <f t="array" ref="M134">IF(L134="","",INDEX(Podcasts!$F$10:'Podcasts'!$F$2535,MATCH(L134&amp;$B134,Podcasts!$E$10:'Podcasts'!$E$2535&amp;Podcasts!$D$10:'Podcasts'!$D$2535,0)))</f>
        <v>7.7962962962962956E-2</v>
      </c>
      <c r="N134" s="136" t="str">
        <f t="array" ref="N134">IF(O134="","",INDEX(Podcasts!$J$10:'Podcasts'!$J$2535,MATCH(O134&amp;$B134,Podcasts!$E$10:'Podcasts'!$E$2535&amp;Podcasts!$D$10:'Podcasts'!$D$2535,0)))</f>
        <v>R&amp;A</v>
      </c>
      <c r="O134" s="133">
        <f t="array" ref="O134">IF(COUNTIF(Podcasts!$D$10:'Podcasts'!$D$2535,$B134)&lt;COLUMN(D97),"",SMALL(IF(Podcasts!$D$10:'Podcasts'!$D$2535=$B134,Podcasts!$E$10:'Podcasts'!$E$2535),COLUMN(D97)))</f>
        <v>44804.333333333336</v>
      </c>
      <c r="P134" s="132">
        <f t="array" ref="P134">IF(O134="","",INDEX(Podcasts!$F$10:'Podcasts'!$F$2535,MATCH(O134&amp;$B134,Podcasts!$E$10:'Podcasts'!$E$2535&amp;Podcasts!$D$10:'Podcasts'!$D$2535,0)))</f>
        <v>9.3055555555555558E-2</v>
      </c>
      <c r="Q134" s="136" t="str">
        <f t="array" ref="Q134">IF(R134="","",INDEX(Podcasts!$J$10:'Podcasts'!$J$2535,MATCH(R134&amp;$B134,Podcasts!$E$10:'Podcasts'!$E$2535&amp;Podcasts!$D$10:'Podcasts'!$D$2535,0)))</f>
        <v>Kaffee</v>
      </c>
      <c r="R134" s="133">
        <f t="array" ref="R134">IF(COUNTIF(Podcasts!$D$10:'Podcasts'!$D$2535,$B134)&lt;COLUMN(E97),"",SMALL(IF(Podcasts!$D$10:'Podcasts'!$D$2535=$B134,Podcasts!$E$10:'Podcasts'!$E$2535),COLUMN(E97)))</f>
        <v>44953</v>
      </c>
      <c r="S134" s="132">
        <f t="array" ref="S134">IF(R134="","",INDEX(Podcasts!$F$10:'Podcasts'!$F$2535,MATCH(R134&amp;$B134,Podcasts!$E$10:'Podcasts'!$E$2535&amp;Podcasts!$D$10:'Podcasts'!$D$2535,0)))</f>
        <v>3.7615740740740741E-2</v>
      </c>
      <c r="T134" s="136" t="str">
        <f t="array" ref="T134">IF(U134="","",INDEX(Podcasts!$J$10:'Podcasts'!$J$2535,MATCH(U134&amp;$B134,Podcasts!$E$10:'Podcasts'!$E$2535&amp;Podcasts!$D$10:'Podcasts'!$D$2535,0)))</f>
        <v/>
      </c>
      <c r="U134" s="133" t="str">
        <f t="array" ref="U134">IF(COUNTIF(Podcasts!$D$10:'Podcasts'!$D$2535,$B134)&lt;COLUMN(F97),"",SMALL(IF(Podcasts!$D$10:'Podcasts'!$D$2535=$B134,Podcasts!$E$10:'Podcasts'!$E$2535),COLUMN(F97)))</f>
        <v/>
      </c>
      <c r="V134" s="132" t="str">
        <f t="array" ref="V134">IF(U134="","",INDEX(Podcasts!$F$10:'Podcasts'!$F$2535,MATCH(U134&amp;$B134,Podcasts!$E$10:'Podcasts'!$E$2535&amp;Podcasts!$D$10:'Podcasts'!$D$2535,0)))</f>
        <v/>
      </c>
      <c r="W134" s="136" t="str">
        <f t="array" ref="W134">IF(X134="","",INDEX(Podcasts!$J$10:'Podcasts'!$J$2535,MATCH(X134&amp;$B134,Podcasts!$E$10:'Podcasts'!$E$2535&amp;Podcasts!$D$10:'Podcasts'!$D$2535,0)))</f>
        <v/>
      </c>
      <c r="X134" s="133" t="str">
        <f t="array" ref="X134">IF(COUNTIF(Podcasts!$D$10:'Podcasts'!$D$2535,$B134)&lt;COLUMN(G97),"",SMALL(IF(Podcasts!$D$10:'Podcasts'!$D$2535=$B134,Podcasts!$E$10:'Podcasts'!$E$2535),COLUMN(G97)))</f>
        <v/>
      </c>
      <c r="Y134" s="132" t="str">
        <f t="array" ref="Y134">IF(X134="","",INDEX(Podcasts!$F$10:'Podcasts'!$F$2535,MATCH(X134&amp;$B134,Podcasts!$E$10:'Podcasts'!$E$2535&amp;Podcasts!$D$10:'Podcasts'!$D$2535,0)))</f>
        <v/>
      </c>
      <c r="Z134" s="136" t="str">
        <f t="array" ref="Z134">IF(AA134="","",INDEX(Podcasts!$J$10:'Podcasts'!$J$2535,MATCH(AA134&amp;$B134,Podcasts!$E$10:'Podcasts'!$E$2535&amp;Podcasts!$D$10:'Podcasts'!$D$2535,0)))</f>
        <v/>
      </c>
      <c r="AA134" s="134" t="str">
        <f t="array" ref="AA134">IF(COUNTIF(Podcasts!$D$10:'Podcasts'!$D$2535,$B134)&lt;COLUMN(H97),"",SMALL(IF(Podcasts!$D$10:'Podcasts'!$D$2535=$B134,Podcasts!$E$10:'Podcasts'!$E$2535),COLUMN(H97)))</f>
        <v/>
      </c>
      <c r="AB134" s="404" t="str">
        <f t="array" ref="AB134">IF(AA134="","",INDEX(Podcasts!$F$10:'Podcasts'!$F$2535,MATCH(AA134&amp;$B134,Podcasts!$E$10:'Podcasts'!$E$2535&amp;Podcasts!$D$10:'Podcasts'!$D$2535,0)))</f>
        <v/>
      </c>
      <c r="AC134" s="406" t="str">
        <f t="array" ref="AC134">IF(AD134="","",INDEX(Podcasts!$J$10:'Podcasts'!$J$2535,MATCH(AD134&amp;$B134,Podcasts!$E$10:'Podcasts'!$E$2535&amp;Podcasts!$D$10:'Podcasts'!$D$2535,0)))</f>
        <v/>
      </c>
      <c r="AD134" s="400" t="str">
        <f t="array" ref="AD134">IF(COUNTIF(Podcasts!$D$10:'Podcasts'!$D$2535,$B134)&lt;COLUMN(I97),"",SMALL(IF(Podcasts!$D$10:'Podcasts'!$D$2535=$B134,Podcasts!$E$10:'Podcasts'!$E$2535),COLUMN(I97)))</f>
        <v/>
      </c>
      <c r="AE134" s="401" t="str">
        <f t="array" ref="AE134">IF(AD134="","",INDEX(Podcasts!$F$10:'Podcasts'!$F$2535,MATCH(AD134&amp;$B134,Podcasts!$E$10:'Podcasts'!$E$2535&amp;Podcasts!$D$10:'Podcasts'!$D$2535,0)))</f>
        <v/>
      </c>
      <c r="AF134" s="406" t="str">
        <f t="array" ref="AF134">IF(AG134="","",INDEX(Podcasts!$J$10:'Podcasts'!$J$2535,MATCH(AG134&amp;$B134,Podcasts!$E$10:'Podcasts'!$E$2535&amp;Podcasts!$D$10:'Podcasts'!$D$2535,0)))</f>
        <v/>
      </c>
      <c r="AG134" s="400" t="str">
        <f t="array" ref="AG134">IF(COUNTIF(Podcasts!$D$10:'Podcasts'!$D$2535,$B134)&lt;COLUMN(J97),"",SMALL(IF(Podcasts!$D$10:'Podcasts'!$D$2535=$B134,Podcasts!$E$10:'Podcasts'!$E$2535),COLUMN(J97)))</f>
        <v/>
      </c>
      <c r="AH134" s="401" t="str">
        <f t="array" ref="AH134">IF(AG134="","",INDEX(Podcasts!$F$10:'Podcasts'!$F$2535,MATCH(AG134&amp;$B134,Podcasts!$E$10:'Podcasts'!$E$2535&amp;Podcasts!$D$10:'Podcasts'!$D$2535,0)))</f>
        <v/>
      </c>
      <c r="AI134" s="406" t="str">
        <f t="array" ref="AI134">IF(AJ134="","",INDEX(Podcasts!$J$10:'Podcasts'!$J$2535,MATCH(AJ134&amp;$B134,Podcasts!$E$10:'Podcasts'!$E$2535&amp;Podcasts!$D$10:'Podcasts'!$D$2535,0)))</f>
        <v/>
      </c>
      <c r="AJ134" s="400" t="str">
        <f t="array" ref="AJ134">IF(COUNTIF(Podcasts!$D$10:'Podcasts'!$D$2535,$B134)&lt;COLUMN(K97),"",SMALL(IF(Podcasts!$D$10:'Podcasts'!$D$2535=$B134,Podcasts!$E$10:'Podcasts'!$E$2535),COLUMN(K97)))</f>
        <v/>
      </c>
      <c r="AK134" s="401" t="str">
        <f t="array" ref="AK134">IF(AJ134="","",INDEX(Podcasts!$F$10:'Podcasts'!$F$2535,MATCH(AJ134&amp;$B134,Podcasts!$E$10:'Podcasts'!$E$2535&amp;Podcasts!$D$10:'Podcasts'!$D$2535,0)))</f>
        <v/>
      </c>
      <c r="AL134" s="406" t="str">
        <f t="array" ref="AL134">IF(AM134="","",INDEX(Podcasts!$J$10:'Podcasts'!$J$2535,MATCH(AM134&amp;$B134,Podcasts!$E$10:'Podcasts'!$E$2535&amp;Podcasts!$D$10:'Podcasts'!$D$2535,0)))</f>
        <v/>
      </c>
      <c r="AM134" s="400" t="str">
        <f t="array" ref="AM134">IF(COUNTIF(Podcasts!$D$10:'Podcasts'!$D$2535,$B134)&lt;COLUMN(L97),"",SMALL(IF(Podcasts!$D$10:'Podcasts'!$D$2535=$B134,Podcasts!$E$10:'Podcasts'!$E$2535),COLUMN(L97)))</f>
        <v/>
      </c>
      <c r="AN134" s="401" t="str">
        <f t="array" ref="AN134">IF(AM134="","",INDEX(Podcasts!$F$10:'Podcasts'!$F$2535,MATCH(AM134&amp;$B134,Podcasts!$E$10:'Podcasts'!$E$2535&amp;Podcasts!$D$10:'Podcasts'!$D$2535,0)))</f>
        <v/>
      </c>
      <c r="AO134" s="402"/>
      <c r="AP134" s="119"/>
      <c r="AQ134" s="117">
        <f t="array" aca="1" ref="AQ134" ca="1">IFERROR(SMALL(IF(COUNTIF(Podcasts!$D$10:'Podcasts'!$D$107,ROW(INDIRECT("1:"&amp;K$2)))=0,ROW(INDIRECT("1:"&amp;K$2))),ROW($A91)),"")</f>
        <v>122</v>
      </c>
      <c r="AR134" s="117">
        <f t="array" aca="1" ref="AR134" ca="1">IFERROR(SMALL(IF(COUNTIF(Podcasts!$D$113:'Podcasts'!$D$238,ROW(INDIRECT("1:"&amp;K$2)))=0,ROW(INDIRECT("1:"&amp;K$2))),ROW($A91)),"")</f>
        <v>91</v>
      </c>
      <c r="AS134" s="117">
        <f t="array" aca="1" ref="AS134" ca="1">IFERROR(SMALL(IF(COUNTIF(Podcasts!$D$244:'Podcasts'!$D$299,ROW(INDIRECT("1:"&amp;K$2)))=0,ROW(INDIRECT("1:"&amp;K$2))),ROW($A91)),"")</f>
        <v>109</v>
      </c>
      <c r="AT134" s="117">
        <f t="array" aca="1" ref="AT134" ca="1">IFERROR(SMALL(IF(COUNTIF(Podcasts!$D$305:'Podcasts'!$D$473,ROW(INDIRECT("1:"&amp;K$2)))=0,ROW(INDIRECT("1:"&amp;K$2))),ROW($A91)),"")</f>
        <v>226</v>
      </c>
      <c r="AU134" s="117">
        <f t="array" aca="1" ref="AU134" ca="1">IFERROR(SMALL(IF(COUNTIF(Podcasts!$D$479:'Podcasts'!$D$488,ROW(INDIRECT("1:"&amp;K$2)))=0,ROW(INDIRECT("1:"&amp;K$2))),ROW($A91)),"")</f>
        <v>93</v>
      </c>
      <c r="AV134" s="117">
        <f t="array" aca="1" ref="AV134" ca="1">IFERROR(SMALL(IF(COUNTIF(Podcasts!$D$494:'Podcasts'!$D$518,ROW(INDIRECT("1:"&amp;K$2)))=0,ROW(INDIRECT("1:"&amp;K$2))),ROW($A91)),"")</f>
        <v>110</v>
      </c>
      <c r="AW134" s="117">
        <f t="array" aca="1" ref="AW134" ca="1">IFERROR(SMALL(IF(COUNTIF(Podcasts!$D$524:'Podcasts'!$D$532,ROW(INDIRECT("1:"&amp;K$2)))=0,ROW(INDIRECT("1:"&amp;K$2))),ROW($A91)),"")</f>
        <v>91</v>
      </c>
      <c r="AX134" s="117">
        <f t="array" aca="1" ref="AX134" ca="1">IFERROR(SMALL(IF(COUNTIF(Podcasts!$D$538:'Podcasts'!$D$909,ROW(INDIRECT("1:"&amp;K$2)))=0,ROW(INDIRECT("1:"&amp;K$2))),ROW($A91)),"")</f>
        <v>223</v>
      </c>
      <c r="AY134" s="117">
        <f t="array" aca="1" ref="AY134" ca="1">IFERROR(SMALL(IF(COUNTIF(Podcasts!$D$915:'Podcasts'!$D$981,ROW(INDIRECT("1:"&amp;K$2)))=0,ROW(INDIRECT("1:"&amp;K$2))),ROW($A91)),"")</f>
        <v>135</v>
      </c>
      <c r="AZ134" s="445"/>
      <c r="BA134" s="117">
        <f t="array" aca="1" ref="BA134" ca="1">IFERROR(SMALL(IF(COUNTIF(Podcasts!$D$1001:'Podcasts'!$D$1251,ROW(INDIRECT("1:"&amp;K$2)))=0,ROW(INDIRECT("1:"&amp;K$2))),ROW($A91)),"")</f>
        <v>137</v>
      </c>
      <c r="BB134" s="117">
        <f t="array" aca="1" ref="BB134" ca="1">IFERROR(SMALL(IF(COUNTIF(Podcasts!$D$1257:'Podcasts'!$D$1267,ROW(INDIRECT("1:"&amp;K$2)))=0,ROW(INDIRECT("1:"&amp;K$2))),ROW($A91)),"")</f>
        <v>94</v>
      </c>
      <c r="BC134" s="117">
        <f t="array" aca="1" ref="BC134" ca="1">IFERROR(SMALL(IF(COUNTIF(Podcasts!$D$1273:'Podcasts'!$D$1283,ROW(INDIRECT("1:"&amp;K$2)))=0,ROW(INDIRECT("1:"&amp;K$2))),ROW($A91)),"")</f>
        <v>95</v>
      </c>
      <c r="BD134" s="117">
        <f t="array" aca="1" ref="BD134" ca="1">IFERROR(SMALL(IF(COUNTIF(Podcasts!$D$1289:'Podcasts'!$D$1295,ROW(INDIRECT("1:"&amp;K$2)))=0,ROW(INDIRECT("1:"&amp;K$2))),ROW($A91)),"")</f>
        <v>93</v>
      </c>
      <c r="BE134" s="117">
        <f t="array" aca="1" ref="BE134" ca="1">IFERROR(SMALL(IF(COUNTIF(Podcasts!$D$1301:'Podcasts'!$D$1356,ROW(INDIRECT("1:"&amp;K$2)))=0,ROW(INDIRECT("1:"&amp;K$2))),ROW($A91)),"")</f>
        <v>138</v>
      </c>
      <c r="BF134" s="117">
        <f t="array" aca="1" ref="BF134" ca="1">IFERROR(SMALL(IF(COUNTIF(Podcasts!$D$1362:'Podcasts'!$D$1364,ROW(INDIRECT("1:"&amp;K$2)))=0,ROW(INDIRECT("1:"&amp;K$2))),ROW($A91)),"")</f>
        <v>94</v>
      </c>
      <c r="BG134" s="202">
        <f t="array" aca="1" ref="BG134" ca="1">IFERROR(SMALL(IF(COUNTIF(Podcasts!$D$1370:'Podcasts'!$D$1419,ROW(INDIRECT("1:"&amp;K$2)))=0,ROW(INDIRECT("1:"&amp;K$2))),ROW($A91)),"")</f>
        <v>115</v>
      </c>
      <c r="BH134" s="202">
        <f t="array" aca="1" ref="BH134" ca="1">IFERROR(SMALL(IF(COUNTIF(Podcasts!$D$1425:'Podcasts'!$D$1446,ROW(INDIRECT("1:"&amp;K$2)))=0,ROW(INDIRECT("1:"&amp;K$2))),ROW($A91)),"")</f>
        <v>99</v>
      </c>
      <c r="BI134" s="202">
        <f t="array" aca="1" ref="BI134" ca="1">IFERROR(SMALL(IF(COUNTIF(Podcasts!$D$1452:'Podcasts'!$D$1574,ROW(INDIRECT("1:"&amp;K$2)))=0,ROW(INDIRECT("1:"&amp;K$2))),ROW($A91)),"")</f>
        <v>155</v>
      </c>
      <c r="BJ134" s="202">
        <f t="array" aca="1" ref="BJ134" ca="1">IFERROR(SMALL(IF(COUNTIF(Podcasts!$D$1580:'Podcasts'!$D$1705,ROW(INDIRECT("1:"&amp;K$2)))=0,ROW(INDIRECT("1:"&amp;K$2))),ROW($A91)),"")</f>
        <v>154</v>
      </c>
      <c r="BK134" s="202">
        <f t="array" aca="1" ref="BK134" ca="1">IFERROR(SMALL(IF(COUNTIF(Podcasts!$D$1711:'Podcasts'!$D$1833,ROW(INDIRECT("1:"&amp;K$2)))=0,ROW(INDIRECT("1:"&amp;K$2))),ROW($A91)),"")</f>
        <v>141</v>
      </c>
      <c r="BL134" s="202">
        <f t="array" aca="1" ref="BL134" ca="1">IFERROR(SMALL(IF(COUNTIF(Podcasts!$D$1839:'Podcasts'!$D$1855,ROW(INDIRECT("1:"&amp;K$2)))=0,ROW(INDIRECT("1:"&amp;K$2))),ROW($A91)),"")</f>
        <v>100</v>
      </c>
      <c r="BM134" s="567">
        <f t="array" aca="1" ref="BM134" ca="1">IFERROR(SMALL(IF(COUNTIF(Podcasts!$D$1861:'Podcasts'!$D$1994,ROW(INDIRECT("1:"&amp;K$2)))=0,ROW(INDIRECT("1:"&amp;K$2))),ROW($A91)),"")</f>
        <v>129</v>
      </c>
      <c r="BN134" s="567">
        <f t="array" aca="1" ref="BN134" ca="1">IFERROR(SMALL(IF(COUNTIF(Podcasts!$D$2000:'Podcasts'!$D$2057,ROW(INDIRECT("1:"&amp;K$2)))=0,ROW(INDIRECT("1:"&amp;K$2))),ROW($A91)),"")</f>
        <v>146</v>
      </c>
      <c r="BO134" s="567">
        <f t="array" aca="1" ref="BO134" ca="1">IFERROR(SMALL(IF(COUNTIF(Podcasts!$D$2063:'Podcasts'!$D$2071,ROW(INDIRECT("1:"&amp;K$2)))=0,ROW(INDIRECT("1:"&amp;K$2))),ROW($A91)),"")</f>
        <v>95</v>
      </c>
      <c r="BP134" s="202">
        <f t="array" aca="1" ref="BP134" ca="1">IFERROR(SMALL(IF(COUNTIF(Podcasts!$D$2077:'Podcasts'!$D$2092,ROW(INDIRECT("1:"&amp;K$2)))=0,ROW(INDIRECT("1:"&amp;K$2))),ROW($A91)),"")</f>
        <v>102</v>
      </c>
      <c r="BQ134" s="741">
        <f t="array" aca="1" ref="BQ134" ca="1">IFERROR(SMALL(IF(COUNTIF(Podcasts!$D$2098:'Podcasts'!$D$2114,ROW(INDIRECT("1:"&amp;K$2)))=0,ROW(INDIRECT("1:"&amp;K$2))),ROW($A91)),"")</f>
        <v>98</v>
      </c>
      <c r="BR134" s="744">
        <f t="array" aca="1" ref="BR134" ca="1">IFERROR(SMALL(IF(COUNTIF(Podcasts!$D$2120:'Podcasts'!$D$2124,ROW(INDIRECT("1:"&amp;K$2)))=0,ROW(INDIRECT("1:"&amp;K$2))),ROW($A91)),"")</f>
        <v>93</v>
      </c>
      <c r="BS134" s="28"/>
    </row>
    <row r="135" spans="1:71" outlineLevel="1">
      <c r="A135" s="28"/>
      <c r="B135" s="161">
        <v>92</v>
      </c>
      <c r="C135" s="161">
        <f>COUNTIF(Podcasts!$D$10:'Podcasts'!$D$2535,B135)</f>
        <v>9</v>
      </c>
      <c r="D135" s="158" t="s">
        <v>1120</v>
      </c>
      <c r="E135" s="156" t="str">
        <f t="array" ref="E135">IF(F135="","",INDEX(Podcasts!$J$10:'Podcasts'!$J$2535,MATCH(F135&amp;$B135,Podcasts!$E$10:'Podcasts'!$E$2535&amp;Podcasts!$D$10:'Podcasts'!$D$2535,0)))</f>
        <v>???od</v>
      </c>
      <c r="F135" s="131">
        <f t="array" ref="F135">IF(COUNTIF(Podcasts!$D$10:'Podcasts'!$D$2535,$B135)&lt;COLUMN(A98),"",SMALL(IF(Podcasts!$D$10:'Podcasts'!$D$2535=$B135,Podcasts!$E$10:'Podcasts'!$E$2535),COLUMN(A98)))</f>
        <v>40919</v>
      </c>
      <c r="G135" s="132">
        <f t="array" ref="G135">IF(F135="","",INDEX(Podcasts!$F$10:'Podcasts'!$F$2535,MATCH(F135&amp;$B135,Podcasts!$E$10:'Podcasts'!$E$2535&amp;Podcasts!$D$10:'Podcasts'!$D$2535,0)))</f>
        <v>2.3761574074074074E-2</v>
      </c>
      <c r="H135" s="136" t="str">
        <f t="array" ref="H135">IF(I135="","",INDEX(Podcasts!$J$10:'Podcasts'!$J$2535,MATCH(I135&amp;$B135,Podcasts!$E$10:'Podcasts'!$E$2535&amp;Podcasts!$D$10:'Podcasts'!$D$2535,0)))</f>
        <v>Fürst</v>
      </c>
      <c r="I135" s="133">
        <f t="array" ref="I135">IF(COUNTIF(Podcasts!$D$10:'Podcasts'!$D$2535,$B135)&lt;COLUMN(B98),"",SMALL(IF(Podcasts!$D$10:'Podcasts'!$D$2535=$B135,Podcasts!$E$10:'Podcasts'!$E$2535),COLUMN(B98)))</f>
        <v>41803</v>
      </c>
      <c r="J135" s="132">
        <f t="array" ref="J135">IF(I135="","",INDEX(Podcasts!$F$10:'Podcasts'!$F$2535,MATCH(I135&amp;$B135,Podcasts!$E$10:'Podcasts'!$E$2535&amp;Podcasts!$D$10:'Podcasts'!$D$2535,0)))</f>
        <v>7.4652777777777651E-3</v>
      </c>
      <c r="K135" s="136" t="str">
        <f t="array" ref="K135">IF(L135="","",INDEX(Podcasts!$J$10:'Podcasts'!$J$2535,MATCH(L135&amp;$B135,Podcasts!$E$10:'Podcasts'!$E$2535&amp;Podcasts!$D$10:'Podcasts'!$D$2535,0)))</f>
        <v>Keller</v>
      </c>
      <c r="L135" s="133">
        <f t="array" ref="L135">IF(COUNTIF(Podcasts!$D$10:'Podcasts'!$D$2535,$B135)&lt;COLUMN(C98),"",SMALL(IF(Podcasts!$D$10:'Podcasts'!$D$2535=$B135,Podcasts!$E$10:'Podcasts'!$E$2535),COLUMN(C98)))</f>
        <v>42748</v>
      </c>
      <c r="M135" s="132">
        <f t="array" ref="M135">IF(L135="","",INDEX(Podcasts!$F$10:'Podcasts'!$F$2535,MATCH(L135&amp;$B135,Podcasts!$E$10:'Podcasts'!$E$2535&amp;Podcasts!$D$10:'Podcasts'!$D$2535,0)))</f>
        <v>2.6412037037037036E-2</v>
      </c>
      <c r="N135" s="136" t="str">
        <f t="array" ref="N135">IF(O135="","",INDEX(Podcasts!$J$10:'Podcasts'!$J$2535,MATCH(O135&amp;$B135,Podcasts!$E$10:'Podcasts'!$E$2535&amp;Podcasts!$D$10:'Podcasts'!$D$2535,0)))</f>
        <v>SSP</v>
      </c>
      <c r="O135" s="133">
        <f t="array" ref="O135">IF(COUNTIF(Podcasts!$D$10:'Podcasts'!$D$2535,$B135)&lt;COLUMN(D98),"",SMALL(IF(Podcasts!$D$10:'Podcasts'!$D$2535=$B135,Podcasts!$E$10:'Podcasts'!$E$2535),COLUMN(D98)))</f>
        <v>43005</v>
      </c>
      <c r="P135" s="132">
        <f t="array" ref="P135">IF(O135="","",INDEX(Podcasts!$F$10:'Podcasts'!$F$2535,MATCH(O135&amp;$B135,Podcasts!$E$10:'Podcasts'!$E$2535&amp;Podcasts!$D$10:'Podcasts'!$D$2535,0)))</f>
        <v>6.5856481481481488E-2</v>
      </c>
      <c r="Q135" s="136" t="str">
        <f t="array" ref="Q135">IF(R135="","",INDEX(Podcasts!$J$10:'Podcasts'!$J$2535,MATCH(R135&amp;$B135,Podcasts!$E$10:'Podcasts'!$E$2535&amp;Podcasts!$D$10:'Podcasts'!$D$2535,0)))</f>
        <v>Gebraucht</v>
      </c>
      <c r="R135" s="133">
        <f t="array" ref="R135">IF(COUNTIF(Podcasts!$D$10:'Podcasts'!$D$2535,$B135)&lt;COLUMN(E98),"",SMALL(IF(Podcasts!$D$10:'Podcasts'!$D$2535=$B135,Podcasts!$E$10:'Podcasts'!$E$2535),COLUMN(E98)))</f>
        <v>43716</v>
      </c>
      <c r="S135" s="132">
        <f t="array" ref="S135">IF(R135="","",INDEX(Podcasts!$F$10:'Podcasts'!$F$2535,MATCH(R135&amp;$B135,Podcasts!$E$10:'Podcasts'!$E$2535&amp;Podcasts!$D$10:'Podcasts'!$D$2535,0)))</f>
        <v>4.5879629629629631E-2</v>
      </c>
      <c r="T135" s="136" t="str">
        <f t="array" ref="T135">IF(U135="","",INDEX(Podcasts!$J$10:'Podcasts'!$J$2535,MATCH(U135&amp;$B135,Podcasts!$E$10:'Podcasts'!$E$2535&amp;Podcasts!$D$10:'Podcasts'!$D$2535,0)))</f>
        <v>Zentrale</v>
      </c>
      <c r="U135" s="133">
        <f t="array" ref="U135">IF(COUNTIF(Podcasts!$D$10:'Podcasts'!$D$2535,$B135)&lt;COLUMN(F98),"",SMALL(IF(Podcasts!$D$10:'Podcasts'!$D$2535=$B135,Podcasts!$E$10:'Podcasts'!$E$2535),COLUMN(F98)))</f>
        <v>43765</v>
      </c>
      <c r="V135" s="132">
        <f t="array" ref="V135">IF(U135="","",INDEX(Podcasts!$F$10:'Podcasts'!$F$2535,MATCH(U135&amp;$B135,Podcasts!$E$10:'Podcasts'!$E$2535&amp;Podcasts!$D$10:'Podcasts'!$D$2535,0)))</f>
        <v>8.2025462962962967E-2</v>
      </c>
      <c r="W135" s="136" t="str">
        <f t="array" ref="W135">IF(X135="","",INDEX(Podcasts!$J$10:'Podcasts'!$J$2535,MATCH(X135&amp;$B135,Podcasts!$E$10:'Podcasts'!$E$2535&amp;Podcasts!$D$10:'Podcasts'!$D$2535,0)))</f>
        <v>Kaffee</v>
      </c>
      <c r="X135" s="133">
        <f t="array" ref="X135">IF(COUNTIF(Podcasts!$D$10:'Podcasts'!$D$2535,$B135)&lt;COLUMN(G98),"",SMALL(IF(Podcasts!$D$10:'Podcasts'!$D$2535=$B135,Podcasts!$E$10:'Podcasts'!$E$2535),COLUMN(G98)))</f>
        <v>44617</v>
      </c>
      <c r="Y135" s="132">
        <f t="array" ref="Y135">IF(X135="","",INDEX(Podcasts!$F$10:'Podcasts'!$F$2535,MATCH(X135&amp;$B135,Podcasts!$E$10:'Podcasts'!$E$2535&amp;Podcasts!$D$10:'Podcasts'!$D$2535,0)))</f>
        <v>2.7893518518518515E-2</v>
      </c>
      <c r="Z135" s="136" t="str">
        <f t="array" ref="Z135">IF(AA135="","",INDEX(Podcasts!$J$10:'Podcasts'!$J$2535,MATCH(AA135&amp;$B135,Podcasts!$E$10:'Podcasts'!$E$2535&amp;Podcasts!$D$10:'Podcasts'!$D$2535,0)))</f>
        <v>Kuchen</v>
      </c>
      <c r="AA135" s="134">
        <f t="array" ref="AA135">IF(COUNTIF(Podcasts!$D$10:'Podcasts'!$D$2535,$B135)&lt;COLUMN(H98),"",SMALL(IF(Podcasts!$D$10:'Podcasts'!$D$2535=$B135,Podcasts!$E$10:'Podcasts'!$E$2535),COLUMN(H98)))</f>
        <v>44682</v>
      </c>
      <c r="AB135" s="404">
        <f t="array" ref="AB135">IF(AA135="","",INDEX(Podcasts!$F$10:'Podcasts'!$F$2535,MATCH(AA135&amp;$B135,Podcasts!$E$10:'Podcasts'!$E$2535&amp;Podcasts!$D$10:'Podcasts'!$D$2535,0)))</f>
        <v>9.5023148148148148E-2</v>
      </c>
      <c r="AC135" s="406" t="str">
        <f t="array" ref="AC135">IF(AD135="","",INDEX(Podcasts!$J$10:'Podcasts'!$J$2535,MATCH(AD135&amp;$B135,Podcasts!$E$10:'Podcasts'!$E$2535&amp;Podcasts!$D$10:'Podcasts'!$D$2535,0)))</f>
        <v>DGdB</v>
      </c>
      <c r="AD135" s="400">
        <f t="array" ref="AD135">IF(COUNTIF(Podcasts!$D$10:'Podcasts'!$D$2535,$B135)&lt;COLUMN(I98),"",SMALL(IF(Podcasts!$D$10:'Podcasts'!$D$2535=$B135,Podcasts!$E$10:'Podcasts'!$E$2535),COLUMN(I98)))</f>
        <v>45170</v>
      </c>
      <c r="AE135" s="401">
        <f t="array" ref="AE135">IF(AD135="","",INDEX(Podcasts!$F$10:'Podcasts'!$F$2535,MATCH(AD135&amp;$B135,Podcasts!$E$10:'Podcasts'!$E$2535&amp;Podcasts!$D$10:'Podcasts'!$D$2535,0)))</f>
        <v>0.10194444444444445</v>
      </c>
      <c r="AF135" s="406" t="str">
        <f t="array" ref="AF135">IF(AG135="","",INDEX(Podcasts!$J$10:'Podcasts'!$J$2535,MATCH(AG135&amp;$B135,Podcasts!$E$10:'Podcasts'!$E$2535&amp;Podcasts!$D$10:'Podcasts'!$D$2535,0)))</f>
        <v/>
      </c>
      <c r="AG135" s="400" t="str">
        <f t="array" ref="AG135">IF(COUNTIF(Podcasts!$D$10:'Podcasts'!$D$2535,$B135)&lt;COLUMN(J98),"",SMALL(IF(Podcasts!$D$10:'Podcasts'!$D$2535=$B135,Podcasts!$E$10:'Podcasts'!$E$2535),COLUMN(J98)))</f>
        <v/>
      </c>
      <c r="AH135" s="401" t="str">
        <f t="array" ref="AH135">IF(AG135="","",INDEX(Podcasts!$F$10:'Podcasts'!$F$2535,MATCH(AG135&amp;$B135,Podcasts!$E$10:'Podcasts'!$E$2535&amp;Podcasts!$D$10:'Podcasts'!$D$2535,0)))</f>
        <v/>
      </c>
      <c r="AI135" s="406" t="str">
        <f t="array" ref="AI135">IF(AJ135="","",INDEX(Podcasts!$J$10:'Podcasts'!$J$2535,MATCH(AJ135&amp;$B135,Podcasts!$E$10:'Podcasts'!$E$2535&amp;Podcasts!$D$10:'Podcasts'!$D$2535,0)))</f>
        <v/>
      </c>
      <c r="AJ135" s="400" t="str">
        <f t="array" ref="AJ135">IF(COUNTIF(Podcasts!$D$10:'Podcasts'!$D$2535,$B135)&lt;COLUMN(K98),"",SMALL(IF(Podcasts!$D$10:'Podcasts'!$D$2535=$B135,Podcasts!$E$10:'Podcasts'!$E$2535),COLUMN(K98)))</f>
        <v/>
      </c>
      <c r="AK135" s="401" t="str">
        <f t="array" ref="AK135">IF(AJ135="","",INDEX(Podcasts!$F$10:'Podcasts'!$F$2535,MATCH(AJ135&amp;$B135,Podcasts!$E$10:'Podcasts'!$E$2535&amp;Podcasts!$D$10:'Podcasts'!$D$2535,0)))</f>
        <v/>
      </c>
      <c r="AL135" s="406" t="str">
        <f t="array" ref="AL135">IF(AM135="","",INDEX(Podcasts!$J$10:'Podcasts'!$J$2535,MATCH(AM135&amp;$B135,Podcasts!$E$10:'Podcasts'!$E$2535&amp;Podcasts!$D$10:'Podcasts'!$D$2535,0)))</f>
        <v/>
      </c>
      <c r="AM135" s="400" t="str">
        <f t="array" ref="AM135">IF(COUNTIF(Podcasts!$D$10:'Podcasts'!$D$2535,$B135)&lt;COLUMN(L98),"",SMALL(IF(Podcasts!$D$10:'Podcasts'!$D$2535=$B135,Podcasts!$E$10:'Podcasts'!$E$2535),COLUMN(L98)))</f>
        <v/>
      </c>
      <c r="AN135" s="401" t="str">
        <f t="array" ref="AN135">IF(AM135="","",INDEX(Podcasts!$F$10:'Podcasts'!$F$2535,MATCH(AM135&amp;$B135,Podcasts!$E$10:'Podcasts'!$E$2535&amp;Podcasts!$D$10:'Podcasts'!$D$2535,0)))</f>
        <v/>
      </c>
      <c r="AO135" s="402"/>
      <c r="AP135" s="119"/>
      <c r="AQ135" s="117">
        <f t="array" aca="1" ref="AQ135" ca="1">IFERROR(SMALL(IF(COUNTIF(Podcasts!$D$10:'Podcasts'!$D$107,ROW(INDIRECT("1:"&amp;K$2)))=0,ROW(INDIRECT("1:"&amp;K$2))),ROW($A92)),"")</f>
        <v>123</v>
      </c>
      <c r="AR135" s="117">
        <f t="array" aca="1" ref="AR135" ca="1">IFERROR(SMALL(IF(COUNTIF(Podcasts!$D$113:'Podcasts'!$D$238,ROW(INDIRECT("1:"&amp;K$2)))=0,ROW(INDIRECT("1:"&amp;K$2))),ROW($A92)),"")</f>
        <v>92</v>
      </c>
      <c r="AS135" s="117">
        <f t="array" aca="1" ref="AS135" ca="1">IFERROR(SMALL(IF(COUNTIF(Podcasts!$D$244:'Podcasts'!$D$299,ROW(INDIRECT("1:"&amp;K$2)))=0,ROW(INDIRECT("1:"&amp;K$2))),ROW($A92)),"")</f>
        <v>110</v>
      </c>
      <c r="AT135" s="117" t="str">
        <f t="array" aca="1" ref="AT135" ca="1">IFERROR(SMALL(IF(COUNTIF(Podcasts!$D$305:'Podcasts'!$D$473,ROW(INDIRECT("1:"&amp;K$2)))=0,ROW(INDIRECT("1:"&amp;K$2))),ROW($A92)),"")</f>
        <v/>
      </c>
      <c r="AU135" s="117">
        <f t="array" aca="1" ref="AU135" ca="1">IFERROR(SMALL(IF(COUNTIF(Podcasts!$D$479:'Podcasts'!$D$488,ROW(INDIRECT("1:"&amp;K$2)))=0,ROW(INDIRECT("1:"&amp;K$2))),ROW($A92)),"")</f>
        <v>94</v>
      </c>
      <c r="AV135" s="117">
        <f t="array" aca="1" ref="AV135" ca="1">IFERROR(SMALL(IF(COUNTIF(Podcasts!$D$494:'Podcasts'!$D$518,ROW(INDIRECT("1:"&amp;K$2)))=0,ROW(INDIRECT("1:"&amp;K$2))),ROW($A92)),"")</f>
        <v>111</v>
      </c>
      <c r="AW135" s="117">
        <f t="array" aca="1" ref="AW135" ca="1">IFERROR(SMALL(IF(COUNTIF(Podcasts!$D$524:'Podcasts'!$D$532,ROW(INDIRECT("1:"&amp;K$2)))=0,ROW(INDIRECT("1:"&amp;K$2))),ROW($A92)),"")</f>
        <v>93</v>
      </c>
      <c r="AX135" s="117">
        <f t="array" aca="1" ref="AX135" ca="1">IFERROR(SMALL(IF(COUNTIF(Podcasts!$D$538:'Podcasts'!$D$909,ROW(INDIRECT("1:"&amp;K$2)))=0,ROW(INDIRECT("1:"&amp;K$2))),ROW($A92)),"")</f>
        <v>224</v>
      </c>
      <c r="AY135" s="117">
        <f t="array" aca="1" ref="AY135" ca="1">IFERROR(SMALL(IF(COUNTIF(Podcasts!$D$915:'Podcasts'!$D$981,ROW(INDIRECT("1:"&amp;K$2)))=0,ROW(INDIRECT("1:"&amp;K$2))),ROW($A92)),"")</f>
        <v>137</v>
      </c>
      <c r="AZ135" s="445"/>
      <c r="BA135" s="117">
        <f t="array" aca="1" ref="BA135" ca="1">IFERROR(SMALL(IF(COUNTIF(Podcasts!$D$1001:'Podcasts'!$D$1251,ROW(INDIRECT("1:"&amp;K$2)))=0,ROW(INDIRECT("1:"&amp;K$2))),ROW($A92)),"")</f>
        <v>138</v>
      </c>
      <c r="BB135" s="117">
        <f t="array" aca="1" ref="BB135" ca="1">IFERROR(SMALL(IF(COUNTIF(Podcasts!$D$1257:'Podcasts'!$D$1267,ROW(INDIRECT("1:"&amp;K$2)))=0,ROW(INDIRECT("1:"&amp;K$2))),ROW($A92)),"")</f>
        <v>95</v>
      </c>
      <c r="BC135" s="117">
        <f t="array" aca="1" ref="BC135" ca="1">IFERROR(SMALL(IF(COUNTIF(Podcasts!$D$1273:'Podcasts'!$D$1283,ROW(INDIRECT("1:"&amp;K$2)))=0,ROW(INDIRECT("1:"&amp;K$2))),ROW($A92)),"")</f>
        <v>96</v>
      </c>
      <c r="BD135" s="117">
        <f t="array" aca="1" ref="BD135" ca="1">IFERROR(SMALL(IF(COUNTIF(Podcasts!$D$1289:'Podcasts'!$D$1295,ROW(INDIRECT("1:"&amp;K$2)))=0,ROW(INDIRECT("1:"&amp;K$2))),ROW($A92)),"")</f>
        <v>94</v>
      </c>
      <c r="BE135" s="117">
        <f t="array" aca="1" ref="BE135" ca="1">IFERROR(SMALL(IF(COUNTIF(Podcasts!$D$1301:'Podcasts'!$D$1356,ROW(INDIRECT("1:"&amp;K$2)))=0,ROW(INDIRECT("1:"&amp;K$2))),ROW($A92)),"")</f>
        <v>139</v>
      </c>
      <c r="BF135" s="117">
        <f t="array" aca="1" ref="BF135" ca="1">IFERROR(SMALL(IF(COUNTIF(Podcasts!$D$1362:'Podcasts'!$D$1364,ROW(INDIRECT("1:"&amp;K$2)))=0,ROW(INDIRECT("1:"&amp;K$2))),ROW($A92)),"")</f>
        <v>95</v>
      </c>
      <c r="BG135" s="202">
        <f t="array" aca="1" ref="BG135" ca="1">IFERROR(SMALL(IF(COUNTIF(Podcasts!$D$1370:'Podcasts'!$D$1419,ROW(INDIRECT("1:"&amp;K$2)))=0,ROW(INDIRECT("1:"&amp;K$2))),ROW($A92)),"")</f>
        <v>116</v>
      </c>
      <c r="BH135" s="202">
        <f t="array" aca="1" ref="BH135" ca="1">IFERROR(SMALL(IF(COUNTIF(Podcasts!$D$1425:'Podcasts'!$D$1446,ROW(INDIRECT("1:"&amp;K$2)))=0,ROW(INDIRECT("1:"&amp;K$2))),ROW($A92)),"")</f>
        <v>100</v>
      </c>
      <c r="BI135" s="202">
        <f t="array" aca="1" ref="BI135" ca="1">IFERROR(SMALL(IF(COUNTIF(Podcasts!$D$1452:'Podcasts'!$D$1574,ROW(INDIRECT("1:"&amp;K$2)))=0,ROW(INDIRECT("1:"&amp;K$2))),ROW($A92)),"")</f>
        <v>157</v>
      </c>
      <c r="BJ135" s="202">
        <f t="array" aca="1" ref="BJ135" ca="1">IFERROR(SMALL(IF(COUNTIF(Podcasts!$D$1580:'Podcasts'!$D$1705,ROW(INDIRECT("1:"&amp;K$2)))=0,ROW(INDIRECT("1:"&amp;K$2))),ROW($A92)),"")</f>
        <v>155</v>
      </c>
      <c r="BK135" s="202">
        <f t="array" aca="1" ref="BK135" ca="1">IFERROR(SMALL(IF(COUNTIF(Podcasts!$D$1711:'Podcasts'!$D$1833,ROW(INDIRECT("1:"&amp;K$2)))=0,ROW(INDIRECT("1:"&amp;K$2))),ROW($A92)),"")</f>
        <v>142</v>
      </c>
      <c r="BL135" s="202">
        <f t="array" aca="1" ref="BL135" ca="1">IFERROR(SMALL(IF(COUNTIF(Podcasts!$D$1839:'Podcasts'!$D$1855,ROW(INDIRECT("1:"&amp;K$2)))=0,ROW(INDIRECT("1:"&amp;K$2))),ROW($A92)),"")</f>
        <v>101</v>
      </c>
      <c r="BM135" s="567">
        <f t="array" aca="1" ref="BM135" ca="1">IFERROR(SMALL(IF(COUNTIF(Podcasts!$D$1861:'Podcasts'!$D$1994,ROW(INDIRECT("1:"&amp;K$2)))=0,ROW(INDIRECT("1:"&amp;K$2))),ROW($A92)),"")</f>
        <v>132</v>
      </c>
      <c r="BN135" s="567">
        <f t="array" aca="1" ref="BN135" ca="1">IFERROR(SMALL(IF(COUNTIF(Podcasts!$D$2000:'Podcasts'!$D$2057,ROW(INDIRECT("1:"&amp;K$2)))=0,ROW(INDIRECT("1:"&amp;K$2))),ROW($A92)),"")</f>
        <v>147</v>
      </c>
      <c r="BO135" s="567">
        <f t="array" aca="1" ref="BO135" ca="1">IFERROR(SMALL(IF(COUNTIF(Podcasts!$D$2063:'Podcasts'!$D$2071,ROW(INDIRECT("1:"&amp;K$2)))=0,ROW(INDIRECT("1:"&amp;K$2))),ROW($A92)),"")</f>
        <v>96</v>
      </c>
      <c r="BP135" s="202">
        <f t="array" aca="1" ref="BP135" ca="1">IFERROR(SMALL(IF(COUNTIF(Podcasts!$D$2077:'Podcasts'!$D$2092,ROW(INDIRECT("1:"&amp;K$2)))=0,ROW(INDIRECT("1:"&amp;K$2))),ROW($A92)),"")</f>
        <v>103</v>
      </c>
      <c r="BQ135" s="741">
        <f t="array" aca="1" ref="BQ135" ca="1">IFERROR(SMALL(IF(COUNTIF(Podcasts!$D$2098:'Podcasts'!$D$2114,ROW(INDIRECT("1:"&amp;K$2)))=0,ROW(INDIRECT("1:"&amp;K$2))),ROW($A92)),"")</f>
        <v>99</v>
      </c>
      <c r="BR135" s="744">
        <f t="array" aca="1" ref="BR135" ca="1">IFERROR(SMALL(IF(COUNTIF(Podcasts!$D$2120:'Podcasts'!$D$2124,ROW(INDIRECT("1:"&amp;K$2)))=0,ROW(INDIRECT("1:"&amp;K$2))),ROW($A92)),"")</f>
        <v>94</v>
      </c>
      <c r="BS135" s="28"/>
    </row>
    <row r="136" spans="1:71" outlineLevel="1">
      <c r="A136" s="28"/>
      <c r="B136" s="161">
        <v>93</v>
      </c>
      <c r="C136" s="161">
        <f>COUNTIF(Podcasts!$D$10:'Podcasts'!$D$2535,B136)</f>
        <v>2</v>
      </c>
      <c r="D136" s="158" t="s">
        <v>1121</v>
      </c>
      <c r="E136" s="156" t="str">
        <f t="array" ref="E136">IF(F136="","",INDEX(Podcasts!$J$10:'Podcasts'!$J$2535,MATCH(F136&amp;$B136,Podcasts!$E$10:'Podcasts'!$E$2535&amp;Podcasts!$D$10:'Podcasts'!$D$2535,0)))</f>
        <v>Fürst</v>
      </c>
      <c r="F136" s="131">
        <f t="array" ref="F136">IF(COUNTIF(Podcasts!$D$10:'Podcasts'!$D$2535,$B136)&lt;COLUMN(A99),"",SMALL(IF(Podcasts!$D$10:'Podcasts'!$D$2535=$B136,Podcasts!$E$10:'Podcasts'!$E$2535),COLUMN(A99)))</f>
        <v>41917</v>
      </c>
      <c r="G136" s="132">
        <f t="array" ref="G136">IF(F136="","",INDEX(Podcasts!$F$10:'Podcasts'!$F$2535,MATCH(F136&amp;$B136,Podcasts!$E$10:'Podcasts'!$E$2535&amp;Podcasts!$D$10:'Podcasts'!$D$2535,0)))</f>
        <v>5.5555555555555532E-3</v>
      </c>
      <c r="H136" s="136" t="str">
        <f t="array" ref="H136">IF(I136="","",INDEX(Podcasts!$J$10:'Podcasts'!$J$2535,MATCH(I136&amp;$B136,Podcasts!$E$10:'Podcasts'!$E$2535&amp;Podcasts!$D$10:'Podcasts'!$D$2535,0)))</f>
        <v>Zentrale</v>
      </c>
      <c r="I136" s="133">
        <f t="array" ref="I136">IF(COUNTIF(Podcasts!$D$10:'Podcasts'!$D$2535,$B136)&lt;COLUMN(B99),"",SMALL(IF(Podcasts!$D$10:'Podcasts'!$D$2535=$B136,Podcasts!$E$10:'Podcasts'!$E$2535),COLUMN(B99)))</f>
        <v>44491</v>
      </c>
      <c r="J136" s="132">
        <f t="array" ref="J136">IF(I136="","",INDEX(Podcasts!$F$10:'Podcasts'!$F$2535,MATCH(I136&amp;$B136,Podcasts!$E$10:'Podcasts'!$E$2535&amp;Podcasts!$D$10:'Podcasts'!$D$2535,0)))</f>
        <v>0.1502199074074074</v>
      </c>
      <c r="K136" s="136" t="str">
        <f t="array" ref="K136">IF(L136="","",INDEX(Podcasts!$J$10:'Podcasts'!$J$2535,MATCH(L136&amp;$B136,Podcasts!$E$10:'Podcasts'!$E$2535&amp;Podcasts!$D$10:'Podcasts'!$D$2535,0)))</f>
        <v/>
      </c>
      <c r="L136" s="133" t="str">
        <f t="array" ref="L136">IF(COUNTIF(Podcasts!$D$10:'Podcasts'!$D$2535,$B136)&lt;COLUMN(C99),"",SMALL(IF(Podcasts!$D$10:'Podcasts'!$D$2535=$B136,Podcasts!$E$10:'Podcasts'!$E$2535),COLUMN(C99)))</f>
        <v/>
      </c>
      <c r="M136" s="132" t="str">
        <f t="array" ref="M136">IF(L136="","",INDEX(Podcasts!$F$10:'Podcasts'!$F$2535,MATCH(L136&amp;$B136,Podcasts!$E$10:'Podcasts'!$E$2535&amp;Podcasts!$D$10:'Podcasts'!$D$2535,0)))</f>
        <v/>
      </c>
      <c r="N136" s="136" t="str">
        <f t="array" ref="N136">IF(O136="","",INDEX(Podcasts!$J$10:'Podcasts'!$J$2535,MATCH(O136&amp;$B136,Podcasts!$E$10:'Podcasts'!$E$2535&amp;Podcasts!$D$10:'Podcasts'!$D$2535,0)))</f>
        <v/>
      </c>
      <c r="O136" s="133" t="str">
        <f t="array" ref="O136">IF(COUNTIF(Podcasts!$D$10:'Podcasts'!$D$2535,$B136)&lt;COLUMN(D99),"",SMALL(IF(Podcasts!$D$10:'Podcasts'!$D$2535=$B136,Podcasts!$E$10:'Podcasts'!$E$2535),COLUMN(D99)))</f>
        <v/>
      </c>
      <c r="P136" s="132" t="str">
        <f t="array" ref="P136">IF(O136="","",INDEX(Podcasts!$F$10:'Podcasts'!$F$2535,MATCH(O136&amp;$B136,Podcasts!$E$10:'Podcasts'!$E$2535&amp;Podcasts!$D$10:'Podcasts'!$D$2535,0)))</f>
        <v/>
      </c>
      <c r="Q136" s="136" t="str">
        <f t="array" ref="Q136">IF(R136="","",INDEX(Podcasts!$J$10:'Podcasts'!$J$2535,MATCH(R136&amp;$B136,Podcasts!$E$10:'Podcasts'!$E$2535&amp;Podcasts!$D$10:'Podcasts'!$D$2535,0)))</f>
        <v/>
      </c>
      <c r="R136" s="133" t="str">
        <f t="array" ref="R136">IF(COUNTIF(Podcasts!$D$10:'Podcasts'!$D$2535,$B136)&lt;COLUMN(E99),"",SMALL(IF(Podcasts!$D$10:'Podcasts'!$D$2535=$B136,Podcasts!$E$10:'Podcasts'!$E$2535),COLUMN(E99)))</f>
        <v/>
      </c>
      <c r="S136" s="132" t="str">
        <f t="array" ref="S136">IF(R136="","",INDEX(Podcasts!$F$10:'Podcasts'!$F$2535,MATCH(R136&amp;$B136,Podcasts!$E$10:'Podcasts'!$E$2535&amp;Podcasts!$D$10:'Podcasts'!$D$2535,0)))</f>
        <v/>
      </c>
      <c r="T136" s="136" t="str">
        <f t="array" ref="T136">IF(U136="","",INDEX(Podcasts!$J$10:'Podcasts'!$J$2535,MATCH(U136&amp;$B136,Podcasts!$E$10:'Podcasts'!$E$2535&amp;Podcasts!$D$10:'Podcasts'!$D$2535,0)))</f>
        <v/>
      </c>
      <c r="U136" s="133" t="str">
        <f t="array" ref="U136">IF(COUNTIF(Podcasts!$D$10:'Podcasts'!$D$2535,$B136)&lt;COLUMN(F99),"",SMALL(IF(Podcasts!$D$10:'Podcasts'!$D$2535=$B136,Podcasts!$E$10:'Podcasts'!$E$2535),COLUMN(F99)))</f>
        <v/>
      </c>
      <c r="V136" s="132" t="str">
        <f t="array" ref="V136">IF(U136="","",INDEX(Podcasts!$F$10:'Podcasts'!$F$2535,MATCH(U136&amp;$B136,Podcasts!$E$10:'Podcasts'!$E$2535&amp;Podcasts!$D$10:'Podcasts'!$D$2535,0)))</f>
        <v/>
      </c>
      <c r="W136" s="136" t="str">
        <f t="array" ref="W136">IF(X136="","",INDEX(Podcasts!$J$10:'Podcasts'!$J$2535,MATCH(X136&amp;$B136,Podcasts!$E$10:'Podcasts'!$E$2535&amp;Podcasts!$D$10:'Podcasts'!$D$2535,0)))</f>
        <v/>
      </c>
      <c r="X136" s="133" t="str">
        <f t="array" ref="X136">IF(COUNTIF(Podcasts!$D$10:'Podcasts'!$D$2535,$B136)&lt;COLUMN(G99),"",SMALL(IF(Podcasts!$D$10:'Podcasts'!$D$2535=$B136,Podcasts!$E$10:'Podcasts'!$E$2535),COLUMN(G99)))</f>
        <v/>
      </c>
      <c r="Y136" s="132" t="str">
        <f t="array" ref="Y136">IF(X136="","",INDEX(Podcasts!$F$10:'Podcasts'!$F$2535,MATCH(X136&amp;$B136,Podcasts!$E$10:'Podcasts'!$E$2535&amp;Podcasts!$D$10:'Podcasts'!$D$2535,0)))</f>
        <v/>
      </c>
      <c r="Z136" s="136" t="str">
        <f t="array" ref="Z136">IF(AA136="","",INDEX(Podcasts!$J$10:'Podcasts'!$J$2535,MATCH(AA136&amp;$B136,Podcasts!$E$10:'Podcasts'!$E$2535&amp;Podcasts!$D$10:'Podcasts'!$D$2535,0)))</f>
        <v/>
      </c>
      <c r="AA136" s="134" t="str">
        <f t="array" ref="AA136">IF(COUNTIF(Podcasts!$D$10:'Podcasts'!$D$2535,$B136)&lt;COLUMN(H99),"",SMALL(IF(Podcasts!$D$10:'Podcasts'!$D$2535=$B136,Podcasts!$E$10:'Podcasts'!$E$2535),COLUMN(H99)))</f>
        <v/>
      </c>
      <c r="AB136" s="404" t="str">
        <f t="array" ref="AB136">IF(AA136="","",INDEX(Podcasts!$F$10:'Podcasts'!$F$2535,MATCH(AA136&amp;$B136,Podcasts!$E$10:'Podcasts'!$E$2535&amp;Podcasts!$D$10:'Podcasts'!$D$2535,0)))</f>
        <v/>
      </c>
      <c r="AC136" s="406" t="str">
        <f t="array" ref="AC136">IF(AD136="","",INDEX(Podcasts!$J$10:'Podcasts'!$J$2535,MATCH(AD136&amp;$B136,Podcasts!$E$10:'Podcasts'!$E$2535&amp;Podcasts!$D$10:'Podcasts'!$D$2535,0)))</f>
        <v/>
      </c>
      <c r="AD136" s="400" t="str">
        <f t="array" ref="AD136">IF(COUNTIF(Podcasts!$D$10:'Podcasts'!$D$2535,$B136)&lt;COLUMN(I99),"",SMALL(IF(Podcasts!$D$10:'Podcasts'!$D$2535=$B136,Podcasts!$E$10:'Podcasts'!$E$2535),COLUMN(I99)))</f>
        <v/>
      </c>
      <c r="AE136" s="401" t="str">
        <f t="array" ref="AE136">IF(AD136="","",INDEX(Podcasts!$F$10:'Podcasts'!$F$2535,MATCH(AD136&amp;$B136,Podcasts!$E$10:'Podcasts'!$E$2535&amp;Podcasts!$D$10:'Podcasts'!$D$2535,0)))</f>
        <v/>
      </c>
      <c r="AF136" s="406" t="str">
        <f t="array" ref="AF136">IF(AG136="","",INDEX(Podcasts!$J$10:'Podcasts'!$J$2535,MATCH(AG136&amp;$B136,Podcasts!$E$10:'Podcasts'!$E$2535&amp;Podcasts!$D$10:'Podcasts'!$D$2535,0)))</f>
        <v/>
      </c>
      <c r="AG136" s="400" t="str">
        <f t="array" ref="AG136">IF(COUNTIF(Podcasts!$D$10:'Podcasts'!$D$2535,$B136)&lt;COLUMN(J99),"",SMALL(IF(Podcasts!$D$10:'Podcasts'!$D$2535=$B136,Podcasts!$E$10:'Podcasts'!$E$2535),COLUMN(J99)))</f>
        <v/>
      </c>
      <c r="AH136" s="401" t="str">
        <f t="array" ref="AH136">IF(AG136="","",INDEX(Podcasts!$F$10:'Podcasts'!$F$2535,MATCH(AG136&amp;$B136,Podcasts!$E$10:'Podcasts'!$E$2535&amp;Podcasts!$D$10:'Podcasts'!$D$2535,0)))</f>
        <v/>
      </c>
      <c r="AI136" s="406" t="str">
        <f t="array" ref="AI136">IF(AJ136="","",INDEX(Podcasts!$J$10:'Podcasts'!$J$2535,MATCH(AJ136&amp;$B136,Podcasts!$E$10:'Podcasts'!$E$2535&amp;Podcasts!$D$10:'Podcasts'!$D$2535,0)))</f>
        <v/>
      </c>
      <c r="AJ136" s="400" t="str">
        <f t="array" ref="AJ136">IF(COUNTIF(Podcasts!$D$10:'Podcasts'!$D$2535,$B136)&lt;COLUMN(K99),"",SMALL(IF(Podcasts!$D$10:'Podcasts'!$D$2535=$B136,Podcasts!$E$10:'Podcasts'!$E$2535),COLUMN(K99)))</f>
        <v/>
      </c>
      <c r="AK136" s="401" t="str">
        <f t="array" ref="AK136">IF(AJ136="","",INDEX(Podcasts!$F$10:'Podcasts'!$F$2535,MATCH(AJ136&amp;$B136,Podcasts!$E$10:'Podcasts'!$E$2535&amp;Podcasts!$D$10:'Podcasts'!$D$2535,0)))</f>
        <v/>
      </c>
      <c r="AL136" s="406" t="str">
        <f t="array" ref="AL136">IF(AM136="","",INDEX(Podcasts!$J$10:'Podcasts'!$J$2535,MATCH(AM136&amp;$B136,Podcasts!$E$10:'Podcasts'!$E$2535&amp;Podcasts!$D$10:'Podcasts'!$D$2535,0)))</f>
        <v/>
      </c>
      <c r="AM136" s="400" t="str">
        <f t="array" ref="AM136">IF(COUNTIF(Podcasts!$D$10:'Podcasts'!$D$2535,$B136)&lt;COLUMN(L99),"",SMALL(IF(Podcasts!$D$10:'Podcasts'!$D$2535=$B136,Podcasts!$E$10:'Podcasts'!$E$2535),COLUMN(L99)))</f>
        <v/>
      </c>
      <c r="AN136" s="401" t="str">
        <f t="array" ref="AN136">IF(AM136="","",INDEX(Podcasts!$F$10:'Podcasts'!$F$2535,MATCH(AM136&amp;$B136,Podcasts!$E$10:'Podcasts'!$E$2535&amp;Podcasts!$D$10:'Podcasts'!$D$2535,0)))</f>
        <v/>
      </c>
      <c r="AO136" s="402"/>
      <c r="AP136" s="119"/>
      <c r="AQ136" s="117">
        <f t="array" aca="1" ref="AQ136" ca="1">IFERROR(SMALL(IF(COUNTIF(Podcasts!$D$10:'Podcasts'!$D$107,ROW(INDIRECT("1:"&amp;K$2)))=0,ROW(INDIRECT("1:"&amp;K$2))),ROW($A93)),"")</f>
        <v>124</v>
      </c>
      <c r="AR136" s="117">
        <f t="array" aca="1" ref="AR136" ca="1">IFERROR(SMALL(IF(COUNTIF(Podcasts!$D$113:'Podcasts'!$D$238,ROW(INDIRECT("1:"&amp;K$2)))=0,ROW(INDIRECT("1:"&amp;K$2))),ROW($A93)),"")</f>
        <v>93</v>
      </c>
      <c r="AS136" s="117">
        <f t="array" aca="1" ref="AS136" ca="1">IFERROR(SMALL(IF(COUNTIF(Podcasts!$D$244:'Podcasts'!$D$299,ROW(INDIRECT("1:"&amp;K$2)))=0,ROW(INDIRECT("1:"&amp;K$2))),ROW($A93)),"")</f>
        <v>112</v>
      </c>
      <c r="AT136" s="117" t="str">
        <f t="array" aca="1" ref="AT136" ca="1">IFERROR(SMALL(IF(COUNTIF(Podcasts!$D$305:'Podcasts'!$D$473,ROW(INDIRECT("1:"&amp;K$2)))=0,ROW(INDIRECT("1:"&amp;K$2))),ROW($A93)),"")</f>
        <v/>
      </c>
      <c r="AU136" s="117">
        <f t="array" aca="1" ref="AU136" ca="1">IFERROR(SMALL(IF(COUNTIF(Podcasts!$D$479:'Podcasts'!$D$488,ROW(INDIRECT("1:"&amp;K$2)))=0,ROW(INDIRECT("1:"&amp;K$2))),ROW($A93)),"")</f>
        <v>95</v>
      </c>
      <c r="AV136" s="117">
        <f t="array" aca="1" ref="AV136" ca="1">IFERROR(SMALL(IF(COUNTIF(Podcasts!$D$494:'Podcasts'!$D$518,ROW(INDIRECT("1:"&amp;K$2)))=0,ROW(INDIRECT("1:"&amp;K$2))),ROW($A93)),"")</f>
        <v>113</v>
      </c>
      <c r="AW136" s="117">
        <f t="array" aca="1" ref="AW136" ca="1">IFERROR(SMALL(IF(COUNTIF(Podcasts!$D$524:'Podcasts'!$D$532,ROW(INDIRECT("1:"&amp;K$2)))=0,ROW(INDIRECT("1:"&amp;K$2))),ROW($A93)),"")</f>
        <v>94</v>
      </c>
      <c r="AX136" s="117">
        <f t="array" aca="1" ref="AX136" ca="1">IFERROR(SMALL(IF(COUNTIF(Podcasts!$D$538:'Podcasts'!$D$909,ROW(INDIRECT("1:"&amp;K$2)))=0,ROW(INDIRECT("1:"&amp;K$2))),ROW($A93)),"")</f>
        <v>225</v>
      </c>
      <c r="AY136" s="117">
        <f t="array" aca="1" ref="AY136" ca="1">IFERROR(SMALL(IF(COUNTIF(Podcasts!$D$915:'Podcasts'!$D$981,ROW(INDIRECT("1:"&amp;K$2)))=0,ROW(INDIRECT("1:"&amp;K$2))),ROW($A93)),"")</f>
        <v>138</v>
      </c>
      <c r="AZ136" s="445"/>
      <c r="BA136" s="117">
        <f t="array" aca="1" ref="BA136" ca="1">IFERROR(SMALL(IF(COUNTIF(Podcasts!$D$1001:'Podcasts'!$D$1251,ROW(INDIRECT("1:"&amp;K$2)))=0,ROW(INDIRECT("1:"&amp;K$2))),ROW($A93)),"")</f>
        <v>139</v>
      </c>
      <c r="BB136" s="117">
        <f t="array" aca="1" ref="BB136" ca="1">IFERROR(SMALL(IF(COUNTIF(Podcasts!$D$1257:'Podcasts'!$D$1267,ROW(INDIRECT("1:"&amp;K$2)))=0,ROW(INDIRECT("1:"&amp;K$2))),ROW($A93)),"")</f>
        <v>96</v>
      </c>
      <c r="BC136" s="117">
        <f t="array" aca="1" ref="BC136" ca="1">IFERROR(SMALL(IF(COUNTIF(Podcasts!$D$1273:'Podcasts'!$D$1283,ROW(INDIRECT("1:"&amp;K$2)))=0,ROW(INDIRECT("1:"&amp;K$2))),ROW($A93)),"")</f>
        <v>97</v>
      </c>
      <c r="BD136" s="117">
        <f t="array" aca="1" ref="BD136" ca="1">IFERROR(SMALL(IF(COUNTIF(Podcasts!$D$1289:'Podcasts'!$D$1295,ROW(INDIRECT("1:"&amp;K$2)))=0,ROW(INDIRECT("1:"&amp;K$2))),ROW($A93)),"")</f>
        <v>95</v>
      </c>
      <c r="BE136" s="117">
        <f t="array" aca="1" ref="BE136" ca="1">IFERROR(SMALL(IF(COUNTIF(Podcasts!$D$1301:'Podcasts'!$D$1356,ROW(INDIRECT("1:"&amp;K$2)))=0,ROW(INDIRECT("1:"&amp;K$2))),ROW($A93)),"")</f>
        <v>140</v>
      </c>
      <c r="BF136" s="117">
        <f t="array" aca="1" ref="BF136" ca="1">IFERROR(SMALL(IF(COUNTIF(Podcasts!$D$1362:'Podcasts'!$D$1364,ROW(INDIRECT("1:"&amp;K$2)))=0,ROW(INDIRECT("1:"&amp;K$2))),ROW($A93)),"")</f>
        <v>96</v>
      </c>
      <c r="BG136" s="202">
        <f t="array" aca="1" ref="BG136" ca="1">IFERROR(SMALL(IF(COUNTIF(Podcasts!$D$1370:'Podcasts'!$D$1419,ROW(INDIRECT("1:"&amp;K$2)))=0,ROW(INDIRECT("1:"&amp;K$2))),ROW($A93)),"")</f>
        <v>118</v>
      </c>
      <c r="BH136" s="202">
        <f t="array" aca="1" ref="BH136" ca="1">IFERROR(SMALL(IF(COUNTIF(Podcasts!$D$1425:'Podcasts'!$D$1446,ROW(INDIRECT("1:"&amp;K$2)))=0,ROW(INDIRECT("1:"&amp;K$2))),ROW($A93)),"")</f>
        <v>101</v>
      </c>
      <c r="BI136" s="202">
        <f t="array" aca="1" ref="BI136" ca="1">IFERROR(SMALL(IF(COUNTIF(Podcasts!$D$1452:'Podcasts'!$D$1574,ROW(INDIRECT("1:"&amp;K$2)))=0,ROW(INDIRECT("1:"&amp;K$2))),ROW($A93)),"")</f>
        <v>158</v>
      </c>
      <c r="BJ136" s="202">
        <f t="array" aca="1" ref="BJ136" ca="1">IFERROR(SMALL(IF(COUNTIF(Podcasts!$D$1580:'Podcasts'!$D$1705,ROW(INDIRECT("1:"&amp;K$2)))=0,ROW(INDIRECT("1:"&amp;K$2))),ROW($A93)),"")</f>
        <v>156</v>
      </c>
      <c r="BK136" s="202">
        <f t="array" aca="1" ref="BK136" ca="1">IFERROR(SMALL(IF(COUNTIF(Podcasts!$D$1711:'Podcasts'!$D$1833,ROW(INDIRECT("1:"&amp;K$2)))=0,ROW(INDIRECT("1:"&amp;K$2))),ROW($A93)),"")</f>
        <v>143</v>
      </c>
      <c r="BL136" s="202">
        <f t="array" aca="1" ref="BL136" ca="1">IFERROR(SMALL(IF(COUNTIF(Podcasts!$D$1839:'Podcasts'!$D$1855,ROW(INDIRECT("1:"&amp;K$2)))=0,ROW(INDIRECT("1:"&amp;K$2))),ROW($A93)),"")</f>
        <v>102</v>
      </c>
      <c r="BM136" s="567">
        <f t="array" aca="1" ref="BM136" ca="1">IFERROR(SMALL(IF(COUNTIF(Podcasts!$D$1861:'Podcasts'!$D$1994,ROW(INDIRECT("1:"&amp;K$2)))=0,ROW(INDIRECT("1:"&amp;K$2))),ROW($A93)),"")</f>
        <v>133</v>
      </c>
      <c r="BN136" s="567">
        <f t="array" aca="1" ref="BN136" ca="1">IFERROR(SMALL(IF(COUNTIF(Podcasts!$D$2000:'Podcasts'!$D$2057,ROW(INDIRECT("1:"&amp;K$2)))=0,ROW(INDIRECT("1:"&amp;K$2))),ROW($A93)),"")</f>
        <v>148</v>
      </c>
      <c r="BO136" s="567">
        <f t="array" aca="1" ref="BO136" ca="1">IFERROR(SMALL(IF(COUNTIF(Podcasts!$D$2063:'Podcasts'!$D$2071,ROW(INDIRECT("1:"&amp;K$2)))=0,ROW(INDIRECT("1:"&amp;K$2))),ROW($A93)),"")</f>
        <v>97</v>
      </c>
      <c r="BP136" s="202">
        <f t="array" aca="1" ref="BP136" ca="1">IFERROR(SMALL(IF(COUNTIF(Podcasts!$D$2077:'Podcasts'!$D$2092,ROW(INDIRECT("1:"&amp;K$2)))=0,ROW(INDIRECT("1:"&amp;K$2))),ROW($A93)),"")</f>
        <v>104</v>
      </c>
      <c r="BQ136" s="741">
        <f t="array" aca="1" ref="BQ136" ca="1">IFERROR(SMALL(IF(COUNTIF(Podcasts!$D$2098:'Podcasts'!$D$2114,ROW(INDIRECT("1:"&amp;K$2)))=0,ROW(INDIRECT("1:"&amp;K$2))),ROW($A93)),"")</f>
        <v>100</v>
      </c>
      <c r="BR136" s="744">
        <f t="array" aca="1" ref="BR136" ca="1">IFERROR(SMALL(IF(COUNTIF(Podcasts!$D$2120:'Podcasts'!$D$2124,ROW(INDIRECT("1:"&amp;K$2)))=0,ROW(INDIRECT("1:"&amp;K$2))),ROW($A93)),"")</f>
        <v>95</v>
      </c>
      <c r="BS136" s="28"/>
    </row>
    <row r="137" spans="1:71" outlineLevel="1">
      <c r="A137" s="28"/>
      <c r="B137" s="161">
        <v>94</v>
      </c>
      <c r="C137" s="161">
        <f>COUNTIF(Podcasts!$D$10:'Podcasts'!$D$2535,B137)</f>
        <v>3</v>
      </c>
      <c r="D137" s="158" t="s">
        <v>1122</v>
      </c>
      <c r="E137" s="156" t="str">
        <f t="array" ref="E137">IF(F137="","",INDEX(Podcasts!$J$10:'Podcasts'!$J$2535,MATCH(F137&amp;$B137,Podcasts!$E$10:'Podcasts'!$E$2535&amp;Podcasts!$D$10:'Podcasts'!$D$2535,0)))</f>
        <v>Fürst</v>
      </c>
      <c r="F137" s="131">
        <f t="array" ref="F137">IF(COUNTIF(Podcasts!$D$10:'Podcasts'!$D$2535,$B137)&lt;COLUMN(A100),"",SMALL(IF(Podcasts!$D$10:'Podcasts'!$D$2535=$B137,Podcasts!$E$10:'Podcasts'!$E$2535),COLUMN(A100)))</f>
        <v>41839</v>
      </c>
      <c r="G137" s="132">
        <f t="array" ref="G137">IF(F137="","",INDEX(Podcasts!$F$10:'Podcasts'!$F$2535,MATCH(F137&amp;$B137,Podcasts!$E$10:'Podcasts'!$E$2535&amp;Podcasts!$D$10:'Podcasts'!$D$2535,0)))</f>
        <v>4.5138888888888867E-3</v>
      </c>
      <c r="H137" s="136" t="str">
        <f t="array" ref="H137">IF(I137="","",INDEX(Podcasts!$J$10:'Podcasts'!$J$2535,MATCH(I137&amp;$B137,Podcasts!$E$10:'Podcasts'!$E$2535&amp;Podcasts!$D$10:'Podcasts'!$D$2535,0)))</f>
        <v>Kuchen</v>
      </c>
      <c r="I137" s="133">
        <f t="array" ref="I137">IF(COUNTIF(Podcasts!$D$10:'Podcasts'!$D$2535,$B137)&lt;COLUMN(B100),"",SMALL(IF(Podcasts!$D$10:'Podcasts'!$D$2535=$B137,Podcasts!$E$10:'Podcasts'!$E$2535),COLUMN(B100)))</f>
        <v>44571.001273148147</v>
      </c>
      <c r="J137" s="132">
        <f t="array" ref="J137">IF(I137="","",INDEX(Podcasts!$F$10:'Podcasts'!$F$2535,MATCH(I137&amp;$B137,Podcasts!$E$10:'Podcasts'!$E$2535&amp;Podcasts!$D$10:'Podcasts'!$D$2535,0)))</f>
        <v>7.1932870370370369E-2</v>
      </c>
      <c r="K137" s="136" t="str">
        <f t="array" ref="K137">IF(L137="","",INDEX(Podcasts!$J$10:'Podcasts'!$J$2535,MATCH(L137&amp;$B137,Podcasts!$E$10:'Podcasts'!$E$2535&amp;Podcasts!$D$10:'Podcasts'!$D$2535,0)))</f>
        <v>Zw3i</v>
      </c>
      <c r="L137" s="133">
        <f t="array" ref="L137">IF(COUNTIF(Podcasts!$D$10:'Podcasts'!$D$2535,$B137)&lt;COLUMN(C100),"",SMALL(IF(Podcasts!$D$10:'Podcasts'!$D$2535=$B137,Podcasts!$E$10:'Podcasts'!$E$2535),COLUMN(C100)))</f>
        <v>44834</v>
      </c>
      <c r="M137" s="132">
        <f t="array" ref="M137">IF(L137="","",INDEX(Podcasts!$F$10:'Podcasts'!$F$2535,MATCH(L137&amp;$B137,Podcasts!$E$10:'Podcasts'!$E$2535&amp;Podcasts!$D$10:'Podcasts'!$D$2535,0)))</f>
        <v>8.9131944444444444E-2</v>
      </c>
      <c r="N137" s="136" t="str">
        <f t="array" ref="N137">IF(O137="","",INDEX(Podcasts!$J$10:'Podcasts'!$J$2535,MATCH(O137&amp;$B137,Podcasts!$E$10:'Podcasts'!$E$2535&amp;Podcasts!$D$10:'Podcasts'!$D$2535,0)))</f>
        <v/>
      </c>
      <c r="O137" s="133" t="str">
        <f t="array" ref="O137">IF(COUNTIF(Podcasts!$D$10:'Podcasts'!$D$2535,$B137)&lt;COLUMN(D100),"",SMALL(IF(Podcasts!$D$10:'Podcasts'!$D$2535=$B137,Podcasts!$E$10:'Podcasts'!$E$2535),COLUMN(D100)))</f>
        <v/>
      </c>
      <c r="P137" s="132" t="str">
        <f t="array" ref="P137">IF(O137="","",INDEX(Podcasts!$F$10:'Podcasts'!$F$2535,MATCH(O137&amp;$B137,Podcasts!$E$10:'Podcasts'!$E$2535&amp;Podcasts!$D$10:'Podcasts'!$D$2535,0)))</f>
        <v/>
      </c>
      <c r="Q137" s="136" t="str">
        <f t="array" ref="Q137">IF(R137="","",INDEX(Podcasts!$J$10:'Podcasts'!$J$2535,MATCH(R137&amp;$B137,Podcasts!$E$10:'Podcasts'!$E$2535&amp;Podcasts!$D$10:'Podcasts'!$D$2535,0)))</f>
        <v/>
      </c>
      <c r="R137" s="133" t="str">
        <f t="array" ref="R137">IF(COUNTIF(Podcasts!$D$10:'Podcasts'!$D$2535,$B137)&lt;COLUMN(E100),"",SMALL(IF(Podcasts!$D$10:'Podcasts'!$D$2535=$B137,Podcasts!$E$10:'Podcasts'!$E$2535),COLUMN(E100)))</f>
        <v/>
      </c>
      <c r="S137" s="132" t="str">
        <f t="array" ref="S137">IF(R137="","",INDEX(Podcasts!$F$10:'Podcasts'!$F$2535,MATCH(R137&amp;$B137,Podcasts!$E$10:'Podcasts'!$E$2535&amp;Podcasts!$D$10:'Podcasts'!$D$2535,0)))</f>
        <v/>
      </c>
      <c r="T137" s="136" t="str">
        <f t="array" ref="T137">IF(U137="","",INDEX(Podcasts!$J$10:'Podcasts'!$J$2535,MATCH(U137&amp;$B137,Podcasts!$E$10:'Podcasts'!$E$2535&amp;Podcasts!$D$10:'Podcasts'!$D$2535,0)))</f>
        <v/>
      </c>
      <c r="U137" s="133" t="str">
        <f t="array" ref="U137">IF(COUNTIF(Podcasts!$D$10:'Podcasts'!$D$2535,$B137)&lt;COLUMN(F100),"",SMALL(IF(Podcasts!$D$10:'Podcasts'!$D$2535=$B137,Podcasts!$E$10:'Podcasts'!$E$2535),COLUMN(F100)))</f>
        <v/>
      </c>
      <c r="V137" s="132" t="str">
        <f t="array" ref="V137">IF(U137="","",INDEX(Podcasts!$F$10:'Podcasts'!$F$2535,MATCH(U137&amp;$B137,Podcasts!$E$10:'Podcasts'!$E$2535&amp;Podcasts!$D$10:'Podcasts'!$D$2535,0)))</f>
        <v/>
      </c>
      <c r="W137" s="136" t="str">
        <f t="array" ref="W137">IF(X137="","",INDEX(Podcasts!$J$10:'Podcasts'!$J$2535,MATCH(X137&amp;$B137,Podcasts!$E$10:'Podcasts'!$E$2535&amp;Podcasts!$D$10:'Podcasts'!$D$2535,0)))</f>
        <v/>
      </c>
      <c r="X137" s="133" t="str">
        <f t="array" ref="X137">IF(COUNTIF(Podcasts!$D$10:'Podcasts'!$D$2535,$B137)&lt;COLUMN(G100),"",SMALL(IF(Podcasts!$D$10:'Podcasts'!$D$2535=$B137,Podcasts!$E$10:'Podcasts'!$E$2535),COLUMN(G100)))</f>
        <v/>
      </c>
      <c r="Y137" s="132" t="str">
        <f t="array" ref="Y137">IF(X137="","",INDEX(Podcasts!$F$10:'Podcasts'!$F$2535,MATCH(X137&amp;$B137,Podcasts!$E$10:'Podcasts'!$E$2535&amp;Podcasts!$D$10:'Podcasts'!$D$2535,0)))</f>
        <v/>
      </c>
      <c r="Z137" s="136" t="str">
        <f t="array" ref="Z137">IF(AA137="","",INDEX(Podcasts!$J$10:'Podcasts'!$J$2535,MATCH(AA137&amp;$B137,Podcasts!$E$10:'Podcasts'!$E$2535&amp;Podcasts!$D$10:'Podcasts'!$D$2535,0)))</f>
        <v/>
      </c>
      <c r="AA137" s="134" t="str">
        <f t="array" ref="AA137">IF(COUNTIF(Podcasts!$D$10:'Podcasts'!$D$2535,$B137)&lt;COLUMN(H100),"",SMALL(IF(Podcasts!$D$10:'Podcasts'!$D$2535=$B137,Podcasts!$E$10:'Podcasts'!$E$2535),COLUMN(H100)))</f>
        <v/>
      </c>
      <c r="AB137" s="404" t="str">
        <f t="array" ref="AB137">IF(AA137="","",INDEX(Podcasts!$F$10:'Podcasts'!$F$2535,MATCH(AA137&amp;$B137,Podcasts!$E$10:'Podcasts'!$E$2535&amp;Podcasts!$D$10:'Podcasts'!$D$2535,0)))</f>
        <v/>
      </c>
      <c r="AC137" s="406" t="str">
        <f t="array" ref="AC137">IF(AD137="","",INDEX(Podcasts!$J$10:'Podcasts'!$J$2535,MATCH(AD137&amp;$B137,Podcasts!$E$10:'Podcasts'!$E$2535&amp;Podcasts!$D$10:'Podcasts'!$D$2535,0)))</f>
        <v/>
      </c>
      <c r="AD137" s="400" t="str">
        <f t="array" ref="AD137">IF(COUNTIF(Podcasts!$D$10:'Podcasts'!$D$2535,$B137)&lt;COLUMN(I100),"",SMALL(IF(Podcasts!$D$10:'Podcasts'!$D$2535=$B137,Podcasts!$E$10:'Podcasts'!$E$2535),COLUMN(I100)))</f>
        <v/>
      </c>
      <c r="AE137" s="401" t="str">
        <f t="array" ref="AE137">IF(AD137="","",INDEX(Podcasts!$F$10:'Podcasts'!$F$2535,MATCH(AD137&amp;$B137,Podcasts!$E$10:'Podcasts'!$E$2535&amp;Podcasts!$D$10:'Podcasts'!$D$2535,0)))</f>
        <v/>
      </c>
      <c r="AF137" s="406" t="str">
        <f t="array" ref="AF137">IF(AG137="","",INDEX(Podcasts!$J$10:'Podcasts'!$J$2535,MATCH(AG137&amp;$B137,Podcasts!$E$10:'Podcasts'!$E$2535&amp;Podcasts!$D$10:'Podcasts'!$D$2535,0)))</f>
        <v/>
      </c>
      <c r="AG137" s="400" t="str">
        <f t="array" ref="AG137">IF(COUNTIF(Podcasts!$D$10:'Podcasts'!$D$2535,$B137)&lt;COLUMN(J100),"",SMALL(IF(Podcasts!$D$10:'Podcasts'!$D$2535=$B137,Podcasts!$E$10:'Podcasts'!$E$2535),COLUMN(J100)))</f>
        <v/>
      </c>
      <c r="AH137" s="401" t="str">
        <f t="array" ref="AH137">IF(AG137="","",INDEX(Podcasts!$F$10:'Podcasts'!$F$2535,MATCH(AG137&amp;$B137,Podcasts!$E$10:'Podcasts'!$E$2535&amp;Podcasts!$D$10:'Podcasts'!$D$2535,0)))</f>
        <v/>
      </c>
      <c r="AI137" s="406" t="str">
        <f t="array" ref="AI137">IF(AJ137="","",INDEX(Podcasts!$J$10:'Podcasts'!$J$2535,MATCH(AJ137&amp;$B137,Podcasts!$E$10:'Podcasts'!$E$2535&amp;Podcasts!$D$10:'Podcasts'!$D$2535,0)))</f>
        <v/>
      </c>
      <c r="AJ137" s="400" t="str">
        <f t="array" ref="AJ137">IF(COUNTIF(Podcasts!$D$10:'Podcasts'!$D$2535,$B137)&lt;COLUMN(K100),"",SMALL(IF(Podcasts!$D$10:'Podcasts'!$D$2535=$B137,Podcasts!$E$10:'Podcasts'!$E$2535),COLUMN(K100)))</f>
        <v/>
      </c>
      <c r="AK137" s="401" t="str">
        <f t="array" ref="AK137">IF(AJ137="","",INDEX(Podcasts!$F$10:'Podcasts'!$F$2535,MATCH(AJ137&amp;$B137,Podcasts!$E$10:'Podcasts'!$E$2535&amp;Podcasts!$D$10:'Podcasts'!$D$2535,0)))</f>
        <v/>
      </c>
      <c r="AL137" s="406" t="str">
        <f t="array" ref="AL137">IF(AM137="","",INDEX(Podcasts!$J$10:'Podcasts'!$J$2535,MATCH(AM137&amp;$B137,Podcasts!$E$10:'Podcasts'!$E$2535&amp;Podcasts!$D$10:'Podcasts'!$D$2535,0)))</f>
        <v/>
      </c>
      <c r="AM137" s="400" t="str">
        <f t="array" ref="AM137">IF(COUNTIF(Podcasts!$D$10:'Podcasts'!$D$2535,$B137)&lt;COLUMN(L100),"",SMALL(IF(Podcasts!$D$10:'Podcasts'!$D$2535=$B137,Podcasts!$E$10:'Podcasts'!$E$2535),COLUMN(L100)))</f>
        <v/>
      </c>
      <c r="AN137" s="401" t="str">
        <f t="array" ref="AN137">IF(AM137="","",INDEX(Podcasts!$F$10:'Podcasts'!$F$2535,MATCH(AM137&amp;$B137,Podcasts!$E$10:'Podcasts'!$E$2535&amp;Podcasts!$D$10:'Podcasts'!$D$2535,0)))</f>
        <v/>
      </c>
      <c r="AO137" s="402"/>
      <c r="AP137" s="119"/>
      <c r="AQ137" s="117">
        <f t="array" aca="1" ref="AQ137" ca="1">IFERROR(SMALL(IF(COUNTIF(Podcasts!$D$10:'Podcasts'!$D$107,ROW(INDIRECT("1:"&amp;K$2)))=0,ROW(INDIRECT("1:"&amp;K$2))),ROW($A94)),"")</f>
        <v>125</v>
      </c>
      <c r="AR137" s="117">
        <f t="array" aca="1" ref="AR137" ca="1">IFERROR(SMALL(IF(COUNTIF(Podcasts!$D$113:'Podcasts'!$D$238,ROW(INDIRECT("1:"&amp;K$2)))=0,ROW(INDIRECT("1:"&amp;K$2))),ROW($A94)),"")</f>
        <v>94</v>
      </c>
      <c r="AS137" s="117">
        <f t="array" aca="1" ref="AS137" ca="1">IFERROR(SMALL(IF(COUNTIF(Podcasts!$D$244:'Podcasts'!$D$299,ROW(INDIRECT("1:"&amp;K$2)))=0,ROW(INDIRECT("1:"&amp;K$2))),ROW($A94)),"")</f>
        <v>113</v>
      </c>
      <c r="AT137" s="117" t="str">
        <f t="array" aca="1" ref="AT137" ca="1">IFERROR(SMALL(IF(COUNTIF(Podcasts!$D$305:'Podcasts'!$D$473,ROW(INDIRECT("1:"&amp;K$2)))=0,ROW(INDIRECT("1:"&amp;K$2))),ROW($A94)),"")</f>
        <v/>
      </c>
      <c r="AU137" s="117">
        <f t="array" aca="1" ref="AU137" ca="1">IFERROR(SMALL(IF(COUNTIF(Podcasts!$D$479:'Podcasts'!$D$488,ROW(INDIRECT("1:"&amp;K$2)))=0,ROW(INDIRECT("1:"&amp;K$2))),ROW($A94)),"")</f>
        <v>96</v>
      </c>
      <c r="AV137" s="117">
        <f t="array" aca="1" ref="AV137" ca="1">IFERROR(SMALL(IF(COUNTIF(Podcasts!$D$494:'Podcasts'!$D$518,ROW(INDIRECT("1:"&amp;K$2)))=0,ROW(INDIRECT("1:"&amp;K$2))),ROW($A94)),"")</f>
        <v>114</v>
      </c>
      <c r="AW137" s="117">
        <f t="array" aca="1" ref="AW137" ca="1">IFERROR(SMALL(IF(COUNTIF(Podcasts!$D$524:'Podcasts'!$D$532,ROW(INDIRECT("1:"&amp;K$2)))=0,ROW(INDIRECT("1:"&amp;K$2))),ROW($A94)),"")</f>
        <v>95</v>
      </c>
      <c r="AX137" s="117">
        <f t="array" aca="1" ref="AX137" ca="1">IFERROR(SMALL(IF(COUNTIF(Podcasts!$D$538:'Podcasts'!$D$909,ROW(INDIRECT("1:"&amp;K$2)))=0,ROW(INDIRECT("1:"&amp;K$2))),ROW($A94)),"")</f>
        <v>226</v>
      </c>
      <c r="AY137" s="117">
        <f t="array" aca="1" ref="AY137" ca="1">IFERROR(SMALL(IF(COUNTIF(Podcasts!$D$915:'Podcasts'!$D$981,ROW(INDIRECT("1:"&amp;K$2)))=0,ROW(INDIRECT("1:"&amp;K$2))),ROW($A94)),"")</f>
        <v>139</v>
      </c>
      <c r="AZ137" s="445"/>
      <c r="BA137" s="117">
        <f t="array" aca="1" ref="BA137" ca="1">IFERROR(SMALL(IF(COUNTIF(Podcasts!$D$1001:'Podcasts'!$D$1251,ROW(INDIRECT("1:"&amp;K$2)))=0,ROW(INDIRECT("1:"&amp;K$2))),ROW($A94)),"")</f>
        <v>140</v>
      </c>
      <c r="BB137" s="117">
        <f t="array" aca="1" ref="BB137" ca="1">IFERROR(SMALL(IF(COUNTIF(Podcasts!$D$1257:'Podcasts'!$D$1267,ROW(INDIRECT("1:"&amp;K$2)))=0,ROW(INDIRECT("1:"&amp;K$2))),ROW($A94)),"")</f>
        <v>97</v>
      </c>
      <c r="BC137" s="117">
        <f t="array" aca="1" ref="BC137" ca="1">IFERROR(SMALL(IF(COUNTIF(Podcasts!$D$1273:'Podcasts'!$D$1283,ROW(INDIRECT("1:"&amp;K$2)))=0,ROW(INDIRECT("1:"&amp;K$2))),ROW($A94)),"")</f>
        <v>98</v>
      </c>
      <c r="BD137" s="117">
        <f t="array" aca="1" ref="BD137" ca="1">IFERROR(SMALL(IF(COUNTIF(Podcasts!$D$1289:'Podcasts'!$D$1295,ROW(INDIRECT("1:"&amp;K$2)))=0,ROW(INDIRECT("1:"&amp;K$2))),ROW($A94)),"")</f>
        <v>96</v>
      </c>
      <c r="BE137" s="117">
        <f t="array" aca="1" ref="BE137" ca="1">IFERROR(SMALL(IF(COUNTIF(Podcasts!$D$1301:'Podcasts'!$D$1356,ROW(INDIRECT("1:"&amp;K$2)))=0,ROW(INDIRECT("1:"&amp;K$2))),ROW($A94)),"")</f>
        <v>141</v>
      </c>
      <c r="BF137" s="117">
        <f t="array" aca="1" ref="BF137" ca="1">IFERROR(SMALL(IF(COUNTIF(Podcasts!$D$1362:'Podcasts'!$D$1364,ROW(INDIRECT("1:"&amp;K$2)))=0,ROW(INDIRECT("1:"&amp;K$2))),ROW($A94)),"")</f>
        <v>97</v>
      </c>
      <c r="BG137" s="202">
        <f t="array" aca="1" ref="BG137" ca="1">IFERROR(SMALL(IF(COUNTIF(Podcasts!$D$1370:'Podcasts'!$D$1419,ROW(INDIRECT("1:"&amp;K$2)))=0,ROW(INDIRECT("1:"&amp;K$2))),ROW($A94)),"")</f>
        <v>119</v>
      </c>
      <c r="BH137" s="202">
        <f t="array" aca="1" ref="BH137" ca="1">IFERROR(SMALL(IF(COUNTIF(Podcasts!$D$1425:'Podcasts'!$D$1446,ROW(INDIRECT("1:"&amp;K$2)))=0,ROW(INDIRECT("1:"&amp;K$2))),ROW($A94)),"")</f>
        <v>102</v>
      </c>
      <c r="BI137" s="202">
        <f t="array" aca="1" ref="BI137" ca="1">IFERROR(SMALL(IF(COUNTIF(Podcasts!$D$1452:'Podcasts'!$D$1574,ROW(INDIRECT("1:"&amp;K$2)))=0,ROW(INDIRECT("1:"&amp;K$2))),ROW($A94)),"")</f>
        <v>159</v>
      </c>
      <c r="BJ137" s="202">
        <f t="array" aca="1" ref="BJ137" ca="1">IFERROR(SMALL(IF(COUNTIF(Podcasts!$D$1580:'Podcasts'!$D$1705,ROW(INDIRECT("1:"&amp;K$2)))=0,ROW(INDIRECT("1:"&amp;K$2))),ROW($A94)),"")</f>
        <v>158</v>
      </c>
      <c r="BK137" s="202">
        <f t="array" aca="1" ref="BK137" ca="1">IFERROR(SMALL(IF(COUNTIF(Podcasts!$D$1711:'Podcasts'!$D$1833,ROW(INDIRECT("1:"&amp;K$2)))=0,ROW(INDIRECT("1:"&amp;K$2))),ROW($A94)),"")</f>
        <v>144</v>
      </c>
      <c r="BL137" s="202">
        <f t="array" aca="1" ref="BL137" ca="1">IFERROR(SMALL(IF(COUNTIF(Podcasts!$D$1839:'Podcasts'!$D$1855,ROW(INDIRECT("1:"&amp;K$2)))=0,ROW(INDIRECT("1:"&amp;K$2))),ROW($A94)),"")</f>
        <v>103</v>
      </c>
      <c r="BM137" s="567">
        <f t="array" aca="1" ref="BM137" ca="1">IFERROR(SMALL(IF(COUNTIF(Podcasts!$D$1861:'Podcasts'!$D$1994,ROW(INDIRECT("1:"&amp;K$2)))=0,ROW(INDIRECT("1:"&amp;K$2))),ROW($A94)),"")</f>
        <v>134</v>
      </c>
      <c r="BN137" s="567">
        <f t="array" aca="1" ref="BN137" ca="1">IFERROR(SMALL(IF(COUNTIF(Podcasts!$D$2000:'Podcasts'!$D$2057,ROW(INDIRECT("1:"&amp;K$2)))=0,ROW(INDIRECT("1:"&amp;K$2))),ROW($A94)),"")</f>
        <v>149</v>
      </c>
      <c r="BO137" s="567">
        <f t="array" aca="1" ref="BO137" ca="1">IFERROR(SMALL(IF(COUNTIF(Podcasts!$D$2063:'Podcasts'!$D$2071,ROW(INDIRECT("1:"&amp;K$2)))=0,ROW(INDIRECT("1:"&amp;K$2))),ROW($A94)),"")</f>
        <v>99</v>
      </c>
      <c r="BP137" s="202">
        <f t="array" aca="1" ref="BP137" ca="1">IFERROR(SMALL(IF(COUNTIF(Podcasts!$D$2077:'Podcasts'!$D$2092,ROW(INDIRECT("1:"&amp;K$2)))=0,ROW(INDIRECT("1:"&amp;K$2))),ROW($A94)),"")</f>
        <v>105</v>
      </c>
      <c r="BQ137" s="741">
        <f t="array" aca="1" ref="BQ137" ca="1">IFERROR(SMALL(IF(COUNTIF(Podcasts!$D$2098:'Podcasts'!$D$2114,ROW(INDIRECT("1:"&amp;K$2)))=0,ROW(INDIRECT("1:"&amp;K$2))),ROW($A94)),"")</f>
        <v>101</v>
      </c>
      <c r="BR137" s="744">
        <f t="array" aca="1" ref="BR137" ca="1">IFERROR(SMALL(IF(COUNTIF(Podcasts!$D$2120:'Podcasts'!$D$2124,ROW(INDIRECT("1:"&amp;K$2)))=0,ROW(INDIRECT("1:"&amp;K$2))),ROW($A94)),"")</f>
        <v>96</v>
      </c>
      <c r="BS137" s="28"/>
    </row>
    <row r="138" spans="1:71" outlineLevel="1">
      <c r="A138" s="28"/>
      <c r="B138" s="161">
        <v>95</v>
      </c>
      <c r="C138" s="161">
        <f>COUNTIF(Podcasts!$D$10:'Podcasts'!$D$2535,B138)</f>
        <v>2</v>
      </c>
      <c r="D138" s="158" t="s">
        <v>1123</v>
      </c>
      <c r="E138" s="156" t="str">
        <f t="array" ref="E138">IF(F138="","",INDEX(Podcasts!$J$10:'Podcasts'!$J$2535,MATCH(F138&amp;$B138,Podcasts!$E$10:'Podcasts'!$E$2535&amp;Podcasts!$D$10:'Podcasts'!$D$2535,0)))</f>
        <v>SSP</v>
      </c>
      <c r="F138" s="131">
        <f t="array" ref="F138">IF(COUNTIF(Podcasts!$D$10:'Podcasts'!$D$2535,$B138)&lt;COLUMN(A101),"",SMALL(IF(Podcasts!$D$10:'Podcasts'!$D$2535=$B138,Podcasts!$E$10:'Podcasts'!$E$2535),COLUMN(A101)))</f>
        <v>43643</v>
      </c>
      <c r="G138" s="132">
        <f t="array" ref="G138">IF(F138="","",INDEX(Podcasts!$F$10:'Podcasts'!$F$2535,MATCH(F138&amp;$B138,Podcasts!$E$10:'Podcasts'!$E$2535&amp;Podcasts!$D$10:'Podcasts'!$D$2535,0)))</f>
        <v>7.1990740740740744E-2</v>
      </c>
      <c r="H138" s="136" t="str">
        <f t="array" ref="H138">IF(I138="","",INDEX(Podcasts!$J$10:'Podcasts'!$J$2535,MATCH(I138&amp;$B138,Podcasts!$E$10:'Podcasts'!$E$2535&amp;Podcasts!$D$10:'Podcasts'!$D$2535,0)))</f>
        <v>Kaffee</v>
      </c>
      <c r="I138" s="133">
        <f t="array" ref="I138">IF(COUNTIF(Podcasts!$D$10:'Podcasts'!$D$2535,$B138)&lt;COLUMN(B101),"",SMALL(IF(Podcasts!$D$10:'Podcasts'!$D$2535=$B138,Podcasts!$E$10:'Podcasts'!$E$2535),COLUMN(B101)))</f>
        <v>45135</v>
      </c>
      <c r="J138" s="132">
        <f t="array" ref="J138">IF(I138="","",INDEX(Podcasts!$F$10:'Podcasts'!$F$2535,MATCH(I138&amp;$B138,Podcasts!$E$10:'Podcasts'!$E$2535&amp;Podcasts!$D$10:'Podcasts'!$D$2535,0)))</f>
        <v>5.1643518518518526E-2</v>
      </c>
      <c r="K138" s="136" t="str">
        <f t="array" ref="K138">IF(L138="","",INDEX(Podcasts!$J$10:'Podcasts'!$J$2535,MATCH(L138&amp;$B138,Podcasts!$E$10:'Podcasts'!$E$2535&amp;Podcasts!$D$10:'Podcasts'!$D$2535,0)))</f>
        <v/>
      </c>
      <c r="L138" s="133" t="str">
        <f t="array" ref="L138">IF(COUNTIF(Podcasts!$D$10:'Podcasts'!$D$2535,$B138)&lt;COLUMN(C101),"",SMALL(IF(Podcasts!$D$10:'Podcasts'!$D$2535=$B138,Podcasts!$E$10:'Podcasts'!$E$2535),COLUMN(C101)))</f>
        <v/>
      </c>
      <c r="M138" s="132" t="str">
        <f t="array" ref="M138">IF(L138="","",INDEX(Podcasts!$F$10:'Podcasts'!$F$2535,MATCH(L138&amp;$B138,Podcasts!$E$10:'Podcasts'!$E$2535&amp;Podcasts!$D$10:'Podcasts'!$D$2535,0)))</f>
        <v/>
      </c>
      <c r="N138" s="136" t="str">
        <f t="array" ref="N138">IF(O138="","",INDEX(Podcasts!$J$10:'Podcasts'!$J$2535,MATCH(O138&amp;$B138,Podcasts!$E$10:'Podcasts'!$E$2535&amp;Podcasts!$D$10:'Podcasts'!$D$2535,0)))</f>
        <v/>
      </c>
      <c r="O138" s="133" t="str">
        <f t="array" ref="O138">IF(COUNTIF(Podcasts!$D$10:'Podcasts'!$D$2535,$B138)&lt;COLUMN(D101),"",SMALL(IF(Podcasts!$D$10:'Podcasts'!$D$2535=$B138,Podcasts!$E$10:'Podcasts'!$E$2535),COLUMN(D101)))</f>
        <v/>
      </c>
      <c r="P138" s="132" t="str">
        <f t="array" ref="P138">IF(O138="","",INDEX(Podcasts!$F$10:'Podcasts'!$F$2535,MATCH(O138&amp;$B138,Podcasts!$E$10:'Podcasts'!$E$2535&amp;Podcasts!$D$10:'Podcasts'!$D$2535,0)))</f>
        <v/>
      </c>
      <c r="Q138" s="136" t="str">
        <f t="array" ref="Q138">IF(R138="","",INDEX(Podcasts!$J$10:'Podcasts'!$J$2535,MATCH(R138&amp;$B138,Podcasts!$E$10:'Podcasts'!$E$2535&amp;Podcasts!$D$10:'Podcasts'!$D$2535,0)))</f>
        <v/>
      </c>
      <c r="R138" s="133" t="str">
        <f t="array" ref="R138">IF(COUNTIF(Podcasts!$D$10:'Podcasts'!$D$2535,$B138)&lt;COLUMN(E101),"",SMALL(IF(Podcasts!$D$10:'Podcasts'!$D$2535=$B138,Podcasts!$E$10:'Podcasts'!$E$2535),COLUMN(E101)))</f>
        <v/>
      </c>
      <c r="S138" s="132" t="str">
        <f t="array" ref="S138">IF(R138="","",INDEX(Podcasts!$F$10:'Podcasts'!$F$2535,MATCH(R138&amp;$B138,Podcasts!$E$10:'Podcasts'!$E$2535&amp;Podcasts!$D$10:'Podcasts'!$D$2535,0)))</f>
        <v/>
      </c>
      <c r="T138" s="136" t="str">
        <f t="array" ref="T138">IF(U138="","",INDEX(Podcasts!$J$10:'Podcasts'!$J$2535,MATCH(U138&amp;$B138,Podcasts!$E$10:'Podcasts'!$E$2535&amp;Podcasts!$D$10:'Podcasts'!$D$2535,0)))</f>
        <v/>
      </c>
      <c r="U138" s="133" t="str">
        <f t="array" ref="U138">IF(COUNTIF(Podcasts!$D$10:'Podcasts'!$D$2535,$B138)&lt;COLUMN(F101),"",SMALL(IF(Podcasts!$D$10:'Podcasts'!$D$2535=$B138,Podcasts!$E$10:'Podcasts'!$E$2535),COLUMN(F101)))</f>
        <v/>
      </c>
      <c r="V138" s="132" t="str">
        <f t="array" ref="V138">IF(U138="","",INDEX(Podcasts!$F$10:'Podcasts'!$F$2535,MATCH(U138&amp;$B138,Podcasts!$E$10:'Podcasts'!$E$2535&amp;Podcasts!$D$10:'Podcasts'!$D$2535,0)))</f>
        <v/>
      </c>
      <c r="W138" s="136" t="str">
        <f t="array" ref="W138">IF(X138="","",INDEX(Podcasts!$J$10:'Podcasts'!$J$2535,MATCH(X138&amp;$B138,Podcasts!$E$10:'Podcasts'!$E$2535&amp;Podcasts!$D$10:'Podcasts'!$D$2535,0)))</f>
        <v/>
      </c>
      <c r="X138" s="133" t="str">
        <f t="array" ref="X138">IF(COUNTIF(Podcasts!$D$10:'Podcasts'!$D$2535,$B138)&lt;COLUMN(G101),"",SMALL(IF(Podcasts!$D$10:'Podcasts'!$D$2535=$B138,Podcasts!$E$10:'Podcasts'!$E$2535),COLUMN(G101)))</f>
        <v/>
      </c>
      <c r="Y138" s="132" t="str">
        <f t="array" ref="Y138">IF(X138="","",INDEX(Podcasts!$F$10:'Podcasts'!$F$2535,MATCH(X138&amp;$B138,Podcasts!$E$10:'Podcasts'!$E$2535&amp;Podcasts!$D$10:'Podcasts'!$D$2535,0)))</f>
        <v/>
      </c>
      <c r="Z138" s="136" t="str">
        <f t="array" ref="Z138">IF(AA138="","",INDEX(Podcasts!$J$10:'Podcasts'!$J$2535,MATCH(AA138&amp;$B138,Podcasts!$E$10:'Podcasts'!$E$2535&amp;Podcasts!$D$10:'Podcasts'!$D$2535,0)))</f>
        <v/>
      </c>
      <c r="AA138" s="134" t="str">
        <f t="array" ref="AA138">IF(COUNTIF(Podcasts!$D$10:'Podcasts'!$D$2535,$B138)&lt;COLUMN(H101),"",SMALL(IF(Podcasts!$D$10:'Podcasts'!$D$2535=$B138,Podcasts!$E$10:'Podcasts'!$E$2535),COLUMN(H101)))</f>
        <v/>
      </c>
      <c r="AB138" s="404" t="str">
        <f t="array" ref="AB138">IF(AA138="","",INDEX(Podcasts!$F$10:'Podcasts'!$F$2535,MATCH(AA138&amp;$B138,Podcasts!$E$10:'Podcasts'!$E$2535&amp;Podcasts!$D$10:'Podcasts'!$D$2535,0)))</f>
        <v/>
      </c>
      <c r="AC138" s="406" t="str">
        <f t="array" ref="AC138">IF(AD138="","",INDEX(Podcasts!$J$10:'Podcasts'!$J$2535,MATCH(AD138&amp;$B138,Podcasts!$E$10:'Podcasts'!$E$2535&amp;Podcasts!$D$10:'Podcasts'!$D$2535,0)))</f>
        <v/>
      </c>
      <c r="AD138" s="400" t="str">
        <f t="array" ref="AD138">IF(COUNTIF(Podcasts!$D$10:'Podcasts'!$D$2535,$B138)&lt;COLUMN(I101),"",SMALL(IF(Podcasts!$D$10:'Podcasts'!$D$2535=$B138,Podcasts!$E$10:'Podcasts'!$E$2535),COLUMN(I101)))</f>
        <v/>
      </c>
      <c r="AE138" s="401" t="str">
        <f t="array" ref="AE138">IF(AD138="","",INDEX(Podcasts!$F$10:'Podcasts'!$F$2535,MATCH(AD138&amp;$B138,Podcasts!$E$10:'Podcasts'!$E$2535&amp;Podcasts!$D$10:'Podcasts'!$D$2535,0)))</f>
        <v/>
      </c>
      <c r="AF138" s="406" t="str">
        <f t="array" ref="AF138">IF(AG138="","",INDEX(Podcasts!$J$10:'Podcasts'!$J$2535,MATCH(AG138&amp;$B138,Podcasts!$E$10:'Podcasts'!$E$2535&amp;Podcasts!$D$10:'Podcasts'!$D$2535,0)))</f>
        <v/>
      </c>
      <c r="AG138" s="400" t="str">
        <f t="array" ref="AG138">IF(COUNTIF(Podcasts!$D$10:'Podcasts'!$D$2535,$B138)&lt;COLUMN(J101),"",SMALL(IF(Podcasts!$D$10:'Podcasts'!$D$2535=$B138,Podcasts!$E$10:'Podcasts'!$E$2535),COLUMN(J101)))</f>
        <v/>
      </c>
      <c r="AH138" s="401" t="str">
        <f t="array" ref="AH138">IF(AG138="","",INDEX(Podcasts!$F$10:'Podcasts'!$F$2535,MATCH(AG138&amp;$B138,Podcasts!$E$10:'Podcasts'!$E$2535&amp;Podcasts!$D$10:'Podcasts'!$D$2535,0)))</f>
        <v/>
      </c>
      <c r="AI138" s="406" t="str">
        <f t="array" ref="AI138">IF(AJ138="","",INDEX(Podcasts!$J$10:'Podcasts'!$J$2535,MATCH(AJ138&amp;$B138,Podcasts!$E$10:'Podcasts'!$E$2535&amp;Podcasts!$D$10:'Podcasts'!$D$2535,0)))</f>
        <v/>
      </c>
      <c r="AJ138" s="400" t="str">
        <f t="array" ref="AJ138">IF(COUNTIF(Podcasts!$D$10:'Podcasts'!$D$2535,$B138)&lt;COLUMN(K101),"",SMALL(IF(Podcasts!$D$10:'Podcasts'!$D$2535=$B138,Podcasts!$E$10:'Podcasts'!$E$2535),COLUMN(K101)))</f>
        <v/>
      </c>
      <c r="AK138" s="401" t="str">
        <f t="array" ref="AK138">IF(AJ138="","",INDEX(Podcasts!$F$10:'Podcasts'!$F$2535,MATCH(AJ138&amp;$B138,Podcasts!$E$10:'Podcasts'!$E$2535&amp;Podcasts!$D$10:'Podcasts'!$D$2535,0)))</f>
        <v/>
      </c>
      <c r="AL138" s="406" t="str">
        <f t="array" ref="AL138">IF(AM138="","",INDEX(Podcasts!$J$10:'Podcasts'!$J$2535,MATCH(AM138&amp;$B138,Podcasts!$E$10:'Podcasts'!$E$2535&amp;Podcasts!$D$10:'Podcasts'!$D$2535,0)))</f>
        <v/>
      </c>
      <c r="AM138" s="400" t="str">
        <f t="array" ref="AM138">IF(COUNTIF(Podcasts!$D$10:'Podcasts'!$D$2535,$B138)&lt;COLUMN(L101),"",SMALL(IF(Podcasts!$D$10:'Podcasts'!$D$2535=$B138,Podcasts!$E$10:'Podcasts'!$E$2535),COLUMN(L101)))</f>
        <v/>
      </c>
      <c r="AN138" s="401" t="str">
        <f t="array" ref="AN138">IF(AM138="","",INDEX(Podcasts!$F$10:'Podcasts'!$F$2535,MATCH(AM138&amp;$B138,Podcasts!$E$10:'Podcasts'!$E$2535&amp;Podcasts!$D$10:'Podcasts'!$D$2535,0)))</f>
        <v/>
      </c>
      <c r="AO138" s="402"/>
      <c r="AP138" s="119"/>
      <c r="AQ138" s="117">
        <f t="array" aca="1" ref="AQ138" ca="1">IFERROR(SMALL(IF(COUNTIF(Podcasts!$D$10:'Podcasts'!$D$107,ROW(INDIRECT("1:"&amp;K$2)))=0,ROW(INDIRECT("1:"&amp;K$2))),ROW($A95)),"")</f>
        <v>126</v>
      </c>
      <c r="AR138" s="117">
        <f t="array" aca="1" ref="AR138" ca="1">IFERROR(SMALL(IF(COUNTIF(Podcasts!$D$113:'Podcasts'!$D$238,ROW(INDIRECT("1:"&amp;K$2)))=0,ROW(INDIRECT("1:"&amp;K$2))),ROW($A95)),"")</f>
        <v>95</v>
      </c>
      <c r="AS138" s="117">
        <f t="array" aca="1" ref="AS138" ca="1">IFERROR(SMALL(IF(COUNTIF(Podcasts!$D$244:'Podcasts'!$D$299,ROW(INDIRECT("1:"&amp;K$2)))=0,ROW(INDIRECT("1:"&amp;K$2))),ROW($A95)),"")</f>
        <v>114</v>
      </c>
      <c r="AT138" s="117" t="str">
        <f t="array" aca="1" ref="AT138" ca="1">IFERROR(SMALL(IF(COUNTIF(Podcasts!$D$305:'Podcasts'!$D$473,ROW(INDIRECT("1:"&amp;K$2)))=0,ROW(INDIRECT("1:"&amp;K$2))),ROW($A95)),"")</f>
        <v/>
      </c>
      <c r="AU138" s="117">
        <f t="array" aca="1" ref="AU138" ca="1">IFERROR(SMALL(IF(COUNTIF(Podcasts!$D$479:'Podcasts'!$D$488,ROW(INDIRECT("1:"&amp;K$2)))=0,ROW(INDIRECT("1:"&amp;K$2))),ROW($A95)),"")</f>
        <v>97</v>
      </c>
      <c r="AV138" s="117">
        <f t="array" aca="1" ref="AV138" ca="1">IFERROR(SMALL(IF(COUNTIF(Podcasts!$D$494:'Podcasts'!$D$518,ROW(INDIRECT("1:"&amp;K$2)))=0,ROW(INDIRECT("1:"&amp;K$2))),ROW($A95)),"")</f>
        <v>115</v>
      </c>
      <c r="AW138" s="117">
        <f t="array" aca="1" ref="AW138" ca="1">IFERROR(SMALL(IF(COUNTIF(Podcasts!$D$524:'Podcasts'!$D$532,ROW(INDIRECT("1:"&amp;K$2)))=0,ROW(INDIRECT("1:"&amp;K$2))),ROW($A95)),"")</f>
        <v>96</v>
      </c>
      <c r="AX138" s="117" t="str">
        <f t="array" aca="1" ref="AX138" ca="1">IFERROR(SMALL(IF(COUNTIF(Podcasts!$D$538:'Podcasts'!$D$909,ROW(INDIRECT("1:"&amp;K$2)))=0,ROW(INDIRECT("1:"&amp;K$2))),ROW($A95)),"")</f>
        <v/>
      </c>
      <c r="AY138" s="117">
        <f t="array" aca="1" ref="AY138" ca="1">IFERROR(SMALL(IF(COUNTIF(Podcasts!$D$915:'Podcasts'!$D$981,ROW(INDIRECT("1:"&amp;K$2)))=0,ROW(INDIRECT("1:"&amp;K$2))),ROW($A95)),"")</f>
        <v>140</v>
      </c>
      <c r="AZ138" s="445"/>
      <c r="BA138" s="117">
        <f t="array" aca="1" ref="BA138" ca="1">IFERROR(SMALL(IF(COUNTIF(Podcasts!$D$1001:'Podcasts'!$D$1251,ROW(INDIRECT("1:"&amp;K$2)))=0,ROW(INDIRECT("1:"&amp;K$2))),ROW($A95)),"")</f>
        <v>141</v>
      </c>
      <c r="BB138" s="117">
        <f t="array" aca="1" ref="BB138" ca="1">IFERROR(SMALL(IF(COUNTIF(Podcasts!$D$1257:'Podcasts'!$D$1267,ROW(INDIRECT("1:"&amp;K$2)))=0,ROW(INDIRECT("1:"&amp;K$2))),ROW($A95)),"")</f>
        <v>98</v>
      </c>
      <c r="BC138" s="117">
        <f t="array" aca="1" ref="BC138" ca="1">IFERROR(SMALL(IF(COUNTIF(Podcasts!$D$1273:'Podcasts'!$D$1283,ROW(INDIRECT("1:"&amp;K$2)))=0,ROW(INDIRECT("1:"&amp;K$2))),ROW($A95)),"")</f>
        <v>99</v>
      </c>
      <c r="BD138" s="117">
        <f t="array" aca="1" ref="BD138" ca="1">IFERROR(SMALL(IF(COUNTIF(Podcasts!$D$1289:'Podcasts'!$D$1295,ROW(INDIRECT("1:"&amp;K$2)))=0,ROW(INDIRECT("1:"&amp;K$2))),ROW($A95)),"")</f>
        <v>97</v>
      </c>
      <c r="BE138" s="117">
        <f t="array" aca="1" ref="BE138" ca="1">IFERROR(SMALL(IF(COUNTIF(Podcasts!$D$1301:'Podcasts'!$D$1356,ROW(INDIRECT("1:"&amp;K$2)))=0,ROW(INDIRECT("1:"&amp;K$2))),ROW($A95)),"")</f>
        <v>142</v>
      </c>
      <c r="BF138" s="117">
        <f t="array" aca="1" ref="BF138" ca="1">IFERROR(SMALL(IF(COUNTIF(Podcasts!$D$1362:'Podcasts'!$D$1364,ROW(INDIRECT("1:"&amp;K$2)))=0,ROW(INDIRECT("1:"&amp;K$2))),ROW($A95)),"")</f>
        <v>98</v>
      </c>
      <c r="BG138" s="202">
        <f t="array" aca="1" ref="BG138" ca="1">IFERROR(SMALL(IF(COUNTIF(Podcasts!$D$1370:'Podcasts'!$D$1419,ROW(INDIRECT("1:"&amp;K$2)))=0,ROW(INDIRECT("1:"&amp;K$2))),ROW($A95)),"")</f>
        <v>120</v>
      </c>
      <c r="BH138" s="202">
        <f t="array" aca="1" ref="BH138" ca="1">IFERROR(SMALL(IF(COUNTIF(Podcasts!$D$1425:'Podcasts'!$D$1446,ROW(INDIRECT("1:"&amp;K$2)))=0,ROW(INDIRECT("1:"&amp;K$2))),ROW($A95)),"")</f>
        <v>104</v>
      </c>
      <c r="BI138" s="202">
        <f t="array" aca="1" ref="BI138" ca="1">IFERROR(SMALL(IF(COUNTIF(Podcasts!$D$1452:'Podcasts'!$D$1574,ROW(INDIRECT("1:"&amp;K$2)))=0,ROW(INDIRECT("1:"&amp;K$2))),ROW($A95)),"")</f>
        <v>160</v>
      </c>
      <c r="BJ138" s="202">
        <f t="array" aca="1" ref="BJ138" ca="1">IFERROR(SMALL(IF(COUNTIF(Podcasts!$D$1580:'Podcasts'!$D$1705,ROW(INDIRECT("1:"&amp;K$2)))=0,ROW(INDIRECT("1:"&amp;K$2))),ROW($A95)),"")</f>
        <v>159</v>
      </c>
      <c r="BK138" s="202">
        <f t="array" aca="1" ref="BK138" ca="1">IFERROR(SMALL(IF(COUNTIF(Podcasts!$D$1711:'Podcasts'!$D$1833,ROW(INDIRECT("1:"&amp;K$2)))=0,ROW(INDIRECT("1:"&amp;K$2))),ROW($A95)),"")</f>
        <v>147</v>
      </c>
      <c r="BL138" s="202">
        <f t="array" aca="1" ref="BL138" ca="1">IFERROR(SMALL(IF(COUNTIF(Podcasts!$D$1839:'Podcasts'!$D$1855,ROW(INDIRECT("1:"&amp;K$2)))=0,ROW(INDIRECT("1:"&amp;K$2))),ROW($A95)),"")</f>
        <v>104</v>
      </c>
      <c r="BM138" s="567">
        <f t="array" aca="1" ref="BM138" ca="1">IFERROR(SMALL(IF(COUNTIF(Podcasts!$D$1861:'Podcasts'!$D$1994,ROW(INDIRECT("1:"&amp;K$2)))=0,ROW(INDIRECT("1:"&amp;K$2))),ROW($A95)),"")</f>
        <v>135</v>
      </c>
      <c r="BN138" s="567">
        <f t="array" aca="1" ref="BN138" ca="1">IFERROR(SMALL(IF(COUNTIF(Podcasts!$D$2000:'Podcasts'!$D$2057,ROW(INDIRECT("1:"&amp;K$2)))=0,ROW(INDIRECT("1:"&amp;K$2))),ROW($A95)),"")</f>
        <v>150</v>
      </c>
      <c r="BO138" s="567">
        <f t="array" aca="1" ref="BO138" ca="1">IFERROR(SMALL(IF(COUNTIF(Podcasts!$D$2063:'Podcasts'!$D$2071,ROW(INDIRECT("1:"&amp;K$2)))=0,ROW(INDIRECT("1:"&amp;K$2))),ROW($A95)),"")</f>
        <v>100</v>
      </c>
      <c r="BP138" s="202">
        <f t="array" aca="1" ref="BP138" ca="1">IFERROR(SMALL(IF(COUNTIF(Podcasts!$D$2077:'Podcasts'!$D$2092,ROW(INDIRECT("1:"&amp;K$2)))=0,ROW(INDIRECT("1:"&amp;K$2))),ROW($A95)),"")</f>
        <v>106</v>
      </c>
      <c r="BQ138" s="741">
        <f t="array" aca="1" ref="BQ138" ca="1">IFERROR(SMALL(IF(COUNTIF(Podcasts!$D$2098:'Podcasts'!$D$2114,ROW(INDIRECT("1:"&amp;K$2)))=0,ROW(INDIRECT("1:"&amp;K$2))),ROW($A95)),"")</f>
        <v>102</v>
      </c>
      <c r="BR138" s="744">
        <f t="array" aca="1" ref="BR138" ca="1">IFERROR(SMALL(IF(COUNTIF(Podcasts!$D$2120:'Podcasts'!$D$2124,ROW(INDIRECT("1:"&amp;K$2)))=0,ROW(INDIRECT("1:"&amp;K$2))),ROW($A95)),"")</f>
        <v>97</v>
      </c>
      <c r="BS138" s="28"/>
    </row>
    <row r="139" spans="1:71" outlineLevel="1">
      <c r="A139" s="28"/>
      <c r="B139" s="161">
        <v>96</v>
      </c>
      <c r="C139" s="161">
        <f>COUNTIF(Podcasts!$D$10:'Podcasts'!$D$2535,B139)</f>
        <v>3</v>
      </c>
      <c r="D139" s="158" t="s">
        <v>1124</v>
      </c>
      <c r="E139" s="156" t="str">
        <f t="array" ref="E139">IF(F139="","",INDEX(Podcasts!$J$10:'Podcasts'!$J$2535,MATCH(F139&amp;$B139,Podcasts!$E$10:'Podcasts'!$E$2535&amp;Podcasts!$D$10:'Podcasts'!$D$2535,0)))</f>
        <v>Fürst</v>
      </c>
      <c r="F139" s="131">
        <f t="array" ref="F139">IF(COUNTIF(Podcasts!$D$10:'Podcasts'!$D$2535,$B139)&lt;COLUMN(A102),"",SMALL(IF(Podcasts!$D$10:'Podcasts'!$D$2535=$B139,Podcasts!$E$10:'Podcasts'!$E$2535),COLUMN(A102)))</f>
        <v>41936</v>
      </c>
      <c r="G139" s="132">
        <f t="array" ref="G139">IF(F139="","",INDEX(Podcasts!$F$10:'Podcasts'!$F$2535,MATCH(F139&amp;$B139,Podcasts!$E$10:'Podcasts'!$E$2535&amp;Podcasts!$D$10:'Podcasts'!$D$2535,0)))</f>
        <v>5.1504629629629609E-3</v>
      </c>
      <c r="H139" s="136" t="str">
        <f t="array" ref="H139">IF(I139="","",INDEX(Podcasts!$J$10:'Podcasts'!$J$2535,MATCH(I139&amp;$B139,Podcasts!$E$10:'Podcasts'!$E$2535&amp;Podcasts!$D$10:'Podcasts'!$D$2535,0)))</f>
        <v>Schrott</v>
      </c>
      <c r="I139" s="133">
        <f t="array" ref="I139">IF(COUNTIF(Podcasts!$D$10:'Podcasts'!$D$2535,$B139)&lt;COLUMN(B102),"",SMALL(IF(Podcasts!$D$10:'Podcasts'!$D$2535=$B139,Podcasts!$E$10:'Podcasts'!$E$2535),COLUMN(B102)))</f>
        <v>43457</v>
      </c>
      <c r="J139" s="132">
        <f t="array" ref="J139">IF(I139="","",INDEX(Podcasts!$F$10:'Podcasts'!$F$2535,MATCH(I139&amp;$B139,Podcasts!$E$10:'Podcasts'!$E$2535&amp;Podcasts!$D$10:'Podcasts'!$D$2535,0)))</f>
        <v>5.8969907407407408E-2</v>
      </c>
      <c r="K139" s="136" t="str">
        <f t="array" ref="K139">IF(L139="","",INDEX(Podcasts!$J$10:'Podcasts'!$J$2535,MATCH(L139&amp;$B139,Podcasts!$E$10:'Podcasts'!$E$2535&amp;Podcasts!$D$10:'Podcasts'!$D$2535,0)))</f>
        <v>SSP</v>
      </c>
      <c r="L139" s="133">
        <f t="array" ref="L139">IF(COUNTIF(Podcasts!$D$10:'Podcasts'!$D$2535,$B139)&lt;COLUMN(C102),"",SMALL(IF(Podcasts!$D$10:'Podcasts'!$D$2535=$B139,Podcasts!$E$10:'Podcasts'!$E$2535),COLUMN(C102)))</f>
        <v>45035</v>
      </c>
      <c r="M139" s="132">
        <f t="array" ref="M139">IF(L139="","",INDEX(Podcasts!$F$10:'Podcasts'!$F$2535,MATCH(L139&amp;$B139,Podcasts!$E$10:'Podcasts'!$E$2535&amp;Podcasts!$D$10:'Podcasts'!$D$2535,0)))</f>
        <v>8.7384259259259259E-2</v>
      </c>
      <c r="N139" s="136" t="str">
        <f t="array" ref="N139">IF(O139="","",INDEX(Podcasts!$J$10:'Podcasts'!$J$2535,MATCH(O139&amp;$B139,Podcasts!$E$10:'Podcasts'!$E$2535&amp;Podcasts!$D$10:'Podcasts'!$D$2535,0)))</f>
        <v/>
      </c>
      <c r="O139" s="133" t="str">
        <f t="array" ref="O139">IF(COUNTIF(Podcasts!$D$10:'Podcasts'!$D$2535,$B139)&lt;COLUMN(D102),"",SMALL(IF(Podcasts!$D$10:'Podcasts'!$D$2535=$B139,Podcasts!$E$10:'Podcasts'!$E$2535),COLUMN(D102)))</f>
        <v/>
      </c>
      <c r="P139" s="132" t="str">
        <f t="array" ref="P139">IF(O139="","",INDEX(Podcasts!$F$10:'Podcasts'!$F$2535,MATCH(O139&amp;$B139,Podcasts!$E$10:'Podcasts'!$E$2535&amp;Podcasts!$D$10:'Podcasts'!$D$2535,0)))</f>
        <v/>
      </c>
      <c r="Q139" s="136" t="str">
        <f t="array" ref="Q139">IF(R139="","",INDEX(Podcasts!$J$10:'Podcasts'!$J$2535,MATCH(R139&amp;$B139,Podcasts!$E$10:'Podcasts'!$E$2535&amp;Podcasts!$D$10:'Podcasts'!$D$2535,0)))</f>
        <v/>
      </c>
      <c r="R139" s="133" t="str">
        <f t="array" ref="R139">IF(COUNTIF(Podcasts!$D$10:'Podcasts'!$D$2535,$B139)&lt;COLUMN(E102),"",SMALL(IF(Podcasts!$D$10:'Podcasts'!$D$2535=$B139,Podcasts!$E$10:'Podcasts'!$E$2535),COLUMN(E102)))</f>
        <v/>
      </c>
      <c r="S139" s="132" t="str">
        <f t="array" ref="S139">IF(R139="","",INDEX(Podcasts!$F$10:'Podcasts'!$F$2535,MATCH(R139&amp;$B139,Podcasts!$E$10:'Podcasts'!$E$2535&amp;Podcasts!$D$10:'Podcasts'!$D$2535,0)))</f>
        <v/>
      </c>
      <c r="T139" s="136" t="str">
        <f t="array" ref="T139">IF(U139="","",INDEX(Podcasts!$J$10:'Podcasts'!$J$2535,MATCH(U139&amp;$B139,Podcasts!$E$10:'Podcasts'!$E$2535&amp;Podcasts!$D$10:'Podcasts'!$D$2535,0)))</f>
        <v/>
      </c>
      <c r="U139" s="133" t="str">
        <f t="array" ref="U139">IF(COUNTIF(Podcasts!$D$10:'Podcasts'!$D$2535,$B139)&lt;COLUMN(F102),"",SMALL(IF(Podcasts!$D$10:'Podcasts'!$D$2535=$B139,Podcasts!$E$10:'Podcasts'!$E$2535),COLUMN(F102)))</f>
        <v/>
      </c>
      <c r="V139" s="132" t="str">
        <f t="array" ref="V139">IF(U139="","",INDEX(Podcasts!$F$10:'Podcasts'!$F$2535,MATCH(U139&amp;$B139,Podcasts!$E$10:'Podcasts'!$E$2535&amp;Podcasts!$D$10:'Podcasts'!$D$2535,0)))</f>
        <v/>
      </c>
      <c r="W139" s="136" t="str">
        <f t="array" ref="W139">IF(X139="","",INDEX(Podcasts!$J$10:'Podcasts'!$J$2535,MATCH(X139&amp;$B139,Podcasts!$E$10:'Podcasts'!$E$2535&amp;Podcasts!$D$10:'Podcasts'!$D$2535,0)))</f>
        <v/>
      </c>
      <c r="X139" s="133" t="str">
        <f t="array" ref="X139">IF(COUNTIF(Podcasts!$D$10:'Podcasts'!$D$2535,$B139)&lt;COLUMN(G102),"",SMALL(IF(Podcasts!$D$10:'Podcasts'!$D$2535=$B139,Podcasts!$E$10:'Podcasts'!$E$2535),COLUMN(G102)))</f>
        <v/>
      </c>
      <c r="Y139" s="132" t="str">
        <f t="array" ref="Y139">IF(X139="","",INDEX(Podcasts!$F$10:'Podcasts'!$F$2535,MATCH(X139&amp;$B139,Podcasts!$E$10:'Podcasts'!$E$2535&amp;Podcasts!$D$10:'Podcasts'!$D$2535,0)))</f>
        <v/>
      </c>
      <c r="Z139" s="136" t="str">
        <f t="array" ref="Z139">IF(AA139="","",INDEX(Podcasts!$J$10:'Podcasts'!$J$2535,MATCH(AA139&amp;$B139,Podcasts!$E$10:'Podcasts'!$E$2535&amp;Podcasts!$D$10:'Podcasts'!$D$2535,0)))</f>
        <v/>
      </c>
      <c r="AA139" s="134" t="str">
        <f t="array" ref="AA139">IF(COUNTIF(Podcasts!$D$10:'Podcasts'!$D$2535,$B139)&lt;COLUMN(H102),"",SMALL(IF(Podcasts!$D$10:'Podcasts'!$D$2535=$B139,Podcasts!$E$10:'Podcasts'!$E$2535),COLUMN(H102)))</f>
        <v/>
      </c>
      <c r="AB139" s="404" t="str">
        <f t="array" ref="AB139">IF(AA139="","",INDEX(Podcasts!$F$10:'Podcasts'!$F$2535,MATCH(AA139&amp;$B139,Podcasts!$E$10:'Podcasts'!$E$2535&amp;Podcasts!$D$10:'Podcasts'!$D$2535,0)))</f>
        <v/>
      </c>
      <c r="AC139" s="406" t="str">
        <f t="array" ref="AC139">IF(AD139="","",INDEX(Podcasts!$J$10:'Podcasts'!$J$2535,MATCH(AD139&amp;$B139,Podcasts!$E$10:'Podcasts'!$E$2535&amp;Podcasts!$D$10:'Podcasts'!$D$2535,0)))</f>
        <v/>
      </c>
      <c r="AD139" s="400" t="str">
        <f t="array" ref="AD139">IF(COUNTIF(Podcasts!$D$10:'Podcasts'!$D$2535,$B139)&lt;COLUMN(I102),"",SMALL(IF(Podcasts!$D$10:'Podcasts'!$D$2535=$B139,Podcasts!$E$10:'Podcasts'!$E$2535),COLUMN(I102)))</f>
        <v/>
      </c>
      <c r="AE139" s="401" t="str">
        <f t="array" ref="AE139">IF(AD139="","",INDEX(Podcasts!$F$10:'Podcasts'!$F$2535,MATCH(AD139&amp;$B139,Podcasts!$E$10:'Podcasts'!$E$2535&amp;Podcasts!$D$10:'Podcasts'!$D$2535,0)))</f>
        <v/>
      </c>
      <c r="AF139" s="406" t="str">
        <f t="array" ref="AF139">IF(AG139="","",INDEX(Podcasts!$J$10:'Podcasts'!$J$2535,MATCH(AG139&amp;$B139,Podcasts!$E$10:'Podcasts'!$E$2535&amp;Podcasts!$D$10:'Podcasts'!$D$2535,0)))</f>
        <v/>
      </c>
      <c r="AG139" s="400" t="str">
        <f t="array" ref="AG139">IF(COUNTIF(Podcasts!$D$10:'Podcasts'!$D$2535,$B139)&lt;COLUMN(J102),"",SMALL(IF(Podcasts!$D$10:'Podcasts'!$D$2535=$B139,Podcasts!$E$10:'Podcasts'!$E$2535),COLUMN(J102)))</f>
        <v/>
      </c>
      <c r="AH139" s="401" t="str">
        <f t="array" ref="AH139">IF(AG139="","",INDEX(Podcasts!$F$10:'Podcasts'!$F$2535,MATCH(AG139&amp;$B139,Podcasts!$E$10:'Podcasts'!$E$2535&amp;Podcasts!$D$10:'Podcasts'!$D$2535,0)))</f>
        <v/>
      </c>
      <c r="AI139" s="406" t="str">
        <f t="array" ref="AI139">IF(AJ139="","",INDEX(Podcasts!$J$10:'Podcasts'!$J$2535,MATCH(AJ139&amp;$B139,Podcasts!$E$10:'Podcasts'!$E$2535&amp;Podcasts!$D$10:'Podcasts'!$D$2535,0)))</f>
        <v/>
      </c>
      <c r="AJ139" s="400" t="str">
        <f t="array" ref="AJ139">IF(COUNTIF(Podcasts!$D$10:'Podcasts'!$D$2535,$B139)&lt;COLUMN(K102),"",SMALL(IF(Podcasts!$D$10:'Podcasts'!$D$2535=$B139,Podcasts!$E$10:'Podcasts'!$E$2535),COLUMN(K102)))</f>
        <v/>
      </c>
      <c r="AK139" s="401" t="str">
        <f t="array" ref="AK139">IF(AJ139="","",INDEX(Podcasts!$F$10:'Podcasts'!$F$2535,MATCH(AJ139&amp;$B139,Podcasts!$E$10:'Podcasts'!$E$2535&amp;Podcasts!$D$10:'Podcasts'!$D$2535,0)))</f>
        <v/>
      </c>
      <c r="AL139" s="406" t="str">
        <f t="array" ref="AL139">IF(AM139="","",INDEX(Podcasts!$J$10:'Podcasts'!$J$2535,MATCH(AM139&amp;$B139,Podcasts!$E$10:'Podcasts'!$E$2535&amp;Podcasts!$D$10:'Podcasts'!$D$2535,0)))</f>
        <v/>
      </c>
      <c r="AM139" s="400" t="str">
        <f t="array" ref="AM139">IF(COUNTIF(Podcasts!$D$10:'Podcasts'!$D$2535,$B139)&lt;COLUMN(L102),"",SMALL(IF(Podcasts!$D$10:'Podcasts'!$D$2535=$B139,Podcasts!$E$10:'Podcasts'!$E$2535),COLUMN(L102)))</f>
        <v/>
      </c>
      <c r="AN139" s="401" t="str">
        <f t="array" ref="AN139">IF(AM139="","",INDEX(Podcasts!$F$10:'Podcasts'!$F$2535,MATCH(AM139&amp;$B139,Podcasts!$E$10:'Podcasts'!$E$2535&amp;Podcasts!$D$10:'Podcasts'!$D$2535,0)))</f>
        <v/>
      </c>
      <c r="AO139" s="402"/>
      <c r="AP139" s="119"/>
      <c r="AQ139" s="117">
        <f t="array" aca="1" ref="AQ139" ca="1">IFERROR(SMALL(IF(COUNTIF(Podcasts!$D$10:'Podcasts'!$D$107,ROW(INDIRECT("1:"&amp;K$2)))=0,ROW(INDIRECT("1:"&amp;K$2))),ROW($A96)),"")</f>
        <v>127</v>
      </c>
      <c r="AR139" s="117">
        <f t="array" aca="1" ref="AR139" ca="1">IFERROR(SMALL(IF(COUNTIF(Podcasts!$D$113:'Podcasts'!$D$238,ROW(INDIRECT("1:"&amp;K$2)))=0,ROW(INDIRECT("1:"&amp;K$2))),ROW($A96)),"")</f>
        <v>96</v>
      </c>
      <c r="AS139" s="117">
        <f t="array" aca="1" ref="AS139" ca="1">IFERROR(SMALL(IF(COUNTIF(Podcasts!$D$244:'Podcasts'!$D$299,ROW(INDIRECT("1:"&amp;K$2)))=0,ROW(INDIRECT("1:"&amp;K$2))),ROW($A96)),"")</f>
        <v>115</v>
      </c>
      <c r="AT139" s="117"/>
      <c r="AU139" s="117">
        <f t="array" aca="1" ref="AU139" ca="1">IFERROR(SMALL(IF(COUNTIF(Podcasts!$D$479:'Podcasts'!$D$488,ROW(INDIRECT("1:"&amp;K$2)))=0,ROW(INDIRECT("1:"&amp;K$2))),ROW($A96)),"")</f>
        <v>98</v>
      </c>
      <c r="AV139" s="117">
        <f t="array" aca="1" ref="AV139" ca="1">IFERROR(SMALL(IF(COUNTIF(Podcasts!$D$494:'Podcasts'!$D$518,ROW(INDIRECT("1:"&amp;K$2)))=0,ROW(INDIRECT("1:"&amp;K$2))),ROW($A96)),"")</f>
        <v>116</v>
      </c>
      <c r="AW139" s="117">
        <f t="array" aca="1" ref="AW139" ca="1">IFERROR(SMALL(IF(COUNTIF(Podcasts!$D$524:'Podcasts'!$D$532,ROW(INDIRECT("1:"&amp;K$2)))=0,ROW(INDIRECT("1:"&amp;K$2))),ROW($A96)),"")</f>
        <v>97</v>
      </c>
      <c r="AX139" s="117" t="str">
        <f t="array" aca="1" ref="AX139" ca="1">IFERROR(SMALL(IF(COUNTIF(Podcasts!$D$538:'Podcasts'!$D$909,ROW(INDIRECT("1:"&amp;K$2)))=0,ROW(INDIRECT("1:"&amp;K$2))),ROW($A96)),"")</f>
        <v/>
      </c>
      <c r="AY139" s="117">
        <f t="array" aca="1" ref="AY139" ca="1">IFERROR(SMALL(IF(COUNTIF(Podcasts!$D$915:'Podcasts'!$D$981,ROW(INDIRECT("1:"&amp;K$2)))=0,ROW(INDIRECT("1:"&amp;K$2))),ROW($A96)),"")</f>
        <v>141</v>
      </c>
      <c r="AZ139" s="445"/>
      <c r="BA139" s="117">
        <f t="array" aca="1" ref="BA139" ca="1">IFERROR(SMALL(IF(COUNTIF(Podcasts!$D$1001:'Podcasts'!$D$1251,ROW(INDIRECT("1:"&amp;K$2)))=0,ROW(INDIRECT("1:"&amp;K$2))),ROW($A96)),"")</f>
        <v>142</v>
      </c>
      <c r="BB139" s="117">
        <f t="array" aca="1" ref="BB139" ca="1">IFERROR(SMALL(IF(COUNTIF(Podcasts!$D$1257:'Podcasts'!$D$1267,ROW(INDIRECT("1:"&amp;K$2)))=0,ROW(INDIRECT("1:"&amp;K$2))),ROW($A96)),"")</f>
        <v>99</v>
      </c>
      <c r="BC139" s="117">
        <f t="array" aca="1" ref="BC139" ca="1">IFERROR(SMALL(IF(COUNTIF(Podcasts!$D$1273:'Podcasts'!$D$1283,ROW(INDIRECT("1:"&amp;K$2)))=0,ROW(INDIRECT("1:"&amp;K$2))),ROW($A96)),"")</f>
        <v>100</v>
      </c>
      <c r="BD139" s="117">
        <f t="array" aca="1" ref="BD139" ca="1">IFERROR(SMALL(IF(COUNTIF(Podcasts!$D$1289:'Podcasts'!$D$1295,ROW(INDIRECT("1:"&amp;K$2)))=0,ROW(INDIRECT("1:"&amp;K$2))),ROW($A96)),"")</f>
        <v>98</v>
      </c>
      <c r="BE139" s="117">
        <f t="array" aca="1" ref="BE139" ca="1">IFERROR(SMALL(IF(COUNTIF(Podcasts!$D$1301:'Podcasts'!$D$1356,ROW(INDIRECT("1:"&amp;K$2)))=0,ROW(INDIRECT("1:"&amp;K$2))),ROW($A96)),"")</f>
        <v>143</v>
      </c>
      <c r="BF139" s="117">
        <f t="array" aca="1" ref="BF139" ca="1">IFERROR(SMALL(IF(COUNTIF(Podcasts!$D$1362:'Podcasts'!$D$1364,ROW(INDIRECT("1:"&amp;K$2)))=0,ROW(INDIRECT("1:"&amp;K$2))),ROW($A96)),"")</f>
        <v>99</v>
      </c>
      <c r="BG139" s="202">
        <f t="array" aca="1" ref="BG139" ca="1">IFERROR(SMALL(IF(COUNTIF(Podcasts!$D$1370:'Podcasts'!$D$1419,ROW(INDIRECT("1:"&amp;K$2)))=0,ROW(INDIRECT("1:"&amp;K$2))),ROW($A96)),"")</f>
        <v>121</v>
      </c>
      <c r="BH139" s="202">
        <f t="array" aca="1" ref="BH139" ca="1">IFERROR(SMALL(IF(COUNTIF(Podcasts!$D$1425:'Podcasts'!$D$1446,ROW(INDIRECT("1:"&amp;K$2)))=0,ROW(INDIRECT("1:"&amp;K$2))),ROW($A96)),"")</f>
        <v>105</v>
      </c>
      <c r="BI139" s="202">
        <f t="array" aca="1" ref="BI139" ca="1">IFERROR(SMALL(IF(COUNTIF(Podcasts!$D$1452:'Podcasts'!$D$1574,ROW(INDIRECT("1:"&amp;K$2)))=0,ROW(INDIRECT("1:"&amp;K$2))),ROW($A96)),"")</f>
        <v>161</v>
      </c>
      <c r="BJ139" s="202">
        <f t="array" aca="1" ref="BJ139" ca="1">IFERROR(SMALL(IF(COUNTIF(Podcasts!$D$1580:'Podcasts'!$D$1705,ROW(INDIRECT("1:"&amp;K$2)))=0,ROW(INDIRECT("1:"&amp;K$2))),ROW($A96)),"")</f>
        <v>160</v>
      </c>
      <c r="BK139" s="202">
        <f t="array" aca="1" ref="BK139" ca="1">IFERROR(SMALL(IF(COUNTIF(Podcasts!$D$1711:'Podcasts'!$D$1833,ROW(INDIRECT("1:"&amp;K$2)))=0,ROW(INDIRECT("1:"&amp;K$2))),ROW($A96)),"")</f>
        <v>149</v>
      </c>
      <c r="BL139" s="202">
        <f t="array" aca="1" ref="BL139" ca="1">IFERROR(SMALL(IF(COUNTIF(Podcasts!$D$1839:'Podcasts'!$D$1855,ROW(INDIRECT("1:"&amp;K$2)))=0,ROW(INDIRECT("1:"&amp;K$2))),ROW($A96)),"")</f>
        <v>105</v>
      </c>
      <c r="BM139" s="567">
        <f t="array" aca="1" ref="BM139" ca="1">IFERROR(SMALL(IF(COUNTIF(Podcasts!$D$1861:'Podcasts'!$D$1994,ROW(INDIRECT("1:"&amp;K$2)))=0,ROW(INDIRECT("1:"&amp;K$2))),ROW($A96)),"")</f>
        <v>136</v>
      </c>
      <c r="BN139" s="567">
        <f t="array" aca="1" ref="BN139" ca="1">IFERROR(SMALL(IF(COUNTIF(Podcasts!$D$2000:'Podcasts'!$D$2057,ROW(INDIRECT("1:"&amp;K$2)))=0,ROW(INDIRECT("1:"&amp;K$2))),ROW($A96)),"")</f>
        <v>151</v>
      </c>
      <c r="BO139" s="567">
        <f t="array" aca="1" ref="BO139" ca="1">IFERROR(SMALL(IF(COUNTIF(Podcasts!$D$2063:'Podcasts'!$D$2071,ROW(INDIRECT("1:"&amp;K$2)))=0,ROW(INDIRECT("1:"&amp;K$2))),ROW($A96)),"")</f>
        <v>101</v>
      </c>
      <c r="BP139" s="202">
        <f t="array" aca="1" ref="BP139" ca="1">IFERROR(SMALL(IF(COUNTIF(Podcasts!$D$2077:'Podcasts'!$D$2092,ROW(INDIRECT("1:"&amp;K$2)))=0,ROW(INDIRECT("1:"&amp;K$2))),ROW($A96)),"")</f>
        <v>107</v>
      </c>
      <c r="BQ139" s="741">
        <f t="array" aca="1" ref="BQ139" ca="1">IFERROR(SMALL(IF(COUNTIF(Podcasts!$D$2098:'Podcasts'!$D$2114,ROW(INDIRECT("1:"&amp;K$2)))=0,ROW(INDIRECT("1:"&amp;K$2))),ROW($A96)),"")</f>
        <v>103</v>
      </c>
      <c r="BR139" s="744">
        <f t="array" aca="1" ref="BR139" ca="1">IFERROR(SMALL(IF(COUNTIF(Podcasts!$D$2120:'Podcasts'!$D$2124,ROW(INDIRECT("1:"&amp;K$2)))=0,ROW(INDIRECT("1:"&amp;K$2))),ROW($A96)),"")</f>
        <v>98</v>
      </c>
      <c r="BS139" s="28"/>
    </row>
    <row r="140" spans="1:71" outlineLevel="1">
      <c r="A140" s="28"/>
      <c r="B140" s="161">
        <v>97</v>
      </c>
      <c r="C140" s="161">
        <f>COUNTIF(Podcasts!$D$10:'Podcasts'!$D$2535,B140)</f>
        <v>5</v>
      </c>
      <c r="D140" s="158" t="s">
        <v>1125</v>
      </c>
      <c r="E140" s="156" t="str">
        <f t="array" ref="E140">IF(F140="","",INDEX(Podcasts!$J$10:'Podcasts'!$J$2535,MATCH(F140&amp;$B140,Podcasts!$E$10:'Podcasts'!$E$2535&amp;Podcasts!$D$10:'Podcasts'!$D$2535,0)))</f>
        <v>Fürst</v>
      </c>
      <c r="F140" s="131">
        <f t="array" ref="F140">IF(COUNTIF(Podcasts!$D$10:'Podcasts'!$D$2535,$B140)&lt;COLUMN(A103),"",SMALL(IF(Podcasts!$D$10:'Podcasts'!$D$2535=$B140,Podcasts!$E$10:'Podcasts'!$E$2535),COLUMN(A103)))</f>
        <v>42022</v>
      </c>
      <c r="G140" s="132">
        <f t="array" ref="G140">IF(F140="","",INDEX(Podcasts!$F$10:'Podcasts'!$F$2535,MATCH(F140&amp;$B140,Podcasts!$E$10:'Podcasts'!$E$2535&amp;Podcasts!$D$10:'Podcasts'!$D$2535,0)))</f>
        <v>9.8958333333333329E-3</v>
      </c>
      <c r="H140" s="136" t="str">
        <f t="array" ref="H140">IF(I140="","",INDEX(Podcasts!$J$10:'Podcasts'!$J$2535,MATCH(I140&amp;$B140,Podcasts!$E$10:'Podcasts'!$E$2535&amp;Podcasts!$D$10:'Podcasts'!$D$2535,0)))</f>
        <v>Kaffee</v>
      </c>
      <c r="I140" s="133">
        <f t="array" ref="I140">IF(COUNTIF(Podcasts!$D$10:'Podcasts'!$D$2535,$B140)&lt;COLUMN(B103),"",SMALL(IF(Podcasts!$D$10:'Podcasts'!$D$2535=$B140,Podcasts!$E$10:'Podcasts'!$E$2535),COLUMN(B103)))</f>
        <v>44176</v>
      </c>
      <c r="J140" s="132">
        <f t="array" ref="J140">IF(I140="","",INDEX(Podcasts!$F$10:'Podcasts'!$F$2535,MATCH(I140&amp;$B140,Podcasts!$E$10:'Podcasts'!$E$2535&amp;Podcasts!$D$10:'Podcasts'!$D$2535,0)))</f>
        <v>1.7708333333333333E-2</v>
      </c>
      <c r="K140" s="136" t="str">
        <f t="array" ref="K140">IF(L140="","",INDEX(Podcasts!$J$10:'Podcasts'!$J$2535,MATCH(L140&amp;$B140,Podcasts!$E$10:'Podcasts'!$E$2535&amp;Podcasts!$D$10:'Podcasts'!$D$2535,0)))</f>
        <v>Zentrale</v>
      </c>
      <c r="L140" s="133">
        <f t="array" ref="L140">IF(COUNTIF(Podcasts!$D$10:'Podcasts'!$D$2535,$B140)&lt;COLUMN(C103),"",SMALL(IF(Podcasts!$D$10:'Podcasts'!$D$2535=$B140,Podcasts!$E$10:'Podcasts'!$E$2535),COLUMN(C103)))</f>
        <v>44267</v>
      </c>
      <c r="M140" s="132">
        <f t="array" ref="M140">IF(L140="","",INDEX(Podcasts!$F$10:'Podcasts'!$F$2535,MATCH(L140&amp;$B140,Podcasts!$E$10:'Podcasts'!$E$2535&amp;Podcasts!$D$10:'Podcasts'!$D$2535,0)))</f>
        <v>0.13881944444444444</v>
      </c>
      <c r="N140" s="136" t="str">
        <f t="array" ref="N140">IF(O140="","",INDEX(Podcasts!$J$10:'Podcasts'!$J$2535,MATCH(O140&amp;$B140,Podcasts!$E$10:'Podcasts'!$E$2535&amp;Podcasts!$D$10:'Podcasts'!$D$2535,0)))</f>
        <v>Kuchen</v>
      </c>
      <c r="O140" s="133">
        <f t="array" ref="O140">IF(COUNTIF(Podcasts!$D$10:'Podcasts'!$D$2535,$B140)&lt;COLUMN(D103),"",SMALL(IF(Podcasts!$D$10:'Podcasts'!$D$2535=$B140,Podcasts!$E$10:'Podcasts'!$E$2535),COLUMN(D103)))</f>
        <v>44332</v>
      </c>
      <c r="P140" s="132">
        <f t="array" ref="P140">IF(O140="","",INDEX(Podcasts!$F$10:'Podcasts'!$F$2535,MATCH(O140&amp;$B140,Podcasts!$E$10:'Podcasts'!$E$2535&amp;Podcasts!$D$10:'Podcasts'!$D$2535,0)))</f>
        <v>7.0532407407407405E-2</v>
      </c>
      <c r="Q140" s="136" t="str">
        <f t="array" ref="Q140">IF(R140="","",INDEX(Podcasts!$J$10:'Podcasts'!$J$2535,MATCH(R140&amp;$B140,Podcasts!$E$10:'Podcasts'!$E$2535&amp;Podcasts!$D$10:'Podcasts'!$D$2535,0)))</f>
        <v>DGdB</v>
      </c>
      <c r="R140" s="133">
        <f t="array" ref="R140">IF(COUNTIF(Podcasts!$D$10:'Podcasts'!$D$2535,$B140)&lt;COLUMN(E103),"",SMALL(IF(Podcasts!$D$10:'Podcasts'!$D$2535=$B140,Podcasts!$E$10:'Podcasts'!$E$2535),COLUMN(E103)))</f>
        <v>45352</v>
      </c>
      <c r="S140" s="132">
        <f t="array" ref="S140">IF(R140="","",INDEX(Podcasts!$F$10:'Podcasts'!$F$2535,MATCH(R140&amp;$B140,Podcasts!$E$10:'Podcasts'!$E$2535&amp;Podcasts!$D$10:'Podcasts'!$D$2535,0)))</f>
        <v>0.12422453703703702</v>
      </c>
      <c r="T140" s="136" t="str">
        <f t="array" ref="T140">IF(U140="","",INDEX(Podcasts!$J$10:'Podcasts'!$J$2535,MATCH(U140&amp;$B140,Podcasts!$E$10:'Podcasts'!$E$2535&amp;Podcasts!$D$10:'Podcasts'!$D$2535,0)))</f>
        <v/>
      </c>
      <c r="U140" s="133" t="str">
        <f t="array" ref="U140">IF(COUNTIF(Podcasts!$D$10:'Podcasts'!$D$2535,$B140)&lt;COLUMN(F103),"",SMALL(IF(Podcasts!$D$10:'Podcasts'!$D$2535=$B140,Podcasts!$E$10:'Podcasts'!$E$2535),COLUMN(F103)))</f>
        <v/>
      </c>
      <c r="V140" s="132" t="str">
        <f t="array" ref="V140">IF(U140="","",INDEX(Podcasts!$F$10:'Podcasts'!$F$2535,MATCH(U140&amp;$B140,Podcasts!$E$10:'Podcasts'!$E$2535&amp;Podcasts!$D$10:'Podcasts'!$D$2535,0)))</f>
        <v/>
      </c>
      <c r="W140" s="136" t="str">
        <f t="array" ref="W140">IF(X140="","",INDEX(Podcasts!$J$10:'Podcasts'!$J$2535,MATCH(X140&amp;$B140,Podcasts!$E$10:'Podcasts'!$E$2535&amp;Podcasts!$D$10:'Podcasts'!$D$2535,0)))</f>
        <v/>
      </c>
      <c r="X140" s="133" t="str">
        <f t="array" ref="X140">IF(COUNTIF(Podcasts!$D$10:'Podcasts'!$D$2535,$B140)&lt;COLUMN(G103),"",SMALL(IF(Podcasts!$D$10:'Podcasts'!$D$2535=$B140,Podcasts!$E$10:'Podcasts'!$E$2535),COLUMN(G103)))</f>
        <v/>
      </c>
      <c r="Y140" s="132" t="str">
        <f t="array" ref="Y140">IF(X140="","",INDEX(Podcasts!$F$10:'Podcasts'!$F$2535,MATCH(X140&amp;$B140,Podcasts!$E$10:'Podcasts'!$E$2535&amp;Podcasts!$D$10:'Podcasts'!$D$2535,0)))</f>
        <v/>
      </c>
      <c r="Z140" s="136" t="str">
        <f t="array" ref="Z140">IF(AA140="","",INDEX(Podcasts!$J$10:'Podcasts'!$J$2535,MATCH(AA140&amp;$B140,Podcasts!$E$10:'Podcasts'!$E$2535&amp;Podcasts!$D$10:'Podcasts'!$D$2535,0)))</f>
        <v/>
      </c>
      <c r="AA140" s="134" t="str">
        <f t="array" ref="AA140">IF(COUNTIF(Podcasts!$D$10:'Podcasts'!$D$2535,$B140)&lt;COLUMN(H103),"",SMALL(IF(Podcasts!$D$10:'Podcasts'!$D$2535=$B140,Podcasts!$E$10:'Podcasts'!$E$2535),COLUMN(H103)))</f>
        <v/>
      </c>
      <c r="AB140" s="404" t="str">
        <f t="array" ref="AB140">IF(AA140="","",INDEX(Podcasts!$F$10:'Podcasts'!$F$2535,MATCH(AA140&amp;$B140,Podcasts!$E$10:'Podcasts'!$E$2535&amp;Podcasts!$D$10:'Podcasts'!$D$2535,0)))</f>
        <v/>
      </c>
      <c r="AC140" s="406" t="str">
        <f t="array" ref="AC140">IF(AD140="","",INDEX(Podcasts!$J$10:'Podcasts'!$J$2535,MATCH(AD140&amp;$B140,Podcasts!$E$10:'Podcasts'!$E$2535&amp;Podcasts!$D$10:'Podcasts'!$D$2535,0)))</f>
        <v/>
      </c>
      <c r="AD140" s="400" t="str">
        <f t="array" ref="AD140">IF(COUNTIF(Podcasts!$D$10:'Podcasts'!$D$2535,$B140)&lt;COLUMN(I103),"",SMALL(IF(Podcasts!$D$10:'Podcasts'!$D$2535=$B140,Podcasts!$E$10:'Podcasts'!$E$2535),COLUMN(I103)))</f>
        <v/>
      </c>
      <c r="AE140" s="401" t="str">
        <f t="array" ref="AE140">IF(AD140="","",INDEX(Podcasts!$F$10:'Podcasts'!$F$2535,MATCH(AD140&amp;$B140,Podcasts!$E$10:'Podcasts'!$E$2535&amp;Podcasts!$D$10:'Podcasts'!$D$2535,0)))</f>
        <v/>
      </c>
      <c r="AF140" s="406" t="str">
        <f t="array" ref="AF140">IF(AG140="","",INDEX(Podcasts!$J$10:'Podcasts'!$J$2535,MATCH(AG140&amp;$B140,Podcasts!$E$10:'Podcasts'!$E$2535&amp;Podcasts!$D$10:'Podcasts'!$D$2535,0)))</f>
        <v/>
      </c>
      <c r="AG140" s="400" t="str">
        <f t="array" ref="AG140">IF(COUNTIF(Podcasts!$D$10:'Podcasts'!$D$2535,$B140)&lt;COLUMN(J103),"",SMALL(IF(Podcasts!$D$10:'Podcasts'!$D$2535=$B140,Podcasts!$E$10:'Podcasts'!$E$2535),COLUMN(J103)))</f>
        <v/>
      </c>
      <c r="AH140" s="401" t="str">
        <f t="array" ref="AH140">IF(AG140="","",INDEX(Podcasts!$F$10:'Podcasts'!$F$2535,MATCH(AG140&amp;$B140,Podcasts!$E$10:'Podcasts'!$E$2535&amp;Podcasts!$D$10:'Podcasts'!$D$2535,0)))</f>
        <v/>
      </c>
      <c r="AI140" s="406" t="str">
        <f t="array" ref="AI140">IF(AJ140="","",INDEX(Podcasts!$J$10:'Podcasts'!$J$2535,MATCH(AJ140&amp;$B140,Podcasts!$E$10:'Podcasts'!$E$2535&amp;Podcasts!$D$10:'Podcasts'!$D$2535,0)))</f>
        <v/>
      </c>
      <c r="AJ140" s="400" t="str">
        <f t="array" ref="AJ140">IF(COUNTIF(Podcasts!$D$10:'Podcasts'!$D$2535,$B140)&lt;COLUMN(K103),"",SMALL(IF(Podcasts!$D$10:'Podcasts'!$D$2535=$B140,Podcasts!$E$10:'Podcasts'!$E$2535),COLUMN(K103)))</f>
        <v/>
      </c>
      <c r="AK140" s="401" t="str">
        <f t="array" ref="AK140">IF(AJ140="","",INDEX(Podcasts!$F$10:'Podcasts'!$F$2535,MATCH(AJ140&amp;$B140,Podcasts!$E$10:'Podcasts'!$E$2535&amp;Podcasts!$D$10:'Podcasts'!$D$2535,0)))</f>
        <v/>
      </c>
      <c r="AL140" s="406" t="str">
        <f t="array" ref="AL140">IF(AM140="","",INDEX(Podcasts!$J$10:'Podcasts'!$J$2535,MATCH(AM140&amp;$B140,Podcasts!$E$10:'Podcasts'!$E$2535&amp;Podcasts!$D$10:'Podcasts'!$D$2535,0)))</f>
        <v/>
      </c>
      <c r="AM140" s="400" t="str">
        <f t="array" ref="AM140">IF(COUNTIF(Podcasts!$D$10:'Podcasts'!$D$2535,$B140)&lt;COLUMN(L103),"",SMALL(IF(Podcasts!$D$10:'Podcasts'!$D$2535=$B140,Podcasts!$E$10:'Podcasts'!$E$2535),COLUMN(L103)))</f>
        <v/>
      </c>
      <c r="AN140" s="401" t="str">
        <f t="array" ref="AN140">IF(AM140="","",INDEX(Podcasts!$F$10:'Podcasts'!$F$2535,MATCH(AM140&amp;$B140,Podcasts!$E$10:'Podcasts'!$E$2535&amp;Podcasts!$D$10:'Podcasts'!$D$2535,0)))</f>
        <v/>
      </c>
      <c r="AO140" s="402"/>
      <c r="AP140" s="119"/>
      <c r="AQ140" s="117">
        <f t="array" aca="1" ref="AQ140" ca="1">IFERROR(SMALL(IF(COUNTIF(Podcasts!$D$10:'Podcasts'!$D$107,ROW(INDIRECT("1:"&amp;K$2)))=0,ROW(INDIRECT("1:"&amp;K$2))),ROW($A97)),"")</f>
        <v>128</v>
      </c>
      <c r="AR140" s="117">
        <f t="array" aca="1" ref="AR140" ca="1">IFERROR(SMALL(IF(COUNTIF(Podcasts!$D$113:'Podcasts'!$D$238,ROW(INDIRECT("1:"&amp;K$2)))=0,ROW(INDIRECT("1:"&amp;K$2))),ROW($A97)),"")</f>
        <v>97</v>
      </c>
      <c r="AS140" s="117">
        <f t="array" aca="1" ref="AS140" ca="1">IFERROR(SMALL(IF(COUNTIF(Podcasts!$D$244:'Podcasts'!$D$299,ROW(INDIRECT("1:"&amp;K$2)))=0,ROW(INDIRECT("1:"&amp;K$2))),ROW($A97)),"")</f>
        <v>116</v>
      </c>
      <c r="AT140" s="117"/>
      <c r="AU140" s="117">
        <f t="array" aca="1" ref="AU140" ca="1">IFERROR(SMALL(IF(COUNTIF(Podcasts!$D$479:'Podcasts'!$D$488,ROW(INDIRECT("1:"&amp;K$2)))=0,ROW(INDIRECT("1:"&amp;K$2))),ROW($A97)),"")</f>
        <v>99</v>
      </c>
      <c r="AV140" s="117">
        <f t="array" aca="1" ref="AV140" ca="1">IFERROR(SMALL(IF(COUNTIF(Podcasts!$D$494:'Podcasts'!$D$518,ROW(INDIRECT("1:"&amp;K$2)))=0,ROW(INDIRECT("1:"&amp;K$2))),ROW($A97)),"")</f>
        <v>117</v>
      </c>
      <c r="AW140" s="117">
        <f t="array" aca="1" ref="AW140" ca="1">IFERROR(SMALL(IF(COUNTIF(Podcasts!$D$524:'Podcasts'!$D$532,ROW(INDIRECT("1:"&amp;K$2)))=0,ROW(INDIRECT("1:"&amp;K$2))),ROW($A97)),"")</f>
        <v>98</v>
      </c>
      <c r="AX140" s="117" t="str">
        <f t="array" aca="1" ref="AX140" ca="1">IFERROR(SMALL(IF(COUNTIF(Podcasts!$D$538:'Podcasts'!$D$909,ROW(INDIRECT("1:"&amp;K$2)))=0,ROW(INDIRECT("1:"&amp;K$2))),ROW($A97)),"")</f>
        <v/>
      </c>
      <c r="AY140" s="117">
        <f t="array" aca="1" ref="AY140" ca="1">IFERROR(SMALL(IF(COUNTIF(Podcasts!$D$915:'Podcasts'!$D$981,ROW(INDIRECT("1:"&amp;K$2)))=0,ROW(INDIRECT("1:"&amp;K$2))),ROW($A97)),"")</f>
        <v>142</v>
      </c>
      <c r="AZ140" s="445"/>
      <c r="BA140" s="117">
        <f t="array" aca="1" ref="BA140" ca="1">IFERROR(SMALL(IF(COUNTIF(Podcasts!$D$1001:'Podcasts'!$D$1251,ROW(INDIRECT("1:"&amp;K$2)))=0,ROW(INDIRECT("1:"&amp;K$2))),ROW($A97)),"")</f>
        <v>144</v>
      </c>
      <c r="BB140" s="117">
        <f t="array" aca="1" ref="BB140" ca="1">IFERROR(SMALL(IF(COUNTIF(Podcasts!$D$1257:'Podcasts'!$D$1267,ROW(INDIRECT("1:"&amp;K$2)))=0,ROW(INDIRECT("1:"&amp;K$2))),ROW($A97)),"")</f>
        <v>101</v>
      </c>
      <c r="BC140" s="117">
        <f t="array" aca="1" ref="BC140" ca="1">IFERROR(SMALL(IF(COUNTIF(Podcasts!$D$1273:'Podcasts'!$D$1283,ROW(INDIRECT("1:"&amp;K$2)))=0,ROW(INDIRECT("1:"&amp;K$2))),ROW($A97)),"")</f>
        <v>101</v>
      </c>
      <c r="BD140" s="117">
        <f t="array" aca="1" ref="BD140" ca="1">IFERROR(SMALL(IF(COUNTIF(Podcasts!$D$1289:'Podcasts'!$D$1295,ROW(INDIRECT("1:"&amp;K$2)))=0,ROW(INDIRECT("1:"&amp;K$2))),ROW($A97)),"")</f>
        <v>99</v>
      </c>
      <c r="BE140" s="117">
        <f t="array" aca="1" ref="BE140" ca="1">IFERROR(SMALL(IF(COUNTIF(Podcasts!$D$1301:'Podcasts'!$D$1356,ROW(INDIRECT("1:"&amp;K$2)))=0,ROW(INDIRECT("1:"&amp;K$2))),ROW($A97)),"")</f>
        <v>144</v>
      </c>
      <c r="BF140" s="117">
        <f t="array" aca="1" ref="BF140" ca="1">IFERROR(SMALL(IF(COUNTIF(Podcasts!$D$1362:'Podcasts'!$D$1364,ROW(INDIRECT("1:"&amp;K$2)))=0,ROW(INDIRECT("1:"&amp;K$2))),ROW($A97)),"")</f>
        <v>100</v>
      </c>
      <c r="BG140" s="202">
        <f t="array" aca="1" ref="BG140" ca="1">IFERROR(SMALL(IF(COUNTIF(Podcasts!$D$1370:'Podcasts'!$D$1419,ROW(INDIRECT("1:"&amp;K$2)))=0,ROW(INDIRECT("1:"&amp;K$2))),ROW($A97)),"")</f>
        <v>122</v>
      </c>
      <c r="BH140" s="202">
        <f t="array" aca="1" ref="BH140" ca="1">IFERROR(SMALL(IF(COUNTIF(Podcasts!$D$1425:'Podcasts'!$D$1446,ROW(INDIRECT("1:"&amp;K$2)))=0,ROW(INDIRECT("1:"&amp;K$2))),ROW($A97)),"")</f>
        <v>107</v>
      </c>
      <c r="BI140" s="202">
        <f t="array" aca="1" ref="BI140" ca="1">IFERROR(SMALL(IF(COUNTIF(Podcasts!$D$1452:'Podcasts'!$D$1574,ROW(INDIRECT("1:"&amp;K$2)))=0,ROW(INDIRECT("1:"&amp;K$2))),ROW($A97)),"")</f>
        <v>162</v>
      </c>
      <c r="BJ140" s="202">
        <f t="array" aca="1" ref="BJ140" ca="1">IFERROR(SMALL(IF(COUNTIF(Podcasts!$D$1580:'Podcasts'!$D$1705,ROW(INDIRECT("1:"&amp;K$2)))=0,ROW(INDIRECT("1:"&amp;K$2))),ROW($A97)),"")</f>
        <v>161</v>
      </c>
      <c r="BK140" s="202">
        <f t="array" aca="1" ref="BK140" ca="1">IFERROR(SMALL(IF(COUNTIF(Podcasts!$D$1711:'Podcasts'!$D$1833,ROW(INDIRECT("1:"&amp;K$2)))=0,ROW(INDIRECT("1:"&amp;K$2))),ROW($A97)),"")</f>
        <v>150</v>
      </c>
      <c r="BL140" s="202">
        <f t="array" aca="1" ref="BL140" ca="1">IFERROR(SMALL(IF(COUNTIF(Podcasts!$D$1839:'Podcasts'!$D$1855,ROW(INDIRECT("1:"&amp;K$2)))=0,ROW(INDIRECT("1:"&amp;K$2))),ROW($A97)),"")</f>
        <v>106</v>
      </c>
      <c r="BM140" s="567">
        <f t="array" aca="1" ref="BM140" ca="1">IFERROR(SMALL(IF(COUNTIF(Podcasts!$D$1861:'Podcasts'!$D$1994,ROW(INDIRECT("1:"&amp;K$2)))=0,ROW(INDIRECT("1:"&amp;K$2))),ROW($A97)),"")</f>
        <v>137</v>
      </c>
      <c r="BN140" s="567">
        <f t="array" aca="1" ref="BN140" ca="1">IFERROR(SMALL(IF(COUNTIF(Podcasts!$D$2000:'Podcasts'!$D$2057,ROW(INDIRECT("1:"&amp;K$2)))=0,ROW(INDIRECT("1:"&amp;K$2))),ROW($A97)),"")</f>
        <v>152</v>
      </c>
      <c r="BO140" s="567">
        <f t="array" aca="1" ref="BO140" ca="1">IFERROR(SMALL(IF(COUNTIF(Podcasts!$D$2063:'Podcasts'!$D$2071,ROW(INDIRECT("1:"&amp;K$2)))=0,ROW(INDIRECT("1:"&amp;K$2))),ROW($A97)),"")</f>
        <v>102</v>
      </c>
      <c r="BP140" s="202">
        <f t="array" aca="1" ref="BP140" ca="1">IFERROR(SMALL(IF(COUNTIF(Podcasts!$D$2077:'Podcasts'!$D$2092,ROW(INDIRECT("1:"&amp;K$2)))=0,ROW(INDIRECT("1:"&amp;K$2))),ROW($A97)),"")</f>
        <v>108</v>
      </c>
      <c r="BQ140" s="741">
        <f t="array" aca="1" ref="BQ140" ca="1">IFERROR(SMALL(IF(COUNTIF(Podcasts!$D$2098:'Podcasts'!$D$2114,ROW(INDIRECT("1:"&amp;K$2)))=0,ROW(INDIRECT("1:"&amp;K$2))),ROW($A97)),"")</f>
        <v>104</v>
      </c>
      <c r="BR140" s="744">
        <f t="array" aca="1" ref="BR140" ca="1">IFERROR(SMALL(IF(COUNTIF(Podcasts!$D$2120:'Podcasts'!$D$2124,ROW(INDIRECT("1:"&amp;K$2)))=0,ROW(INDIRECT("1:"&amp;K$2))),ROW($A97)),"")</f>
        <v>99</v>
      </c>
      <c r="BS140" s="28"/>
    </row>
    <row r="141" spans="1:71" outlineLevel="1">
      <c r="A141" s="28"/>
      <c r="B141" s="161">
        <v>98</v>
      </c>
      <c r="C141" s="161">
        <f>COUNTIF(Podcasts!$D$10:'Podcasts'!$D$2535,B141)</f>
        <v>5</v>
      </c>
      <c r="D141" s="158" t="s">
        <v>1126</v>
      </c>
      <c r="E141" s="156" t="str">
        <f t="array" ref="E141">IF(F141="","",INDEX(Podcasts!$J$10:'Podcasts'!$J$2535,MATCH(F141&amp;$B141,Podcasts!$E$10:'Podcasts'!$E$2535&amp;Podcasts!$D$10:'Podcasts'!$D$2535,0)))</f>
        <v>Fürst</v>
      </c>
      <c r="F141" s="131">
        <f t="array" ref="F141">IF(COUNTIF(Podcasts!$D$10:'Podcasts'!$D$2535,$B141)&lt;COLUMN(A104),"",SMALL(IF(Podcasts!$D$10:'Podcasts'!$D$2535=$B141,Podcasts!$E$10:'Podcasts'!$E$2535),COLUMN(A104)))</f>
        <v>41980</v>
      </c>
      <c r="G141" s="132">
        <f t="array" ref="G141">IF(F141="","",INDEX(Podcasts!$F$10:'Podcasts'!$F$2535,MATCH(F141&amp;$B141,Podcasts!$E$10:'Podcasts'!$E$2535&amp;Podcasts!$D$10:'Podcasts'!$D$2535,0)))</f>
        <v>8.2754629629629619E-3</v>
      </c>
      <c r="H141" s="136" t="str">
        <f t="array" ref="H141">IF(I141="","",INDEX(Podcasts!$J$10:'Podcasts'!$J$2535,MATCH(I141&amp;$B141,Podcasts!$E$10:'Podcasts'!$E$2535&amp;Podcasts!$D$10:'Podcasts'!$D$2535,0)))</f>
        <v>R&amp;A</v>
      </c>
      <c r="I141" s="133">
        <f t="array" ref="I141">IF(COUNTIF(Podcasts!$D$10:'Podcasts'!$D$2535,$B141)&lt;COLUMN(B104),"",SMALL(IF(Podcasts!$D$10:'Podcasts'!$D$2535=$B141,Podcasts!$E$10:'Podcasts'!$E$2535),COLUMN(B104)))</f>
        <v>43434.778425925928</v>
      </c>
      <c r="J141" s="132">
        <f t="array" ref="J141">IF(I141="","",INDEX(Podcasts!$F$10:'Podcasts'!$F$2535,MATCH(I141&amp;$B141,Podcasts!$E$10:'Podcasts'!$E$2535&amp;Podcasts!$D$10:'Podcasts'!$D$2535,0)))</f>
        <v>6.987268518518519E-2</v>
      </c>
      <c r="K141" s="136" t="str">
        <f t="array" ref="K141">IF(L141="","",INDEX(Podcasts!$J$10:'Podcasts'!$J$2535,MATCH(L141&amp;$B141,Podcasts!$E$10:'Podcasts'!$E$2535&amp;Podcasts!$D$10:'Podcasts'!$D$2535,0)))</f>
        <v>:punkt</v>
      </c>
      <c r="L141" s="133">
        <f t="array" ref="L141">IF(COUNTIF(Podcasts!$D$10:'Podcasts'!$D$2535,$B141)&lt;COLUMN(C104),"",SMALL(IF(Podcasts!$D$10:'Podcasts'!$D$2535=$B141,Podcasts!$E$10:'Podcasts'!$E$2535),COLUMN(C104)))</f>
        <v>44963</v>
      </c>
      <c r="M141" s="132">
        <f t="array" ref="M141">IF(L141="","",INDEX(Podcasts!$F$10:'Podcasts'!$F$2535,MATCH(L141&amp;$B141,Podcasts!$E$10:'Podcasts'!$E$2535&amp;Podcasts!$D$10:'Podcasts'!$D$2535,0)))</f>
        <v>3.560185185185185E-2</v>
      </c>
      <c r="N141" s="136" t="str">
        <f t="array" ref="N141">IF(O141="","",INDEX(Podcasts!$J$10:'Podcasts'!$J$2535,MATCH(O141&amp;$B141,Podcasts!$E$10:'Podcasts'!$E$2535&amp;Podcasts!$D$10:'Podcasts'!$D$2535,0)))</f>
        <v>Kuchen</v>
      </c>
      <c r="O141" s="133">
        <f t="array" ref="O141">IF(COUNTIF(Podcasts!$D$10:'Podcasts'!$D$2535,$B141)&lt;COLUMN(D104),"",SMALL(IF(Podcasts!$D$10:'Podcasts'!$D$2535=$B141,Podcasts!$E$10:'Podcasts'!$E$2535),COLUMN(D104)))</f>
        <v>45130</v>
      </c>
      <c r="P141" s="132">
        <f t="array" ref="P141">IF(O141="","",INDEX(Podcasts!$F$10:'Podcasts'!$F$2535,MATCH(O141&amp;$B141,Podcasts!$E$10:'Podcasts'!$E$2535&amp;Podcasts!$D$10:'Podcasts'!$D$2535,0)))</f>
        <v>5.9282407407407402E-2</v>
      </c>
      <c r="Q141" s="136" t="str">
        <f t="array" ref="Q141">IF(R141="","",INDEX(Podcasts!$J$10:'Podcasts'!$J$2535,MATCH(R141&amp;$B141,Podcasts!$E$10:'Podcasts'!$E$2535&amp;Podcasts!$D$10:'Podcasts'!$D$2535,0)))</f>
        <v>SSP</v>
      </c>
      <c r="R141" s="133">
        <f t="array" ref="R141">IF(COUNTIF(Podcasts!$D$10:'Podcasts'!$D$2535,$B141)&lt;COLUMN(E104),"",SMALL(IF(Podcasts!$D$10:'Podcasts'!$D$2535=$B141,Podcasts!$E$10:'Podcasts'!$E$2535),COLUMN(E104)))</f>
        <v>45401</v>
      </c>
      <c r="S141" s="132">
        <f t="array" ref="S141">IF(R141="","",INDEX(Podcasts!$F$10:'Podcasts'!$F$2535,MATCH(R141&amp;$B141,Podcasts!$E$10:'Podcasts'!$E$2535&amp;Podcasts!$D$10:'Podcasts'!$D$2535,0)))</f>
        <v>0.10667824074074074</v>
      </c>
      <c r="T141" s="136" t="str">
        <f t="array" ref="T141">IF(U141="","",INDEX(Podcasts!$J$10:'Podcasts'!$J$2535,MATCH(U141&amp;$B141,Podcasts!$E$10:'Podcasts'!$E$2535&amp;Podcasts!$D$10:'Podcasts'!$D$2535,0)))</f>
        <v/>
      </c>
      <c r="U141" s="133" t="str">
        <f t="array" ref="U141">IF(COUNTIF(Podcasts!$D$10:'Podcasts'!$D$2535,$B141)&lt;COLUMN(F104),"",SMALL(IF(Podcasts!$D$10:'Podcasts'!$D$2535=$B141,Podcasts!$E$10:'Podcasts'!$E$2535),COLUMN(F104)))</f>
        <v/>
      </c>
      <c r="V141" s="132" t="str">
        <f t="array" ref="V141">IF(U141="","",INDEX(Podcasts!$F$10:'Podcasts'!$F$2535,MATCH(U141&amp;$B141,Podcasts!$E$10:'Podcasts'!$E$2535&amp;Podcasts!$D$10:'Podcasts'!$D$2535,0)))</f>
        <v/>
      </c>
      <c r="W141" s="136" t="str">
        <f t="array" ref="W141">IF(X141="","",INDEX(Podcasts!$J$10:'Podcasts'!$J$2535,MATCH(X141&amp;$B141,Podcasts!$E$10:'Podcasts'!$E$2535&amp;Podcasts!$D$10:'Podcasts'!$D$2535,0)))</f>
        <v/>
      </c>
      <c r="X141" s="133" t="str">
        <f t="array" ref="X141">IF(COUNTIF(Podcasts!$D$10:'Podcasts'!$D$2535,$B141)&lt;COLUMN(G104),"",SMALL(IF(Podcasts!$D$10:'Podcasts'!$D$2535=$B141,Podcasts!$E$10:'Podcasts'!$E$2535),COLUMN(G104)))</f>
        <v/>
      </c>
      <c r="Y141" s="132" t="str">
        <f t="array" ref="Y141">IF(X141="","",INDEX(Podcasts!$F$10:'Podcasts'!$F$2535,MATCH(X141&amp;$B141,Podcasts!$E$10:'Podcasts'!$E$2535&amp;Podcasts!$D$10:'Podcasts'!$D$2535,0)))</f>
        <v/>
      </c>
      <c r="Z141" s="136" t="str">
        <f t="array" ref="Z141">IF(AA141="","",INDEX(Podcasts!$J$10:'Podcasts'!$J$2535,MATCH(AA141&amp;$B141,Podcasts!$E$10:'Podcasts'!$E$2535&amp;Podcasts!$D$10:'Podcasts'!$D$2535,0)))</f>
        <v/>
      </c>
      <c r="AA141" s="134" t="str">
        <f t="array" ref="AA141">IF(COUNTIF(Podcasts!$D$10:'Podcasts'!$D$2535,$B141)&lt;COLUMN(H104),"",SMALL(IF(Podcasts!$D$10:'Podcasts'!$D$2535=$B141,Podcasts!$E$10:'Podcasts'!$E$2535),COLUMN(H104)))</f>
        <v/>
      </c>
      <c r="AB141" s="404" t="str">
        <f t="array" ref="AB141">IF(AA141="","",INDEX(Podcasts!$F$10:'Podcasts'!$F$2535,MATCH(AA141&amp;$B141,Podcasts!$E$10:'Podcasts'!$E$2535&amp;Podcasts!$D$10:'Podcasts'!$D$2535,0)))</f>
        <v/>
      </c>
      <c r="AC141" s="406" t="str">
        <f t="array" ref="AC141">IF(AD141="","",INDEX(Podcasts!$J$10:'Podcasts'!$J$2535,MATCH(AD141&amp;$B141,Podcasts!$E$10:'Podcasts'!$E$2535&amp;Podcasts!$D$10:'Podcasts'!$D$2535,0)))</f>
        <v/>
      </c>
      <c r="AD141" s="400" t="str">
        <f t="array" ref="AD141">IF(COUNTIF(Podcasts!$D$10:'Podcasts'!$D$2535,$B141)&lt;COLUMN(I104),"",SMALL(IF(Podcasts!$D$10:'Podcasts'!$D$2535=$B141,Podcasts!$E$10:'Podcasts'!$E$2535),COLUMN(I104)))</f>
        <v/>
      </c>
      <c r="AE141" s="401" t="str">
        <f t="array" ref="AE141">IF(AD141="","",INDEX(Podcasts!$F$10:'Podcasts'!$F$2535,MATCH(AD141&amp;$B141,Podcasts!$E$10:'Podcasts'!$E$2535&amp;Podcasts!$D$10:'Podcasts'!$D$2535,0)))</f>
        <v/>
      </c>
      <c r="AF141" s="406" t="str">
        <f t="array" ref="AF141">IF(AG141="","",INDEX(Podcasts!$J$10:'Podcasts'!$J$2535,MATCH(AG141&amp;$B141,Podcasts!$E$10:'Podcasts'!$E$2535&amp;Podcasts!$D$10:'Podcasts'!$D$2535,0)))</f>
        <v/>
      </c>
      <c r="AG141" s="400" t="str">
        <f t="array" ref="AG141">IF(COUNTIF(Podcasts!$D$10:'Podcasts'!$D$2535,$B141)&lt;COLUMN(J104),"",SMALL(IF(Podcasts!$D$10:'Podcasts'!$D$2535=$B141,Podcasts!$E$10:'Podcasts'!$E$2535),COLUMN(J104)))</f>
        <v/>
      </c>
      <c r="AH141" s="401" t="str">
        <f t="array" ref="AH141">IF(AG141="","",INDEX(Podcasts!$F$10:'Podcasts'!$F$2535,MATCH(AG141&amp;$B141,Podcasts!$E$10:'Podcasts'!$E$2535&amp;Podcasts!$D$10:'Podcasts'!$D$2535,0)))</f>
        <v/>
      </c>
      <c r="AI141" s="406" t="str">
        <f t="array" ref="AI141">IF(AJ141="","",INDEX(Podcasts!$J$10:'Podcasts'!$J$2535,MATCH(AJ141&amp;$B141,Podcasts!$E$10:'Podcasts'!$E$2535&amp;Podcasts!$D$10:'Podcasts'!$D$2535,0)))</f>
        <v/>
      </c>
      <c r="AJ141" s="400" t="str">
        <f t="array" ref="AJ141">IF(COUNTIF(Podcasts!$D$10:'Podcasts'!$D$2535,$B141)&lt;COLUMN(K104),"",SMALL(IF(Podcasts!$D$10:'Podcasts'!$D$2535=$B141,Podcasts!$E$10:'Podcasts'!$E$2535),COLUMN(K104)))</f>
        <v/>
      </c>
      <c r="AK141" s="401" t="str">
        <f t="array" ref="AK141">IF(AJ141="","",INDEX(Podcasts!$F$10:'Podcasts'!$F$2535,MATCH(AJ141&amp;$B141,Podcasts!$E$10:'Podcasts'!$E$2535&amp;Podcasts!$D$10:'Podcasts'!$D$2535,0)))</f>
        <v/>
      </c>
      <c r="AL141" s="406" t="str">
        <f t="array" ref="AL141">IF(AM141="","",INDEX(Podcasts!$J$10:'Podcasts'!$J$2535,MATCH(AM141&amp;$B141,Podcasts!$E$10:'Podcasts'!$E$2535&amp;Podcasts!$D$10:'Podcasts'!$D$2535,0)))</f>
        <v/>
      </c>
      <c r="AM141" s="400" t="str">
        <f t="array" ref="AM141">IF(COUNTIF(Podcasts!$D$10:'Podcasts'!$D$2535,$B141)&lt;COLUMN(L104),"",SMALL(IF(Podcasts!$D$10:'Podcasts'!$D$2535=$B141,Podcasts!$E$10:'Podcasts'!$E$2535),COLUMN(L104)))</f>
        <v/>
      </c>
      <c r="AN141" s="401" t="str">
        <f t="array" ref="AN141">IF(AM141="","",INDEX(Podcasts!$F$10:'Podcasts'!$F$2535,MATCH(AM141&amp;$B141,Podcasts!$E$10:'Podcasts'!$E$2535&amp;Podcasts!$D$10:'Podcasts'!$D$2535,0)))</f>
        <v/>
      </c>
      <c r="AO141" s="402"/>
      <c r="AP141" s="119"/>
      <c r="AQ141" s="117">
        <f t="array" aca="1" ref="AQ141" ca="1">IFERROR(SMALL(IF(COUNTIF(Podcasts!$D$10:'Podcasts'!$D$107,ROW(INDIRECT("1:"&amp;K$2)))=0,ROW(INDIRECT("1:"&amp;K$2))),ROW($A98)),"")</f>
        <v>129</v>
      </c>
      <c r="AR141" s="117">
        <f t="array" aca="1" ref="AR141" ca="1">IFERROR(SMALL(IF(COUNTIF(Podcasts!$D$113:'Podcasts'!$D$238,ROW(INDIRECT("1:"&amp;K$2)))=0,ROW(INDIRECT("1:"&amp;K$2))),ROW($A98)),"")</f>
        <v>98</v>
      </c>
      <c r="AS141" s="117">
        <f t="array" aca="1" ref="AS141" ca="1">IFERROR(SMALL(IF(COUNTIF(Podcasts!$D$244:'Podcasts'!$D$299,ROW(INDIRECT("1:"&amp;K$2)))=0,ROW(INDIRECT("1:"&amp;K$2))),ROW($A98)),"")</f>
        <v>117</v>
      </c>
      <c r="AT141" s="117"/>
      <c r="AU141" s="117">
        <f t="array" aca="1" ref="AU141" ca="1">IFERROR(SMALL(IF(COUNTIF(Podcasts!$D$479:'Podcasts'!$D$488,ROW(INDIRECT("1:"&amp;K$2)))=0,ROW(INDIRECT("1:"&amp;K$2))),ROW($A98)),"")</f>
        <v>100</v>
      </c>
      <c r="AV141" s="117">
        <f t="array" aca="1" ref="AV141" ca="1">IFERROR(SMALL(IF(COUNTIF(Podcasts!$D$494:'Podcasts'!$D$518,ROW(INDIRECT("1:"&amp;K$2)))=0,ROW(INDIRECT("1:"&amp;K$2))),ROW($A98)),"")</f>
        <v>118</v>
      </c>
      <c r="AW141" s="117">
        <f t="array" aca="1" ref="AW141" ca="1">IFERROR(SMALL(IF(COUNTIF(Podcasts!$D$524:'Podcasts'!$D$532,ROW(INDIRECT("1:"&amp;K$2)))=0,ROW(INDIRECT("1:"&amp;K$2))),ROW($A98)),"")</f>
        <v>99</v>
      </c>
      <c r="AX141" s="117" t="str">
        <f t="array" aca="1" ref="AX141" ca="1">IFERROR(SMALL(IF(COUNTIF(Podcasts!$D$538:'Podcasts'!$D$909,ROW(INDIRECT("1:"&amp;K$2)))=0,ROW(INDIRECT("1:"&amp;K$2))),ROW($A98)),"")</f>
        <v/>
      </c>
      <c r="AY141" s="117">
        <f t="array" aca="1" ref="AY141" ca="1">IFERROR(SMALL(IF(COUNTIF(Podcasts!$D$915:'Podcasts'!$D$981,ROW(INDIRECT("1:"&amp;K$2)))=0,ROW(INDIRECT("1:"&amp;K$2))),ROW($A98)),"")</f>
        <v>143</v>
      </c>
      <c r="AZ141" s="445"/>
      <c r="BA141" s="117">
        <f t="array" aca="1" ref="BA141" ca="1">IFERROR(SMALL(IF(COUNTIF(Podcasts!$D$1001:'Podcasts'!$D$1251,ROW(INDIRECT("1:"&amp;K$2)))=0,ROW(INDIRECT("1:"&amp;K$2))),ROW($A98)),"")</f>
        <v>145</v>
      </c>
      <c r="BB141" s="117">
        <f t="array" aca="1" ref="BB141" ca="1">IFERROR(SMALL(IF(COUNTIF(Podcasts!$D$1257:'Podcasts'!$D$1267,ROW(INDIRECT("1:"&amp;K$2)))=0,ROW(INDIRECT("1:"&amp;K$2))),ROW($A98)),"")</f>
        <v>102</v>
      </c>
      <c r="BC141" s="117">
        <f t="array" aca="1" ref="BC141" ca="1">IFERROR(SMALL(IF(COUNTIF(Podcasts!$D$1273:'Podcasts'!$D$1283,ROW(INDIRECT("1:"&amp;K$2)))=0,ROW(INDIRECT("1:"&amp;K$2))),ROW($A98)),"")</f>
        <v>102</v>
      </c>
      <c r="BD141" s="117">
        <f t="array" aca="1" ref="BD141" ca="1">IFERROR(SMALL(IF(COUNTIF(Podcasts!$D$1289:'Podcasts'!$D$1295,ROW(INDIRECT("1:"&amp;K$2)))=0,ROW(INDIRECT("1:"&amp;K$2))),ROW($A98)),"")</f>
        <v>100</v>
      </c>
      <c r="BE141" s="117">
        <f t="array" aca="1" ref="BE141" ca="1">IFERROR(SMALL(IF(COUNTIF(Podcasts!$D$1301:'Podcasts'!$D$1356,ROW(INDIRECT("1:"&amp;K$2)))=0,ROW(INDIRECT("1:"&amp;K$2))),ROW($A98)),"")</f>
        <v>145</v>
      </c>
      <c r="BF141" s="117">
        <f t="array" aca="1" ref="BF141" ca="1">IFERROR(SMALL(IF(COUNTIF(Podcasts!$D$1362:'Podcasts'!$D$1364,ROW(INDIRECT("1:"&amp;K$2)))=0,ROW(INDIRECT("1:"&amp;K$2))),ROW($A98)),"")</f>
        <v>101</v>
      </c>
      <c r="BG141" s="202">
        <f t="array" aca="1" ref="BG141" ca="1">IFERROR(SMALL(IF(COUNTIF(Podcasts!$D$1370:'Podcasts'!$D$1419,ROW(INDIRECT("1:"&amp;K$2)))=0,ROW(INDIRECT("1:"&amp;K$2))),ROW($A98)),"")</f>
        <v>123</v>
      </c>
      <c r="BH141" s="202">
        <f t="array" aca="1" ref="BH141" ca="1">IFERROR(SMALL(IF(COUNTIF(Podcasts!$D$1425:'Podcasts'!$D$1446,ROW(INDIRECT("1:"&amp;K$2)))=0,ROW(INDIRECT("1:"&amp;K$2))),ROW($A98)),"")</f>
        <v>108</v>
      </c>
      <c r="BI141" s="202">
        <f t="array" aca="1" ref="BI141" ca="1">IFERROR(SMALL(IF(COUNTIF(Podcasts!$D$1452:'Podcasts'!$D$1574,ROW(INDIRECT("1:"&amp;K$2)))=0,ROW(INDIRECT("1:"&amp;K$2))),ROW($A98)),"")</f>
        <v>163</v>
      </c>
      <c r="BJ141" s="202">
        <f t="array" aca="1" ref="BJ141" ca="1">IFERROR(SMALL(IF(COUNTIF(Podcasts!$D$1580:'Podcasts'!$D$1705,ROW(INDIRECT("1:"&amp;K$2)))=0,ROW(INDIRECT("1:"&amp;K$2))),ROW($A98)),"")</f>
        <v>162</v>
      </c>
      <c r="BK141" s="202">
        <f t="array" aca="1" ref="BK141" ca="1">IFERROR(SMALL(IF(COUNTIF(Podcasts!$D$1711:'Podcasts'!$D$1833,ROW(INDIRECT("1:"&amp;K$2)))=0,ROW(INDIRECT("1:"&amp;K$2))),ROW($A98)),"")</f>
        <v>153</v>
      </c>
      <c r="BL141" s="202">
        <f t="array" aca="1" ref="BL141" ca="1">IFERROR(SMALL(IF(COUNTIF(Podcasts!$D$1839:'Podcasts'!$D$1855,ROW(INDIRECT("1:"&amp;K$2)))=0,ROW(INDIRECT("1:"&amp;K$2))),ROW($A98)),"")</f>
        <v>107</v>
      </c>
      <c r="BM141" s="567">
        <f t="array" aca="1" ref="BM141" ca="1">IFERROR(SMALL(IF(COUNTIF(Podcasts!$D$1861:'Podcasts'!$D$1994,ROW(INDIRECT("1:"&amp;K$2)))=0,ROW(INDIRECT("1:"&amp;K$2))),ROW($A98)),"")</f>
        <v>138</v>
      </c>
      <c r="BN141" s="567">
        <f t="array" aca="1" ref="BN141" ca="1">IFERROR(SMALL(IF(COUNTIF(Podcasts!$D$2000:'Podcasts'!$D$2057,ROW(INDIRECT("1:"&amp;K$2)))=0,ROW(INDIRECT("1:"&amp;K$2))),ROW($A98)),"")</f>
        <v>153</v>
      </c>
      <c r="BO141" s="567">
        <f t="array" aca="1" ref="BO141" ca="1">IFERROR(SMALL(IF(COUNTIF(Podcasts!$D$2063:'Podcasts'!$D$2071,ROW(INDIRECT("1:"&amp;K$2)))=0,ROW(INDIRECT("1:"&amp;K$2))),ROW($A98)),"")</f>
        <v>103</v>
      </c>
      <c r="BP141" s="202">
        <f t="array" aca="1" ref="BP141" ca="1">IFERROR(SMALL(IF(COUNTIF(Podcasts!$D$2077:'Podcasts'!$D$2092,ROW(INDIRECT("1:"&amp;K$2)))=0,ROW(INDIRECT("1:"&amp;K$2))),ROW($A98)),"")</f>
        <v>109</v>
      </c>
      <c r="BQ141" s="741">
        <f t="array" aca="1" ref="BQ141" ca="1">IFERROR(SMALL(IF(COUNTIF(Podcasts!$D$2098:'Podcasts'!$D$2114,ROW(INDIRECT("1:"&amp;K$2)))=0,ROW(INDIRECT("1:"&amp;K$2))),ROW($A98)),"")</f>
        <v>105</v>
      </c>
      <c r="BR141" s="744">
        <f t="array" aca="1" ref="BR141" ca="1">IFERROR(SMALL(IF(COUNTIF(Podcasts!$D$2120:'Podcasts'!$D$2124,ROW(INDIRECT("1:"&amp;K$2)))=0,ROW(INDIRECT("1:"&amp;K$2))),ROW($A98)),"")</f>
        <v>100</v>
      </c>
      <c r="BS141" s="28"/>
    </row>
    <row r="142" spans="1:71" outlineLevel="1">
      <c r="A142" s="28"/>
      <c r="B142" s="161">
        <v>99</v>
      </c>
      <c r="C142" s="161">
        <f>COUNTIF(Podcasts!$D$10:'Podcasts'!$D$2535,B142)</f>
        <v>7</v>
      </c>
      <c r="D142" s="158" t="s">
        <v>1127</v>
      </c>
      <c r="E142" s="156" t="str">
        <f t="array" ref="E142">IF(F142="","",INDEX(Podcasts!$J$10:'Podcasts'!$J$2535,MATCH(F142&amp;$B142,Podcasts!$E$10:'Podcasts'!$E$2535&amp;Podcasts!$D$10:'Podcasts'!$D$2535,0)))</f>
        <v>???od</v>
      </c>
      <c r="F142" s="131">
        <f t="array" ref="F142">IF(COUNTIF(Podcasts!$D$10:'Podcasts'!$D$2535,$B142)&lt;COLUMN(A105),"",SMALL(IF(Podcasts!$D$10:'Podcasts'!$D$2535=$B142,Podcasts!$E$10:'Podcasts'!$E$2535),COLUMN(A105)))</f>
        <v>41541</v>
      </c>
      <c r="G142" s="132">
        <f t="array" ref="G142">IF(F142="","",INDEX(Podcasts!$F$10:'Podcasts'!$F$2535,MATCH(F142&amp;$B142,Podcasts!$E$10:'Podcasts'!$E$2535&amp;Podcasts!$D$10:'Podcasts'!$D$2535,0)))</f>
        <v>4.4444444444444446E-2</v>
      </c>
      <c r="H142" s="136" t="str">
        <f t="array" ref="H142">IF(I142="","",INDEX(Podcasts!$J$10:'Podcasts'!$J$2535,MATCH(I142&amp;$B142,Podcasts!$E$10:'Podcasts'!$E$2535&amp;Podcasts!$D$10:'Podcasts'!$D$2535,0)))</f>
        <v>Fürst</v>
      </c>
      <c r="I142" s="133">
        <f t="array" ref="I142">IF(COUNTIF(Podcasts!$D$10:'Podcasts'!$D$2535,$B142)&lt;COLUMN(B105),"",SMALL(IF(Podcasts!$D$10:'Podcasts'!$D$2535=$B142,Podcasts!$E$10:'Podcasts'!$E$2535),COLUMN(B105)))</f>
        <v>42022</v>
      </c>
      <c r="J142" s="132">
        <f t="array" ref="J142">IF(I142="","",INDEX(Podcasts!$F$10:'Podcasts'!$F$2535,MATCH(I142&amp;$B142,Podcasts!$E$10:'Podcasts'!$E$2535&amp;Podcasts!$D$10:'Podcasts'!$D$2535,0)))</f>
        <v>1.3368055555555557E-2</v>
      </c>
      <c r="K142" s="136" t="str">
        <f t="array" ref="K142">IF(L142="","",INDEX(Podcasts!$J$10:'Podcasts'!$J$2535,MATCH(L142&amp;$B142,Podcasts!$E$10:'Podcasts'!$E$2535&amp;Podcasts!$D$10:'Podcasts'!$D$2535,0)))</f>
        <v>R&amp;A</v>
      </c>
      <c r="L142" s="133">
        <f t="array" ref="L142">IF(COUNTIF(Podcasts!$D$10:'Podcasts'!$D$2535,$B142)&lt;COLUMN(C105),"",SMALL(IF(Podcasts!$D$10:'Podcasts'!$D$2535=$B142,Podcasts!$E$10:'Podcasts'!$E$2535),COLUMN(C105)))</f>
        <v>43179.876354166663</v>
      </c>
      <c r="M142" s="132">
        <f t="array" ref="M142">IF(L142="","",INDEX(Podcasts!$F$10:'Podcasts'!$F$2535,MATCH(L142&amp;$B142,Podcasts!$E$10:'Podcasts'!$E$2535&amp;Podcasts!$D$10:'Podcasts'!$D$2535,0)))</f>
        <v>4.6504629629629625E-2</v>
      </c>
      <c r="N142" s="136" t="str">
        <f t="array" ref="N142">IF(O142="","",INDEX(Podcasts!$J$10:'Podcasts'!$J$2535,MATCH(O142&amp;$B142,Podcasts!$E$10:'Podcasts'!$E$2535&amp;Podcasts!$D$10:'Podcasts'!$D$2535,0)))</f>
        <v>Kaffee</v>
      </c>
      <c r="O142" s="133">
        <f t="array" ref="O142">IF(COUNTIF(Podcasts!$D$10:'Podcasts'!$D$2535,$B142)&lt;COLUMN(D105),"",SMALL(IF(Podcasts!$D$10:'Podcasts'!$D$2535=$B142,Podcasts!$E$10:'Podcasts'!$E$2535),COLUMN(D105)))</f>
        <v>44232</v>
      </c>
      <c r="P142" s="132">
        <f t="array" ref="P142">IF(O142="","",INDEX(Podcasts!$F$10:'Podcasts'!$F$2535,MATCH(O142&amp;$B142,Podcasts!$E$10:'Podcasts'!$E$2535&amp;Podcasts!$D$10:'Podcasts'!$D$2535,0)))</f>
        <v>2.0439814814814817E-2</v>
      </c>
      <c r="Q142" s="136" t="str">
        <f t="array" ref="Q142">IF(R142="","",INDEX(Podcasts!$J$10:'Podcasts'!$J$2535,MATCH(R142&amp;$B142,Podcasts!$E$10:'Podcasts'!$E$2535&amp;Podcasts!$D$10:'Podcasts'!$D$2535,0)))</f>
        <v>Zentrale</v>
      </c>
      <c r="R142" s="133">
        <f t="array" ref="R142">IF(COUNTIF(Podcasts!$D$10:'Podcasts'!$D$2535,$B142)&lt;COLUMN(E105),"",SMALL(IF(Podcasts!$D$10:'Podcasts'!$D$2535=$B142,Podcasts!$E$10:'Podcasts'!$E$2535),COLUMN(E105)))</f>
        <v>44239</v>
      </c>
      <c r="S142" s="132">
        <f t="array" ref="S142">IF(R142="","",INDEX(Podcasts!$F$10:'Podcasts'!$F$2535,MATCH(R142&amp;$B142,Podcasts!$E$10:'Podcasts'!$E$2535&amp;Podcasts!$D$10:'Podcasts'!$D$2535,0)))</f>
        <v>0.14848379629629629</v>
      </c>
      <c r="T142" s="136" t="str">
        <f t="array" ref="T142">IF(U142="","",INDEX(Podcasts!$J$10:'Podcasts'!$J$2535,MATCH(U142&amp;$B142,Podcasts!$E$10:'Podcasts'!$E$2535&amp;Podcasts!$D$10:'Podcasts'!$D$2535,0)))</f>
        <v>Kuchen</v>
      </c>
      <c r="U142" s="133">
        <f t="array" ref="U142">IF(COUNTIF(Podcasts!$D$10:'Podcasts'!$D$2535,$B142)&lt;COLUMN(F105),"",SMALL(IF(Podcasts!$D$10:'Podcasts'!$D$2535=$B142,Podcasts!$E$10:'Podcasts'!$E$2535),COLUMN(F105)))</f>
        <v>44948</v>
      </c>
      <c r="V142" s="132">
        <f t="array" ref="V142">IF(U142="","",INDEX(Podcasts!$F$10:'Podcasts'!$F$2535,MATCH(U142&amp;$B142,Podcasts!$E$10:'Podcasts'!$E$2535&amp;Podcasts!$D$10:'Podcasts'!$D$2535,0)))</f>
        <v>9.7708333333333328E-2</v>
      </c>
      <c r="W142" s="136" t="str">
        <f t="array" ref="W142">IF(X142="","",INDEX(Podcasts!$J$10:'Podcasts'!$J$2535,MATCH(X142&amp;$B142,Podcasts!$E$10:'Podcasts'!$E$2535&amp;Podcasts!$D$10:'Podcasts'!$D$2535,0)))</f>
        <v>SSP</v>
      </c>
      <c r="X142" s="133">
        <f t="array" ref="X142">IF(COUNTIF(Podcasts!$D$10:'Podcasts'!$D$2535,$B142)&lt;COLUMN(G105),"",SMALL(IF(Podcasts!$D$10:'Podcasts'!$D$2535=$B142,Podcasts!$E$10:'Podcasts'!$E$2535),COLUMN(G105)))</f>
        <v>44963</v>
      </c>
      <c r="Y142" s="132">
        <f t="array" ref="Y142">IF(X142="","",INDEX(Podcasts!$F$10:'Podcasts'!$F$2535,MATCH(X142&amp;$B142,Podcasts!$E$10:'Podcasts'!$E$2535&amp;Podcasts!$D$10:'Podcasts'!$D$2535,0)))</f>
        <v>0.10168981481481482</v>
      </c>
      <c r="Z142" s="136" t="str">
        <f t="array" ref="Z142">IF(AA142="","",INDEX(Podcasts!$J$10:'Podcasts'!$J$2535,MATCH(AA142&amp;$B142,Podcasts!$E$10:'Podcasts'!$E$2535&amp;Podcasts!$D$10:'Podcasts'!$D$2535,0)))</f>
        <v/>
      </c>
      <c r="AA142" s="134" t="str">
        <f t="array" ref="AA142">IF(COUNTIF(Podcasts!$D$10:'Podcasts'!$D$2535,$B142)&lt;COLUMN(H105),"",SMALL(IF(Podcasts!$D$10:'Podcasts'!$D$2535=$B142,Podcasts!$E$10:'Podcasts'!$E$2535),COLUMN(H105)))</f>
        <v/>
      </c>
      <c r="AB142" s="404" t="str">
        <f t="array" ref="AB142">IF(AA142="","",INDEX(Podcasts!$F$10:'Podcasts'!$F$2535,MATCH(AA142&amp;$B142,Podcasts!$E$10:'Podcasts'!$E$2535&amp;Podcasts!$D$10:'Podcasts'!$D$2535,0)))</f>
        <v/>
      </c>
      <c r="AC142" s="406" t="str">
        <f t="array" ref="AC142">IF(AD142="","",INDEX(Podcasts!$J$10:'Podcasts'!$J$2535,MATCH(AD142&amp;$B142,Podcasts!$E$10:'Podcasts'!$E$2535&amp;Podcasts!$D$10:'Podcasts'!$D$2535,0)))</f>
        <v/>
      </c>
      <c r="AD142" s="400" t="str">
        <f t="array" ref="AD142">IF(COUNTIF(Podcasts!$D$10:'Podcasts'!$D$2535,$B142)&lt;COLUMN(I105),"",SMALL(IF(Podcasts!$D$10:'Podcasts'!$D$2535=$B142,Podcasts!$E$10:'Podcasts'!$E$2535),COLUMN(I105)))</f>
        <v/>
      </c>
      <c r="AE142" s="401" t="str">
        <f t="array" ref="AE142">IF(AD142="","",INDEX(Podcasts!$F$10:'Podcasts'!$F$2535,MATCH(AD142&amp;$B142,Podcasts!$E$10:'Podcasts'!$E$2535&amp;Podcasts!$D$10:'Podcasts'!$D$2535,0)))</f>
        <v/>
      </c>
      <c r="AF142" s="406" t="str">
        <f t="array" ref="AF142">IF(AG142="","",INDEX(Podcasts!$J$10:'Podcasts'!$J$2535,MATCH(AG142&amp;$B142,Podcasts!$E$10:'Podcasts'!$E$2535&amp;Podcasts!$D$10:'Podcasts'!$D$2535,0)))</f>
        <v/>
      </c>
      <c r="AG142" s="400" t="str">
        <f t="array" ref="AG142">IF(COUNTIF(Podcasts!$D$10:'Podcasts'!$D$2535,$B142)&lt;COLUMN(J105),"",SMALL(IF(Podcasts!$D$10:'Podcasts'!$D$2535=$B142,Podcasts!$E$10:'Podcasts'!$E$2535),COLUMN(J105)))</f>
        <v/>
      </c>
      <c r="AH142" s="401" t="str">
        <f t="array" ref="AH142">IF(AG142="","",INDEX(Podcasts!$F$10:'Podcasts'!$F$2535,MATCH(AG142&amp;$B142,Podcasts!$E$10:'Podcasts'!$E$2535&amp;Podcasts!$D$10:'Podcasts'!$D$2535,0)))</f>
        <v/>
      </c>
      <c r="AI142" s="406" t="str">
        <f t="array" ref="AI142">IF(AJ142="","",INDEX(Podcasts!$J$10:'Podcasts'!$J$2535,MATCH(AJ142&amp;$B142,Podcasts!$E$10:'Podcasts'!$E$2535&amp;Podcasts!$D$10:'Podcasts'!$D$2535,0)))</f>
        <v/>
      </c>
      <c r="AJ142" s="400" t="str">
        <f t="array" ref="AJ142">IF(COUNTIF(Podcasts!$D$10:'Podcasts'!$D$2535,$B142)&lt;COLUMN(K105),"",SMALL(IF(Podcasts!$D$10:'Podcasts'!$D$2535=$B142,Podcasts!$E$10:'Podcasts'!$E$2535),COLUMN(K105)))</f>
        <v/>
      </c>
      <c r="AK142" s="401" t="str">
        <f t="array" ref="AK142">IF(AJ142="","",INDEX(Podcasts!$F$10:'Podcasts'!$F$2535,MATCH(AJ142&amp;$B142,Podcasts!$E$10:'Podcasts'!$E$2535&amp;Podcasts!$D$10:'Podcasts'!$D$2535,0)))</f>
        <v/>
      </c>
      <c r="AL142" s="406" t="str">
        <f t="array" ref="AL142">IF(AM142="","",INDEX(Podcasts!$J$10:'Podcasts'!$J$2535,MATCH(AM142&amp;$B142,Podcasts!$E$10:'Podcasts'!$E$2535&amp;Podcasts!$D$10:'Podcasts'!$D$2535,0)))</f>
        <v/>
      </c>
      <c r="AM142" s="400" t="str">
        <f t="array" ref="AM142">IF(COUNTIF(Podcasts!$D$10:'Podcasts'!$D$2535,$B142)&lt;COLUMN(L105),"",SMALL(IF(Podcasts!$D$10:'Podcasts'!$D$2535=$B142,Podcasts!$E$10:'Podcasts'!$E$2535),COLUMN(L105)))</f>
        <v/>
      </c>
      <c r="AN142" s="401" t="str">
        <f t="array" ref="AN142">IF(AM142="","",INDEX(Podcasts!$F$10:'Podcasts'!$F$2535,MATCH(AM142&amp;$B142,Podcasts!$E$10:'Podcasts'!$E$2535&amp;Podcasts!$D$10:'Podcasts'!$D$2535,0)))</f>
        <v/>
      </c>
      <c r="AO142" s="402"/>
      <c r="AP142" s="119"/>
      <c r="AQ142" s="117">
        <f t="array" aca="1" ref="AQ142" ca="1">IFERROR(SMALL(IF(COUNTIF(Podcasts!$D$10:'Podcasts'!$D$107,ROW(INDIRECT("1:"&amp;K$2)))=0,ROW(INDIRECT("1:"&amp;K$2))),ROW($A99)),"")</f>
        <v>131</v>
      </c>
      <c r="AR142" s="117">
        <f t="array" aca="1" ref="AR142" ca="1">IFERROR(SMALL(IF(COUNTIF(Podcasts!$D$113:'Podcasts'!$D$238,ROW(INDIRECT("1:"&amp;K$2)))=0,ROW(INDIRECT("1:"&amp;K$2))),ROW($A99)),"")</f>
        <v>99</v>
      </c>
      <c r="AS142" s="117">
        <f t="array" aca="1" ref="AS142" ca="1">IFERROR(SMALL(IF(COUNTIF(Podcasts!$D$244:'Podcasts'!$D$299,ROW(INDIRECT("1:"&amp;K$2)))=0,ROW(INDIRECT("1:"&amp;K$2))),ROW($A99)),"")</f>
        <v>118</v>
      </c>
      <c r="AT142" s="117"/>
      <c r="AU142" s="117">
        <f t="array" aca="1" ref="AU142" ca="1">IFERROR(SMALL(IF(COUNTIF(Podcasts!$D$479:'Podcasts'!$D$488,ROW(INDIRECT("1:"&amp;K$2)))=0,ROW(INDIRECT("1:"&amp;K$2))),ROW($A99)),"")</f>
        <v>101</v>
      </c>
      <c r="AV142" s="117">
        <f t="array" aca="1" ref="AV142" ca="1">IFERROR(SMALL(IF(COUNTIF(Podcasts!$D$494:'Podcasts'!$D$518,ROW(INDIRECT("1:"&amp;K$2)))=0,ROW(INDIRECT("1:"&amp;K$2))),ROW($A99)),"")</f>
        <v>119</v>
      </c>
      <c r="AW142" s="117">
        <f t="array" aca="1" ref="AW142" ca="1">IFERROR(SMALL(IF(COUNTIF(Podcasts!$D$524:'Podcasts'!$D$532,ROW(INDIRECT("1:"&amp;K$2)))=0,ROW(INDIRECT("1:"&amp;K$2))),ROW($A99)),"")</f>
        <v>100</v>
      </c>
      <c r="AX142" s="117"/>
      <c r="AY142" s="117">
        <f t="array" aca="1" ref="AY142" ca="1">IFERROR(SMALL(IF(COUNTIF(Podcasts!$D$915:'Podcasts'!$D$981,ROW(INDIRECT("1:"&amp;K$2)))=0,ROW(INDIRECT("1:"&amp;K$2))),ROW($A99)),"")</f>
        <v>144</v>
      </c>
      <c r="AZ142" s="445"/>
      <c r="BA142" s="117">
        <f t="array" aca="1" ref="BA142" ca="1">IFERROR(SMALL(IF(COUNTIF(Podcasts!$D$1001:'Podcasts'!$D$1251,ROW(INDIRECT("1:"&amp;K$2)))=0,ROW(INDIRECT("1:"&amp;K$2))),ROW($A99)),"")</f>
        <v>146</v>
      </c>
      <c r="BB142" s="117">
        <f t="array" aca="1" ref="BB142" ca="1">IFERROR(SMALL(IF(COUNTIF(Podcasts!$D$1257:'Podcasts'!$D$1267,ROW(INDIRECT("1:"&amp;K$2)))=0,ROW(INDIRECT("1:"&amp;K$2))),ROW($A99)),"")</f>
        <v>103</v>
      </c>
      <c r="BC142" s="117">
        <f t="array" aca="1" ref="BC142" ca="1">IFERROR(SMALL(IF(COUNTIF(Podcasts!$D$1273:'Podcasts'!$D$1283,ROW(INDIRECT("1:"&amp;K$2)))=0,ROW(INDIRECT("1:"&amp;K$2))),ROW($A99)),"")</f>
        <v>103</v>
      </c>
      <c r="BD142" s="117">
        <f t="array" aca="1" ref="BD142" ca="1">IFERROR(SMALL(IF(COUNTIF(Podcasts!$D$1289:'Podcasts'!$D$1295,ROW(INDIRECT("1:"&amp;K$2)))=0,ROW(INDIRECT("1:"&amp;K$2))),ROW($A99)),"")</f>
        <v>101</v>
      </c>
      <c r="BE142" s="117">
        <f t="array" aca="1" ref="BE142" ca="1">IFERROR(SMALL(IF(COUNTIF(Podcasts!$D$1301:'Podcasts'!$D$1356,ROW(INDIRECT("1:"&amp;K$2)))=0,ROW(INDIRECT("1:"&amp;K$2))),ROW($A99)),"")</f>
        <v>146</v>
      </c>
      <c r="BF142" s="117">
        <f t="array" aca="1" ref="BF142" ca="1">IFERROR(SMALL(IF(COUNTIF(Podcasts!$D$1362:'Podcasts'!$D$1364,ROW(INDIRECT("1:"&amp;K$2)))=0,ROW(INDIRECT("1:"&amp;K$2))),ROW($A99)),"")</f>
        <v>102</v>
      </c>
      <c r="BG142" s="202">
        <f t="array" aca="1" ref="BG142" ca="1">IFERROR(SMALL(IF(COUNTIF(Podcasts!$D$1370:'Podcasts'!$D$1419,ROW(INDIRECT("1:"&amp;K$2)))=0,ROW(INDIRECT("1:"&amp;K$2))),ROW($A99)),"")</f>
        <v>124</v>
      </c>
      <c r="BH142" s="202">
        <f t="array" aca="1" ref="BH142" ca="1">IFERROR(SMALL(IF(COUNTIF(Podcasts!$D$1425:'Podcasts'!$D$1446,ROW(INDIRECT("1:"&amp;K$2)))=0,ROW(INDIRECT("1:"&amp;K$2))),ROW($A99)),"")</f>
        <v>109</v>
      </c>
      <c r="BI142" s="202">
        <f t="array" aca="1" ref="BI142" ca="1">IFERROR(SMALL(IF(COUNTIF(Podcasts!$D$1452:'Podcasts'!$D$1574,ROW(INDIRECT("1:"&amp;K$2)))=0,ROW(INDIRECT("1:"&amp;K$2))),ROW($A99)),"")</f>
        <v>164</v>
      </c>
      <c r="BJ142" s="202">
        <f t="array" aca="1" ref="BJ142" ca="1">IFERROR(SMALL(IF(COUNTIF(Podcasts!$D$1580:'Podcasts'!$D$1705,ROW(INDIRECT("1:"&amp;K$2)))=0,ROW(INDIRECT("1:"&amp;K$2))),ROW($A99)),"")</f>
        <v>164</v>
      </c>
      <c r="BK142" s="202">
        <f t="array" aca="1" ref="BK142" ca="1">IFERROR(SMALL(IF(COUNTIF(Podcasts!$D$1711:'Podcasts'!$D$1833,ROW(INDIRECT("1:"&amp;K$2)))=0,ROW(INDIRECT("1:"&amp;K$2))),ROW($A99)),"")</f>
        <v>154</v>
      </c>
      <c r="BL142" s="202">
        <f t="array" aca="1" ref="BL142" ca="1">IFERROR(SMALL(IF(COUNTIF(Podcasts!$D$1839:'Podcasts'!$D$1855,ROW(INDIRECT("1:"&amp;K$2)))=0,ROW(INDIRECT("1:"&amp;K$2))),ROW($A99)),"")</f>
        <v>108</v>
      </c>
      <c r="BM142" s="567">
        <f t="array" aca="1" ref="BM142" ca="1">IFERROR(SMALL(IF(COUNTIF(Podcasts!$D$1861:'Podcasts'!$D$1994,ROW(INDIRECT("1:"&amp;K$2)))=0,ROW(INDIRECT("1:"&amp;K$2))),ROW($A99)),"")</f>
        <v>139</v>
      </c>
      <c r="BN142" s="567">
        <f t="array" aca="1" ref="BN142" ca="1">IFERROR(SMALL(IF(COUNTIF(Podcasts!$D$2000:'Podcasts'!$D$2057,ROW(INDIRECT("1:"&amp;K$2)))=0,ROW(INDIRECT("1:"&amp;K$2))),ROW($A99)),"")</f>
        <v>154</v>
      </c>
      <c r="BO142" s="567">
        <f t="array" aca="1" ref="BO142" ca="1">IFERROR(SMALL(IF(COUNTIF(Podcasts!$D$2063:'Podcasts'!$D$2071,ROW(INDIRECT("1:"&amp;K$2)))=0,ROW(INDIRECT("1:"&amp;K$2))),ROW($A99)),"")</f>
        <v>104</v>
      </c>
      <c r="BP142" s="202">
        <f t="array" aca="1" ref="BP142" ca="1">IFERROR(SMALL(IF(COUNTIF(Podcasts!$D$2077:'Podcasts'!$D$2092,ROW(INDIRECT("1:"&amp;K$2)))=0,ROW(INDIRECT("1:"&amp;K$2))),ROW($A99)),"")</f>
        <v>110</v>
      </c>
      <c r="BQ142" s="741">
        <f t="array" aca="1" ref="BQ142" ca="1">IFERROR(SMALL(IF(COUNTIF(Podcasts!$D$2098:'Podcasts'!$D$2114,ROW(INDIRECT("1:"&amp;K$2)))=0,ROW(INDIRECT("1:"&amp;K$2))),ROW($A99)),"")</f>
        <v>106</v>
      </c>
      <c r="BR142" s="744">
        <f t="array" aca="1" ref="BR142" ca="1">IFERROR(SMALL(IF(COUNTIF(Podcasts!$D$2120:'Podcasts'!$D$2124,ROW(INDIRECT("1:"&amp;K$2)))=0,ROW(INDIRECT("1:"&amp;K$2))),ROW($A99)),"")</f>
        <v>101</v>
      </c>
      <c r="BS142" s="28"/>
    </row>
    <row r="143" spans="1:71" outlineLevel="1">
      <c r="A143" s="28"/>
      <c r="B143" s="161">
        <v>100</v>
      </c>
      <c r="C143" s="161">
        <f>COUNTIF(Podcasts!$D$10:'Podcasts'!$D$2535,B143)-4</f>
        <v>5</v>
      </c>
      <c r="D143" s="158" t="s">
        <v>1224</v>
      </c>
      <c r="E143" s="156" t="str">
        <f t="array" ref="E143">IF(F143="","",INDEX(Podcasts!$J$10:'Podcasts'!$J$2535,MATCH(F143&amp;$B143,Podcasts!$E$10:'Podcasts'!$E$2535&amp;Podcasts!$D$10:'Podcasts'!$D$2535,0)))</f>
        <v>Fürst</v>
      </c>
      <c r="F143" s="131">
        <f t="array" ref="F143">IF(COUNTIF(Podcasts!$D$10:'Podcasts'!$D$2535,$B143)&lt;COLUMN(A106),"",SMALL(IF(Podcasts!$D$10:'Podcasts'!$D$2535=$B143,Podcasts!$E$10:'Podcasts'!$E$2535),COLUMN(A106)))</f>
        <v>42022</v>
      </c>
      <c r="G143" s="132">
        <f t="array" ref="G143">IF(F143="","",INDEX(Podcasts!$F$10:'Podcasts'!$F$2535,MATCH(F143&amp;$B143,Podcasts!$E$10:'Podcasts'!$E$2535&amp;Podcasts!$D$10:'Podcasts'!$D$2535,0)))</f>
        <v>1.0127314814814815E-2</v>
      </c>
      <c r="H143" s="136" t="str">
        <f t="array" ref="H143">IF(I143="","",INDEX(Podcasts!$J$10:'Podcasts'!$J$2535,MATCH(I143&amp;$B143,Podcasts!$E$10:'Podcasts'!$E$2535&amp;Podcasts!$D$10:'Podcasts'!$D$2535,0)))</f>
        <v>SSP</v>
      </c>
      <c r="I143" s="133">
        <f t="array" ref="I143">IF(COUNTIF(Podcasts!$D$10:'Podcasts'!$D$2535,$B143)&lt;COLUMN(B106),"",SMALL(IF(Podcasts!$D$10:'Podcasts'!$D$2535=$B143,Podcasts!$E$10:'Podcasts'!$E$2535),COLUMN(B106)))</f>
        <v>43283</v>
      </c>
      <c r="J143" s="132">
        <f t="array" ref="J143">IF(I143="","",INDEX(Podcasts!$F$10:'Podcasts'!$F$2535,MATCH(I143&amp;$B143,Podcasts!$E$10:'Podcasts'!$E$2535&amp;Podcasts!$D$10:'Podcasts'!$D$2535,0)))</f>
        <v>7.66087962962963E-2</v>
      </c>
      <c r="K143" s="136" t="str">
        <f t="array" ref="K143">IF(L143="","",INDEX(Podcasts!$J$10:'Podcasts'!$J$2535,MATCH(L143&amp;$B143,Podcasts!$E$10:'Podcasts'!$E$2535&amp;Podcasts!$D$10:'Podcasts'!$D$2535,0)))</f>
        <v>SSP</v>
      </c>
      <c r="L143" s="133">
        <f t="array" ref="L143">IF(COUNTIF(Podcasts!$D$10:'Podcasts'!$D$2535,$B143)&lt;COLUMN(C106),"",SMALL(IF(Podcasts!$D$10:'Podcasts'!$D$2535=$B143,Podcasts!$E$10:'Podcasts'!$E$2535),COLUMN(C106)))</f>
        <v>43295</v>
      </c>
      <c r="M143" s="132">
        <f t="array" ref="M143">IF(L143="","",INDEX(Podcasts!$F$10:'Podcasts'!$F$2535,MATCH(L143&amp;$B143,Podcasts!$E$10:'Podcasts'!$E$2535&amp;Podcasts!$D$10:'Podcasts'!$D$2535,0)))</f>
        <v>6.4375000000000002E-2</v>
      </c>
      <c r="N143" s="136" t="str">
        <f t="array" ref="N143">IF(O143="","",INDEX(Podcasts!$J$10:'Podcasts'!$J$2535,MATCH(O143&amp;$B143,Podcasts!$E$10:'Podcasts'!$E$2535&amp;Podcasts!$D$10:'Podcasts'!$D$2535,0)))</f>
        <v>SSP</v>
      </c>
      <c r="O143" s="133">
        <f t="array" ref="O143">IF(COUNTIF(Podcasts!$D$10:'Podcasts'!$D$2535,$B143)&lt;COLUMN(D106),"",SMALL(IF(Podcasts!$D$10:'Podcasts'!$D$2535=$B143,Podcasts!$E$10:'Podcasts'!$E$2535),COLUMN(D106)))</f>
        <v>43298</v>
      </c>
      <c r="P143" s="132">
        <f t="array" ref="P143">IF(O143="","",INDEX(Podcasts!$F$10:'Podcasts'!$F$2535,MATCH(O143&amp;$B143,Podcasts!$E$10:'Podcasts'!$E$2535&amp;Podcasts!$D$10:'Podcasts'!$D$2535,0)))</f>
        <v>6.2013888888888889E-2</v>
      </c>
      <c r="Q143" s="136" t="str">
        <f t="array" ref="Q143">IF(R143="","",INDEX(Podcasts!$J$10:'Podcasts'!$J$2535,MATCH(R143&amp;$B143,Podcasts!$E$10:'Podcasts'!$E$2535&amp;Podcasts!$D$10:'Podcasts'!$D$2535,0)))</f>
        <v>Gebraucht</v>
      </c>
      <c r="R143" s="133">
        <f t="array" ref="R143">IF(COUNTIF(Podcasts!$D$10:'Podcasts'!$D$2535,$B143)&lt;COLUMN(E106),"",SMALL(IF(Podcasts!$D$10:'Podcasts'!$D$2535=$B143,Podcasts!$E$10:'Podcasts'!$E$2535),COLUMN(E106)))</f>
        <v>44822</v>
      </c>
      <c r="S143" s="132">
        <f t="array" ref="S143">IF(R143="","",INDEX(Podcasts!$F$10:'Podcasts'!$F$2535,MATCH(R143&amp;$B143,Podcasts!$E$10:'Podcasts'!$E$2535&amp;Podcasts!$D$10:'Podcasts'!$D$2535,0)))</f>
        <v>6.5439814814814812E-2</v>
      </c>
      <c r="T143" s="136" t="str">
        <f t="array" ref="T143">IF(U143="","",INDEX(Podcasts!$J$10:'Podcasts'!$J$2535,MATCH(U143&amp;$B143,Podcasts!$E$10:'Podcasts'!$E$2535&amp;Podcasts!$D$10:'Podcasts'!$D$2535,0)))</f>
        <v>Zw3i</v>
      </c>
      <c r="U143" s="133">
        <f t="array" ref="U143">IF(COUNTIF(Podcasts!$D$10:'Podcasts'!$D$2535,$B143)&lt;COLUMN(F106),"",SMALL(IF(Podcasts!$D$10:'Podcasts'!$D$2535=$B143,Podcasts!$E$10:'Podcasts'!$E$2535),COLUMN(F106)))</f>
        <v>44932</v>
      </c>
      <c r="V143" s="132">
        <f t="array" ref="V143">IF(U143="","",INDEX(Podcasts!$F$10:'Podcasts'!$F$2535,MATCH(U143&amp;$B143,Podcasts!$E$10:'Podcasts'!$E$2535&amp;Podcasts!$D$10:'Podcasts'!$D$2535,0)))</f>
        <v>0.1285300925925926</v>
      </c>
      <c r="W143" s="136" t="str">
        <f t="array" ref="W143">IF(X143="","",INDEX(Podcasts!$J$10:'Podcasts'!$J$2535,MATCH(X143&amp;$B143,Podcasts!$E$10:'Podcasts'!$E$2535&amp;Podcasts!$D$10:'Podcasts'!$D$2535,0)))</f>
        <v>Zw3i</v>
      </c>
      <c r="X143" s="133">
        <f t="array" ref="X143">IF(COUNTIF(Podcasts!$D$10:'Podcasts'!$D$2535,$B143)&lt;COLUMN(G106),"",SMALL(IF(Podcasts!$D$10:'Podcasts'!$D$2535=$B143,Podcasts!$E$10:'Podcasts'!$E$2535),COLUMN(G106)))</f>
        <v>44939</v>
      </c>
      <c r="Y143" s="132">
        <f t="array" ref="Y143">IF(X143="","",INDEX(Podcasts!$F$10:'Podcasts'!$F$2535,MATCH(X143&amp;$B143,Podcasts!$E$10:'Podcasts'!$E$2535&amp;Podcasts!$D$10:'Podcasts'!$D$2535,0)))</f>
        <v>6.2245370370370368E-2</v>
      </c>
      <c r="Z143" s="136" t="str">
        <f t="array" ref="Z143">IF(AA143="","",INDEX(Podcasts!$J$10:'Podcasts'!$J$2535,MATCH(AA143&amp;$B143,Podcasts!$E$10:'Podcasts'!$E$2535&amp;Podcasts!$D$10:'Podcasts'!$D$2535,0)))</f>
        <v>Zw3i</v>
      </c>
      <c r="AA143" s="134">
        <f t="array" ref="AA143">IF(COUNTIF(Podcasts!$D$10:'Podcasts'!$D$2535,$B143)&lt;COLUMN(H106),"",SMALL(IF(Podcasts!$D$10:'Podcasts'!$D$2535=$B143,Podcasts!$E$10:'Podcasts'!$E$2535),COLUMN(H106)))</f>
        <v>44946</v>
      </c>
      <c r="AB143" s="404">
        <f t="array" ref="AB143">IF(AA143="","",INDEX(Podcasts!$F$10:'Podcasts'!$F$2535,MATCH(AA143&amp;$B143,Podcasts!$E$10:'Podcasts'!$E$2535&amp;Podcasts!$D$10:'Podcasts'!$D$2535,0)))</f>
        <v>7.7824074074074087E-2</v>
      </c>
      <c r="AC143" s="406" t="str">
        <f t="array" ref="AC143">IF(AD143="","",INDEX(Podcasts!$J$10:'Podcasts'!$J$2535,MATCH(AD143&amp;$B143,Podcasts!$E$10:'Podcasts'!$E$2535&amp;Podcasts!$D$10:'Podcasts'!$D$2535,0)))</f>
        <v>Kaffee</v>
      </c>
      <c r="AD143" s="400">
        <f t="array" ref="AD143">IF(COUNTIF(Podcasts!$D$10:'Podcasts'!$D$2535,$B143)&lt;COLUMN(I106),"",SMALL(IF(Podcasts!$D$10:'Podcasts'!$D$2535=$B143,Podcasts!$E$10:'Podcasts'!$E$2535),COLUMN(I106)))</f>
        <v>45261</v>
      </c>
      <c r="AE143" s="401">
        <f t="array" ref="AE143">IF(AD143="","",INDEX(Podcasts!$F$10:'Podcasts'!$F$2535,MATCH(AD143&amp;$B143,Podcasts!$E$10:'Podcasts'!$E$2535&amp;Podcasts!$D$10:'Podcasts'!$D$2535,0)))</f>
        <v>6.5497685185185187E-2</v>
      </c>
      <c r="AF143" s="406" t="str">
        <f t="array" ref="AF143">IF(AG143="","",INDEX(Podcasts!$J$10:'Podcasts'!$J$2535,MATCH(AG143&amp;$B143,Podcasts!$E$10:'Podcasts'!$E$2535&amp;Podcasts!$D$10:'Podcasts'!$D$2535,0)))</f>
        <v/>
      </c>
      <c r="AG143" s="400" t="str">
        <f t="array" ref="AG143">IF(COUNTIF(Podcasts!$D$10:'Podcasts'!$D$2535,$B143)&lt;COLUMN(J106),"",SMALL(IF(Podcasts!$D$10:'Podcasts'!$D$2535=$B143,Podcasts!$E$10:'Podcasts'!$E$2535),COLUMN(J106)))</f>
        <v/>
      </c>
      <c r="AH143" s="401" t="str">
        <f t="array" ref="AH143">IF(AG143="","",INDEX(Podcasts!$F$10:'Podcasts'!$F$2535,MATCH(AG143&amp;$B143,Podcasts!$E$10:'Podcasts'!$E$2535&amp;Podcasts!$D$10:'Podcasts'!$D$2535,0)))</f>
        <v/>
      </c>
      <c r="AI143" s="406" t="str">
        <f t="array" ref="AI143">IF(AJ143="","",INDEX(Podcasts!$J$10:'Podcasts'!$J$2535,MATCH(AJ143&amp;$B143,Podcasts!$E$10:'Podcasts'!$E$2535&amp;Podcasts!$D$10:'Podcasts'!$D$2535,0)))</f>
        <v/>
      </c>
      <c r="AJ143" s="400" t="str">
        <f t="array" ref="AJ143">IF(COUNTIF(Podcasts!$D$10:'Podcasts'!$D$2535,$B143)&lt;COLUMN(K106),"",SMALL(IF(Podcasts!$D$10:'Podcasts'!$D$2535=$B143,Podcasts!$E$10:'Podcasts'!$E$2535),COLUMN(K106)))</f>
        <v/>
      </c>
      <c r="AK143" s="401" t="str">
        <f t="array" ref="AK143">IF(AJ143="","",INDEX(Podcasts!$F$10:'Podcasts'!$F$2535,MATCH(AJ143&amp;$B143,Podcasts!$E$10:'Podcasts'!$E$2535&amp;Podcasts!$D$10:'Podcasts'!$D$2535,0)))</f>
        <v/>
      </c>
      <c r="AL143" s="406" t="str">
        <f t="array" ref="AL143">IF(AM143="","",INDEX(Podcasts!$J$10:'Podcasts'!$J$2535,MATCH(AM143&amp;$B143,Podcasts!$E$10:'Podcasts'!$E$2535&amp;Podcasts!$D$10:'Podcasts'!$D$2535,0)))</f>
        <v/>
      </c>
      <c r="AM143" s="400" t="str">
        <f t="array" ref="AM143">IF(COUNTIF(Podcasts!$D$10:'Podcasts'!$D$2535,$B143)&lt;COLUMN(L106),"",SMALL(IF(Podcasts!$D$10:'Podcasts'!$D$2535=$B143,Podcasts!$E$10:'Podcasts'!$E$2535),COLUMN(L106)))</f>
        <v/>
      </c>
      <c r="AN143" s="401" t="str">
        <f t="array" ref="AN143">IF(AM143="","",INDEX(Podcasts!$F$10:'Podcasts'!$F$2535,MATCH(AM143&amp;$B143,Podcasts!$E$10:'Podcasts'!$E$2535&amp;Podcasts!$D$10:'Podcasts'!$D$2535,0)))</f>
        <v/>
      </c>
      <c r="AO143" s="402"/>
      <c r="AP143" s="119"/>
      <c r="AQ143" s="117">
        <f t="array" aca="1" ref="AQ143" ca="1">IFERROR(SMALL(IF(COUNTIF(Podcasts!$D$10:'Podcasts'!$D$107,ROW(INDIRECT("1:"&amp;K$2)))=0,ROW(INDIRECT("1:"&amp;K$2))),ROW($A100)),"")</f>
        <v>132</v>
      </c>
      <c r="AR143" s="117">
        <f t="array" aca="1" ref="AR143" ca="1">IFERROR(SMALL(IF(COUNTIF(Podcasts!$D$113:'Podcasts'!$D$238,ROW(INDIRECT("1:"&amp;K$2)))=0,ROW(INDIRECT("1:"&amp;K$2))),ROW($A100)),"")</f>
        <v>100</v>
      </c>
      <c r="AS143" s="117">
        <f t="array" aca="1" ref="AS143" ca="1">IFERROR(SMALL(IF(COUNTIF(Podcasts!$D$244:'Podcasts'!$D$299,ROW(INDIRECT("1:"&amp;K$2)))=0,ROW(INDIRECT("1:"&amp;K$2))),ROW($A100)),"")</f>
        <v>119</v>
      </c>
      <c r="AT143" s="117"/>
      <c r="AU143" s="117">
        <f t="array" aca="1" ref="AU143" ca="1">IFERROR(SMALL(IF(COUNTIF(Podcasts!$D$479:'Podcasts'!$D$488,ROW(INDIRECT("1:"&amp;K$2)))=0,ROW(INDIRECT("1:"&amp;K$2))),ROW($A100)),"")</f>
        <v>102</v>
      </c>
      <c r="AV143" s="117">
        <f t="array" aca="1" ref="AV143" ca="1">IFERROR(SMALL(IF(COUNTIF(Podcasts!$D$494:'Podcasts'!$D$518,ROW(INDIRECT("1:"&amp;K$2)))=0,ROW(INDIRECT("1:"&amp;K$2))),ROW($A100)),"")</f>
        <v>120</v>
      </c>
      <c r="AW143" s="117">
        <f t="array" aca="1" ref="AW143" ca="1">IFERROR(SMALL(IF(COUNTIF(Podcasts!$D$524:'Podcasts'!$D$532,ROW(INDIRECT("1:"&amp;K$2)))=0,ROW(INDIRECT("1:"&amp;K$2))),ROW($A100)),"")</f>
        <v>101</v>
      </c>
      <c r="AX143" s="117"/>
      <c r="AY143" s="117">
        <f t="array" aca="1" ref="AY143" ca="1">IFERROR(SMALL(IF(COUNTIF(Podcasts!$D$915:'Podcasts'!$D$981,ROW(INDIRECT("1:"&amp;K$2)))=0,ROW(INDIRECT("1:"&amp;K$2))),ROW($A100)),"")</f>
        <v>145</v>
      </c>
      <c r="AZ143" s="445"/>
      <c r="BA143" s="117">
        <f t="array" aca="1" ref="BA143" ca="1">IFERROR(SMALL(IF(COUNTIF(Podcasts!$D$1001:'Podcasts'!$D$1251,ROW(INDIRECT("1:"&amp;K$2)))=0,ROW(INDIRECT("1:"&amp;K$2))),ROW($A100)),"")</f>
        <v>148</v>
      </c>
      <c r="BB143" s="117">
        <f t="array" aca="1" ref="BB143" ca="1">IFERROR(SMALL(IF(COUNTIF(Podcasts!$D$1257:'Podcasts'!$D$1267,ROW(INDIRECT("1:"&amp;K$2)))=0,ROW(INDIRECT("1:"&amp;K$2))),ROW($A100)),"")</f>
        <v>104</v>
      </c>
      <c r="BC143" s="117">
        <f t="array" aca="1" ref="BC143" ca="1">IFERROR(SMALL(IF(COUNTIF(Podcasts!$D$1273:'Podcasts'!$D$1283,ROW(INDIRECT("1:"&amp;K$2)))=0,ROW(INDIRECT("1:"&amp;K$2))),ROW($A100)),"")</f>
        <v>104</v>
      </c>
      <c r="BD143" s="117">
        <f t="array" aca="1" ref="BD143" ca="1">IFERROR(SMALL(IF(COUNTIF(Podcasts!$D$1289:'Podcasts'!$D$1295,ROW(INDIRECT("1:"&amp;K$2)))=0,ROW(INDIRECT("1:"&amp;K$2))),ROW($A100)),"")</f>
        <v>102</v>
      </c>
      <c r="BE143" s="117">
        <f t="array" aca="1" ref="BE143" ca="1">IFERROR(SMALL(IF(COUNTIF(Podcasts!$D$1301:'Podcasts'!$D$1356,ROW(INDIRECT("1:"&amp;K$2)))=0,ROW(INDIRECT("1:"&amp;K$2))),ROW($A100)),"")</f>
        <v>147</v>
      </c>
      <c r="BF143" s="117">
        <f t="array" aca="1" ref="BF143" ca="1">IFERROR(SMALL(IF(COUNTIF(Podcasts!$D$1362:'Podcasts'!$D$1364,ROW(INDIRECT("1:"&amp;K$2)))=0,ROW(INDIRECT("1:"&amp;K$2))),ROW($A100)),"")</f>
        <v>103</v>
      </c>
      <c r="BG143" s="202">
        <f t="array" aca="1" ref="BG143" ca="1">IFERROR(SMALL(IF(COUNTIF(Podcasts!$D$1370:'Podcasts'!$D$1419,ROW(INDIRECT("1:"&amp;K$2)))=0,ROW(INDIRECT("1:"&amp;K$2))),ROW($A100)),"")</f>
        <v>125</v>
      </c>
      <c r="BH143" s="202">
        <f t="array" aca="1" ref="BH143" ca="1">IFERROR(SMALL(IF(COUNTIF(Podcasts!$D$1425:'Podcasts'!$D$1446,ROW(INDIRECT("1:"&amp;K$2)))=0,ROW(INDIRECT("1:"&amp;K$2))),ROW($A100)),"")</f>
        <v>110</v>
      </c>
      <c r="BI143" s="202">
        <f t="array" aca="1" ref="BI143" ca="1">IFERROR(SMALL(IF(COUNTIF(Podcasts!$D$1452:'Podcasts'!$D$1574,ROW(INDIRECT("1:"&amp;K$2)))=0,ROW(INDIRECT("1:"&amp;K$2))),ROW($A100)),"")</f>
        <v>166</v>
      </c>
      <c r="BJ143" s="202">
        <f t="array" aca="1" ref="BJ143" ca="1">IFERROR(SMALL(IF(COUNTIF(Podcasts!$D$1580:'Podcasts'!$D$1705,ROW(INDIRECT("1:"&amp;K$2)))=0,ROW(INDIRECT("1:"&amp;K$2))),ROW($A100)),"")</f>
        <v>165</v>
      </c>
      <c r="BK143" s="202">
        <f t="array" aca="1" ref="BK143" ca="1">IFERROR(SMALL(IF(COUNTIF(Podcasts!$D$1711:'Podcasts'!$D$1833,ROW(INDIRECT("1:"&amp;K$2)))=0,ROW(INDIRECT("1:"&amp;K$2))),ROW($A100)),"")</f>
        <v>155</v>
      </c>
      <c r="BL143" s="202">
        <f t="array" aca="1" ref="BL143" ca="1">IFERROR(SMALL(IF(COUNTIF(Podcasts!$D$1839:'Podcasts'!$D$1855,ROW(INDIRECT("1:"&amp;K$2)))=0,ROW(INDIRECT("1:"&amp;K$2))),ROW($A100)),"")</f>
        <v>109</v>
      </c>
      <c r="BM143" s="567">
        <f t="array" aca="1" ref="BM143" ca="1">IFERROR(SMALL(IF(COUNTIF(Podcasts!$D$1861:'Podcasts'!$D$1994,ROW(INDIRECT("1:"&amp;K$2)))=0,ROW(INDIRECT("1:"&amp;K$2))),ROW($A100)),"")</f>
        <v>140</v>
      </c>
      <c r="BN143" s="567">
        <f t="array" aca="1" ref="BN143" ca="1">IFERROR(SMALL(IF(COUNTIF(Podcasts!$D$2000:'Podcasts'!$D$2057,ROW(INDIRECT("1:"&amp;K$2)))=0,ROW(INDIRECT("1:"&amp;K$2))),ROW($A100)),"")</f>
        <v>155</v>
      </c>
      <c r="BO143" s="567">
        <f t="array" aca="1" ref="BO143" ca="1">IFERROR(SMALL(IF(COUNTIF(Podcasts!$D$2063:'Podcasts'!$D$2071,ROW(INDIRECT("1:"&amp;K$2)))=0,ROW(INDIRECT("1:"&amp;K$2))),ROW($A100)),"")</f>
        <v>106</v>
      </c>
      <c r="BP143" s="202">
        <f t="array" aca="1" ref="BP143" ca="1">IFERROR(SMALL(IF(COUNTIF(Podcasts!$D$2077:'Podcasts'!$D$2092,ROW(INDIRECT("1:"&amp;K$2)))=0,ROW(INDIRECT("1:"&amp;K$2))),ROW($A100)),"")</f>
        <v>111</v>
      </c>
      <c r="BQ143" s="741">
        <f t="array" aca="1" ref="BQ143" ca="1">IFERROR(SMALL(IF(COUNTIF(Podcasts!$D$2098:'Podcasts'!$D$2114,ROW(INDIRECT("1:"&amp;K$2)))=0,ROW(INDIRECT("1:"&amp;K$2))),ROW($A100)),"")</f>
        <v>107</v>
      </c>
      <c r="BR143" s="744">
        <f t="array" aca="1" ref="BR143" ca="1">IFERROR(SMALL(IF(COUNTIF(Podcasts!$D$2120:'Podcasts'!$D$2124,ROW(INDIRECT("1:"&amp;K$2)))=0,ROW(INDIRECT("1:"&amp;K$2))),ROW($A100)),"")</f>
        <v>102</v>
      </c>
      <c r="BS143" s="28"/>
    </row>
    <row r="144" spans="1:71" outlineLevel="1">
      <c r="A144" s="28"/>
      <c r="B144" s="161">
        <v>101</v>
      </c>
      <c r="C144" s="161">
        <f>COUNTIF(Podcasts!$D$10:'Podcasts'!$D$2535,B144)</f>
        <v>8</v>
      </c>
      <c r="D144" s="158" t="s">
        <v>1128</v>
      </c>
      <c r="E144" s="156" t="str">
        <f t="array" ref="E144">IF(F144="","",INDEX(Podcasts!$J$10:'Podcasts'!$J$2535,MATCH(F144&amp;$B144,Podcasts!$E$10:'Podcasts'!$E$2535&amp;Podcasts!$D$10:'Podcasts'!$D$2535,0)))</f>
        <v>???od</v>
      </c>
      <c r="F144" s="131">
        <f t="array" ref="F144">IF(COUNTIF(Podcasts!$D$10:'Podcasts'!$D$2535,$B144)&lt;COLUMN(A107),"",SMALL(IF(Podcasts!$D$10:'Podcasts'!$D$2535=$B144,Podcasts!$E$10:'Podcasts'!$E$2535),COLUMN(A107)))</f>
        <v>41443</v>
      </c>
      <c r="G144" s="132">
        <f t="array" ref="G144">IF(F144="","",INDEX(Podcasts!$F$10:'Podcasts'!$F$2535,MATCH(F144&amp;$B144,Podcasts!$E$10:'Podcasts'!$E$2535&amp;Podcasts!$D$10:'Podcasts'!$D$2535,0)))</f>
        <v>4.1666666666666664E-2</v>
      </c>
      <c r="H144" s="136" t="str">
        <f t="array" ref="H144">IF(I144="","",INDEX(Podcasts!$J$10:'Podcasts'!$J$2535,MATCH(I144&amp;$B144,Podcasts!$E$10:'Podcasts'!$E$2535&amp;Podcasts!$D$10:'Podcasts'!$D$2535,0)))</f>
        <v>Fürst</v>
      </c>
      <c r="I144" s="133">
        <f t="array" ref="I144">IF(COUNTIF(Podcasts!$D$10:'Podcasts'!$D$2535,$B144)&lt;COLUMN(B107),"",SMALL(IF(Podcasts!$D$10:'Podcasts'!$D$2535=$B144,Podcasts!$E$10:'Podcasts'!$E$2535),COLUMN(B107)))</f>
        <v>41917</v>
      </c>
      <c r="J144" s="132">
        <f t="array" ref="J144">IF(I144="","",INDEX(Podcasts!$F$10:'Podcasts'!$F$2535,MATCH(I144&amp;$B144,Podcasts!$E$10:'Podcasts'!$E$2535&amp;Podcasts!$D$10:'Podcasts'!$D$2535,0)))</f>
        <v>6.8287037037036979E-3</v>
      </c>
      <c r="K144" s="136" t="str">
        <f t="array" ref="K144">IF(L144="","",INDEX(Podcasts!$J$10:'Podcasts'!$J$2535,MATCH(L144&amp;$B144,Podcasts!$E$10:'Podcasts'!$E$2535&amp;Podcasts!$D$10:'Podcasts'!$D$2535,0)))</f>
        <v>R&amp;A</v>
      </c>
      <c r="L144" s="133">
        <f t="array" ref="L144">IF(COUNTIF(Podcasts!$D$10:'Podcasts'!$D$2535,$B144)&lt;COLUMN(C107),"",SMALL(IF(Podcasts!$D$10:'Podcasts'!$D$2535=$B144,Podcasts!$E$10:'Podcasts'!$E$2535),COLUMN(C107)))</f>
        <v>44043.438692129632</v>
      </c>
      <c r="M144" s="132">
        <f t="array" ref="M144">IF(L144="","",INDEX(Podcasts!$F$10:'Podcasts'!$F$2535,MATCH(L144&amp;$B144,Podcasts!$E$10:'Podcasts'!$E$2535&amp;Podcasts!$D$10:'Podcasts'!$D$2535,0)))</f>
        <v>9.8090277777777776E-2</v>
      </c>
      <c r="N144" s="136" t="str">
        <f t="array" ref="N144">IF(O144="","",INDEX(Podcasts!$J$10:'Podcasts'!$J$2535,MATCH(O144&amp;$B144,Podcasts!$E$10:'Podcasts'!$E$2535&amp;Podcasts!$D$10:'Podcasts'!$D$2535,0)))</f>
        <v>Kanal</v>
      </c>
      <c r="O144" s="133">
        <f t="array" ref="O144">IF(COUNTIF(Podcasts!$D$10:'Podcasts'!$D$2535,$B144)&lt;COLUMN(D107),"",SMALL(IF(Podcasts!$D$10:'Podcasts'!$D$2535=$B144,Podcasts!$E$10:'Podcasts'!$E$2535),COLUMN(D107)))</f>
        <v>44183</v>
      </c>
      <c r="P144" s="132">
        <f t="array" ref="P144">IF(O144="","",INDEX(Podcasts!$F$10:'Podcasts'!$F$2535,MATCH(O144&amp;$B144,Podcasts!$E$10:'Podcasts'!$E$2535&amp;Podcasts!$D$10:'Podcasts'!$D$2535,0)))</f>
        <v>2.4074074074074071E-2</v>
      </c>
      <c r="Q144" s="136" t="str">
        <f t="array" ref="Q144">IF(R144="","",INDEX(Podcasts!$J$10:'Podcasts'!$J$2535,MATCH(R144&amp;$B144,Podcasts!$E$10:'Podcasts'!$E$2535&amp;Podcasts!$D$10:'Podcasts'!$D$2535,0)))</f>
        <v>Kuchen</v>
      </c>
      <c r="R144" s="133">
        <f t="array" ref="R144">IF(COUNTIF(Podcasts!$D$10:'Podcasts'!$D$2535,$B144)&lt;COLUMN(E107),"",SMALL(IF(Podcasts!$D$10:'Podcasts'!$D$2535=$B144,Podcasts!$E$10:'Podcasts'!$E$2535),COLUMN(E107)))</f>
        <v>44185</v>
      </c>
      <c r="S144" s="132">
        <f t="array" ref="S144">IF(R144="","",INDEX(Podcasts!$F$10:'Podcasts'!$F$2535,MATCH(R144&amp;$B144,Podcasts!$E$10:'Podcasts'!$E$2535&amp;Podcasts!$D$10:'Podcasts'!$D$2535,0)))</f>
        <v>6.2407407407407411E-2</v>
      </c>
      <c r="T144" s="136" t="str">
        <f t="array" ref="T144">IF(U144="","",INDEX(Podcasts!$J$10:'Podcasts'!$J$2535,MATCH(U144&amp;$B144,Podcasts!$E$10:'Podcasts'!$E$2535&amp;Podcasts!$D$10:'Podcasts'!$D$2535,0)))</f>
        <v>SSP</v>
      </c>
      <c r="U144" s="133">
        <f t="array" ref="U144">IF(COUNTIF(Podcasts!$D$10:'Podcasts'!$D$2535,$B144)&lt;COLUMN(F107),"",SMALL(IF(Podcasts!$D$10:'Podcasts'!$D$2535=$B144,Podcasts!$E$10:'Podcasts'!$E$2535),COLUMN(F107)))</f>
        <v>44884</v>
      </c>
      <c r="V144" s="132">
        <f t="array" ref="V144">IF(U144="","",INDEX(Podcasts!$F$10:'Podcasts'!$F$2535,MATCH(U144&amp;$B144,Podcasts!$E$10:'Podcasts'!$E$2535&amp;Podcasts!$D$10:'Podcasts'!$D$2535,0)))</f>
        <v>9.2488425925925932E-2</v>
      </c>
      <c r="W144" s="136" t="str">
        <f t="array" ref="W144">IF(X144="","",INDEX(Podcasts!$J$10:'Podcasts'!$J$2535,MATCH(X144&amp;$B144,Podcasts!$E$10:'Podcasts'!$E$2535&amp;Podcasts!$D$10:'Podcasts'!$D$2535,0)))</f>
        <v>Kaffee</v>
      </c>
      <c r="X144" s="133">
        <f t="array" ref="X144">IF(COUNTIF(Podcasts!$D$10:'Podcasts'!$D$2535,$B144)&lt;COLUMN(G107),"",SMALL(IF(Podcasts!$D$10:'Podcasts'!$D$2535=$B144,Podcasts!$E$10:'Podcasts'!$E$2535),COLUMN(G107)))</f>
        <v>45233</v>
      </c>
      <c r="Y144" s="132">
        <f t="array" ref="Y144">IF(X144="","",INDEX(Podcasts!$F$10:'Podcasts'!$F$2535,MATCH(X144&amp;$B144,Podcasts!$E$10:'Podcasts'!$E$2535&amp;Podcasts!$D$10:'Podcasts'!$D$2535,0)))</f>
        <v>5.5138888888888883E-2</v>
      </c>
      <c r="Z144" s="136" t="str">
        <f t="array" ref="Z144">IF(AA144="","",INDEX(Podcasts!$J$10:'Podcasts'!$J$2535,MATCH(AA144&amp;$B144,Podcasts!$E$10:'Podcasts'!$E$2535&amp;Podcasts!$D$10:'Podcasts'!$D$2535,0)))</f>
        <v>Zw3i</v>
      </c>
      <c r="AA144" s="134">
        <f t="array" ref="AA144">IF(COUNTIF(Podcasts!$D$10:'Podcasts'!$D$2535,$B144)&lt;COLUMN(H107),"",SMALL(IF(Podcasts!$D$10:'Podcasts'!$D$2535=$B144,Podcasts!$E$10:'Podcasts'!$E$2535),COLUMN(H107)))</f>
        <v>45254</v>
      </c>
      <c r="AB144" s="404">
        <f t="array" ref="AB144">IF(AA144="","",INDEX(Podcasts!$F$10:'Podcasts'!$F$2535,MATCH(AA144&amp;$B144,Podcasts!$E$10:'Podcasts'!$E$2535&amp;Podcasts!$D$10:'Podcasts'!$D$2535,0)))</f>
        <v>8.8125000000000009E-2</v>
      </c>
      <c r="AC144" s="406" t="str">
        <f t="array" ref="AC144">IF(AD144="","",INDEX(Podcasts!$J$10:'Podcasts'!$J$2535,MATCH(AD144&amp;$B144,Podcasts!$E$10:'Podcasts'!$E$2535&amp;Podcasts!$D$10:'Podcasts'!$D$2535,0)))</f>
        <v/>
      </c>
      <c r="AD144" s="400" t="str">
        <f t="array" ref="AD144">IF(COUNTIF(Podcasts!$D$10:'Podcasts'!$D$2535,$B144)&lt;COLUMN(I107),"",SMALL(IF(Podcasts!$D$10:'Podcasts'!$D$2535=$B144,Podcasts!$E$10:'Podcasts'!$E$2535),COLUMN(I107)))</f>
        <v/>
      </c>
      <c r="AE144" s="401" t="str">
        <f t="array" ref="AE144">IF(AD144="","",INDEX(Podcasts!$F$10:'Podcasts'!$F$2535,MATCH(AD144&amp;$B144,Podcasts!$E$10:'Podcasts'!$E$2535&amp;Podcasts!$D$10:'Podcasts'!$D$2535,0)))</f>
        <v/>
      </c>
      <c r="AF144" s="406" t="str">
        <f t="array" ref="AF144">IF(AG144="","",INDEX(Podcasts!$J$10:'Podcasts'!$J$2535,MATCH(AG144&amp;$B144,Podcasts!$E$10:'Podcasts'!$E$2535&amp;Podcasts!$D$10:'Podcasts'!$D$2535,0)))</f>
        <v/>
      </c>
      <c r="AG144" s="400" t="str">
        <f t="array" ref="AG144">IF(COUNTIF(Podcasts!$D$10:'Podcasts'!$D$2535,$B144)&lt;COLUMN(J107),"",SMALL(IF(Podcasts!$D$10:'Podcasts'!$D$2535=$B144,Podcasts!$E$10:'Podcasts'!$E$2535),COLUMN(J107)))</f>
        <v/>
      </c>
      <c r="AH144" s="401" t="str">
        <f t="array" ref="AH144">IF(AG144="","",INDEX(Podcasts!$F$10:'Podcasts'!$F$2535,MATCH(AG144&amp;$B144,Podcasts!$E$10:'Podcasts'!$E$2535&amp;Podcasts!$D$10:'Podcasts'!$D$2535,0)))</f>
        <v/>
      </c>
      <c r="AI144" s="406" t="str">
        <f t="array" ref="AI144">IF(AJ144="","",INDEX(Podcasts!$J$10:'Podcasts'!$J$2535,MATCH(AJ144&amp;$B144,Podcasts!$E$10:'Podcasts'!$E$2535&amp;Podcasts!$D$10:'Podcasts'!$D$2535,0)))</f>
        <v/>
      </c>
      <c r="AJ144" s="400" t="str">
        <f t="array" ref="AJ144">IF(COUNTIF(Podcasts!$D$10:'Podcasts'!$D$2535,$B144)&lt;COLUMN(K107),"",SMALL(IF(Podcasts!$D$10:'Podcasts'!$D$2535=$B144,Podcasts!$E$10:'Podcasts'!$E$2535),COLUMN(K107)))</f>
        <v/>
      </c>
      <c r="AK144" s="401" t="str">
        <f t="array" ref="AK144">IF(AJ144="","",INDEX(Podcasts!$F$10:'Podcasts'!$F$2535,MATCH(AJ144&amp;$B144,Podcasts!$E$10:'Podcasts'!$E$2535&amp;Podcasts!$D$10:'Podcasts'!$D$2535,0)))</f>
        <v/>
      </c>
      <c r="AL144" s="406" t="str">
        <f t="array" ref="AL144">IF(AM144="","",INDEX(Podcasts!$J$10:'Podcasts'!$J$2535,MATCH(AM144&amp;$B144,Podcasts!$E$10:'Podcasts'!$E$2535&amp;Podcasts!$D$10:'Podcasts'!$D$2535,0)))</f>
        <v/>
      </c>
      <c r="AM144" s="400" t="str">
        <f t="array" ref="AM144">IF(COUNTIF(Podcasts!$D$10:'Podcasts'!$D$2535,$B144)&lt;COLUMN(L107),"",SMALL(IF(Podcasts!$D$10:'Podcasts'!$D$2535=$B144,Podcasts!$E$10:'Podcasts'!$E$2535),COLUMN(L107)))</f>
        <v/>
      </c>
      <c r="AN144" s="401" t="str">
        <f t="array" ref="AN144">IF(AM144="","",INDEX(Podcasts!$F$10:'Podcasts'!$F$2535,MATCH(AM144&amp;$B144,Podcasts!$E$10:'Podcasts'!$E$2535&amp;Podcasts!$D$10:'Podcasts'!$D$2535,0)))</f>
        <v/>
      </c>
      <c r="AO144" s="402"/>
      <c r="AP144" s="119"/>
      <c r="AQ144" s="117">
        <f t="array" aca="1" ref="AQ144" ca="1">IFERROR(SMALL(IF(COUNTIF(Podcasts!$D$10:'Podcasts'!$D$107,ROW(INDIRECT("1:"&amp;K$2)))=0,ROW(INDIRECT("1:"&amp;K$2))),ROW($A101)),"")</f>
        <v>133</v>
      </c>
      <c r="AR144" s="117">
        <f t="array" aca="1" ref="AR144" ca="1">IFERROR(SMALL(IF(COUNTIF(Podcasts!$D$113:'Podcasts'!$D$238,ROW(INDIRECT("1:"&amp;K$2)))=0,ROW(INDIRECT("1:"&amp;K$2))),ROW($A101)),"")</f>
        <v>101</v>
      </c>
      <c r="AS144" s="117">
        <f t="array" aca="1" ref="AS144" ca="1">IFERROR(SMALL(IF(COUNTIF(Podcasts!$D$244:'Podcasts'!$D$299,ROW(INDIRECT("1:"&amp;K$2)))=0,ROW(INDIRECT("1:"&amp;K$2))),ROW($A101)),"")</f>
        <v>120</v>
      </c>
      <c r="AT144" s="117"/>
      <c r="AU144" s="117">
        <f t="array" aca="1" ref="AU144" ca="1">IFERROR(SMALL(IF(COUNTIF(Podcasts!$D$479:'Podcasts'!$D$488,ROW(INDIRECT("1:"&amp;K$2)))=0,ROW(INDIRECT("1:"&amp;K$2))),ROW($A101)),"")</f>
        <v>103</v>
      </c>
      <c r="AV144" s="117">
        <f t="array" aca="1" ref="AV144" ca="1">IFERROR(SMALL(IF(COUNTIF(Podcasts!$D$494:'Podcasts'!$D$518,ROW(INDIRECT("1:"&amp;K$2)))=0,ROW(INDIRECT("1:"&amp;K$2))),ROW($A101)),"")</f>
        <v>121</v>
      </c>
      <c r="AW144" s="117">
        <f t="array" aca="1" ref="AW144" ca="1">IFERROR(SMALL(IF(COUNTIF(Podcasts!$D$524:'Podcasts'!$D$532,ROW(INDIRECT("1:"&amp;K$2)))=0,ROW(INDIRECT("1:"&amp;K$2))),ROW($A101)),"")</f>
        <v>102</v>
      </c>
      <c r="AX144" s="117"/>
      <c r="AY144" s="117">
        <f t="array" aca="1" ref="AY144" ca="1">IFERROR(SMALL(IF(COUNTIF(Podcasts!$D$915:'Podcasts'!$D$981,ROW(INDIRECT("1:"&amp;K$2)))=0,ROW(INDIRECT("1:"&amp;K$2))),ROW($A101)),"")</f>
        <v>146</v>
      </c>
      <c r="AZ144" s="445"/>
      <c r="BA144" s="117">
        <f t="array" aca="1" ref="BA144" ca="1">IFERROR(SMALL(IF(COUNTIF(Podcasts!$D$1001:'Podcasts'!$D$1251,ROW(INDIRECT("1:"&amp;K$2)))=0,ROW(INDIRECT("1:"&amp;K$2))),ROW($A101)),"")</f>
        <v>149</v>
      </c>
      <c r="BB144" s="117">
        <f t="array" aca="1" ref="BB144" ca="1">IFERROR(SMALL(IF(COUNTIF(Podcasts!$D$1257:'Podcasts'!$D$1267,ROW(INDIRECT("1:"&amp;K$2)))=0,ROW(INDIRECT("1:"&amp;K$2))),ROW($A101)),"")</f>
        <v>105</v>
      </c>
      <c r="BC144" s="117">
        <f t="array" aca="1" ref="BC144" ca="1">IFERROR(SMALL(IF(COUNTIF(Podcasts!$D$1273:'Podcasts'!$D$1283,ROW(INDIRECT("1:"&amp;K$2)))=0,ROW(INDIRECT("1:"&amp;K$2))),ROW($A101)),"")</f>
        <v>105</v>
      </c>
      <c r="BD144" s="117">
        <f t="array" aca="1" ref="BD144" ca="1">IFERROR(SMALL(IF(COUNTIF(Podcasts!$D$1289:'Podcasts'!$D$1295,ROW(INDIRECT("1:"&amp;K$2)))=0,ROW(INDIRECT("1:"&amp;K$2))),ROW($A101)),"")</f>
        <v>104</v>
      </c>
      <c r="BE144" s="117">
        <f t="array" aca="1" ref="BE144" ca="1">IFERROR(SMALL(IF(COUNTIF(Podcasts!$D$1301:'Podcasts'!$D$1356,ROW(INDIRECT("1:"&amp;K$2)))=0,ROW(INDIRECT("1:"&amp;K$2))),ROW($A101)),"")</f>
        <v>148</v>
      </c>
      <c r="BF144" s="117">
        <f t="array" aca="1" ref="BF144" ca="1">IFERROR(SMALL(IF(COUNTIF(Podcasts!$D$1362:'Podcasts'!$D$1364,ROW(INDIRECT("1:"&amp;K$2)))=0,ROW(INDIRECT("1:"&amp;K$2))),ROW($A101)),"")</f>
        <v>104</v>
      </c>
      <c r="BG144" s="202">
        <f t="array" aca="1" ref="BG144" ca="1">IFERROR(SMALL(IF(COUNTIF(Podcasts!$D$1370:'Podcasts'!$D$1419,ROW(INDIRECT("1:"&amp;K$2)))=0,ROW(INDIRECT("1:"&amp;K$2))),ROW($A101)),"")</f>
        <v>126</v>
      </c>
      <c r="BH144" s="202">
        <f t="array" aca="1" ref="BH144" ca="1">IFERROR(SMALL(IF(COUNTIF(Podcasts!$D$1425:'Podcasts'!$D$1446,ROW(INDIRECT("1:"&amp;K$2)))=0,ROW(INDIRECT("1:"&amp;K$2))),ROW($A101)),"")</f>
        <v>111</v>
      </c>
      <c r="BI144" s="202">
        <f t="array" aca="1" ref="BI144" ca="1">IFERROR(SMALL(IF(COUNTIF(Podcasts!$D$1452:'Podcasts'!$D$1574,ROW(INDIRECT("1:"&amp;K$2)))=0,ROW(INDIRECT("1:"&amp;K$2))),ROW($A101)),"")</f>
        <v>168</v>
      </c>
      <c r="BJ144" s="202">
        <f t="array" aca="1" ref="BJ144" ca="1">IFERROR(SMALL(IF(COUNTIF(Podcasts!$D$1580:'Podcasts'!$D$1705,ROW(INDIRECT("1:"&amp;K$2)))=0,ROW(INDIRECT("1:"&amp;K$2))),ROW($A101)),"")</f>
        <v>168</v>
      </c>
      <c r="BK144" s="202">
        <f t="array" aca="1" ref="BK144" ca="1">IFERROR(SMALL(IF(COUNTIF(Podcasts!$D$1711:'Podcasts'!$D$1833,ROW(INDIRECT("1:"&amp;K$2)))=0,ROW(INDIRECT("1:"&amp;K$2))),ROW($A101)),"")</f>
        <v>156</v>
      </c>
      <c r="BL144" s="202">
        <f t="array" aca="1" ref="BL144" ca="1">IFERROR(SMALL(IF(COUNTIF(Podcasts!$D$1839:'Podcasts'!$D$1855,ROW(INDIRECT("1:"&amp;K$2)))=0,ROW(INDIRECT("1:"&amp;K$2))),ROW($A101)),"")</f>
        <v>110</v>
      </c>
      <c r="BM144" s="567">
        <f t="array" aca="1" ref="BM144" ca="1">IFERROR(SMALL(IF(COUNTIF(Podcasts!$D$1861:'Podcasts'!$D$1994,ROW(INDIRECT("1:"&amp;K$2)))=0,ROW(INDIRECT("1:"&amp;K$2))),ROW($A101)),"")</f>
        <v>141</v>
      </c>
      <c r="BN144" s="567">
        <f t="array" aca="1" ref="BN144" ca="1">IFERROR(SMALL(IF(COUNTIF(Podcasts!$D$2000:'Podcasts'!$D$2057,ROW(INDIRECT("1:"&amp;K$2)))=0,ROW(INDIRECT("1:"&amp;K$2))),ROW($A101)),"")</f>
        <v>156</v>
      </c>
      <c r="BO144" s="567">
        <f t="array" aca="1" ref="BO144" ca="1">IFERROR(SMALL(IF(COUNTIF(Podcasts!$D$2063:'Podcasts'!$D$2071,ROW(INDIRECT("1:"&amp;K$2)))=0,ROW(INDIRECT("1:"&amp;K$2))),ROW($A101)),"")</f>
        <v>107</v>
      </c>
      <c r="BP144" s="202">
        <f t="array" aca="1" ref="BP144" ca="1">IFERROR(SMALL(IF(COUNTIF(Podcasts!$D$2077:'Podcasts'!$D$2092,ROW(INDIRECT("1:"&amp;K$2)))=0,ROW(INDIRECT("1:"&amp;K$2))),ROW($A101)),"")</f>
        <v>112</v>
      </c>
      <c r="BQ144" s="741">
        <f t="array" aca="1" ref="BQ144" ca="1">IFERROR(SMALL(IF(COUNTIF(Podcasts!$D$2098:'Podcasts'!$D$2114,ROW(INDIRECT("1:"&amp;K$2)))=0,ROW(INDIRECT("1:"&amp;K$2))),ROW($A101)),"")</f>
        <v>108</v>
      </c>
      <c r="BR144" s="744">
        <f t="array" aca="1" ref="BR144" ca="1">IFERROR(SMALL(IF(COUNTIF(Podcasts!$D$2120:'Podcasts'!$D$2124,ROW(INDIRECT("1:"&amp;K$2)))=0,ROW(INDIRECT("1:"&amp;K$2))),ROW($A101)),"")</f>
        <v>103</v>
      </c>
      <c r="BS144" s="28"/>
    </row>
    <row r="145" spans="1:71" outlineLevel="1">
      <c r="A145" s="28"/>
      <c r="B145" s="161">
        <v>102</v>
      </c>
      <c r="C145" s="161">
        <f>COUNTIF(Podcasts!$D$10:'Podcasts'!$D$2535,B145)</f>
        <v>1</v>
      </c>
      <c r="D145" s="158" t="s">
        <v>1129</v>
      </c>
      <c r="E145" s="156" t="str">
        <f t="array" ref="E145">IF(F145="","",INDEX(Podcasts!$J$10:'Podcasts'!$J$2535,MATCH(F145&amp;$B145,Podcasts!$E$10:'Podcasts'!$E$2535&amp;Podcasts!$D$10:'Podcasts'!$D$2535,0)))</f>
        <v>SSP</v>
      </c>
      <c r="F145" s="131">
        <f t="array" ref="F145">IF(COUNTIF(Podcasts!$D$10:'Podcasts'!$D$2535,$B145)&lt;COLUMN(A108),"",SMALL(IF(Podcasts!$D$10:'Podcasts'!$D$2535=$B145,Podcasts!$E$10:'Podcasts'!$E$2535),COLUMN(A108)))</f>
        <v>44641</v>
      </c>
      <c r="G145" s="132">
        <f t="array" ref="G145">IF(F145="","",INDEX(Podcasts!$F$10:'Podcasts'!$F$2535,MATCH(F145&amp;$B145,Podcasts!$E$10:'Podcasts'!$E$2535&amp;Podcasts!$D$10:'Podcasts'!$D$2535,0)))</f>
        <v>7.3935185185185187E-2</v>
      </c>
      <c r="H145" s="136" t="str">
        <f t="array" ref="H145">IF(I145="","",INDEX(Podcasts!$J$10:'Podcasts'!$J$2535,MATCH(I145&amp;$B145,Podcasts!$E$10:'Podcasts'!$E$2535&amp;Podcasts!$D$10:'Podcasts'!$D$2535,0)))</f>
        <v/>
      </c>
      <c r="I145" s="133" t="str">
        <f t="array" ref="I145">IF(COUNTIF(Podcasts!$D$10:'Podcasts'!$D$2535,$B145)&lt;COLUMN(B108),"",SMALL(IF(Podcasts!$D$10:'Podcasts'!$D$2535=$B145,Podcasts!$E$10:'Podcasts'!$E$2535),COLUMN(B108)))</f>
        <v/>
      </c>
      <c r="J145" s="132" t="str">
        <f t="array" ref="J145">IF(I145="","",INDEX(Podcasts!$F$10:'Podcasts'!$F$2535,MATCH(I145&amp;$B145,Podcasts!$E$10:'Podcasts'!$E$2535&amp;Podcasts!$D$10:'Podcasts'!$D$2535,0)))</f>
        <v/>
      </c>
      <c r="K145" s="136" t="str">
        <f t="array" ref="K145">IF(L145="","",INDEX(Podcasts!$J$10:'Podcasts'!$J$2535,MATCH(L145&amp;$B145,Podcasts!$E$10:'Podcasts'!$E$2535&amp;Podcasts!$D$10:'Podcasts'!$D$2535,0)))</f>
        <v/>
      </c>
      <c r="L145" s="133" t="str">
        <f t="array" ref="L145">IF(COUNTIF(Podcasts!$D$10:'Podcasts'!$D$2535,$B145)&lt;COLUMN(C108),"",SMALL(IF(Podcasts!$D$10:'Podcasts'!$D$2535=$B145,Podcasts!$E$10:'Podcasts'!$E$2535),COLUMN(C108)))</f>
        <v/>
      </c>
      <c r="M145" s="132" t="str">
        <f t="array" ref="M145">IF(L145="","",INDEX(Podcasts!$F$10:'Podcasts'!$F$2535,MATCH(L145&amp;$B145,Podcasts!$E$10:'Podcasts'!$E$2535&amp;Podcasts!$D$10:'Podcasts'!$D$2535,0)))</f>
        <v/>
      </c>
      <c r="N145" s="136" t="str">
        <f t="array" ref="N145">IF(O145="","",INDEX(Podcasts!$J$10:'Podcasts'!$J$2535,MATCH(O145&amp;$B145,Podcasts!$E$10:'Podcasts'!$E$2535&amp;Podcasts!$D$10:'Podcasts'!$D$2535,0)))</f>
        <v/>
      </c>
      <c r="O145" s="133" t="str">
        <f t="array" ref="O145">IF(COUNTIF(Podcasts!$D$10:'Podcasts'!$D$2535,$B145)&lt;COLUMN(D108),"",SMALL(IF(Podcasts!$D$10:'Podcasts'!$D$2535=$B145,Podcasts!$E$10:'Podcasts'!$E$2535),COLUMN(D108)))</f>
        <v/>
      </c>
      <c r="P145" s="132" t="str">
        <f t="array" ref="P145">IF(O145="","",INDEX(Podcasts!$F$10:'Podcasts'!$F$2535,MATCH(O145&amp;$B145,Podcasts!$E$10:'Podcasts'!$E$2535&amp;Podcasts!$D$10:'Podcasts'!$D$2535,0)))</f>
        <v/>
      </c>
      <c r="Q145" s="136" t="str">
        <f t="array" ref="Q145">IF(R145="","",INDEX(Podcasts!$J$10:'Podcasts'!$J$2535,MATCH(R145&amp;$B145,Podcasts!$E$10:'Podcasts'!$E$2535&amp;Podcasts!$D$10:'Podcasts'!$D$2535,0)))</f>
        <v/>
      </c>
      <c r="R145" s="133" t="str">
        <f t="array" ref="R145">IF(COUNTIF(Podcasts!$D$10:'Podcasts'!$D$2535,$B145)&lt;COLUMN(E108),"",SMALL(IF(Podcasts!$D$10:'Podcasts'!$D$2535=$B145,Podcasts!$E$10:'Podcasts'!$E$2535),COLUMN(E108)))</f>
        <v/>
      </c>
      <c r="S145" s="132" t="str">
        <f t="array" ref="S145">IF(R145="","",INDEX(Podcasts!$F$10:'Podcasts'!$F$2535,MATCH(R145&amp;$B145,Podcasts!$E$10:'Podcasts'!$E$2535&amp;Podcasts!$D$10:'Podcasts'!$D$2535,0)))</f>
        <v/>
      </c>
      <c r="T145" s="136" t="str">
        <f t="array" ref="T145">IF(U145="","",INDEX(Podcasts!$J$10:'Podcasts'!$J$2535,MATCH(U145&amp;$B145,Podcasts!$E$10:'Podcasts'!$E$2535&amp;Podcasts!$D$10:'Podcasts'!$D$2535,0)))</f>
        <v/>
      </c>
      <c r="U145" s="133" t="str">
        <f t="array" ref="U145">IF(COUNTIF(Podcasts!$D$10:'Podcasts'!$D$2535,$B145)&lt;COLUMN(F108),"",SMALL(IF(Podcasts!$D$10:'Podcasts'!$D$2535=$B145,Podcasts!$E$10:'Podcasts'!$E$2535),COLUMN(F108)))</f>
        <v/>
      </c>
      <c r="V145" s="132" t="str">
        <f t="array" ref="V145">IF(U145="","",INDEX(Podcasts!$F$10:'Podcasts'!$F$2535,MATCH(U145&amp;$B145,Podcasts!$E$10:'Podcasts'!$E$2535&amp;Podcasts!$D$10:'Podcasts'!$D$2535,0)))</f>
        <v/>
      </c>
      <c r="W145" s="136" t="str">
        <f t="array" ref="W145">IF(X145="","",INDEX(Podcasts!$J$10:'Podcasts'!$J$2535,MATCH(X145&amp;$B145,Podcasts!$E$10:'Podcasts'!$E$2535&amp;Podcasts!$D$10:'Podcasts'!$D$2535,0)))</f>
        <v/>
      </c>
      <c r="X145" s="133" t="str">
        <f t="array" ref="X145">IF(COUNTIF(Podcasts!$D$10:'Podcasts'!$D$2535,$B145)&lt;COLUMN(G108),"",SMALL(IF(Podcasts!$D$10:'Podcasts'!$D$2535=$B145,Podcasts!$E$10:'Podcasts'!$E$2535),COLUMN(G108)))</f>
        <v/>
      </c>
      <c r="Y145" s="132" t="str">
        <f t="array" ref="Y145">IF(X145="","",INDEX(Podcasts!$F$10:'Podcasts'!$F$2535,MATCH(X145&amp;$B145,Podcasts!$E$10:'Podcasts'!$E$2535&amp;Podcasts!$D$10:'Podcasts'!$D$2535,0)))</f>
        <v/>
      </c>
      <c r="Z145" s="136" t="str">
        <f t="array" ref="Z145">IF(AA145="","",INDEX(Podcasts!$J$10:'Podcasts'!$J$2535,MATCH(AA145&amp;$B145,Podcasts!$E$10:'Podcasts'!$E$2535&amp;Podcasts!$D$10:'Podcasts'!$D$2535,0)))</f>
        <v/>
      </c>
      <c r="AA145" s="134" t="str">
        <f t="array" ref="AA145">IF(COUNTIF(Podcasts!$D$10:'Podcasts'!$D$2535,$B145)&lt;COLUMN(H108),"",SMALL(IF(Podcasts!$D$10:'Podcasts'!$D$2535=$B145,Podcasts!$E$10:'Podcasts'!$E$2535),COLUMN(H108)))</f>
        <v/>
      </c>
      <c r="AB145" s="404" t="str">
        <f t="array" ref="AB145">IF(AA145="","",INDEX(Podcasts!$F$10:'Podcasts'!$F$2535,MATCH(AA145&amp;$B145,Podcasts!$E$10:'Podcasts'!$E$2535&amp;Podcasts!$D$10:'Podcasts'!$D$2535,0)))</f>
        <v/>
      </c>
      <c r="AC145" s="406" t="str">
        <f t="array" ref="AC145">IF(AD145="","",INDEX(Podcasts!$J$10:'Podcasts'!$J$2535,MATCH(AD145&amp;$B145,Podcasts!$E$10:'Podcasts'!$E$2535&amp;Podcasts!$D$10:'Podcasts'!$D$2535,0)))</f>
        <v/>
      </c>
      <c r="AD145" s="400" t="str">
        <f t="array" ref="AD145">IF(COUNTIF(Podcasts!$D$10:'Podcasts'!$D$2535,$B145)&lt;COLUMN(I108),"",SMALL(IF(Podcasts!$D$10:'Podcasts'!$D$2535=$B145,Podcasts!$E$10:'Podcasts'!$E$2535),COLUMN(I108)))</f>
        <v/>
      </c>
      <c r="AE145" s="401" t="str">
        <f t="array" ref="AE145">IF(AD145="","",INDEX(Podcasts!$F$10:'Podcasts'!$F$2535,MATCH(AD145&amp;$B145,Podcasts!$E$10:'Podcasts'!$E$2535&amp;Podcasts!$D$10:'Podcasts'!$D$2535,0)))</f>
        <v/>
      </c>
      <c r="AF145" s="406" t="str">
        <f t="array" ref="AF145">IF(AG145="","",INDEX(Podcasts!$J$10:'Podcasts'!$J$2535,MATCH(AG145&amp;$B145,Podcasts!$E$10:'Podcasts'!$E$2535&amp;Podcasts!$D$10:'Podcasts'!$D$2535,0)))</f>
        <v/>
      </c>
      <c r="AG145" s="400" t="str">
        <f t="array" ref="AG145">IF(COUNTIF(Podcasts!$D$10:'Podcasts'!$D$2535,$B145)&lt;COLUMN(J108),"",SMALL(IF(Podcasts!$D$10:'Podcasts'!$D$2535=$B145,Podcasts!$E$10:'Podcasts'!$E$2535),COLUMN(J108)))</f>
        <v/>
      </c>
      <c r="AH145" s="401" t="str">
        <f t="array" ref="AH145">IF(AG145="","",INDEX(Podcasts!$F$10:'Podcasts'!$F$2535,MATCH(AG145&amp;$B145,Podcasts!$E$10:'Podcasts'!$E$2535&amp;Podcasts!$D$10:'Podcasts'!$D$2535,0)))</f>
        <v/>
      </c>
      <c r="AI145" s="406" t="str">
        <f t="array" ref="AI145">IF(AJ145="","",INDEX(Podcasts!$J$10:'Podcasts'!$J$2535,MATCH(AJ145&amp;$B145,Podcasts!$E$10:'Podcasts'!$E$2535&amp;Podcasts!$D$10:'Podcasts'!$D$2535,0)))</f>
        <v/>
      </c>
      <c r="AJ145" s="400" t="str">
        <f t="array" ref="AJ145">IF(COUNTIF(Podcasts!$D$10:'Podcasts'!$D$2535,$B145)&lt;COLUMN(K108),"",SMALL(IF(Podcasts!$D$10:'Podcasts'!$D$2535=$B145,Podcasts!$E$10:'Podcasts'!$E$2535),COLUMN(K108)))</f>
        <v/>
      </c>
      <c r="AK145" s="401" t="str">
        <f t="array" ref="AK145">IF(AJ145="","",INDEX(Podcasts!$F$10:'Podcasts'!$F$2535,MATCH(AJ145&amp;$B145,Podcasts!$E$10:'Podcasts'!$E$2535&amp;Podcasts!$D$10:'Podcasts'!$D$2535,0)))</f>
        <v/>
      </c>
      <c r="AL145" s="406" t="str">
        <f t="array" ref="AL145">IF(AM145="","",INDEX(Podcasts!$J$10:'Podcasts'!$J$2535,MATCH(AM145&amp;$B145,Podcasts!$E$10:'Podcasts'!$E$2535&amp;Podcasts!$D$10:'Podcasts'!$D$2535,0)))</f>
        <v/>
      </c>
      <c r="AM145" s="400" t="str">
        <f t="array" ref="AM145">IF(COUNTIF(Podcasts!$D$10:'Podcasts'!$D$2535,$B145)&lt;COLUMN(L108),"",SMALL(IF(Podcasts!$D$10:'Podcasts'!$D$2535=$B145,Podcasts!$E$10:'Podcasts'!$E$2535),COLUMN(L108)))</f>
        <v/>
      </c>
      <c r="AN145" s="401" t="str">
        <f t="array" ref="AN145">IF(AM145="","",INDEX(Podcasts!$F$10:'Podcasts'!$F$2535,MATCH(AM145&amp;$B145,Podcasts!$E$10:'Podcasts'!$E$2535&amp;Podcasts!$D$10:'Podcasts'!$D$2535,0)))</f>
        <v/>
      </c>
      <c r="AO145" s="402"/>
      <c r="AP145" s="119"/>
      <c r="AQ145" s="117">
        <f t="array" aca="1" ref="AQ145" ca="1">IFERROR(SMALL(IF(COUNTIF(Podcasts!$D$10:'Podcasts'!$D$107,ROW(INDIRECT("1:"&amp;K$2)))=0,ROW(INDIRECT("1:"&amp;K$2))),ROW($A102)),"")</f>
        <v>134</v>
      </c>
      <c r="AR145" s="117">
        <f t="array" aca="1" ref="AR145" ca="1">IFERROR(SMALL(IF(COUNTIF(Podcasts!$D$113:'Podcasts'!$D$238,ROW(INDIRECT("1:"&amp;K$2)))=0,ROW(INDIRECT("1:"&amp;K$2))),ROW($A102)),"")</f>
        <v>102</v>
      </c>
      <c r="AS145" s="117">
        <f t="array" aca="1" ref="AS145" ca="1">IFERROR(SMALL(IF(COUNTIF(Podcasts!$D$244:'Podcasts'!$D$299,ROW(INDIRECT("1:"&amp;K$2)))=0,ROW(INDIRECT("1:"&amp;K$2))),ROW($A102)),"")</f>
        <v>121</v>
      </c>
      <c r="AT145" s="117"/>
      <c r="AU145" s="117">
        <f t="array" aca="1" ref="AU145" ca="1">IFERROR(SMALL(IF(COUNTIF(Podcasts!$D$479:'Podcasts'!$D$488,ROW(INDIRECT("1:"&amp;K$2)))=0,ROW(INDIRECT("1:"&amp;K$2))),ROW($A102)),"")</f>
        <v>104</v>
      </c>
      <c r="AV145" s="117">
        <f t="array" aca="1" ref="AV145" ca="1">IFERROR(SMALL(IF(COUNTIF(Podcasts!$D$494:'Podcasts'!$D$518,ROW(INDIRECT("1:"&amp;K$2)))=0,ROW(INDIRECT("1:"&amp;K$2))),ROW($A102)),"")</f>
        <v>122</v>
      </c>
      <c r="AW145" s="117">
        <f t="array" aca="1" ref="AW145" ca="1">IFERROR(SMALL(IF(COUNTIF(Podcasts!$D$524:'Podcasts'!$D$532,ROW(INDIRECT("1:"&amp;K$2)))=0,ROW(INDIRECT("1:"&amp;K$2))),ROW($A102)),"")</f>
        <v>103</v>
      </c>
      <c r="AX145" s="117"/>
      <c r="AY145" s="117">
        <f t="array" aca="1" ref="AY145" ca="1">IFERROR(SMALL(IF(COUNTIF(Podcasts!$D$915:'Podcasts'!$D$981,ROW(INDIRECT("1:"&amp;K$2)))=0,ROW(INDIRECT("1:"&amp;K$2))),ROW($A102)),"")</f>
        <v>147</v>
      </c>
      <c r="AZ145" s="445"/>
      <c r="BA145" s="117">
        <f t="array" aca="1" ref="BA145" ca="1">IFERROR(SMALL(IF(COUNTIF(Podcasts!$D$1001:'Podcasts'!$D$1251,ROW(INDIRECT("1:"&amp;K$2)))=0,ROW(INDIRECT("1:"&amp;K$2))),ROW($A102)),"")</f>
        <v>150</v>
      </c>
      <c r="BB145" s="117">
        <f t="array" aca="1" ref="BB145" ca="1">IFERROR(SMALL(IF(COUNTIF(Podcasts!$D$1257:'Podcasts'!$D$1267,ROW(INDIRECT("1:"&amp;K$2)))=0,ROW(INDIRECT("1:"&amp;K$2))),ROW($A102)),"")</f>
        <v>106</v>
      </c>
      <c r="BC145" s="117">
        <f t="array" aca="1" ref="BC145" ca="1">IFERROR(SMALL(IF(COUNTIF(Podcasts!$D$1273:'Podcasts'!$D$1283,ROW(INDIRECT("1:"&amp;K$2)))=0,ROW(INDIRECT("1:"&amp;K$2))),ROW($A102)),"")</f>
        <v>106</v>
      </c>
      <c r="BD145" s="117">
        <f t="array" aca="1" ref="BD145" ca="1">IFERROR(SMALL(IF(COUNTIF(Podcasts!$D$1289:'Podcasts'!$D$1295,ROW(INDIRECT("1:"&amp;K$2)))=0,ROW(INDIRECT("1:"&amp;K$2))),ROW($A102)),"")</f>
        <v>105</v>
      </c>
      <c r="BE145" s="117">
        <f t="array" aca="1" ref="BE145" ca="1">IFERROR(SMALL(IF(COUNTIF(Podcasts!$D$1301:'Podcasts'!$D$1356,ROW(INDIRECT("1:"&amp;K$2)))=0,ROW(INDIRECT("1:"&amp;K$2))),ROW($A102)),"")</f>
        <v>149</v>
      </c>
      <c r="BF145" s="117">
        <f t="array" aca="1" ref="BF145" ca="1">IFERROR(SMALL(IF(COUNTIF(Podcasts!$D$1362:'Podcasts'!$D$1364,ROW(INDIRECT("1:"&amp;K$2)))=0,ROW(INDIRECT("1:"&amp;K$2))),ROW($A102)),"")</f>
        <v>105</v>
      </c>
      <c r="BG145" s="202">
        <f t="array" aca="1" ref="BG145" ca="1">IFERROR(SMALL(IF(COUNTIF(Podcasts!$D$1370:'Podcasts'!$D$1419,ROW(INDIRECT("1:"&amp;K$2)))=0,ROW(INDIRECT("1:"&amp;K$2))),ROW($A102)),"")</f>
        <v>127</v>
      </c>
      <c r="BH145" s="202">
        <f t="array" aca="1" ref="BH145" ca="1">IFERROR(SMALL(IF(COUNTIF(Podcasts!$D$1425:'Podcasts'!$D$1446,ROW(INDIRECT("1:"&amp;K$2)))=0,ROW(INDIRECT("1:"&amp;K$2))),ROW($A102)),"")</f>
        <v>112</v>
      </c>
      <c r="BI145" s="202">
        <f t="array" aca="1" ref="BI145" ca="1">IFERROR(SMALL(IF(COUNTIF(Podcasts!$D$1452:'Podcasts'!$D$1574,ROW(INDIRECT("1:"&amp;K$2)))=0,ROW(INDIRECT("1:"&amp;K$2))),ROW($A102)),"")</f>
        <v>169</v>
      </c>
      <c r="BJ145" s="202">
        <f t="array" aca="1" ref="BJ145" ca="1">IFERROR(SMALL(IF(COUNTIF(Podcasts!$D$1580:'Podcasts'!$D$1705,ROW(INDIRECT("1:"&amp;K$2)))=0,ROW(INDIRECT("1:"&amp;K$2))),ROW($A102)),"")</f>
        <v>169</v>
      </c>
      <c r="BK145" s="202">
        <f t="array" aca="1" ref="BK145" ca="1">IFERROR(SMALL(IF(COUNTIF(Podcasts!$D$1711:'Podcasts'!$D$1833,ROW(INDIRECT("1:"&amp;K$2)))=0,ROW(INDIRECT("1:"&amp;K$2))),ROW($A102)),"")</f>
        <v>157</v>
      </c>
      <c r="BL145" s="202">
        <f t="array" aca="1" ref="BL145" ca="1">IFERROR(SMALL(IF(COUNTIF(Podcasts!$D$1839:'Podcasts'!$D$1855,ROW(INDIRECT("1:"&amp;K$2)))=0,ROW(INDIRECT("1:"&amp;K$2))),ROW($A102)),"")</f>
        <v>111</v>
      </c>
      <c r="BM145" s="567">
        <f t="array" aca="1" ref="BM145" ca="1">IFERROR(SMALL(IF(COUNTIF(Podcasts!$D$1861:'Podcasts'!$D$1994,ROW(INDIRECT("1:"&amp;K$2)))=0,ROW(INDIRECT("1:"&amp;K$2))),ROW($A102)),"")</f>
        <v>142</v>
      </c>
      <c r="BN145" s="567">
        <f t="array" aca="1" ref="BN145" ca="1">IFERROR(SMALL(IF(COUNTIF(Podcasts!$D$2000:'Podcasts'!$D$2057,ROW(INDIRECT("1:"&amp;K$2)))=0,ROW(INDIRECT("1:"&amp;K$2))),ROW($A102)),"")</f>
        <v>157</v>
      </c>
      <c r="BO145" s="567">
        <f t="array" aca="1" ref="BO145" ca="1">IFERROR(SMALL(IF(COUNTIF(Podcasts!$D$2063:'Podcasts'!$D$2071,ROW(INDIRECT("1:"&amp;K$2)))=0,ROW(INDIRECT("1:"&amp;K$2))),ROW($A102)),"")</f>
        <v>108</v>
      </c>
      <c r="BP145" s="202">
        <f t="array" aca="1" ref="BP145" ca="1">IFERROR(SMALL(IF(COUNTIF(Podcasts!$D$2077:'Podcasts'!$D$2092,ROW(INDIRECT("1:"&amp;K$2)))=0,ROW(INDIRECT("1:"&amp;K$2))),ROW($A102)),"")</f>
        <v>113</v>
      </c>
      <c r="BQ145" s="741">
        <f t="array" aca="1" ref="BQ145" ca="1">IFERROR(SMALL(IF(COUNTIF(Podcasts!$D$2098:'Podcasts'!$D$2114,ROW(INDIRECT("1:"&amp;K$2)))=0,ROW(INDIRECT("1:"&amp;K$2))),ROW($A102)),"")</f>
        <v>109</v>
      </c>
      <c r="BR145" s="744">
        <f t="array" aca="1" ref="BR145" ca="1">IFERROR(SMALL(IF(COUNTIF(Podcasts!$D$2120:'Podcasts'!$D$2124,ROW(INDIRECT("1:"&amp;K$2)))=0,ROW(INDIRECT("1:"&amp;K$2))),ROW($A102)),"")</f>
        <v>104</v>
      </c>
      <c r="BS145" s="28"/>
    </row>
    <row r="146" spans="1:71" outlineLevel="1">
      <c r="A146" s="28"/>
      <c r="B146" s="161">
        <v>103</v>
      </c>
      <c r="C146" s="161">
        <f>COUNTIF(Podcasts!$D$10:'Podcasts'!$D$2535,B146)</f>
        <v>9</v>
      </c>
      <c r="D146" s="158" t="s">
        <v>1130</v>
      </c>
      <c r="E146" s="156" t="str">
        <f t="array" ref="E146">IF(F146="","",INDEX(Podcasts!$J$10:'Podcasts'!$J$2535,MATCH(F146&amp;$B146,Podcasts!$E$10:'Podcasts'!$E$2535&amp;Podcasts!$D$10:'Podcasts'!$D$2535,0)))</f>
        <v>Fürst</v>
      </c>
      <c r="F146" s="131">
        <f t="array" ref="F146">IF(COUNTIF(Podcasts!$D$10:'Podcasts'!$D$2535,$B146)&lt;COLUMN(A109),"",SMALL(IF(Podcasts!$D$10:'Podcasts'!$D$2535=$B146,Podcasts!$E$10:'Podcasts'!$E$2535),COLUMN(A109)))</f>
        <v>41896</v>
      </c>
      <c r="G146" s="132">
        <f t="array" ref="G146">IF(F146="","",INDEX(Podcasts!$F$10:'Podcasts'!$F$2535,MATCH(F146&amp;$B146,Podcasts!$E$10:'Podcasts'!$E$2535&amp;Podcasts!$D$10:'Podcasts'!$D$2535,0)))</f>
        <v>6.5393518518518483E-3</v>
      </c>
      <c r="H146" s="136" t="str">
        <f t="array" ref="H146">IF(I146="","",INDEX(Podcasts!$J$10:'Podcasts'!$J$2535,MATCH(I146&amp;$B146,Podcasts!$E$10:'Podcasts'!$E$2535&amp;Podcasts!$D$10:'Podcasts'!$D$2535,0)))</f>
        <v>SSP</v>
      </c>
      <c r="I146" s="133">
        <f t="array" ref="I146">IF(COUNTIF(Podcasts!$D$10:'Podcasts'!$D$2535,$B146)&lt;COLUMN(B109),"",SMALL(IF(Podcasts!$D$10:'Podcasts'!$D$2535=$B146,Podcasts!$E$10:'Podcasts'!$E$2535),COLUMN(B109)))</f>
        <v>43209</v>
      </c>
      <c r="J146" s="132">
        <f t="array" ref="J146">IF(I146="","",INDEX(Podcasts!$F$10:'Podcasts'!$F$2535,MATCH(I146&amp;$B146,Podcasts!$E$10:'Podcasts'!$E$2535&amp;Podcasts!$D$10:'Podcasts'!$D$2535,0)))</f>
        <v>6.8171296296296299E-2</v>
      </c>
      <c r="K146" s="136" t="str">
        <f t="array" ref="K146">IF(L146="","",INDEX(Podcasts!$J$10:'Podcasts'!$J$2535,MATCH(L146&amp;$B146,Podcasts!$E$10:'Podcasts'!$E$2535&amp;Podcasts!$D$10:'Podcasts'!$D$2535,0)))</f>
        <v>R&amp;A</v>
      </c>
      <c r="L146" s="133">
        <f t="array" ref="L146">IF(COUNTIF(Podcasts!$D$10:'Podcasts'!$D$2535,$B146)&lt;COLUMN(C109),"",SMALL(IF(Podcasts!$D$10:'Podcasts'!$D$2535=$B146,Podcasts!$E$10:'Podcasts'!$E$2535),COLUMN(C109)))</f>
        <v>43238.378229166665</v>
      </c>
      <c r="M146" s="132">
        <f t="array" ref="M146">IF(L146="","",INDEX(Podcasts!$F$10:'Podcasts'!$F$2535,MATCH(L146&amp;$B146,Podcasts!$E$10:'Podcasts'!$E$2535&amp;Podcasts!$D$10:'Podcasts'!$D$2535,0)))</f>
        <v>6.9456018518518514E-2</v>
      </c>
      <c r="N146" s="136" t="str">
        <f t="array" ref="N146">IF(O146="","",INDEX(Podcasts!$J$10:'Podcasts'!$J$2535,MATCH(O146&amp;$B146,Podcasts!$E$10:'Podcasts'!$E$2535&amp;Podcasts!$D$10:'Podcasts'!$D$2535,0)))</f>
        <v>???od</v>
      </c>
      <c r="O146" s="133">
        <f t="array" ref="O146">IF(COUNTIF(Podcasts!$D$10:'Podcasts'!$D$2535,$B146)&lt;COLUMN(D109),"",SMALL(IF(Podcasts!$D$10:'Podcasts'!$D$2535=$B146,Podcasts!$E$10:'Podcasts'!$E$2535),COLUMN(D109)))</f>
        <v>43429</v>
      </c>
      <c r="P146" s="132">
        <f t="array" ref="P146">IF(O146="","",INDEX(Podcasts!$F$10:'Podcasts'!$F$2535,MATCH(O146&amp;$B146,Podcasts!$E$10:'Podcasts'!$E$2535&amp;Podcasts!$D$10:'Podcasts'!$D$2535,0)))</f>
        <v>0.10118055555555555</v>
      </c>
      <c r="Q146" s="136" t="str">
        <f t="array" ref="Q146">IF(R146="","",INDEX(Podcasts!$J$10:'Podcasts'!$J$2535,MATCH(R146&amp;$B146,Podcasts!$E$10:'Podcasts'!$E$2535&amp;Podcasts!$D$10:'Podcasts'!$D$2535,0)))</f>
        <v>Kuchen</v>
      </c>
      <c r="R146" s="133">
        <f t="array" ref="R146">IF(COUNTIF(Podcasts!$D$10:'Podcasts'!$D$2535,$B146)&lt;COLUMN(E109),"",SMALL(IF(Podcasts!$D$10:'Podcasts'!$D$2535=$B146,Podcasts!$E$10:'Podcasts'!$E$2535),COLUMN(E109)))</f>
        <v>44199</v>
      </c>
      <c r="S146" s="132">
        <f t="array" ref="S146">IF(R146="","",INDEX(Podcasts!$F$10:'Podcasts'!$F$2535,MATCH(R146&amp;$B146,Podcasts!$E$10:'Podcasts'!$E$2535&amp;Podcasts!$D$10:'Podcasts'!$D$2535,0)))</f>
        <v>6.190972222222222E-2</v>
      </c>
      <c r="T146" s="136" t="str">
        <f t="array" ref="T146">IF(U146="","",INDEX(Podcasts!$J$10:'Podcasts'!$J$2535,MATCH(U146&amp;$B146,Podcasts!$E$10:'Podcasts'!$E$2535&amp;Podcasts!$D$10:'Podcasts'!$D$2535,0)))</f>
        <v>Platz</v>
      </c>
      <c r="U146" s="133">
        <f t="array" ref="U146">IF(COUNTIF(Podcasts!$D$10:'Podcasts'!$D$2535,$B146)&lt;COLUMN(F109),"",SMALL(IF(Podcasts!$D$10:'Podcasts'!$D$2535=$B146,Podcasts!$E$10:'Podcasts'!$E$2535),COLUMN(F109)))</f>
        <v>44336</v>
      </c>
      <c r="V146" s="132">
        <f t="array" ref="V146">IF(U146="","",INDEX(Podcasts!$F$10:'Podcasts'!$F$2535,MATCH(U146&amp;$B146,Podcasts!$E$10:'Podcasts'!$E$2535&amp;Podcasts!$D$10:'Podcasts'!$D$2535,0)))</f>
        <v>5.935185185185185E-2</v>
      </c>
      <c r="W146" s="136" t="str">
        <f t="array" ref="W146">IF(X146="","",INDEX(Podcasts!$J$10:'Podcasts'!$J$2535,MATCH(X146&amp;$B146,Podcasts!$E$10:'Podcasts'!$E$2535&amp;Podcasts!$D$10:'Podcasts'!$D$2535,0)))</f>
        <v>Fan</v>
      </c>
      <c r="X146" s="133">
        <f t="array" ref="X146">IF(COUNTIF(Podcasts!$D$10:'Podcasts'!$D$2535,$B146)&lt;COLUMN(G109),"",SMALL(IF(Podcasts!$D$10:'Podcasts'!$D$2535=$B146,Podcasts!$E$10:'Podcasts'!$E$2535),COLUMN(G109)))</f>
        <v>44381</v>
      </c>
      <c r="Y146" s="132">
        <f t="array" ref="Y146">IF(X146="","",INDEX(Podcasts!$F$10:'Podcasts'!$F$2535,MATCH(X146&amp;$B146,Podcasts!$E$10:'Podcasts'!$E$2535&amp;Podcasts!$D$10:'Podcasts'!$D$2535,0)))</f>
        <v>0.10871527777777779</v>
      </c>
      <c r="Z146" s="136" t="str">
        <f t="array" ref="Z146">IF(AA146="","",INDEX(Podcasts!$J$10:'Podcasts'!$J$2535,MATCH(AA146&amp;$B146,Podcasts!$E$10:'Podcasts'!$E$2535&amp;Podcasts!$D$10:'Podcasts'!$D$2535,0)))</f>
        <v>Zeichen</v>
      </c>
      <c r="AA146" s="134">
        <f t="array" ref="AA146">IF(COUNTIF(Podcasts!$D$10:'Podcasts'!$D$2535,$B146)&lt;COLUMN(H109),"",SMALL(IF(Podcasts!$D$10:'Podcasts'!$D$2535=$B146,Podcasts!$E$10:'Podcasts'!$E$2535),COLUMN(H109)))</f>
        <v>44465</v>
      </c>
      <c r="AB146" s="404">
        <f t="array" ref="AB146">IF(AA146="","",INDEX(Podcasts!$F$10:'Podcasts'!$F$2535,MATCH(AA146&amp;$B146,Podcasts!$E$10:'Podcasts'!$E$2535&amp;Podcasts!$D$10:'Podcasts'!$D$2535,0)))</f>
        <v>7.8506944444444449E-2</v>
      </c>
      <c r="AC146" s="406" t="str">
        <f t="array" ref="AC146">IF(AD146="","",INDEX(Podcasts!$J$10:'Podcasts'!$J$2535,MATCH(AD146&amp;$B146,Podcasts!$E$10:'Podcasts'!$E$2535&amp;Podcasts!$D$10:'Podcasts'!$D$2535,0)))</f>
        <v>Zentrale</v>
      </c>
      <c r="AD146" s="400">
        <f t="array" ref="AD146">IF(COUNTIF(Podcasts!$D$10:'Podcasts'!$D$2535,$B146)&lt;COLUMN(I109),"",SMALL(IF(Podcasts!$D$10:'Podcasts'!$D$2535=$B146,Podcasts!$E$10:'Podcasts'!$E$2535),COLUMN(I109)))</f>
        <v>44680.001388888886</v>
      </c>
      <c r="AE146" s="401">
        <f t="array" ref="AE146">IF(AD146="","",INDEX(Podcasts!$F$10:'Podcasts'!$F$2535,MATCH(AD146&amp;$B146,Podcasts!$E$10:'Podcasts'!$E$2535&amp;Podcasts!$D$10:'Podcasts'!$D$2535,0)))</f>
        <v>0.21341435185185187</v>
      </c>
      <c r="AF146" s="406" t="str">
        <f t="array" ref="AF146">IF(AG146="","",INDEX(Podcasts!$J$10:'Podcasts'!$J$2535,MATCH(AG146&amp;$B146,Podcasts!$E$10:'Podcasts'!$E$2535&amp;Podcasts!$D$10:'Podcasts'!$D$2535,0)))</f>
        <v/>
      </c>
      <c r="AG146" s="400" t="str">
        <f t="array" ref="AG146">IF(COUNTIF(Podcasts!$D$10:'Podcasts'!$D$2535,$B146)&lt;COLUMN(J109),"",SMALL(IF(Podcasts!$D$10:'Podcasts'!$D$2535=$B146,Podcasts!$E$10:'Podcasts'!$E$2535),COLUMN(J109)))</f>
        <v/>
      </c>
      <c r="AH146" s="401" t="str">
        <f t="array" ref="AH146">IF(AG146="","",INDEX(Podcasts!$F$10:'Podcasts'!$F$2535,MATCH(AG146&amp;$B146,Podcasts!$E$10:'Podcasts'!$E$2535&amp;Podcasts!$D$10:'Podcasts'!$D$2535,0)))</f>
        <v/>
      </c>
      <c r="AI146" s="406" t="str">
        <f t="array" ref="AI146">IF(AJ146="","",INDEX(Podcasts!$J$10:'Podcasts'!$J$2535,MATCH(AJ146&amp;$B146,Podcasts!$E$10:'Podcasts'!$E$2535&amp;Podcasts!$D$10:'Podcasts'!$D$2535,0)))</f>
        <v/>
      </c>
      <c r="AJ146" s="400" t="str">
        <f t="array" ref="AJ146">IF(COUNTIF(Podcasts!$D$10:'Podcasts'!$D$2535,$B146)&lt;COLUMN(K109),"",SMALL(IF(Podcasts!$D$10:'Podcasts'!$D$2535=$B146,Podcasts!$E$10:'Podcasts'!$E$2535),COLUMN(K109)))</f>
        <v/>
      </c>
      <c r="AK146" s="401" t="str">
        <f t="array" ref="AK146">IF(AJ146="","",INDEX(Podcasts!$F$10:'Podcasts'!$F$2535,MATCH(AJ146&amp;$B146,Podcasts!$E$10:'Podcasts'!$E$2535&amp;Podcasts!$D$10:'Podcasts'!$D$2535,0)))</f>
        <v/>
      </c>
      <c r="AL146" s="406" t="str">
        <f t="array" ref="AL146">IF(AM146="","",INDEX(Podcasts!$J$10:'Podcasts'!$J$2535,MATCH(AM146&amp;$B146,Podcasts!$E$10:'Podcasts'!$E$2535&amp;Podcasts!$D$10:'Podcasts'!$D$2535,0)))</f>
        <v/>
      </c>
      <c r="AM146" s="400" t="str">
        <f t="array" ref="AM146">IF(COUNTIF(Podcasts!$D$10:'Podcasts'!$D$2535,$B146)&lt;COLUMN(L109),"",SMALL(IF(Podcasts!$D$10:'Podcasts'!$D$2535=$B146,Podcasts!$E$10:'Podcasts'!$E$2535),COLUMN(L109)))</f>
        <v/>
      </c>
      <c r="AN146" s="401" t="str">
        <f t="array" ref="AN146">IF(AM146="","",INDEX(Podcasts!$F$10:'Podcasts'!$F$2535,MATCH(AM146&amp;$B146,Podcasts!$E$10:'Podcasts'!$E$2535&amp;Podcasts!$D$10:'Podcasts'!$D$2535,0)))</f>
        <v/>
      </c>
      <c r="AO146" s="402"/>
      <c r="AP146" s="119"/>
      <c r="AQ146" s="117">
        <f t="array" aca="1" ref="AQ146" ca="1">IFERROR(SMALL(IF(COUNTIF(Podcasts!$D$10:'Podcasts'!$D$107,ROW(INDIRECT("1:"&amp;K$2)))=0,ROW(INDIRECT("1:"&amp;K$2))),ROW($A103)),"")</f>
        <v>135</v>
      </c>
      <c r="AR146" s="117">
        <f t="array" aca="1" ref="AR146" ca="1">IFERROR(SMALL(IF(COUNTIF(Podcasts!$D$113:'Podcasts'!$D$238,ROW(INDIRECT("1:"&amp;K$2)))=0,ROW(INDIRECT("1:"&amp;K$2))),ROW($A103)),"")</f>
        <v>103</v>
      </c>
      <c r="AS146" s="117">
        <f t="array" aca="1" ref="AS146" ca="1">IFERROR(SMALL(IF(COUNTIF(Podcasts!$D$244:'Podcasts'!$D$299,ROW(INDIRECT("1:"&amp;K$2)))=0,ROW(INDIRECT("1:"&amp;K$2))),ROW($A103)),"")</f>
        <v>122</v>
      </c>
      <c r="AT146" s="117"/>
      <c r="AU146" s="117">
        <f t="array" aca="1" ref="AU146" ca="1">IFERROR(SMALL(IF(COUNTIF(Podcasts!$D$479:'Podcasts'!$D$488,ROW(INDIRECT("1:"&amp;K$2)))=0,ROW(INDIRECT("1:"&amp;K$2))),ROW($A103)),"")</f>
        <v>105</v>
      </c>
      <c r="AV146" s="117">
        <f t="array" aca="1" ref="AV146" ca="1">IFERROR(SMALL(IF(COUNTIF(Podcasts!$D$494:'Podcasts'!$D$518,ROW(INDIRECT("1:"&amp;K$2)))=0,ROW(INDIRECT("1:"&amp;K$2))),ROW($A103)),"")</f>
        <v>123</v>
      </c>
      <c r="AW146" s="117">
        <f t="array" aca="1" ref="AW146" ca="1">IFERROR(SMALL(IF(COUNTIF(Podcasts!$D$524:'Podcasts'!$D$532,ROW(INDIRECT("1:"&amp;K$2)))=0,ROW(INDIRECT("1:"&amp;K$2))),ROW($A103)),"")</f>
        <v>104</v>
      </c>
      <c r="AX146" s="117"/>
      <c r="AY146" s="117">
        <f t="array" aca="1" ref="AY146" ca="1">IFERROR(SMALL(IF(COUNTIF(Podcasts!$D$915:'Podcasts'!$D$981,ROW(INDIRECT("1:"&amp;K$2)))=0,ROW(INDIRECT("1:"&amp;K$2))),ROW($A103)),"")</f>
        <v>148</v>
      </c>
      <c r="AZ146" s="445"/>
      <c r="BA146" s="117">
        <f t="array" aca="1" ref="BA146" ca="1">IFERROR(SMALL(IF(COUNTIF(Podcasts!$D$1001:'Podcasts'!$D$1251,ROW(INDIRECT("1:"&amp;K$2)))=0,ROW(INDIRECT("1:"&amp;K$2))),ROW($A103)),"")</f>
        <v>151</v>
      </c>
      <c r="BB146" s="117">
        <f t="array" aca="1" ref="BB146" ca="1">IFERROR(SMALL(IF(COUNTIF(Podcasts!$D$1257:'Podcasts'!$D$1267,ROW(INDIRECT("1:"&amp;K$2)))=0,ROW(INDIRECT("1:"&amp;K$2))),ROW($A103)),"")</f>
        <v>107</v>
      </c>
      <c r="BC146" s="117">
        <f t="array" aca="1" ref="BC146" ca="1">IFERROR(SMALL(IF(COUNTIF(Podcasts!$D$1273:'Podcasts'!$D$1283,ROW(INDIRECT("1:"&amp;K$2)))=0,ROW(INDIRECT("1:"&amp;K$2))),ROW($A103)),"")</f>
        <v>107</v>
      </c>
      <c r="BD146" s="117">
        <f t="array" aca="1" ref="BD146" ca="1">IFERROR(SMALL(IF(COUNTIF(Podcasts!$D$1289:'Podcasts'!$D$1295,ROW(INDIRECT("1:"&amp;K$2)))=0,ROW(INDIRECT("1:"&amp;K$2))),ROW($A103)),"")</f>
        <v>106</v>
      </c>
      <c r="BE146" s="117">
        <f t="array" aca="1" ref="BE146" ca="1">IFERROR(SMALL(IF(COUNTIF(Podcasts!$D$1301:'Podcasts'!$D$1356,ROW(INDIRECT("1:"&amp;K$2)))=0,ROW(INDIRECT("1:"&amp;K$2))),ROW($A103)),"")</f>
        <v>150</v>
      </c>
      <c r="BF146" s="117">
        <f t="array" aca="1" ref="BF146" ca="1">IFERROR(SMALL(IF(COUNTIF(Podcasts!$D$1362:'Podcasts'!$D$1364,ROW(INDIRECT("1:"&amp;K$2)))=0,ROW(INDIRECT("1:"&amp;K$2))),ROW($A103)),"")</f>
        <v>106</v>
      </c>
      <c r="BG146" s="202">
        <f t="array" aca="1" ref="BG146" ca="1">IFERROR(SMALL(IF(COUNTIF(Podcasts!$D$1370:'Podcasts'!$D$1419,ROW(INDIRECT("1:"&amp;K$2)))=0,ROW(INDIRECT("1:"&amp;K$2))),ROW($A103)),"")</f>
        <v>128</v>
      </c>
      <c r="BH146" s="202">
        <f t="array" aca="1" ref="BH146" ca="1">IFERROR(SMALL(IF(COUNTIF(Podcasts!$D$1425:'Podcasts'!$D$1446,ROW(INDIRECT("1:"&amp;K$2)))=0,ROW(INDIRECT("1:"&amp;K$2))),ROW($A103)),"")</f>
        <v>113</v>
      </c>
      <c r="BI146" s="202">
        <f t="array" aca="1" ref="BI146" ca="1">IFERROR(SMALL(IF(COUNTIF(Podcasts!$D$1452:'Podcasts'!$D$1574,ROW(INDIRECT("1:"&amp;K$2)))=0,ROW(INDIRECT("1:"&amp;K$2))),ROW($A103)),"")</f>
        <v>170</v>
      </c>
      <c r="BJ146" s="202">
        <f t="array" aca="1" ref="BJ146" ca="1">IFERROR(SMALL(IF(COUNTIF(Podcasts!$D$1580:'Podcasts'!$D$1705,ROW(INDIRECT("1:"&amp;K$2)))=0,ROW(INDIRECT("1:"&amp;K$2))),ROW($A103)),"")</f>
        <v>170</v>
      </c>
      <c r="BK146" s="202">
        <f t="array" aca="1" ref="BK146" ca="1">IFERROR(SMALL(IF(COUNTIF(Podcasts!$D$1711:'Podcasts'!$D$1833,ROW(INDIRECT("1:"&amp;K$2)))=0,ROW(INDIRECT("1:"&amp;K$2))),ROW($A103)),"")</f>
        <v>158</v>
      </c>
      <c r="BL146" s="202">
        <f t="array" aca="1" ref="BL146" ca="1">IFERROR(SMALL(IF(COUNTIF(Podcasts!$D$1839:'Podcasts'!$D$1855,ROW(INDIRECT("1:"&amp;K$2)))=0,ROW(INDIRECT("1:"&amp;K$2))),ROW($A103)),"")</f>
        <v>112</v>
      </c>
      <c r="BM146" s="567">
        <f t="array" aca="1" ref="BM146" ca="1">IFERROR(SMALL(IF(COUNTIF(Podcasts!$D$1861:'Podcasts'!$D$1994,ROW(INDIRECT("1:"&amp;K$2)))=0,ROW(INDIRECT("1:"&amp;K$2))),ROW($A103)),"")</f>
        <v>143</v>
      </c>
      <c r="BN146" s="567">
        <f t="array" aca="1" ref="BN146" ca="1">IFERROR(SMALL(IF(COUNTIF(Podcasts!$D$2000:'Podcasts'!$D$2057,ROW(INDIRECT("1:"&amp;K$2)))=0,ROW(INDIRECT("1:"&amp;K$2))),ROW($A103)),"")</f>
        <v>158</v>
      </c>
      <c r="BO146" s="567">
        <f t="array" aca="1" ref="BO146" ca="1">IFERROR(SMALL(IF(COUNTIF(Podcasts!$D$2063:'Podcasts'!$D$2071,ROW(INDIRECT("1:"&amp;K$2)))=0,ROW(INDIRECT("1:"&amp;K$2))),ROW($A103)),"")</f>
        <v>109</v>
      </c>
      <c r="BP146" s="202">
        <f t="array" aca="1" ref="BP146" ca="1">IFERROR(SMALL(IF(COUNTIF(Podcasts!$D$2077:'Podcasts'!$D$2092,ROW(INDIRECT("1:"&amp;K$2)))=0,ROW(INDIRECT("1:"&amp;K$2))),ROW($A103)),"")</f>
        <v>114</v>
      </c>
      <c r="BQ146" s="741">
        <f t="array" aca="1" ref="BQ146" ca="1">IFERROR(SMALL(IF(COUNTIF(Podcasts!$D$2098:'Podcasts'!$D$2114,ROW(INDIRECT("1:"&amp;K$2)))=0,ROW(INDIRECT("1:"&amp;K$2))),ROW($A103)),"")</f>
        <v>110</v>
      </c>
      <c r="BR146" s="744">
        <f t="array" aca="1" ref="BR146" ca="1">IFERROR(SMALL(IF(COUNTIF(Podcasts!$D$2120:'Podcasts'!$D$2124,ROW(INDIRECT("1:"&amp;K$2)))=0,ROW(INDIRECT("1:"&amp;K$2))),ROW($A103)),"")</f>
        <v>105</v>
      </c>
      <c r="BS146" s="28"/>
    </row>
    <row r="147" spans="1:71" outlineLevel="1">
      <c r="A147" s="28"/>
      <c r="B147" s="161">
        <v>104</v>
      </c>
      <c r="C147" s="161">
        <f>COUNTIF(Podcasts!$D$10:'Podcasts'!$D$2535,B147)</f>
        <v>3</v>
      </c>
      <c r="D147" s="158" t="s">
        <v>1131</v>
      </c>
      <c r="E147" s="156" t="str">
        <f t="array" ref="E147">IF(F147="","",INDEX(Podcasts!$J$10:'Podcasts'!$J$2535,MATCH(F147&amp;$B147,Podcasts!$E$10:'Podcasts'!$E$2535&amp;Podcasts!$D$10:'Podcasts'!$D$2535,0)))</f>
        <v>Fürst</v>
      </c>
      <c r="F147" s="131">
        <f t="array" ref="F147">IF(COUNTIF(Podcasts!$D$10:'Podcasts'!$D$2535,$B147)&lt;COLUMN(A110),"",SMALL(IF(Podcasts!$D$10:'Podcasts'!$D$2535=$B147,Podcasts!$E$10:'Podcasts'!$E$2535),COLUMN(A110)))</f>
        <v>41803</v>
      </c>
      <c r="G147" s="132">
        <f t="array" ref="G147">IF(F147="","",INDEX(Podcasts!$F$10:'Podcasts'!$F$2535,MATCH(F147&amp;$B147,Podcasts!$E$10:'Podcasts'!$E$2535&amp;Podcasts!$D$10:'Podcasts'!$D$2535,0)))</f>
        <v>6.0763888888888812E-3</v>
      </c>
      <c r="H147" s="136" t="str">
        <f t="array" ref="H147">IF(I147="","",INDEX(Podcasts!$J$10:'Podcasts'!$J$2535,MATCH(I147&amp;$B147,Podcasts!$E$10:'Podcasts'!$E$2535&amp;Podcasts!$D$10:'Podcasts'!$D$2535,0)))</f>
        <v>Kaffee</v>
      </c>
      <c r="I147" s="133">
        <f t="array" ref="I147">IF(COUNTIF(Podcasts!$D$10:'Podcasts'!$D$2535,$B147)&lt;COLUMN(B110),"",SMALL(IF(Podcasts!$D$10:'Podcasts'!$D$2535=$B147,Podcasts!$E$10:'Podcasts'!$E$2535),COLUMN(B110)))</f>
        <v>44158</v>
      </c>
      <c r="J147" s="132">
        <f t="array" ref="J147">IF(I147="","",INDEX(Podcasts!$F$10:'Podcasts'!$F$2535,MATCH(I147&amp;$B147,Podcasts!$E$10:'Podcasts'!$E$2535&amp;Podcasts!$D$10:'Podcasts'!$D$2535,0)))</f>
        <v>2.179398148148148E-2</v>
      </c>
      <c r="K147" s="136" t="str">
        <f t="array" ref="K147">IF(L147="","",INDEX(Podcasts!$J$10:'Podcasts'!$J$2535,MATCH(L147&amp;$B147,Podcasts!$E$10:'Podcasts'!$E$2535&amp;Podcasts!$D$10:'Podcasts'!$D$2535,0)))</f>
        <v>R&amp;A</v>
      </c>
      <c r="L147" s="133">
        <f t="array" ref="L147">IF(COUNTIF(Podcasts!$D$10:'Podcasts'!$D$2535,$B147)&lt;COLUMN(C110),"",SMALL(IF(Podcasts!$D$10:'Podcasts'!$D$2535=$B147,Podcasts!$E$10:'Podcasts'!$E$2535),COLUMN(C110)))</f>
        <v>44742.770833333336</v>
      </c>
      <c r="M147" s="132">
        <f t="array" ref="M147">IF(L147="","",INDEX(Podcasts!$F$10:'Podcasts'!$F$2535,MATCH(L147&amp;$B147,Podcasts!$E$10:'Podcasts'!$E$2535&amp;Podcasts!$D$10:'Podcasts'!$D$2535,0)))</f>
        <v>0.10979166666666666</v>
      </c>
      <c r="N147" s="136" t="str">
        <f t="array" ref="N147">IF(O147="","",INDEX(Podcasts!$J$10:'Podcasts'!$J$2535,MATCH(O147&amp;$B147,Podcasts!$E$10:'Podcasts'!$E$2535&amp;Podcasts!$D$10:'Podcasts'!$D$2535,0)))</f>
        <v/>
      </c>
      <c r="O147" s="133" t="str">
        <f t="array" ref="O147">IF(COUNTIF(Podcasts!$D$10:'Podcasts'!$D$2535,$B147)&lt;COLUMN(D110),"",SMALL(IF(Podcasts!$D$10:'Podcasts'!$D$2535=$B147,Podcasts!$E$10:'Podcasts'!$E$2535),COLUMN(D110)))</f>
        <v/>
      </c>
      <c r="P147" s="132" t="str">
        <f t="array" ref="P147">IF(O147="","",INDEX(Podcasts!$F$10:'Podcasts'!$F$2535,MATCH(O147&amp;$B147,Podcasts!$E$10:'Podcasts'!$E$2535&amp;Podcasts!$D$10:'Podcasts'!$D$2535,0)))</f>
        <v/>
      </c>
      <c r="Q147" s="136" t="str">
        <f t="array" ref="Q147">IF(R147="","",INDEX(Podcasts!$J$10:'Podcasts'!$J$2535,MATCH(R147&amp;$B147,Podcasts!$E$10:'Podcasts'!$E$2535&amp;Podcasts!$D$10:'Podcasts'!$D$2535,0)))</f>
        <v/>
      </c>
      <c r="R147" s="133" t="str">
        <f t="array" ref="R147">IF(COUNTIF(Podcasts!$D$10:'Podcasts'!$D$2535,$B147)&lt;COLUMN(E110),"",SMALL(IF(Podcasts!$D$10:'Podcasts'!$D$2535=$B147,Podcasts!$E$10:'Podcasts'!$E$2535),COLUMN(E110)))</f>
        <v/>
      </c>
      <c r="S147" s="132" t="str">
        <f t="array" ref="S147">IF(R147="","",INDEX(Podcasts!$F$10:'Podcasts'!$F$2535,MATCH(R147&amp;$B147,Podcasts!$E$10:'Podcasts'!$E$2535&amp;Podcasts!$D$10:'Podcasts'!$D$2535,0)))</f>
        <v/>
      </c>
      <c r="T147" s="136" t="str">
        <f t="array" ref="T147">IF(U147="","",INDEX(Podcasts!$J$10:'Podcasts'!$J$2535,MATCH(U147&amp;$B147,Podcasts!$E$10:'Podcasts'!$E$2535&amp;Podcasts!$D$10:'Podcasts'!$D$2535,0)))</f>
        <v/>
      </c>
      <c r="U147" s="133" t="str">
        <f t="array" ref="U147">IF(COUNTIF(Podcasts!$D$10:'Podcasts'!$D$2535,$B147)&lt;COLUMN(F110),"",SMALL(IF(Podcasts!$D$10:'Podcasts'!$D$2535=$B147,Podcasts!$E$10:'Podcasts'!$E$2535),COLUMN(F110)))</f>
        <v/>
      </c>
      <c r="V147" s="132" t="str">
        <f t="array" ref="V147">IF(U147="","",INDEX(Podcasts!$F$10:'Podcasts'!$F$2535,MATCH(U147&amp;$B147,Podcasts!$E$10:'Podcasts'!$E$2535&amp;Podcasts!$D$10:'Podcasts'!$D$2535,0)))</f>
        <v/>
      </c>
      <c r="W147" s="136" t="str">
        <f t="array" ref="W147">IF(X147="","",INDEX(Podcasts!$J$10:'Podcasts'!$J$2535,MATCH(X147&amp;$B147,Podcasts!$E$10:'Podcasts'!$E$2535&amp;Podcasts!$D$10:'Podcasts'!$D$2535,0)))</f>
        <v/>
      </c>
      <c r="X147" s="133" t="str">
        <f t="array" ref="X147">IF(COUNTIF(Podcasts!$D$10:'Podcasts'!$D$2535,$B147)&lt;COLUMN(G110),"",SMALL(IF(Podcasts!$D$10:'Podcasts'!$D$2535=$B147,Podcasts!$E$10:'Podcasts'!$E$2535),COLUMN(G110)))</f>
        <v/>
      </c>
      <c r="Y147" s="132" t="str">
        <f t="array" ref="Y147">IF(X147="","",INDEX(Podcasts!$F$10:'Podcasts'!$F$2535,MATCH(X147&amp;$B147,Podcasts!$E$10:'Podcasts'!$E$2535&amp;Podcasts!$D$10:'Podcasts'!$D$2535,0)))</f>
        <v/>
      </c>
      <c r="Z147" s="136" t="str">
        <f t="array" ref="Z147">IF(AA147="","",INDEX(Podcasts!$J$10:'Podcasts'!$J$2535,MATCH(AA147&amp;$B147,Podcasts!$E$10:'Podcasts'!$E$2535&amp;Podcasts!$D$10:'Podcasts'!$D$2535,0)))</f>
        <v/>
      </c>
      <c r="AA147" s="134" t="str">
        <f t="array" ref="AA147">IF(COUNTIF(Podcasts!$D$10:'Podcasts'!$D$2535,$B147)&lt;COLUMN(H110),"",SMALL(IF(Podcasts!$D$10:'Podcasts'!$D$2535=$B147,Podcasts!$E$10:'Podcasts'!$E$2535),COLUMN(H110)))</f>
        <v/>
      </c>
      <c r="AB147" s="404" t="str">
        <f t="array" ref="AB147">IF(AA147="","",INDEX(Podcasts!$F$10:'Podcasts'!$F$2535,MATCH(AA147&amp;$B147,Podcasts!$E$10:'Podcasts'!$E$2535&amp;Podcasts!$D$10:'Podcasts'!$D$2535,0)))</f>
        <v/>
      </c>
      <c r="AC147" s="406" t="str">
        <f t="array" ref="AC147">IF(AD147="","",INDEX(Podcasts!$J$10:'Podcasts'!$J$2535,MATCH(AD147&amp;$B147,Podcasts!$E$10:'Podcasts'!$E$2535&amp;Podcasts!$D$10:'Podcasts'!$D$2535,0)))</f>
        <v/>
      </c>
      <c r="AD147" s="400" t="str">
        <f t="array" ref="AD147">IF(COUNTIF(Podcasts!$D$10:'Podcasts'!$D$2535,$B147)&lt;COLUMN(I110),"",SMALL(IF(Podcasts!$D$10:'Podcasts'!$D$2535=$B147,Podcasts!$E$10:'Podcasts'!$E$2535),COLUMN(I110)))</f>
        <v/>
      </c>
      <c r="AE147" s="401" t="str">
        <f t="array" ref="AE147">IF(AD147="","",INDEX(Podcasts!$F$10:'Podcasts'!$F$2535,MATCH(AD147&amp;$B147,Podcasts!$E$10:'Podcasts'!$E$2535&amp;Podcasts!$D$10:'Podcasts'!$D$2535,0)))</f>
        <v/>
      </c>
      <c r="AF147" s="406" t="str">
        <f t="array" ref="AF147">IF(AG147="","",INDEX(Podcasts!$J$10:'Podcasts'!$J$2535,MATCH(AG147&amp;$B147,Podcasts!$E$10:'Podcasts'!$E$2535&amp;Podcasts!$D$10:'Podcasts'!$D$2535,0)))</f>
        <v/>
      </c>
      <c r="AG147" s="400" t="str">
        <f t="array" ref="AG147">IF(COUNTIF(Podcasts!$D$10:'Podcasts'!$D$2535,$B147)&lt;COLUMN(J110),"",SMALL(IF(Podcasts!$D$10:'Podcasts'!$D$2535=$B147,Podcasts!$E$10:'Podcasts'!$E$2535),COLUMN(J110)))</f>
        <v/>
      </c>
      <c r="AH147" s="401" t="str">
        <f t="array" ref="AH147">IF(AG147="","",INDEX(Podcasts!$F$10:'Podcasts'!$F$2535,MATCH(AG147&amp;$B147,Podcasts!$E$10:'Podcasts'!$E$2535&amp;Podcasts!$D$10:'Podcasts'!$D$2535,0)))</f>
        <v/>
      </c>
      <c r="AI147" s="406" t="str">
        <f t="array" ref="AI147">IF(AJ147="","",INDEX(Podcasts!$J$10:'Podcasts'!$J$2535,MATCH(AJ147&amp;$B147,Podcasts!$E$10:'Podcasts'!$E$2535&amp;Podcasts!$D$10:'Podcasts'!$D$2535,0)))</f>
        <v/>
      </c>
      <c r="AJ147" s="400" t="str">
        <f t="array" ref="AJ147">IF(COUNTIF(Podcasts!$D$10:'Podcasts'!$D$2535,$B147)&lt;COLUMN(K110),"",SMALL(IF(Podcasts!$D$10:'Podcasts'!$D$2535=$B147,Podcasts!$E$10:'Podcasts'!$E$2535),COLUMN(K110)))</f>
        <v/>
      </c>
      <c r="AK147" s="401" t="str">
        <f t="array" ref="AK147">IF(AJ147="","",INDEX(Podcasts!$F$10:'Podcasts'!$F$2535,MATCH(AJ147&amp;$B147,Podcasts!$E$10:'Podcasts'!$E$2535&amp;Podcasts!$D$10:'Podcasts'!$D$2535,0)))</f>
        <v/>
      </c>
      <c r="AL147" s="406" t="str">
        <f t="array" ref="AL147">IF(AM147="","",INDEX(Podcasts!$J$10:'Podcasts'!$J$2535,MATCH(AM147&amp;$B147,Podcasts!$E$10:'Podcasts'!$E$2535&amp;Podcasts!$D$10:'Podcasts'!$D$2535,0)))</f>
        <v/>
      </c>
      <c r="AM147" s="400" t="str">
        <f t="array" ref="AM147">IF(COUNTIF(Podcasts!$D$10:'Podcasts'!$D$2535,$B147)&lt;COLUMN(L110),"",SMALL(IF(Podcasts!$D$10:'Podcasts'!$D$2535=$B147,Podcasts!$E$10:'Podcasts'!$E$2535),COLUMN(L110)))</f>
        <v/>
      </c>
      <c r="AN147" s="401" t="str">
        <f t="array" ref="AN147">IF(AM147="","",INDEX(Podcasts!$F$10:'Podcasts'!$F$2535,MATCH(AM147&amp;$B147,Podcasts!$E$10:'Podcasts'!$E$2535&amp;Podcasts!$D$10:'Podcasts'!$D$2535,0)))</f>
        <v/>
      </c>
      <c r="AO147" s="402"/>
      <c r="AP147" s="119"/>
      <c r="AQ147" s="117">
        <f t="array" aca="1" ref="AQ147" ca="1">IFERROR(SMALL(IF(COUNTIF(Podcasts!$D$10:'Podcasts'!$D$107,ROW(INDIRECT("1:"&amp;K$2)))=0,ROW(INDIRECT("1:"&amp;K$2))),ROW($A104)),"")</f>
        <v>136</v>
      </c>
      <c r="AR147" s="117">
        <f t="array" aca="1" ref="AR147" ca="1">IFERROR(SMALL(IF(COUNTIF(Podcasts!$D$113:'Podcasts'!$D$238,ROW(INDIRECT("1:"&amp;K$2)))=0,ROW(INDIRECT("1:"&amp;K$2))),ROW($A104)),"")</f>
        <v>104</v>
      </c>
      <c r="AS147" s="117">
        <f t="array" aca="1" ref="AS147" ca="1">IFERROR(SMALL(IF(COUNTIF(Podcasts!$D$244:'Podcasts'!$D$299,ROW(INDIRECT("1:"&amp;K$2)))=0,ROW(INDIRECT("1:"&amp;K$2))),ROW($A104)),"")</f>
        <v>123</v>
      </c>
      <c r="AT147" s="117"/>
      <c r="AU147" s="117">
        <f t="array" aca="1" ref="AU147" ca="1">IFERROR(SMALL(IF(COUNTIF(Podcasts!$D$479:'Podcasts'!$D$488,ROW(INDIRECT("1:"&amp;K$2)))=0,ROW(INDIRECT("1:"&amp;K$2))),ROW($A104)),"")</f>
        <v>106</v>
      </c>
      <c r="AV147" s="117">
        <f t="array" aca="1" ref="AV147" ca="1">IFERROR(SMALL(IF(COUNTIF(Podcasts!$D$494:'Podcasts'!$D$518,ROW(INDIRECT("1:"&amp;K$2)))=0,ROW(INDIRECT("1:"&amp;K$2))),ROW($A104)),"")</f>
        <v>124</v>
      </c>
      <c r="AW147" s="117">
        <f t="array" aca="1" ref="AW147" ca="1">IFERROR(SMALL(IF(COUNTIF(Podcasts!$D$524:'Podcasts'!$D$532,ROW(INDIRECT("1:"&amp;K$2)))=0,ROW(INDIRECT("1:"&amp;K$2))),ROW($A104)),"")</f>
        <v>105</v>
      </c>
      <c r="AX147" s="117"/>
      <c r="AY147" s="117">
        <f t="array" aca="1" ref="AY147" ca="1">IFERROR(SMALL(IF(COUNTIF(Podcasts!$D$915:'Podcasts'!$D$981,ROW(INDIRECT("1:"&amp;K$2)))=0,ROW(INDIRECT("1:"&amp;K$2))),ROW($A104)),"")</f>
        <v>150</v>
      </c>
      <c r="AZ147" s="445"/>
      <c r="BA147" s="117">
        <f t="array" aca="1" ref="BA147" ca="1">IFERROR(SMALL(IF(COUNTIF(Podcasts!$D$1001:'Podcasts'!$D$1251,ROW(INDIRECT("1:"&amp;K$2)))=0,ROW(INDIRECT("1:"&amp;K$2))),ROW($A104)),"")</f>
        <v>152</v>
      </c>
      <c r="BB147" s="117">
        <f t="array" aca="1" ref="BB147" ca="1">IFERROR(SMALL(IF(COUNTIF(Podcasts!$D$1257:'Podcasts'!$D$1267,ROW(INDIRECT("1:"&amp;K$2)))=0,ROW(INDIRECT("1:"&amp;K$2))),ROW($A104)),"")</f>
        <v>108</v>
      </c>
      <c r="BC147" s="117">
        <f t="array" aca="1" ref="BC147" ca="1">IFERROR(SMALL(IF(COUNTIF(Podcasts!$D$1273:'Podcasts'!$D$1283,ROW(INDIRECT("1:"&amp;K$2)))=0,ROW(INDIRECT("1:"&amp;K$2))),ROW($A104)),"")</f>
        <v>108</v>
      </c>
      <c r="BD147" s="117">
        <f t="array" aca="1" ref="BD147" ca="1">IFERROR(SMALL(IF(COUNTIF(Podcasts!$D$1289:'Podcasts'!$D$1295,ROW(INDIRECT("1:"&amp;K$2)))=0,ROW(INDIRECT("1:"&amp;K$2))),ROW($A104)),"")</f>
        <v>107</v>
      </c>
      <c r="BE147" s="117">
        <f t="array" aca="1" ref="BE147" ca="1">IFERROR(SMALL(IF(COUNTIF(Podcasts!$D$1301:'Podcasts'!$D$1356,ROW(INDIRECT("1:"&amp;K$2)))=0,ROW(INDIRECT("1:"&amp;K$2))),ROW($A104)),"")</f>
        <v>151</v>
      </c>
      <c r="BF147" s="117">
        <f t="array" aca="1" ref="BF147" ca="1">IFERROR(SMALL(IF(COUNTIF(Podcasts!$D$1362:'Podcasts'!$D$1364,ROW(INDIRECT("1:"&amp;K$2)))=0,ROW(INDIRECT("1:"&amp;K$2))),ROW($A104)),"")</f>
        <v>107</v>
      </c>
      <c r="BG147" s="202">
        <f t="array" aca="1" ref="BG147" ca="1">IFERROR(SMALL(IF(COUNTIF(Podcasts!$D$1370:'Podcasts'!$D$1419,ROW(INDIRECT("1:"&amp;K$2)))=0,ROW(INDIRECT("1:"&amp;K$2))),ROW($A104)),"")</f>
        <v>130</v>
      </c>
      <c r="BH147" s="202">
        <f t="array" aca="1" ref="BH147" ca="1">IFERROR(SMALL(IF(COUNTIF(Podcasts!$D$1425:'Podcasts'!$D$1446,ROW(INDIRECT("1:"&amp;K$2)))=0,ROW(INDIRECT("1:"&amp;K$2))),ROW($A104)),"")</f>
        <v>114</v>
      </c>
      <c r="BI147" s="202">
        <f t="array" aca="1" ref="BI147" ca="1">IFERROR(SMALL(IF(COUNTIF(Podcasts!$D$1452:'Podcasts'!$D$1574,ROW(INDIRECT("1:"&amp;K$2)))=0,ROW(INDIRECT("1:"&amp;K$2))),ROW($A104)),"")</f>
        <v>172</v>
      </c>
      <c r="BJ147" s="202">
        <f t="array" aca="1" ref="BJ147" ca="1">IFERROR(SMALL(IF(COUNTIF(Podcasts!$D$1580:'Podcasts'!$D$1705,ROW(INDIRECT("1:"&amp;K$2)))=0,ROW(INDIRECT("1:"&amp;K$2))),ROW($A104)),"")</f>
        <v>171</v>
      </c>
      <c r="BK147" s="202">
        <f t="array" aca="1" ref="BK147" ca="1">IFERROR(SMALL(IF(COUNTIF(Podcasts!$D$1711:'Podcasts'!$D$1833,ROW(INDIRECT("1:"&amp;K$2)))=0,ROW(INDIRECT("1:"&amp;K$2))),ROW($A104)),"")</f>
        <v>160</v>
      </c>
      <c r="BL147" s="202">
        <f t="array" aca="1" ref="BL147" ca="1">IFERROR(SMALL(IF(COUNTIF(Podcasts!$D$1839:'Podcasts'!$D$1855,ROW(INDIRECT("1:"&amp;K$2)))=0,ROW(INDIRECT("1:"&amp;K$2))),ROW($A104)),"")</f>
        <v>113</v>
      </c>
      <c r="BM147" s="567">
        <f t="array" aca="1" ref="BM147" ca="1">IFERROR(SMALL(IF(COUNTIF(Podcasts!$D$1861:'Podcasts'!$D$1994,ROW(INDIRECT("1:"&amp;K$2)))=0,ROW(INDIRECT("1:"&amp;K$2))),ROW($A104)),"")</f>
        <v>144</v>
      </c>
      <c r="BN147" s="567">
        <f t="array" aca="1" ref="BN147" ca="1">IFERROR(SMALL(IF(COUNTIF(Podcasts!$D$2000:'Podcasts'!$D$2057,ROW(INDIRECT("1:"&amp;K$2)))=0,ROW(INDIRECT("1:"&amp;K$2))),ROW($A104)),"")</f>
        <v>159</v>
      </c>
      <c r="BO147" s="567">
        <f t="array" aca="1" ref="BO147" ca="1">IFERROR(SMALL(IF(COUNTIF(Podcasts!$D$2063:'Podcasts'!$D$2071,ROW(INDIRECT("1:"&amp;K$2)))=0,ROW(INDIRECT("1:"&amp;K$2))),ROW($A104)),"")</f>
        <v>110</v>
      </c>
      <c r="BP147" s="202">
        <f t="array" aca="1" ref="BP147" ca="1">IFERROR(SMALL(IF(COUNTIF(Podcasts!$D$2077:'Podcasts'!$D$2092,ROW(INDIRECT("1:"&amp;K$2)))=0,ROW(INDIRECT("1:"&amp;K$2))),ROW($A104)),"")</f>
        <v>115</v>
      </c>
      <c r="BQ147" s="741">
        <f t="array" aca="1" ref="BQ147" ca="1">IFERROR(SMALL(IF(COUNTIF(Podcasts!$D$2098:'Podcasts'!$D$2114,ROW(INDIRECT("1:"&amp;K$2)))=0,ROW(INDIRECT("1:"&amp;K$2))),ROW($A104)),"")</f>
        <v>112</v>
      </c>
      <c r="BR147" s="744">
        <f t="array" aca="1" ref="BR147" ca="1">IFERROR(SMALL(IF(COUNTIF(Podcasts!$D$2120:'Podcasts'!$D$2124,ROW(INDIRECT("1:"&amp;K$2)))=0,ROW(INDIRECT("1:"&amp;K$2))),ROW($A104)),"")</f>
        <v>106</v>
      </c>
      <c r="BS147" s="28"/>
    </row>
    <row r="148" spans="1:71" outlineLevel="1">
      <c r="A148" s="28"/>
      <c r="B148" s="161">
        <v>105</v>
      </c>
      <c r="C148" s="161">
        <f>COUNTIF(Podcasts!$D$10:'Podcasts'!$D$2535,B148)</f>
        <v>6</v>
      </c>
      <c r="D148" s="158" t="s">
        <v>1132</v>
      </c>
      <c r="E148" s="156" t="str">
        <f t="array" ref="E148">IF(F148="","",INDEX(Podcasts!$J$10:'Podcasts'!$J$2535,MATCH(F148&amp;$B148,Podcasts!$E$10:'Podcasts'!$E$2535&amp;Podcasts!$D$10:'Podcasts'!$D$2535,0)))</f>
        <v>Fürst</v>
      </c>
      <c r="F148" s="131">
        <f t="array" ref="F148">IF(COUNTIF(Podcasts!$D$10:'Podcasts'!$D$2535,$B148)&lt;COLUMN(A111),"",SMALL(IF(Podcasts!$D$10:'Podcasts'!$D$2535=$B148,Podcasts!$E$10:'Podcasts'!$E$2535),COLUMN(A111)))</f>
        <v>42092</v>
      </c>
      <c r="G148" s="132">
        <f t="array" ref="G148">IF(F148="","",INDEX(Podcasts!$F$10:'Podcasts'!$F$2535,MATCH(F148&amp;$B148,Podcasts!$E$10:'Podcasts'!$E$2535&amp;Podcasts!$D$10:'Podcasts'!$D$2535,0)))</f>
        <v>1.3773148148148147E-2</v>
      </c>
      <c r="H148" s="136" t="str">
        <f t="array" ref="H148">IF(I148="","",INDEX(Podcasts!$J$10:'Podcasts'!$J$2535,MATCH(I148&amp;$B148,Podcasts!$E$10:'Podcasts'!$E$2535&amp;Podcasts!$D$10:'Podcasts'!$D$2535,0)))</f>
        <v>R&amp;A</v>
      </c>
      <c r="I148" s="133">
        <f t="array" ref="I148">IF(COUNTIF(Podcasts!$D$10:'Podcasts'!$D$2535,$B148)&lt;COLUMN(B111),"",SMALL(IF(Podcasts!$D$10:'Podcasts'!$D$2535=$B148,Podcasts!$E$10:'Podcasts'!$E$2535),COLUMN(B111)))</f>
        <v>43311.85528935185</v>
      </c>
      <c r="J148" s="132">
        <f t="array" ref="J148">IF(I148="","",INDEX(Podcasts!$F$10:'Podcasts'!$F$2535,MATCH(I148&amp;$B148,Podcasts!$E$10:'Podcasts'!$E$2535&amp;Podcasts!$D$10:'Podcasts'!$D$2535,0)))</f>
        <v>6.8171296296296299E-2</v>
      </c>
      <c r="K148" s="136" t="str">
        <f t="array" ref="K148">IF(L148="","",INDEX(Podcasts!$J$10:'Podcasts'!$J$2535,MATCH(L148&amp;$B148,Podcasts!$E$10:'Podcasts'!$E$2535&amp;Podcasts!$D$10:'Podcasts'!$D$2535,0)))</f>
        <v>SSP</v>
      </c>
      <c r="L148" s="133">
        <f t="array" ref="L148">IF(COUNTIF(Podcasts!$D$10:'Podcasts'!$D$2535,$B148)&lt;COLUMN(C111),"",SMALL(IF(Podcasts!$D$10:'Podcasts'!$D$2535=$B148,Podcasts!$E$10:'Podcasts'!$E$2535),COLUMN(C111)))</f>
        <v>43494</v>
      </c>
      <c r="M148" s="132">
        <f t="array" ref="M148">IF(L148="","",INDEX(Podcasts!$F$10:'Podcasts'!$F$2535,MATCH(L148&amp;$B148,Podcasts!$E$10:'Podcasts'!$E$2535&amp;Podcasts!$D$10:'Podcasts'!$D$2535,0)))</f>
        <v>7.1886574074074075E-2</v>
      </c>
      <c r="N148" s="136" t="str">
        <f t="array" ref="N148">IF(O148="","",INDEX(Podcasts!$J$10:'Podcasts'!$J$2535,MATCH(O148&amp;$B148,Podcasts!$E$10:'Podcasts'!$E$2535&amp;Podcasts!$D$10:'Podcasts'!$D$2535,0)))</f>
        <v>Zentrale</v>
      </c>
      <c r="O148" s="133">
        <f t="array" ref="O148">IF(COUNTIF(Podcasts!$D$10:'Podcasts'!$D$2535,$B148)&lt;COLUMN(D111),"",SMALL(IF(Podcasts!$D$10:'Podcasts'!$D$2535=$B148,Podcasts!$E$10:'Podcasts'!$E$2535),COLUMN(D111)))</f>
        <v>43794</v>
      </c>
      <c r="P148" s="132">
        <f t="array" ref="P148">IF(O148="","",INDEX(Podcasts!$F$10:'Podcasts'!$F$2535,MATCH(O148&amp;$B148,Podcasts!$E$10:'Podcasts'!$E$2535&amp;Podcasts!$D$10:'Podcasts'!$D$2535,0)))</f>
        <v>0.10949074074074074</v>
      </c>
      <c r="Q148" s="136" t="str">
        <f t="array" ref="Q148">IF(R148="","",INDEX(Podcasts!$J$10:'Podcasts'!$J$2535,MATCH(R148&amp;$B148,Podcasts!$E$10:'Podcasts'!$E$2535&amp;Podcasts!$D$10:'Podcasts'!$D$2535,0)))</f>
        <v>Zw3i</v>
      </c>
      <c r="R148" s="133">
        <f t="array" ref="R148">IF(COUNTIF(Podcasts!$D$10:'Podcasts'!$D$2535,$B148)&lt;COLUMN(E111),"",SMALL(IF(Podcasts!$D$10:'Podcasts'!$D$2535=$B148,Podcasts!$E$10:'Podcasts'!$E$2535),COLUMN(E111)))</f>
        <v>44589</v>
      </c>
      <c r="S148" s="132">
        <f t="array" ref="S148">IF(R148="","",INDEX(Podcasts!$F$10:'Podcasts'!$F$2535,MATCH(R148&amp;$B148,Podcasts!$E$10:'Podcasts'!$E$2535&amp;Podcasts!$D$10:'Podcasts'!$D$2535,0)))</f>
        <v>0.15488425925925928</v>
      </c>
      <c r="T148" s="136" t="str">
        <f t="array" ref="T148">IF(U148="","",INDEX(Podcasts!$J$10:'Podcasts'!$J$2535,MATCH(U148&amp;$B148,Podcasts!$E$10:'Podcasts'!$E$2535&amp;Podcasts!$D$10:'Podcasts'!$D$2535,0)))</f>
        <v>:punkt</v>
      </c>
      <c r="U148" s="133">
        <f t="array" ref="U148">IF(COUNTIF(Podcasts!$D$10:'Podcasts'!$D$2535,$B148)&lt;COLUMN(F111),"",SMALL(IF(Podcasts!$D$10:'Podcasts'!$D$2535=$B148,Podcasts!$E$10:'Podcasts'!$E$2535),COLUMN(F111)))</f>
        <v>45442</v>
      </c>
      <c r="V148" s="132">
        <f t="array" ref="V148">IF(U148="","",INDEX(Podcasts!$F$10:'Podcasts'!$F$2535,MATCH(U148&amp;$B148,Podcasts!$E$10:'Podcasts'!$E$2535&amp;Podcasts!$D$10:'Podcasts'!$D$2535,0)))</f>
        <v>0</v>
      </c>
      <c r="W148" s="136" t="str">
        <f t="array" ref="W148">IF(X148="","",INDEX(Podcasts!$J$10:'Podcasts'!$J$2535,MATCH(X148&amp;$B148,Podcasts!$E$10:'Podcasts'!$E$2535&amp;Podcasts!$D$10:'Podcasts'!$D$2535,0)))</f>
        <v/>
      </c>
      <c r="X148" s="133" t="str">
        <f t="array" ref="X148">IF(COUNTIF(Podcasts!$D$10:'Podcasts'!$D$2535,$B148)&lt;COLUMN(G111),"",SMALL(IF(Podcasts!$D$10:'Podcasts'!$D$2535=$B148,Podcasts!$E$10:'Podcasts'!$E$2535),COLUMN(G111)))</f>
        <v/>
      </c>
      <c r="Y148" s="132" t="str">
        <f t="array" ref="Y148">IF(X148="","",INDEX(Podcasts!$F$10:'Podcasts'!$F$2535,MATCH(X148&amp;$B148,Podcasts!$E$10:'Podcasts'!$E$2535&amp;Podcasts!$D$10:'Podcasts'!$D$2535,0)))</f>
        <v/>
      </c>
      <c r="Z148" s="136" t="str">
        <f t="array" ref="Z148">IF(AA148="","",INDEX(Podcasts!$J$10:'Podcasts'!$J$2535,MATCH(AA148&amp;$B148,Podcasts!$E$10:'Podcasts'!$E$2535&amp;Podcasts!$D$10:'Podcasts'!$D$2535,0)))</f>
        <v/>
      </c>
      <c r="AA148" s="134" t="str">
        <f t="array" ref="AA148">IF(COUNTIF(Podcasts!$D$10:'Podcasts'!$D$2535,$B148)&lt;COLUMN(H111),"",SMALL(IF(Podcasts!$D$10:'Podcasts'!$D$2535=$B148,Podcasts!$E$10:'Podcasts'!$E$2535),COLUMN(H111)))</f>
        <v/>
      </c>
      <c r="AB148" s="404" t="str">
        <f t="array" ref="AB148">IF(AA148="","",INDEX(Podcasts!$F$10:'Podcasts'!$F$2535,MATCH(AA148&amp;$B148,Podcasts!$E$10:'Podcasts'!$E$2535&amp;Podcasts!$D$10:'Podcasts'!$D$2535,0)))</f>
        <v/>
      </c>
      <c r="AC148" s="406" t="str">
        <f t="array" ref="AC148">IF(AD148="","",INDEX(Podcasts!$J$10:'Podcasts'!$J$2535,MATCH(AD148&amp;$B148,Podcasts!$E$10:'Podcasts'!$E$2535&amp;Podcasts!$D$10:'Podcasts'!$D$2535,0)))</f>
        <v/>
      </c>
      <c r="AD148" s="400" t="str">
        <f t="array" ref="AD148">IF(COUNTIF(Podcasts!$D$10:'Podcasts'!$D$2535,$B148)&lt;COLUMN(I111),"",SMALL(IF(Podcasts!$D$10:'Podcasts'!$D$2535=$B148,Podcasts!$E$10:'Podcasts'!$E$2535),COLUMN(I111)))</f>
        <v/>
      </c>
      <c r="AE148" s="401" t="str">
        <f t="array" ref="AE148">IF(AD148="","",INDEX(Podcasts!$F$10:'Podcasts'!$F$2535,MATCH(AD148&amp;$B148,Podcasts!$E$10:'Podcasts'!$E$2535&amp;Podcasts!$D$10:'Podcasts'!$D$2535,0)))</f>
        <v/>
      </c>
      <c r="AF148" s="406" t="str">
        <f t="array" ref="AF148">IF(AG148="","",INDEX(Podcasts!$J$10:'Podcasts'!$J$2535,MATCH(AG148&amp;$B148,Podcasts!$E$10:'Podcasts'!$E$2535&amp;Podcasts!$D$10:'Podcasts'!$D$2535,0)))</f>
        <v/>
      </c>
      <c r="AG148" s="400" t="str">
        <f t="array" ref="AG148">IF(COUNTIF(Podcasts!$D$10:'Podcasts'!$D$2535,$B148)&lt;COLUMN(J111),"",SMALL(IF(Podcasts!$D$10:'Podcasts'!$D$2535=$B148,Podcasts!$E$10:'Podcasts'!$E$2535),COLUMN(J111)))</f>
        <v/>
      </c>
      <c r="AH148" s="401" t="str">
        <f t="array" ref="AH148">IF(AG148="","",INDEX(Podcasts!$F$10:'Podcasts'!$F$2535,MATCH(AG148&amp;$B148,Podcasts!$E$10:'Podcasts'!$E$2535&amp;Podcasts!$D$10:'Podcasts'!$D$2535,0)))</f>
        <v/>
      </c>
      <c r="AI148" s="406" t="str">
        <f t="array" ref="AI148">IF(AJ148="","",INDEX(Podcasts!$J$10:'Podcasts'!$J$2535,MATCH(AJ148&amp;$B148,Podcasts!$E$10:'Podcasts'!$E$2535&amp;Podcasts!$D$10:'Podcasts'!$D$2535,0)))</f>
        <v/>
      </c>
      <c r="AJ148" s="400" t="str">
        <f t="array" ref="AJ148">IF(COUNTIF(Podcasts!$D$10:'Podcasts'!$D$2535,$B148)&lt;COLUMN(K111),"",SMALL(IF(Podcasts!$D$10:'Podcasts'!$D$2535=$B148,Podcasts!$E$10:'Podcasts'!$E$2535),COLUMN(K111)))</f>
        <v/>
      </c>
      <c r="AK148" s="401" t="str">
        <f t="array" ref="AK148">IF(AJ148="","",INDEX(Podcasts!$F$10:'Podcasts'!$F$2535,MATCH(AJ148&amp;$B148,Podcasts!$E$10:'Podcasts'!$E$2535&amp;Podcasts!$D$10:'Podcasts'!$D$2535,0)))</f>
        <v/>
      </c>
      <c r="AL148" s="406" t="str">
        <f t="array" ref="AL148">IF(AM148="","",INDEX(Podcasts!$J$10:'Podcasts'!$J$2535,MATCH(AM148&amp;$B148,Podcasts!$E$10:'Podcasts'!$E$2535&amp;Podcasts!$D$10:'Podcasts'!$D$2535,0)))</f>
        <v/>
      </c>
      <c r="AM148" s="400" t="str">
        <f t="array" ref="AM148">IF(COUNTIF(Podcasts!$D$10:'Podcasts'!$D$2535,$B148)&lt;COLUMN(L111),"",SMALL(IF(Podcasts!$D$10:'Podcasts'!$D$2535=$B148,Podcasts!$E$10:'Podcasts'!$E$2535),COLUMN(L111)))</f>
        <v/>
      </c>
      <c r="AN148" s="401" t="str">
        <f t="array" ref="AN148">IF(AM148="","",INDEX(Podcasts!$F$10:'Podcasts'!$F$2535,MATCH(AM148&amp;$B148,Podcasts!$E$10:'Podcasts'!$E$2535&amp;Podcasts!$D$10:'Podcasts'!$D$2535,0)))</f>
        <v/>
      </c>
      <c r="AO148" s="402"/>
      <c r="AP148" s="119"/>
      <c r="AQ148" s="117">
        <f t="array" aca="1" ref="AQ148" ca="1">IFERROR(SMALL(IF(COUNTIF(Podcasts!$D$10:'Podcasts'!$D$107,ROW(INDIRECT("1:"&amp;K$2)))=0,ROW(INDIRECT("1:"&amp;K$2))),ROW($A105)),"")</f>
        <v>137</v>
      </c>
      <c r="AR148" s="117">
        <f t="array" aca="1" ref="AR148" ca="1">IFERROR(SMALL(IF(COUNTIF(Podcasts!$D$113:'Podcasts'!$D$238,ROW(INDIRECT("1:"&amp;K$2)))=0,ROW(INDIRECT("1:"&amp;K$2))),ROW($A105)),"")</f>
        <v>105</v>
      </c>
      <c r="AS148" s="117">
        <f t="array" aca="1" ref="AS148" ca="1">IFERROR(SMALL(IF(COUNTIF(Podcasts!$D$244:'Podcasts'!$D$299,ROW(INDIRECT("1:"&amp;K$2)))=0,ROW(INDIRECT("1:"&amp;K$2))),ROW($A105)),"")</f>
        <v>124</v>
      </c>
      <c r="AT148" s="117"/>
      <c r="AU148" s="117">
        <f t="array" aca="1" ref="AU148" ca="1">IFERROR(SMALL(IF(COUNTIF(Podcasts!$D$479:'Podcasts'!$D$488,ROW(INDIRECT("1:"&amp;K$2)))=0,ROW(INDIRECT("1:"&amp;K$2))),ROW($A105)),"")</f>
        <v>107</v>
      </c>
      <c r="AV148" s="117">
        <f t="array" aca="1" ref="AV148" ca="1">IFERROR(SMALL(IF(COUNTIF(Podcasts!$D$494:'Podcasts'!$D$518,ROW(INDIRECT("1:"&amp;K$2)))=0,ROW(INDIRECT("1:"&amp;K$2))),ROW($A105)),"")</f>
        <v>125</v>
      </c>
      <c r="AW148" s="117">
        <f t="array" aca="1" ref="AW148" ca="1">IFERROR(SMALL(IF(COUNTIF(Podcasts!$D$524:'Podcasts'!$D$532,ROW(INDIRECT("1:"&amp;K$2)))=0,ROW(INDIRECT("1:"&amp;K$2))),ROW($A105)),"")</f>
        <v>106</v>
      </c>
      <c r="AX148" s="117"/>
      <c r="AY148" s="117">
        <f t="array" aca="1" ref="AY148" ca="1">IFERROR(SMALL(IF(COUNTIF(Podcasts!$D$915:'Podcasts'!$D$981,ROW(INDIRECT("1:"&amp;K$2)))=0,ROW(INDIRECT("1:"&amp;K$2))),ROW($A105)),"")</f>
        <v>151</v>
      </c>
      <c r="AZ148" s="445"/>
      <c r="BA148" s="117">
        <f t="array" aca="1" ref="BA148" ca="1">IFERROR(SMALL(IF(COUNTIF(Podcasts!$D$1001:'Podcasts'!$D$1251,ROW(INDIRECT("1:"&amp;K$2)))=0,ROW(INDIRECT("1:"&amp;K$2))),ROW($A105)),"")</f>
        <v>153</v>
      </c>
      <c r="BB148" s="117">
        <f t="array" aca="1" ref="BB148" ca="1">IFERROR(SMALL(IF(COUNTIF(Podcasts!$D$1257:'Podcasts'!$D$1267,ROW(INDIRECT("1:"&amp;K$2)))=0,ROW(INDIRECT("1:"&amp;K$2))),ROW($A105)),"")</f>
        <v>109</v>
      </c>
      <c r="BC148" s="117">
        <f t="array" aca="1" ref="BC148" ca="1">IFERROR(SMALL(IF(COUNTIF(Podcasts!$D$1273:'Podcasts'!$D$1283,ROW(INDIRECT("1:"&amp;K$2)))=0,ROW(INDIRECT("1:"&amp;K$2))),ROW($A105)),"")</f>
        <v>109</v>
      </c>
      <c r="BD148" s="117">
        <f t="array" aca="1" ref="BD148" ca="1">IFERROR(SMALL(IF(COUNTIF(Podcasts!$D$1289:'Podcasts'!$D$1295,ROW(INDIRECT("1:"&amp;K$2)))=0,ROW(INDIRECT("1:"&amp;K$2))),ROW($A105)),"")</f>
        <v>108</v>
      </c>
      <c r="BE148" s="117">
        <f t="array" aca="1" ref="BE148" ca="1">IFERROR(SMALL(IF(COUNTIF(Podcasts!$D$1301:'Podcasts'!$D$1356,ROW(INDIRECT("1:"&amp;K$2)))=0,ROW(INDIRECT("1:"&amp;K$2))),ROW($A105)),"")</f>
        <v>152</v>
      </c>
      <c r="BF148" s="117">
        <f t="array" aca="1" ref="BF148" ca="1">IFERROR(SMALL(IF(COUNTIF(Podcasts!$D$1362:'Podcasts'!$D$1364,ROW(INDIRECT("1:"&amp;K$2)))=0,ROW(INDIRECT("1:"&amp;K$2))),ROW($A105)),"")</f>
        <v>108</v>
      </c>
      <c r="BG148" s="202">
        <f t="array" aca="1" ref="BG148" ca="1">IFERROR(SMALL(IF(COUNTIF(Podcasts!$D$1370:'Podcasts'!$D$1419,ROW(INDIRECT("1:"&amp;K$2)))=0,ROW(INDIRECT("1:"&amp;K$2))),ROW($A105)),"")</f>
        <v>131</v>
      </c>
      <c r="BH148" s="202">
        <f t="array" aca="1" ref="BH148" ca="1">IFERROR(SMALL(IF(COUNTIF(Podcasts!$D$1425:'Podcasts'!$D$1446,ROW(INDIRECT("1:"&amp;K$2)))=0,ROW(INDIRECT("1:"&amp;K$2))),ROW($A105)),"")</f>
        <v>115</v>
      </c>
      <c r="BI148" s="202">
        <f t="array" aca="1" ref="BI148" ca="1">IFERROR(SMALL(IF(COUNTIF(Podcasts!$D$1452:'Podcasts'!$D$1574,ROW(INDIRECT("1:"&amp;K$2)))=0,ROW(INDIRECT("1:"&amp;K$2))),ROW($A105)),"")</f>
        <v>173</v>
      </c>
      <c r="BJ148" s="202">
        <f t="array" aca="1" ref="BJ148" ca="1">IFERROR(SMALL(IF(COUNTIF(Podcasts!$D$1580:'Podcasts'!$D$1705,ROW(INDIRECT("1:"&amp;K$2)))=0,ROW(INDIRECT("1:"&amp;K$2))),ROW($A105)),"")</f>
        <v>172</v>
      </c>
      <c r="BK148" s="202">
        <f t="array" aca="1" ref="BK148" ca="1">IFERROR(SMALL(IF(COUNTIF(Podcasts!$D$1711:'Podcasts'!$D$1833,ROW(INDIRECT("1:"&amp;K$2)))=0,ROW(INDIRECT("1:"&amp;K$2))),ROW($A105)),"")</f>
        <v>162</v>
      </c>
      <c r="BL148" s="202">
        <f t="array" aca="1" ref="BL148" ca="1">IFERROR(SMALL(IF(COUNTIF(Podcasts!$D$1839:'Podcasts'!$D$1855,ROW(INDIRECT("1:"&amp;K$2)))=0,ROW(INDIRECT("1:"&amp;K$2))),ROW($A105)),"")</f>
        <v>114</v>
      </c>
      <c r="BM148" s="567">
        <f t="array" aca="1" ref="BM148" ca="1">IFERROR(SMALL(IF(COUNTIF(Podcasts!$D$1861:'Podcasts'!$D$1994,ROW(INDIRECT("1:"&amp;K$2)))=0,ROW(INDIRECT("1:"&amp;K$2))),ROW($A105)),"")</f>
        <v>145</v>
      </c>
      <c r="BN148" s="567">
        <f t="array" aca="1" ref="BN148" ca="1">IFERROR(SMALL(IF(COUNTIF(Podcasts!$D$2000:'Podcasts'!$D$2057,ROW(INDIRECT("1:"&amp;K$2)))=0,ROW(INDIRECT("1:"&amp;K$2))),ROW($A105)),"")</f>
        <v>160</v>
      </c>
      <c r="BO148" s="567">
        <f t="array" aca="1" ref="BO148" ca="1">IFERROR(SMALL(IF(COUNTIF(Podcasts!$D$2063:'Podcasts'!$D$2071,ROW(INDIRECT("1:"&amp;K$2)))=0,ROW(INDIRECT("1:"&amp;K$2))),ROW($A105)),"")</f>
        <v>111</v>
      </c>
      <c r="BP148" s="202">
        <f t="array" aca="1" ref="BP148" ca="1">IFERROR(SMALL(IF(COUNTIF(Podcasts!$D$2077:'Podcasts'!$D$2092,ROW(INDIRECT("1:"&amp;K$2)))=0,ROW(INDIRECT("1:"&amp;K$2))),ROW($A105)),"")</f>
        <v>116</v>
      </c>
      <c r="BQ148" s="741">
        <f t="array" aca="1" ref="BQ148" ca="1">IFERROR(SMALL(IF(COUNTIF(Podcasts!$D$2098:'Podcasts'!$D$2114,ROW(INDIRECT("1:"&amp;K$2)))=0,ROW(INDIRECT("1:"&amp;K$2))),ROW($A105)),"")</f>
        <v>113</v>
      </c>
      <c r="BR148" s="744">
        <f t="array" aca="1" ref="BR148" ca="1">IFERROR(SMALL(IF(COUNTIF(Podcasts!$D$2120:'Podcasts'!$D$2124,ROW(INDIRECT("1:"&amp;K$2)))=0,ROW(INDIRECT("1:"&amp;K$2))),ROW($A105)),"")</f>
        <v>107</v>
      </c>
      <c r="BS148" s="28"/>
    </row>
    <row r="149" spans="1:71" outlineLevel="1">
      <c r="A149" s="28"/>
      <c r="B149" s="161">
        <v>106</v>
      </c>
      <c r="C149" s="161">
        <f>COUNTIF(Podcasts!$D$10:'Podcasts'!$D$2535,B149)</f>
        <v>6</v>
      </c>
      <c r="D149" s="158" t="s">
        <v>1133</v>
      </c>
      <c r="E149" s="156" t="str">
        <f t="array" ref="E149">IF(F149="","",INDEX(Podcasts!$J$10:'Podcasts'!$J$2535,MATCH(F149&amp;$B149,Podcasts!$E$10:'Podcasts'!$E$2535&amp;Podcasts!$D$10:'Podcasts'!$D$2535,0)))</f>
        <v>Fürst</v>
      </c>
      <c r="F149" s="131">
        <f t="array" ref="F149">IF(COUNTIF(Podcasts!$D$10:'Podcasts'!$D$2535,$B149)&lt;COLUMN(A112),"",SMALL(IF(Podcasts!$D$10:'Podcasts'!$D$2535=$B149,Podcasts!$E$10:'Podcasts'!$E$2535),COLUMN(A112)))</f>
        <v>41839</v>
      </c>
      <c r="G149" s="132">
        <f t="array" ref="G149">IF(F149="","",INDEX(Podcasts!$F$10:'Podcasts'!$F$2535,MATCH(F149&amp;$B149,Podcasts!$E$10:'Podcasts'!$E$2535&amp;Podcasts!$D$10:'Podcasts'!$D$2535,0)))</f>
        <v>6.1342592592592603E-3</v>
      </c>
      <c r="H149" s="136" t="str">
        <f t="array" ref="H149">IF(I149="","",INDEX(Podcasts!$J$10:'Podcasts'!$J$2535,MATCH(I149&amp;$B149,Podcasts!$E$10:'Podcasts'!$E$2535&amp;Podcasts!$D$10:'Podcasts'!$D$2535,0)))</f>
        <v>SSP</v>
      </c>
      <c r="I149" s="133">
        <f t="array" ref="I149">IF(COUNTIF(Podcasts!$D$10:'Podcasts'!$D$2535,$B149)&lt;COLUMN(B112),"",SMALL(IF(Podcasts!$D$10:'Podcasts'!$D$2535=$B149,Podcasts!$E$10:'Podcasts'!$E$2535),COLUMN(B112)))</f>
        <v>43066</v>
      </c>
      <c r="J149" s="132">
        <f t="array" ref="J149">IF(I149="","",INDEX(Podcasts!$F$10:'Podcasts'!$F$2535,MATCH(I149&amp;$B149,Podcasts!$E$10:'Podcasts'!$E$2535&amp;Podcasts!$D$10:'Podcasts'!$D$2535,0)))</f>
        <v>7.1782407407407406E-2</v>
      </c>
      <c r="K149" s="136" t="str">
        <f t="array" ref="K149">IF(L149="","",INDEX(Podcasts!$J$10:'Podcasts'!$J$2535,MATCH(L149&amp;$B149,Podcasts!$E$10:'Podcasts'!$E$2535&amp;Podcasts!$D$10:'Podcasts'!$D$2535,0)))</f>
        <v>R&amp;A</v>
      </c>
      <c r="L149" s="133">
        <f t="array" ref="L149">IF(COUNTIF(Podcasts!$D$10:'Podcasts'!$D$2535,$B149)&lt;COLUMN(C112),"",SMALL(IF(Podcasts!$D$10:'Podcasts'!$D$2535=$B149,Podcasts!$E$10:'Podcasts'!$E$2535),COLUMN(C112)))</f>
        <v>44074.25</v>
      </c>
      <c r="M149" s="132">
        <f t="array" ref="M149">IF(L149="","",INDEX(Podcasts!$F$10:'Podcasts'!$F$2535,MATCH(L149&amp;$B149,Podcasts!$E$10:'Podcasts'!$E$2535&amp;Podcasts!$D$10:'Podcasts'!$D$2535,0)))</f>
        <v>9.0520833333333328E-2</v>
      </c>
      <c r="N149" s="136" t="str">
        <f t="array" ref="N149">IF(O149="","",INDEX(Podcasts!$J$10:'Podcasts'!$J$2535,MATCH(O149&amp;$B149,Podcasts!$E$10:'Podcasts'!$E$2535&amp;Podcasts!$D$10:'Podcasts'!$D$2535,0)))</f>
        <v>Kuchen</v>
      </c>
      <c r="O149" s="133">
        <f t="array" ref="O149">IF(COUNTIF(Podcasts!$D$10:'Podcasts'!$D$2535,$B149)&lt;COLUMN(D112),"",SMALL(IF(Podcasts!$D$10:'Podcasts'!$D$2535=$B149,Podcasts!$E$10:'Podcasts'!$E$2535),COLUMN(D112)))</f>
        <v>44276</v>
      </c>
      <c r="P149" s="132">
        <f t="array" ref="P149">IF(O149="","",INDEX(Podcasts!$F$10:'Podcasts'!$F$2535,MATCH(O149&amp;$B149,Podcasts!$E$10:'Podcasts'!$E$2535&amp;Podcasts!$D$10:'Podcasts'!$D$2535,0)))</f>
        <v>6.8379629629629637E-2</v>
      </c>
      <c r="Q149" s="136" t="str">
        <f t="array" ref="Q149">IF(R149="","",INDEX(Podcasts!$J$10:'Podcasts'!$J$2535,MATCH(R149&amp;$B149,Podcasts!$E$10:'Podcasts'!$E$2535&amp;Podcasts!$D$10:'Podcasts'!$D$2535,0)))</f>
        <v>Fan</v>
      </c>
      <c r="R149" s="133">
        <f t="array" ref="R149">IF(COUNTIF(Podcasts!$D$10:'Podcasts'!$D$2535,$B149)&lt;COLUMN(E112),"",SMALL(IF(Podcasts!$D$10:'Podcasts'!$D$2535=$B149,Podcasts!$E$10:'Podcasts'!$E$2535),COLUMN(E112)))</f>
        <v>44559</v>
      </c>
      <c r="S149" s="132">
        <f t="array" ref="S149">IF(R149="","",INDEX(Podcasts!$F$10:'Podcasts'!$F$2535,MATCH(R149&amp;$B149,Podcasts!$E$10:'Podcasts'!$E$2535&amp;Podcasts!$D$10:'Podcasts'!$D$2535,0)))</f>
        <v>4.9999999999999996E-2</v>
      </c>
      <c r="T149" s="136" t="str">
        <f t="array" ref="T149">IF(U149="","",INDEX(Podcasts!$J$10:'Podcasts'!$J$2535,MATCH(U149&amp;$B149,Podcasts!$E$10:'Podcasts'!$E$2535&amp;Podcasts!$D$10:'Podcasts'!$D$2535,0)))</f>
        <v>Kanal</v>
      </c>
      <c r="U149" s="133">
        <f t="array" ref="U149">IF(COUNTIF(Podcasts!$D$10:'Podcasts'!$D$2535,$B149)&lt;COLUMN(F112),"",SMALL(IF(Podcasts!$D$10:'Podcasts'!$D$2535=$B149,Podcasts!$E$10:'Podcasts'!$E$2535),COLUMN(F112)))</f>
        <v>44604</v>
      </c>
      <c r="V149" s="132">
        <f t="array" ref="V149">IF(U149="","",INDEX(Podcasts!$F$10:'Podcasts'!$F$2535,MATCH(U149&amp;$B149,Podcasts!$E$10:'Podcasts'!$E$2535&amp;Podcasts!$D$10:'Podcasts'!$D$2535,0)))</f>
        <v>2.3750000000000004E-2</v>
      </c>
      <c r="W149" s="136" t="str">
        <f t="array" ref="W149">IF(X149="","",INDEX(Podcasts!$J$10:'Podcasts'!$J$2535,MATCH(X149&amp;$B149,Podcasts!$E$10:'Podcasts'!$E$2535&amp;Podcasts!$D$10:'Podcasts'!$D$2535,0)))</f>
        <v/>
      </c>
      <c r="X149" s="133" t="str">
        <f t="array" ref="X149">IF(COUNTIF(Podcasts!$D$10:'Podcasts'!$D$2535,$B149)&lt;COLUMN(G112),"",SMALL(IF(Podcasts!$D$10:'Podcasts'!$D$2535=$B149,Podcasts!$E$10:'Podcasts'!$E$2535),COLUMN(G112)))</f>
        <v/>
      </c>
      <c r="Y149" s="132" t="str">
        <f t="array" ref="Y149">IF(X149="","",INDEX(Podcasts!$F$10:'Podcasts'!$F$2535,MATCH(X149&amp;$B149,Podcasts!$E$10:'Podcasts'!$E$2535&amp;Podcasts!$D$10:'Podcasts'!$D$2535,0)))</f>
        <v/>
      </c>
      <c r="Z149" s="136" t="str">
        <f t="array" ref="Z149">IF(AA149="","",INDEX(Podcasts!$J$10:'Podcasts'!$J$2535,MATCH(AA149&amp;$B149,Podcasts!$E$10:'Podcasts'!$E$2535&amp;Podcasts!$D$10:'Podcasts'!$D$2535,0)))</f>
        <v/>
      </c>
      <c r="AA149" s="134" t="str">
        <f t="array" ref="AA149">IF(COUNTIF(Podcasts!$D$10:'Podcasts'!$D$2535,$B149)&lt;COLUMN(H112),"",SMALL(IF(Podcasts!$D$10:'Podcasts'!$D$2535=$B149,Podcasts!$E$10:'Podcasts'!$E$2535),COLUMN(H112)))</f>
        <v/>
      </c>
      <c r="AB149" s="404" t="str">
        <f t="array" ref="AB149">IF(AA149="","",INDEX(Podcasts!$F$10:'Podcasts'!$F$2535,MATCH(AA149&amp;$B149,Podcasts!$E$10:'Podcasts'!$E$2535&amp;Podcasts!$D$10:'Podcasts'!$D$2535,0)))</f>
        <v/>
      </c>
      <c r="AC149" s="406" t="str">
        <f t="array" ref="AC149">IF(AD149="","",INDEX(Podcasts!$J$10:'Podcasts'!$J$2535,MATCH(AD149&amp;$B149,Podcasts!$E$10:'Podcasts'!$E$2535&amp;Podcasts!$D$10:'Podcasts'!$D$2535,0)))</f>
        <v/>
      </c>
      <c r="AD149" s="400" t="str">
        <f t="array" ref="AD149">IF(COUNTIF(Podcasts!$D$10:'Podcasts'!$D$2535,$B149)&lt;COLUMN(I112),"",SMALL(IF(Podcasts!$D$10:'Podcasts'!$D$2535=$B149,Podcasts!$E$10:'Podcasts'!$E$2535),COLUMN(I112)))</f>
        <v/>
      </c>
      <c r="AE149" s="401" t="str">
        <f t="array" ref="AE149">IF(AD149="","",INDEX(Podcasts!$F$10:'Podcasts'!$F$2535,MATCH(AD149&amp;$B149,Podcasts!$E$10:'Podcasts'!$E$2535&amp;Podcasts!$D$10:'Podcasts'!$D$2535,0)))</f>
        <v/>
      </c>
      <c r="AF149" s="406" t="str">
        <f t="array" ref="AF149">IF(AG149="","",INDEX(Podcasts!$J$10:'Podcasts'!$J$2535,MATCH(AG149&amp;$B149,Podcasts!$E$10:'Podcasts'!$E$2535&amp;Podcasts!$D$10:'Podcasts'!$D$2535,0)))</f>
        <v/>
      </c>
      <c r="AG149" s="400" t="str">
        <f t="array" ref="AG149">IF(COUNTIF(Podcasts!$D$10:'Podcasts'!$D$2535,$B149)&lt;COLUMN(J112),"",SMALL(IF(Podcasts!$D$10:'Podcasts'!$D$2535=$B149,Podcasts!$E$10:'Podcasts'!$E$2535),COLUMN(J112)))</f>
        <v/>
      </c>
      <c r="AH149" s="401" t="str">
        <f t="array" ref="AH149">IF(AG149="","",INDEX(Podcasts!$F$10:'Podcasts'!$F$2535,MATCH(AG149&amp;$B149,Podcasts!$E$10:'Podcasts'!$E$2535&amp;Podcasts!$D$10:'Podcasts'!$D$2535,0)))</f>
        <v/>
      </c>
      <c r="AI149" s="406" t="str">
        <f t="array" ref="AI149">IF(AJ149="","",INDEX(Podcasts!$J$10:'Podcasts'!$J$2535,MATCH(AJ149&amp;$B149,Podcasts!$E$10:'Podcasts'!$E$2535&amp;Podcasts!$D$10:'Podcasts'!$D$2535,0)))</f>
        <v/>
      </c>
      <c r="AJ149" s="400" t="str">
        <f t="array" ref="AJ149">IF(COUNTIF(Podcasts!$D$10:'Podcasts'!$D$2535,$B149)&lt;COLUMN(K112),"",SMALL(IF(Podcasts!$D$10:'Podcasts'!$D$2535=$B149,Podcasts!$E$10:'Podcasts'!$E$2535),COLUMN(K112)))</f>
        <v/>
      </c>
      <c r="AK149" s="401" t="str">
        <f t="array" ref="AK149">IF(AJ149="","",INDEX(Podcasts!$F$10:'Podcasts'!$F$2535,MATCH(AJ149&amp;$B149,Podcasts!$E$10:'Podcasts'!$E$2535&amp;Podcasts!$D$10:'Podcasts'!$D$2535,0)))</f>
        <v/>
      </c>
      <c r="AL149" s="406" t="str">
        <f t="array" ref="AL149">IF(AM149="","",INDEX(Podcasts!$J$10:'Podcasts'!$J$2535,MATCH(AM149&amp;$B149,Podcasts!$E$10:'Podcasts'!$E$2535&amp;Podcasts!$D$10:'Podcasts'!$D$2535,0)))</f>
        <v/>
      </c>
      <c r="AM149" s="400" t="str">
        <f t="array" ref="AM149">IF(COUNTIF(Podcasts!$D$10:'Podcasts'!$D$2535,$B149)&lt;COLUMN(L112),"",SMALL(IF(Podcasts!$D$10:'Podcasts'!$D$2535=$B149,Podcasts!$E$10:'Podcasts'!$E$2535),COLUMN(L112)))</f>
        <v/>
      </c>
      <c r="AN149" s="401" t="str">
        <f t="array" ref="AN149">IF(AM149="","",INDEX(Podcasts!$F$10:'Podcasts'!$F$2535,MATCH(AM149&amp;$B149,Podcasts!$E$10:'Podcasts'!$E$2535&amp;Podcasts!$D$10:'Podcasts'!$D$2535,0)))</f>
        <v/>
      </c>
      <c r="AO149" s="402"/>
      <c r="AP149" s="119"/>
      <c r="AQ149" s="117">
        <f t="array" aca="1" ref="AQ149" ca="1">IFERROR(SMALL(IF(COUNTIF(Podcasts!$D$10:'Podcasts'!$D$107,ROW(INDIRECT("1:"&amp;K$2)))=0,ROW(INDIRECT("1:"&amp;K$2))),ROW($A106)),"")</f>
        <v>138</v>
      </c>
      <c r="AR149" s="117">
        <f t="array" aca="1" ref="AR149" ca="1">IFERROR(SMALL(IF(COUNTIF(Podcasts!$D$113:'Podcasts'!$D$238,ROW(INDIRECT("1:"&amp;K$2)))=0,ROW(INDIRECT("1:"&amp;K$2))),ROW($A106)),"")</f>
        <v>106</v>
      </c>
      <c r="AS149" s="117">
        <f t="array" aca="1" ref="AS149" ca="1">IFERROR(SMALL(IF(COUNTIF(Podcasts!$D$244:'Podcasts'!$D$299,ROW(INDIRECT("1:"&amp;K$2)))=0,ROW(INDIRECT("1:"&amp;K$2))),ROW($A106)),"")</f>
        <v>125</v>
      </c>
      <c r="AT149" s="117"/>
      <c r="AU149" s="117">
        <f t="array" aca="1" ref="AU149" ca="1">IFERROR(SMALL(IF(COUNTIF(Podcasts!$D$479:'Podcasts'!$D$488,ROW(INDIRECT("1:"&amp;K$2)))=0,ROW(INDIRECT("1:"&amp;K$2))),ROW($A106)),"")</f>
        <v>108</v>
      </c>
      <c r="AV149" s="117">
        <f t="array" aca="1" ref="AV149" ca="1">IFERROR(SMALL(IF(COUNTIF(Podcasts!$D$494:'Podcasts'!$D$518,ROW(INDIRECT("1:"&amp;K$2)))=0,ROW(INDIRECT("1:"&amp;K$2))),ROW($A106)),"")</f>
        <v>126</v>
      </c>
      <c r="AW149" s="117">
        <f t="array" aca="1" ref="AW149" ca="1">IFERROR(SMALL(IF(COUNTIF(Podcasts!$D$524:'Podcasts'!$D$532,ROW(INDIRECT("1:"&amp;K$2)))=0,ROW(INDIRECT("1:"&amp;K$2))),ROW($A106)),"")</f>
        <v>107</v>
      </c>
      <c r="AX149" s="117"/>
      <c r="AY149" s="117">
        <f t="array" aca="1" ref="AY149" ca="1">IFERROR(SMALL(IF(COUNTIF(Podcasts!$D$915:'Podcasts'!$D$981,ROW(INDIRECT("1:"&amp;K$2)))=0,ROW(INDIRECT("1:"&amp;K$2))),ROW($A106)),"")</f>
        <v>153</v>
      </c>
      <c r="AZ149" s="445"/>
      <c r="BA149" s="117">
        <f t="array" aca="1" ref="BA149" ca="1">IFERROR(SMALL(IF(COUNTIF(Podcasts!$D$1001:'Podcasts'!$D$1251,ROW(INDIRECT("1:"&amp;K$2)))=0,ROW(INDIRECT("1:"&amp;K$2))),ROW($A106)),"")</f>
        <v>154</v>
      </c>
      <c r="BB149" s="117">
        <f t="array" aca="1" ref="BB149" ca="1">IFERROR(SMALL(IF(COUNTIF(Podcasts!$D$1257:'Podcasts'!$D$1267,ROW(INDIRECT("1:"&amp;K$2)))=0,ROW(INDIRECT("1:"&amp;K$2))),ROW($A106)),"")</f>
        <v>111</v>
      </c>
      <c r="BC149" s="117">
        <f t="array" aca="1" ref="BC149" ca="1">IFERROR(SMALL(IF(COUNTIF(Podcasts!$D$1273:'Podcasts'!$D$1283,ROW(INDIRECT("1:"&amp;K$2)))=0,ROW(INDIRECT("1:"&amp;K$2))),ROW($A106)),"")</f>
        <v>110</v>
      </c>
      <c r="BD149" s="117">
        <f t="array" aca="1" ref="BD149" ca="1">IFERROR(SMALL(IF(COUNTIF(Podcasts!$D$1289:'Podcasts'!$D$1295,ROW(INDIRECT("1:"&amp;K$2)))=0,ROW(INDIRECT("1:"&amp;K$2))),ROW($A106)),"")</f>
        <v>109</v>
      </c>
      <c r="BE149" s="117">
        <f t="array" aca="1" ref="BE149" ca="1">IFERROR(SMALL(IF(COUNTIF(Podcasts!$D$1301:'Podcasts'!$D$1356,ROW(INDIRECT("1:"&amp;K$2)))=0,ROW(INDIRECT("1:"&amp;K$2))),ROW($A106)),"")</f>
        <v>153</v>
      </c>
      <c r="BF149" s="117">
        <f t="array" aca="1" ref="BF149" ca="1">IFERROR(SMALL(IF(COUNTIF(Podcasts!$D$1362:'Podcasts'!$D$1364,ROW(INDIRECT("1:"&amp;K$2)))=0,ROW(INDIRECT("1:"&amp;K$2))),ROW($A106)),"")</f>
        <v>109</v>
      </c>
      <c r="BG149" s="202">
        <f t="array" aca="1" ref="BG149" ca="1">IFERROR(SMALL(IF(COUNTIF(Podcasts!$D$1370:'Podcasts'!$D$1419,ROW(INDIRECT("1:"&amp;K$2)))=0,ROW(INDIRECT("1:"&amp;K$2))),ROW($A106)),"")</f>
        <v>133</v>
      </c>
      <c r="BH149" s="202">
        <f t="array" aca="1" ref="BH149" ca="1">IFERROR(SMALL(IF(COUNTIF(Podcasts!$D$1425:'Podcasts'!$D$1446,ROW(INDIRECT("1:"&amp;K$2)))=0,ROW(INDIRECT("1:"&amp;K$2))),ROW($A106)),"")</f>
        <v>116</v>
      </c>
      <c r="BI149" s="202">
        <f t="array" aca="1" ref="BI149" ca="1">IFERROR(SMALL(IF(COUNTIF(Podcasts!$D$1452:'Podcasts'!$D$1574,ROW(INDIRECT("1:"&amp;K$2)))=0,ROW(INDIRECT("1:"&amp;K$2))),ROW($A106)),"")</f>
        <v>174</v>
      </c>
      <c r="BJ149" s="202">
        <f t="array" aca="1" ref="BJ149" ca="1">IFERROR(SMALL(IF(COUNTIF(Podcasts!$D$1580:'Podcasts'!$D$1705,ROW(INDIRECT("1:"&amp;K$2)))=0,ROW(INDIRECT("1:"&amp;K$2))),ROW($A106)),"")</f>
        <v>173</v>
      </c>
      <c r="BK149" s="202">
        <f t="array" aca="1" ref="BK149" ca="1">IFERROR(SMALL(IF(COUNTIF(Podcasts!$D$1711:'Podcasts'!$D$1833,ROW(INDIRECT("1:"&amp;K$2)))=0,ROW(INDIRECT("1:"&amp;K$2))),ROW($A106)),"")</f>
        <v>163</v>
      </c>
      <c r="BL149" s="202">
        <f t="array" aca="1" ref="BL149" ca="1">IFERROR(SMALL(IF(COUNTIF(Podcasts!$D$1839:'Podcasts'!$D$1855,ROW(INDIRECT("1:"&amp;K$2)))=0,ROW(INDIRECT("1:"&amp;K$2))),ROW($A106)),"")</f>
        <v>115</v>
      </c>
      <c r="BM149" s="567">
        <f t="array" aca="1" ref="BM149" ca="1">IFERROR(SMALL(IF(COUNTIF(Podcasts!$D$1861:'Podcasts'!$D$1994,ROW(INDIRECT("1:"&amp;K$2)))=0,ROW(INDIRECT("1:"&amp;K$2))),ROW($A106)),"")</f>
        <v>146</v>
      </c>
      <c r="BN149" s="567">
        <f t="array" aca="1" ref="BN149" ca="1">IFERROR(SMALL(IF(COUNTIF(Podcasts!$D$2000:'Podcasts'!$D$2057,ROW(INDIRECT("1:"&amp;K$2)))=0,ROW(INDIRECT("1:"&amp;K$2))),ROW($A106)),"")</f>
        <v>161</v>
      </c>
      <c r="BO149" s="567">
        <f t="array" aca="1" ref="BO149" ca="1">IFERROR(SMALL(IF(COUNTIF(Podcasts!$D$2063:'Podcasts'!$D$2071,ROW(INDIRECT("1:"&amp;K$2)))=0,ROW(INDIRECT("1:"&amp;K$2))),ROW($A106)),"")</f>
        <v>112</v>
      </c>
      <c r="BP149" s="202">
        <f t="array" aca="1" ref="BP149" ca="1">IFERROR(SMALL(IF(COUNTIF(Podcasts!$D$2077:'Podcasts'!$D$2092,ROW(INDIRECT("1:"&amp;K$2)))=0,ROW(INDIRECT("1:"&amp;K$2))),ROW($A106)),"")</f>
        <v>117</v>
      </c>
      <c r="BQ149" s="741">
        <f t="array" aca="1" ref="BQ149" ca="1">IFERROR(SMALL(IF(COUNTIF(Podcasts!$D$2098:'Podcasts'!$D$2114,ROW(INDIRECT("1:"&amp;K$2)))=0,ROW(INDIRECT("1:"&amp;K$2))),ROW($A106)),"")</f>
        <v>114</v>
      </c>
      <c r="BR149" s="744">
        <f t="array" aca="1" ref="BR149" ca="1">IFERROR(SMALL(IF(COUNTIF(Podcasts!$D$2120:'Podcasts'!$D$2124,ROW(INDIRECT("1:"&amp;K$2)))=0,ROW(INDIRECT("1:"&amp;K$2))),ROW($A106)),"")</f>
        <v>108</v>
      </c>
      <c r="BS149" s="28"/>
    </row>
    <row r="150" spans="1:71" outlineLevel="1">
      <c r="A150" s="28"/>
      <c r="B150" s="161">
        <v>107</v>
      </c>
      <c r="C150" s="161">
        <f>COUNTIF(Podcasts!$D$10:'Podcasts'!$D$2535,B150)</f>
        <v>5</v>
      </c>
      <c r="D150" s="158" t="s">
        <v>1134</v>
      </c>
      <c r="E150" s="156" t="str">
        <f t="array" ref="E150">IF(F150="","",INDEX(Podcasts!$J$10:'Podcasts'!$J$2535,MATCH(F150&amp;$B150,Podcasts!$E$10:'Podcasts'!$E$2535&amp;Podcasts!$D$10:'Podcasts'!$D$2535,0)))</f>
        <v>Fürst</v>
      </c>
      <c r="F150" s="131">
        <f t="array" ref="F150">IF(COUNTIF(Podcasts!$D$10:'Podcasts'!$D$2535,$B150)&lt;COLUMN(A113),"",SMALL(IF(Podcasts!$D$10:'Podcasts'!$D$2535=$B150,Podcasts!$E$10:'Podcasts'!$E$2535),COLUMN(A113)))</f>
        <v>41731</v>
      </c>
      <c r="G150" s="132">
        <f t="array" ref="G150">IF(F150="","",INDEX(Podcasts!$F$10:'Podcasts'!$F$2535,MATCH(F150&amp;$B150,Podcasts!$E$10:'Podcasts'!$E$2535&amp;Podcasts!$D$10:'Podcasts'!$D$2535,0)))</f>
        <v>5.4976851851851853E-3</v>
      </c>
      <c r="H150" s="136" t="str">
        <f t="array" ref="H150">IF(I150="","",INDEX(Podcasts!$J$10:'Podcasts'!$J$2535,MATCH(I150&amp;$B150,Podcasts!$E$10:'Podcasts'!$E$2535&amp;Podcasts!$D$10:'Podcasts'!$D$2535,0)))</f>
        <v>SSP</v>
      </c>
      <c r="I150" s="133">
        <f t="array" ref="I150">IF(COUNTIF(Podcasts!$D$10:'Podcasts'!$D$2535,$B150)&lt;COLUMN(B113),"",SMALL(IF(Podcasts!$D$10:'Podcasts'!$D$2535=$B150,Podcasts!$E$10:'Podcasts'!$E$2535),COLUMN(B113)))</f>
        <v>43502</v>
      </c>
      <c r="J150" s="132">
        <f t="array" ref="J150">IF(I150="","",INDEX(Podcasts!$F$10:'Podcasts'!$F$2535,MATCH(I150&amp;$B150,Podcasts!$E$10:'Podcasts'!$E$2535&amp;Podcasts!$D$10:'Podcasts'!$D$2535,0)))</f>
        <v>8.1516203703703702E-2</v>
      </c>
      <c r="K150" s="136" t="str">
        <f t="array" ref="K150">IF(L150="","",INDEX(Podcasts!$J$10:'Podcasts'!$J$2535,MATCH(L150&amp;$B150,Podcasts!$E$10:'Podcasts'!$E$2535&amp;Podcasts!$D$10:'Podcasts'!$D$2535,0)))</f>
        <v>Kaffee</v>
      </c>
      <c r="L150" s="133">
        <f t="array" ref="L150">IF(COUNTIF(Podcasts!$D$10:'Podcasts'!$D$2535,$B150)&lt;COLUMN(C113),"",SMALL(IF(Podcasts!$D$10:'Podcasts'!$D$2535=$B150,Podcasts!$E$10:'Podcasts'!$E$2535),COLUMN(C113)))</f>
        <v>44274</v>
      </c>
      <c r="M150" s="132">
        <f t="array" ref="M150">IF(L150="","",INDEX(Podcasts!$F$10:'Podcasts'!$F$2535,MATCH(L150&amp;$B150,Podcasts!$E$10:'Podcasts'!$E$2535&amp;Podcasts!$D$10:'Podcasts'!$D$2535,0)))</f>
        <v>1.982638888888889E-2</v>
      </c>
      <c r="N150" s="136" t="str">
        <f t="array" ref="N150">IF(O150="","",INDEX(Podcasts!$J$10:'Podcasts'!$J$2535,MATCH(O150&amp;$B150,Podcasts!$E$10:'Podcasts'!$E$2535&amp;Podcasts!$D$10:'Podcasts'!$D$2535,0)))</f>
        <v>Zeichen</v>
      </c>
      <c r="O150" s="133">
        <f t="array" ref="O150">IF(COUNTIF(Podcasts!$D$10:'Podcasts'!$D$2535,$B150)&lt;COLUMN(D113),"",SMALL(IF(Podcasts!$D$10:'Podcasts'!$D$2535=$B150,Podcasts!$E$10:'Podcasts'!$E$2535),COLUMN(D113)))</f>
        <v>44585</v>
      </c>
      <c r="P150" s="132">
        <f t="array" ref="P150">IF(O150="","",INDEX(Podcasts!$F$10:'Podcasts'!$F$2535,MATCH(O150&amp;$B150,Podcasts!$E$10:'Podcasts'!$E$2535&amp;Podcasts!$D$10:'Podcasts'!$D$2535,0)))</f>
        <v>7.9201388888888891E-2</v>
      </c>
      <c r="Q150" s="136" t="str">
        <f t="array" ref="Q150">IF(R150="","",INDEX(Podcasts!$J$10:'Podcasts'!$J$2535,MATCH(R150&amp;$B150,Podcasts!$E$10:'Podcasts'!$E$2535&amp;Podcasts!$D$10:'Podcasts'!$D$2535,0)))</f>
        <v>Kuchen</v>
      </c>
      <c r="R150" s="133">
        <f t="array" ref="R150">IF(COUNTIF(Podcasts!$D$10:'Podcasts'!$D$2535,$B150)&lt;COLUMN(E113),"",SMALL(IF(Podcasts!$D$10:'Podcasts'!$D$2535=$B150,Podcasts!$E$10:'Podcasts'!$E$2535),COLUMN(E113)))</f>
        <v>44780</v>
      </c>
      <c r="S150" s="132">
        <f t="array" ref="S150">IF(R150="","",INDEX(Podcasts!$F$10:'Podcasts'!$F$2535,MATCH(R150&amp;$B150,Podcasts!$E$10:'Podcasts'!$E$2535&amp;Podcasts!$D$10:'Podcasts'!$D$2535,0)))</f>
        <v>5.5868055555555553E-2</v>
      </c>
      <c r="T150" s="136" t="str">
        <f t="array" ref="T150">IF(U150="","",INDEX(Podcasts!$J$10:'Podcasts'!$J$2535,MATCH(U150&amp;$B150,Podcasts!$E$10:'Podcasts'!$E$2535&amp;Podcasts!$D$10:'Podcasts'!$D$2535,0)))</f>
        <v/>
      </c>
      <c r="U150" s="133" t="str">
        <f t="array" ref="U150">IF(COUNTIF(Podcasts!$D$10:'Podcasts'!$D$2535,$B150)&lt;COLUMN(F113),"",SMALL(IF(Podcasts!$D$10:'Podcasts'!$D$2535=$B150,Podcasts!$E$10:'Podcasts'!$E$2535),COLUMN(F113)))</f>
        <v/>
      </c>
      <c r="V150" s="132" t="str">
        <f t="array" ref="V150">IF(U150="","",INDEX(Podcasts!$F$10:'Podcasts'!$F$2535,MATCH(U150&amp;$B150,Podcasts!$E$10:'Podcasts'!$E$2535&amp;Podcasts!$D$10:'Podcasts'!$D$2535,0)))</f>
        <v/>
      </c>
      <c r="W150" s="136" t="str">
        <f t="array" ref="W150">IF(X150="","",INDEX(Podcasts!$J$10:'Podcasts'!$J$2535,MATCH(X150&amp;$B150,Podcasts!$E$10:'Podcasts'!$E$2535&amp;Podcasts!$D$10:'Podcasts'!$D$2535,0)))</f>
        <v/>
      </c>
      <c r="X150" s="133" t="str">
        <f t="array" ref="X150">IF(COUNTIF(Podcasts!$D$10:'Podcasts'!$D$2535,$B150)&lt;COLUMN(G113),"",SMALL(IF(Podcasts!$D$10:'Podcasts'!$D$2535=$B150,Podcasts!$E$10:'Podcasts'!$E$2535),COLUMN(G113)))</f>
        <v/>
      </c>
      <c r="Y150" s="132" t="str">
        <f t="array" ref="Y150">IF(X150="","",INDEX(Podcasts!$F$10:'Podcasts'!$F$2535,MATCH(X150&amp;$B150,Podcasts!$E$10:'Podcasts'!$E$2535&amp;Podcasts!$D$10:'Podcasts'!$D$2535,0)))</f>
        <v/>
      </c>
      <c r="Z150" s="136" t="str">
        <f t="array" ref="Z150">IF(AA150="","",INDEX(Podcasts!$J$10:'Podcasts'!$J$2535,MATCH(AA150&amp;$B150,Podcasts!$E$10:'Podcasts'!$E$2535&amp;Podcasts!$D$10:'Podcasts'!$D$2535,0)))</f>
        <v/>
      </c>
      <c r="AA150" s="134" t="str">
        <f t="array" ref="AA150">IF(COUNTIF(Podcasts!$D$10:'Podcasts'!$D$2535,$B150)&lt;COLUMN(H113),"",SMALL(IF(Podcasts!$D$10:'Podcasts'!$D$2535=$B150,Podcasts!$E$10:'Podcasts'!$E$2535),COLUMN(H113)))</f>
        <v/>
      </c>
      <c r="AB150" s="404" t="str">
        <f t="array" ref="AB150">IF(AA150="","",INDEX(Podcasts!$F$10:'Podcasts'!$F$2535,MATCH(AA150&amp;$B150,Podcasts!$E$10:'Podcasts'!$E$2535&amp;Podcasts!$D$10:'Podcasts'!$D$2535,0)))</f>
        <v/>
      </c>
      <c r="AC150" s="406" t="str">
        <f t="array" ref="AC150">IF(AD150="","",INDEX(Podcasts!$J$10:'Podcasts'!$J$2535,MATCH(AD150&amp;$B150,Podcasts!$E$10:'Podcasts'!$E$2535&amp;Podcasts!$D$10:'Podcasts'!$D$2535,0)))</f>
        <v/>
      </c>
      <c r="AD150" s="400" t="str">
        <f t="array" ref="AD150">IF(COUNTIF(Podcasts!$D$10:'Podcasts'!$D$2535,$B150)&lt;COLUMN(I113),"",SMALL(IF(Podcasts!$D$10:'Podcasts'!$D$2535=$B150,Podcasts!$E$10:'Podcasts'!$E$2535),COLUMN(I113)))</f>
        <v/>
      </c>
      <c r="AE150" s="401" t="str">
        <f t="array" ref="AE150">IF(AD150="","",INDEX(Podcasts!$F$10:'Podcasts'!$F$2535,MATCH(AD150&amp;$B150,Podcasts!$E$10:'Podcasts'!$E$2535&amp;Podcasts!$D$10:'Podcasts'!$D$2535,0)))</f>
        <v/>
      </c>
      <c r="AF150" s="406" t="str">
        <f t="array" ref="AF150">IF(AG150="","",INDEX(Podcasts!$J$10:'Podcasts'!$J$2535,MATCH(AG150&amp;$B150,Podcasts!$E$10:'Podcasts'!$E$2535&amp;Podcasts!$D$10:'Podcasts'!$D$2535,0)))</f>
        <v/>
      </c>
      <c r="AG150" s="400" t="str">
        <f t="array" ref="AG150">IF(COUNTIF(Podcasts!$D$10:'Podcasts'!$D$2535,$B150)&lt;COLUMN(J113),"",SMALL(IF(Podcasts!$D$10:'Podcasts'!$D$2535=$B150,Podcasts!$E$10:'Podcasts'!$E$2535),COLUMN(J113)))</f>
        <v/>
      </c>
      <c r="AH150" s="401" t="str">
        <f t="array" ref="AH150">IF(AG150="","",INDEX(Podcasts!$F$10:'Podcasts'!$F$2535,MATCH(AG150&amp;$B150,Podcasts!$E$10:'Podcasts'!$E$2535&amp;Podcasts!$D$10:'Podcasts'!$D$2535,0)))</f>
        <v/>
      </c>
      <c r="AI150" s="406" t="str">
        <f t="array" ref="AI150">IF(AJ150="","",INDEX(Podcasts!$J$10:'Podcasts'!$J$2535,MATCH(AJ150&amp;$B150,Podcasts!$E$10:'Podcasts'!$E$2535&amp;Podcasts!$D$10:'Podcasts'!$D$2535,0)))</f>
        <v/>
      </c>
      <c r="AJ150" s="400" t="str">
        <f t="array" ref="AJ150">IF(COUNTIF(Podcasts!$D$10:'Podcasts'!$D$2535,$B150)&lt;COLUMN(K113),"",SMALL(IF(Podcasts!$D$10:'Podcasts'!$D$2535=$B150,Podcasts!$E$10:'Podcasts'!$E$2535),COLUMN(K113)))</f>
        <v/>
      </c>
      <c r="AK150" s="401" t="str">
        <f t="array" ref="AK150">IF(AJ150="","",INDEX(Podcasts!$F$10:'Podcasts'!$F$2535,MATCH(AJ150&amp;$B150,Podcasts!$E$10:'Podcasts'!$E$2535&amp;Podcasts!$D$10:'Podcasts'!$D$2535,0)))</f>
        <v/>
      </c>
      <c r="AL150" s="406" t="str">
        <f t="array" ref="AL150">IF(AM150="","",INDEX(Podcasts!$J$10:'Podcasts'!$J$2535,MATCH(AM150&amp;$B150,Podcasts!$E$10:'Podcasts'!$E$2535&amp;Podcasts!$D$10:'Podcasts'!$D$2535,0)))</f>
        <v/>
      </c>
      <c r="AM150" s="400" t="str">
        <f t="array" ref="AM150">IF(COUNTIF(Podcasts!$D$10:'Podcasts'!$D$2535,$B150)&lt;COLUMN(L113),"",SMALL(IF(Podcasts!$D$10:'Podcasts'!$D$2535=$B150,Podcasts!$E$10:'Podcasts'!$E$2535),COLUMN(L113)))</f>
        <v/>
      </c>
      <c r="AN150" s="401" t="str">
        <f t="array" ref="AN150">IF(AM150="","",INDEX(Podcasts!$F$10:'Podcasts'!$F$2535,MATCH(AM150&amp;$B150,Podcasts!$E$10:'Podcasts'!$E$2535&amp;Podcasts!$D$10:'Podcasts'!$D$2535,0)))</f>
        <v/>
      </c>
      <c r="AO150" s="402"/>
      <c r="AP150" s="119"/>
      <c r="AQ150" s="117">
        <f t="array" aca="1" ref="AQ150" ca="1">IFERROR(SMALL(IF(COUNTIF(Podcasts!$D$10:'Podcasts'!$D$107,ROW(INDIRECT("1:"&amp;K$2)))=0,ROW(INDIRECT("1:"&amp;K$2))),ROW($A107)),"")</f>
        <v>139</v>
      </c>
      <c r="AR150" s="117">
        <f t="array" aca="1" ref="AR150" ca="1">IFERROR(SMALL(IF(COUNTIF(Podcasts!$D$113:'Podcasts'!$D$238,ROW(INDIRECT("1:"&amp;K$2)))=0,ROW(INDIRECT("1:"&amp;K$2))),ROW($A107)),"")</f>
        <v>107</v>
      </c>
      <c r="AS150" s="117">
        <f t="array" aca="1" ref="AS150" ca="1">IFERROR(SMALL(IF(COUNTIF(Podcasts!$D$244:'Podcasts'!$D$299,ROW(INDIRECT("1:"&amp;K$2)))=0,ROW(INDIRECT("1:"&amp;K$2))),ROW($A107)),"")</f>
        <v>126</v>
      </c>
      <c r="AT150" s="117"/>
      <c r="AU150" s="117">
        <f t="array" aca="1" ref="AU150" ca="1">IFERROR(SMALL(IF(COUNTIF(Podcasts!$D$479:'Podcasts'!$D$488,ROW(INDIRECT("1:"&amp;K$2)))=0,ROW(INDIRECT("1:"&amp;K$2))),ROW($A107)),"")</f>
        <v>109</v>
      </c>
      <c r="AV150" s="117">
        <f t="array" aca="1" ref="AV150" ca="1">IFERROR(SMALL(IF(COUNTIF(Podcasts!$D$494:'Podcasts'!$D$518,ROW(INDIRECT("1:"&amp;K$2)))=0,ROW(INDIRECT("1:"&amp;K$2))),ROW($A107)),"")</f>
        <v>127</v>
      </c>
      <c r="AW150" s="117">
        <f t="array" aca="1" ref="AW150" ca="1">IFERROR(SMALL(IF(COUNTIF(Podcasts!$D$524:'Podcasts'!$D$532,ROW(INDIRECT("1:"&amp;K$2)))=0,ROW(INDIRECT("1:"&amp;K$2))),ROW($A107)),"")</f>
        <v>108</v>
      </c>
      <c r="AX150" s="117"/>
      <c r="AY150" s="117">
        <f t="array" aca="1" ref="AY150" ca="1">IFERROR(SMALL(IF(COUNTIF(Podcasts!$D$915:'Podcasts'!$D$981,ROW(INDIRECT("1:"&amp;K$2)))=0,ROW(INDIRECT("1:"&amp;K$2))),ROW($A107)),"")</f>
        <v>154</v>
      </c>
      <c r="AZ150" s="445"/>
      <c r="BA150" s="117">
        <f t="array" aca="1" ref="BA150" ca="1">IFERROR(SMALL(IF(COUNTIF(Podcasts!$D$1001:'Podcasts'!$D$1251,ROW(INDIRECT("1:"&amp;K$2)))=0,ROW(INDIRECT("1:"&amp;K$2))),ROW($A107)),"")</f>
        <v>155</v>
      </c>
      <c r="BB150" s="117">
        <f t="array" aca="1" ref="BB150" ca="1">IFERROR(SMALL(IF(COUNTIF(Podcasts!$D$1257:'Podcasts'!$D$1267,ROW(INDIRECT("1:"&amp;K$2)))=0,ROW(INDIRECT("1:"&amp;K$2))),ROW($A107)),"")</f>
        <v>112</v>
      </c>
      <c r="BC150" s="117">
        <f t="array" aca="1" ref="BC150" ca="1">IFERROR(SMALL(IF(COUNTIF(Podcasts!$D$1273:'Podcasts'!$D$1283,ROW(INDIRECT("1:"&amp;K$2)))=0,ROW(INDIRECT("1:"&amp;K$2))),ROW($A107)),"")</f>
        <v>111</v>
      </c>
      <c r="BD150" s="117">
        <f t="array" aca="1" ref="BD150" ca="1">IFERROR(SMALL(IF(COUNTIF(Podcasts!$D$1289:'Podcasts'!$D$1295,ROW(INDIRECT("1:"&amp;K$2)))=0,ROW(INDIRECT("1:"&amp;K$2))),ROW($A107)),"")</f>
        <v>110</v>
      </c>
      <c r="BE150" s="117">
        <f t="array" aca="1" ref="BE150" ca="1">IFERROR(SMALL(IF(COUNTIF(Podcasts!$D$1301:'Podcasts'!$D$1356,ROW(INDIRECT("1:"&amp;K$2)))=0,ROW(INDIRECT("1:"&amp;K$2))),ROW($A107)),"")</f>
        <v>154</v>
      </c>
      <c r="BF150" s="117">
        <f t="array" aca="1" ref="BF150" ca="1">IFERROR(SMALL(IF(COUNTIF(Podcasts!$D$1362:'Podcasts'!$D$1364,ROW(INDIRECT("1:"&amp;K$2)))=0,ROW(INDIRECT("1:"&amp;K$2))),ROW($A107)),"")</f>
        <v>110</v>
      </c>
      <c r="BG150" s="202">
        <f t="array" aca="1" ref="BG150" ca="1">IFERROR(SMALL(IF(COUNTIF(Podcasts!$D$1370:'Podcasts'!$D$1419,ROW(INDIRECT("1:"&amp;K$2)))=0,ROW(INDIRECT("1:"&amp;K$2))),ROW($A107)),"")</f>
        <v>134</v>
      </c>
      <c r="BH150" s="202">
        <f t="array" aca="1" ref="BH150" ca="1">IFERROR(SMALL(IF(COUNTIF(Podcasts!$D$1425:'Podcasts'!$D$1446,ROW(INDIRECT("1:"&amp;K$2)))=0,ROW(INDIRECT("1:"&amp;K$2))),ROW($A107)),"")</f>
        <v>117</v>
      </c>
      <c r="BI150" s="202">
        <f t="array" aca="1" ref="BI150" ca="1">IFERROR(SMALL(IF(COUNTIF(Podcasts!$D$1452:'Podcasts'!$D$1574,ROW(INDIRECT("1:"&amp;K$2)))=0,ROW(INDIRECT("1:"&amp;K$2))),ROW($A107)),"")</f>
        <v>175</v>
      </c>
      <c r="BJ150" s="202">
        <f t="array" aca="1" ref="BJ150" ca="1">IFERROR(SMALL(IF(COUNTIF(Podcasts!$D$1580:'Podcasts'!$D$1705,ROW(INDIRECT("1:"&amp;K$2)))=0,ROW(INDIRECT("1:"&amp;K$2))),ROW($A107)),"")</f>
        <v>174</v>
      </c>
      <c r="BK150" s="202">
        <f t="array" aca="1" ref="BK150" ca="1">IFERROR(SMALL(IF(COUNTIF(Podcasts!$D$1711:'Podcasts'!$D$1833,ROW(INDIRECT("1:"&amp;K$2)))=0,ROW(INDIRECT("1:"&amp;K$2))),ROW($A107)),"")</f>
        <v>164</v>
      </c>
      <c r="BL150" s="202">
        <f t="array" aca="1" ref="BL150" ca="1">IFERROR(SMALL(IF(COUNTIF(Podcasts!$D$1839:'Podcasts'!$D$1855,ROW(INDIRECT("1:"&amp;K$2)))=0,ROW(INDIRECT("1:"&amp;K$2))),ROW($A107)),"")</f>
        <v>116</v>
      </c>
      <c r="BM150" s="567">
        <f t="array" aca="1" ref="BM150" ca="1">IFERROR(SMALL(IF(COUNTIF(Podcasts!$D$1861:'Podcasts'!$D$1994,ROW(INDIRECT("1:"&amp;K$2)))=0,ROW(INDIRECT("1:"&amp;K$2))),ROW($A107)),"")</f>
        <v>147</v>
      </c>
      <c r="BN150" s="567">
        <f t="array" aca="1" ref="BN150" ca="1">IFERROR(SMALL(IF(COUNTIF(Podcasts!$D$2000:'Podcasts'!$D$2057,ROW(INDIRECT("1:"&amp;K$2)))=0,ROW(INDIRECT("1:"&amp;K$2))),ROW($A107)),"")</f>
        <v>162</v>
      </c>
      <c r="BO150" s="567">
        <f t="array" aca="1" ref="BO150" ca="1">IFERROR(SMALL(IF(COUNTIF(Podcasts!$D$2063:'Podcasts'!$D$2071,ROW(INDIRECT("1:"&amp;K$2)))=0,ROW(INDIRECT("1:"&amp;K$2))),ROW($A107)),"")</f>
        <v>113</v>
      </c>
      <c r="BP150" s="202">
        <f t="array" aca="1" ref="BP150" ca="1">IFERROR(SMALL(IF(COUNTIF(Podcasts!$D$2077:'Podcasts'!$D$2092,ROW(INDIRECT("1:"&amp;K$2)))=0,ROW(INDIRECT("1:"&amp;K$2))),ROW($A107)),"")</f>
        <v>118</v>
      </c>
      <c r="BQ150" s="741">
        <f t="array" aca="1" ref="BQ150" ca="1">IFERROR(SMALL(IF(COUNTIF(Podcasts!$D$2098:'Podcasts'!$D$2114,ROW(INDIRECT("1:"&amp;K$2)))=0,ROW(INDIRECT("1:"&amp;K$2))),ROW($A107)),"")</f>
        <v>115</v>
      </c>
      <c r="BR150" s="744">
        <f t="array" aca="1" ref="BR150" ca="1">IFERROR(SMALL(IF(COUNTIF(Podcasts!$D$2120:'Podcasts'!$D$2124,ROW(INDIRECT("1:"&amp;K$2)))=0,ROW(INDIRECT("1:"&amp;K$2))),ROW($A107)),"")</f>
        <v>109</v>
      </c>
      <c r="BS150" s="28"/>
    </row>
    <row r="151" spans="1:71" outlineLevel="1">
      <c r="A151" s="28"/>
      <c r="B151" s="161">
        <v>108</v>
      </c>
      <c r="C151" s="161">
        <f>COUNTIF(Podcasts!$D$10:'Podcasts'!$D$2535,B151)</f>
        <v>3</v>
      </c>
      <c r="D151" s="158" t="s">
        <v>1135</v>
      </c>
      <c r="E151" s="156" t="str">
        <f t="array" ref="E151">IF(F151="","",INDEX(Podcasts!$J$10:'Podcasts'!$J$2535,MATCH(F151&amp;$B151,Podcasts!$E$10:'Podcasts'!$E$2535&amp;Podcasts!$D$10:'Podcasts'!$D$2535,0)))</f>
        <v>Fürst</v>
      </c>
      <c r="F151" s="131">
        <f t="array" ref="F151">IF(COUNTIF(Podcasts!$D$10:'Podcasts'!$D$2535,$B151)&lt;COLUMN(A114),"",SMALL(IF(Podcasts!$D$10:'Podcasts'!$D$2535=$B151,Podcasts!$E$10:'Podcasts'!$E$2535),COLUMN(A114)))</f>
        <v>41803</v>
      </c>
      <c r="G151" s="132">
        <f t="array" ref="G151">IF(F151="","",INDEX(Podcasts!$F$10:'Podcasts'!$F$2535,MATCH(F151&amp;$B151,Podcasts!$E$10:'Podcasts'!$E$2535&amp;Podcasts!$D$10:'Podcasts'!$D$2535,0)))</f>
        <v>4.5138888888888937E-3</v>
      </c>
      <c r="H151" s="136" t="str">
        <f t="array" ref="H151">IF(I151="","",INDEX(Podcasts!$J$10:'Podcasts'!$J$2535,MATCH(I151&amp;$B151,Podcasts!$E$10:'Podcasts'!$E$2535&amp;Podcasts!$D$10:'Podcasts'!$D$2535,0)))</f>
        <v>SSP</v>
      </c>
      <c r="I151" s="133">
        <f t="array" ref="I151">IF(COUNTIF(Podcasts!$D$10:'Podcasts'!$D$2535,$B151)&lt;COLUMN(B114),"",SMALL(IF(Podcasts!$D$10:'Podcasts'!$D$2535=$B151,Podcasts!$E$10:'Podcasts'!$E$2535),COLUMN(B114)))</f>
        <v>43032</v>
      </c>
      <c r="J151" s="132">
        <f t="array" ref="J151">IF(I151="","",INDEX(Podcasts!$F$10:'Podcasts'!$F$2535,MATCH(I151&amp;$B151,Podcasts!$E$10:'Podcasts'!$E$2535&amp;Podcasts!$D$10:'Podcasts'!$D$2535,0)))</f>
        <v>8.1250000000000003E-2</v>
      </c>
      <c r="K151" s="136" t="str">
        <f t="array" ref="K151">IF(L151="","",INDEX(Podcasts!$J$10:'Podcasts'!$J$2535,MATCH(L151&amp;$B151,Podcasts!$E$10:'Podcasts'!$E$2535&amp;Podcasts!$D$10:'Podcasts'!$D$2535,0)))</f>
        <v>Kaffee</v>
      </c>
      <c r="L151" s="133">
        <f t="array" ref="L151">IF(COUNTIF(Podcasts!$D$10:'Podcasts'!$D$2535,$B151)&lt;COLUMN(C114),"",SMALL(IF(Podcasts!$D$10:'Podcasts'!$D$2535=$B151,Podcasts!$E$10:'Podcasts'!$E$2535),COLUMN(C114)))</f>
        <v>44953</v>
      </c>
      <c r="M151" s="132">
        <f t="array" ref="M151">IF(L151="","",INDEX(Podcasts!$F$10:'Podcasts'!$F$2535,MATCH(L151&amp;$B151,Podcasts!$E$10:'Podcasts'!$E$2535&amp;Podcasts!$D$10:'Podcasts'!$D$2535,0)))</f>
        <v>4.4467592592592593E-2</v>
      </c>
      <c r="N151" s="136" t="str">
        <f t="array" ref="N151">IF(O151="","",INDEX(Podcasts!$J$10:'Podcasts'!$J$2535,MATCH(O151&amp;$B151,Podcasts!$E$10:'Podcasts'!$E$2535&amp;Podcasts!$D$10:'Podcasts'!$D$2535,0)))</f>
        <v/>
      </c>
      <c r="O151" s="133" t="str">
        <f t="array" ref="O151">IF(COUNTIF(Podcasts!$D$10:'Podcasts'!$D$2535,$B151)&lt;COLUMN(D114),"",SMALL(IF(Podcasts!$D$10:'Podcasts'!$D$2535=$B151,Podcasts!$E$10:'Podcasts'!$E$2535),COLUMN(D114)))</f>
        <v/>
      </c>
      <c r="P151" s="132" t="str">
        <f t="array" ref="P151">IF(O151="","",INDEX(Podcasts!$F$10:'Podcasts'!$F$2535,MATCH(O151&amp;$B151,Podcasts!$E$10:'Podcasts'!$E$2535&amp;Podcasts!$D$10:'Podcasts'!$D$2535,0)))</f>
        <v/>
      </c>
      <c r="Q151" s="136" t="str">
        <f t="array" ref="Q151">IF(R151="","",INDEX(Podcasts!$J$10:'Podcasts'!$J$2535,MATCH(R151&amp;$B151,Podcasts!$E$10:'Podcasts'!$E$2535&amp;Podcasts!$D$10:'Podcasts'!$D$2535,0)))</f>
        <v/>
      </c>
      <c r="R151" s="133" t="str">
        <f t="array" ref="R151">IF(COUNTIF(Podcasts!$D$10:'Podcasts'!$D$2535,$B151)&lt;COLUMN(E114),"",SMALL(IF(Podcasts!$D$10:'Podcasts'!$D$2535=$B151,Podcasts!$E$10:'Podcasts'!$E$2535),COLUMN(E114)))</f>
        <v/>
      </c>
      <c r="S151" s="132" t="str">
        <f t="array" ref="S151">IF(R151="","",INDEX(Podcasts!$F$10:'Podcasts'!$F$2535,MATCH(R151&amp;$B151,Podcasts!$E$10:'Podcasts'!$E$2535&amp;Podcasts!$D$10:'Podcasts'!$D$2535,0)))</f>
        <v/>
      </c>
      <c r="T151" s="136" t="str">
        <f t="array" ref="T151">IF(U151="","",INDEX(Podcasts!$J$10:'Podcasts'!$J$2535,MATCH(U151&amp;$B151,Podcasts!$E$10:'Podcasts'!$E$2535&amp;Podcasts!$D$10:'Podcasts'!$D$2535,0)))</f>
        <v/>
      </c>
      <c r="U151" s="133" t="str">
        <f t="array" ref="U151">IF(COUNTIF(Podcasts!$D$10:'Podcasts'!$D$2535,$B151)&lt;COLUMN(F114),"",SMALL(IF(Podcasts!$D$10:'Podcasts'!$D$2535=$B151,Podcasts!$E$10:'Podcasts'!$E$2535),COLUMN(F114)))</f>
        <v/>
      </c>
      <c r="V151" s="132" t="str">
        <f t="array" ref="V151">IF(U151="","",INDEX(Podcasts!$F$10:'Podcasts'!$F$2535,MATCH(U151&amp;$B151,Podcasts!$E$10:'Podcasts'!$E$2535&amp;Podcasts!$D$10:'Podcasts'!$D$2535,0)))</f>
        <v/>
      </c>
      <c r="W151" s="136" t="str">
        <f t="array" ref="W151">IF(X151="","",INDEX(Podcasts!$J$10:'Podcasts'!$J$2535,MATCH(X151&amp;$B151,Podcasts!$E$10:'Podcasts'!$E$2535&amp;Podcasts!$D$10:'Podcasts'!$D$2535,0)))</f>
        <v/>
      </c>
      <c r="X151" s="133" t="str">
        <f t="array" ref="X151">IF(COUNTIF(Podcasts!$D$10:'Podcasts'!$D$2535,$B151)&lt;COLUMN(G114),"",SMALL(IF(Podcasts!$D$10:'Podcasts'!$D$2535=$B151,Podcasts!$E$10:'Podcasts'!$E$2535),COLUMN(G114)))</f>
        <v/>
      </c>
      <c r="Y151" s="132" t="str">
        <f t="array" ref="Y151">IF(X151="","",INDEX(Podcasts!$F$10:'Podcasts'!$F$2535,MATCH(X151&amp;$B151,Podcasts!$E$10:'Podcasts'!$E$2535&amp;Podcasts!$D$10:'Podcasts'!$D$2535,0)))</f>
        <v/>
      </c>
      <c r="Z151" s="136" t="str">
        <f t="array" ref="Z151">IF(AA151="","",INDEX(Podcasts!$J$10:'Podcasts'!$J$2535,MATCH(AA151&amp;$B151,Podcasts!$E$10:'Podcasts'!$E$2535&amp;Podcasts!$D$10:'Podcasts'!$D$2535,0)))</f>
        <v/>
      </c>
      <c r="AA151" s="134" t="str">
        <f t="array" ref="AA151">IF(COUNTIF(Podcasts!$D$10:'Podcasts'!$D$2535,$B151)&lt;COLUMN(H114),"",SMALL(IF(Podcasts!$D$10:'Podcasts'!$D$2535=$B151,Podcasts!$E$10:'Podcasts'!$E$2535),COLUMN(H114)))</f>
        <v/>
      </c>
      <c r="AB151" s="404" t="str">
        <f t="array" ref="AB151">IF(AA151="","",INDEX(Podcasts!$F$10:'Podcasts'!$F$2535,MATCH(AA151&amp;$B151,Podcasts!$E$10:'Podcasts'!$E$2535&amp;Podcasts!$D$10:'Podcasts'!$D$2535,0)))</f>
        <v/>
      </c>
      <c r="AC151" s="406" t="str">
        <f t="array" ref="AC151">IF(AD151="","",INDEX(Podcasts!$J$10:'Podcasts'!$J$2535,MATCH(AD151&amp;$B151,Podcasts!$E$10:'Podcasts'!$E$2535&amp;Podcasts!$D$10:'Podcasts'!$D$2535,0)))</f>
        <v/>
      </c>
      <c r="AD151" s="400" t="str">
        <f t="array" ref="AD151">IF(COUNTIF(Podcasts!$D$10:'Podcasts'!$D$2535,$B151)&lt;COLUMN(I114),"",SMALL(IF(Podcasts!$D$10:'Podcasts'!$D$2535=$B151,Podcasts!$E$10:'Podcasts'!$E$2535),COLUMN(I114)))</f>
        <v/>
      </c>
      <c r="AE151" s="401" t="str">
        <f t="array" ref="AE151">IF(AD151="","",INDEX(Podcasts!$F$10:'Podcasts'!$F$2535,MATCH(AD151&amp;$B151,Podcasts!$E$10:'Podcasts'!$E$2535&amp;Podcasts!$D$10:'Podcasts'!$D$2535,0)))</f>
        <v/>
      </c>
      <c r="AF151" s="406" t="str">
        <f t="array" ref="AF151">IF(AG151="","",INDEX(Podcasts!$J$10:'Podcasts'!$J$2535,MATCH(AG151&amp;$B151,Podcasts!$E$10:'Podcasts'!$E$2535&amp;Podcasts!$D$10:'Podcasts'!$D$2535,0)))</f>
        <v/>
      </c>
      <c r="AG151" s="400" t="str">
        <f t="array" ref="AG151">IF(COUNTIF(Podcasts!$D$10:'Podcasts'!$D$2535,$B151)&lt;COLUMN(J114),"",SMALL(IF(Podcasts!$D$10:'Podcasts'!$D$2535=$B151,Podcasts!$E$10:'Podcasts'!$E$2535),COLUMN(J114)))</f>
        <v/>
      </c>
      <c r="AH151" s="401" t="str">
        <f t="array" ref="AH151">IF(AG151="","",INDEX(Podcasts!$F$10:'Podcasts'!$F$2535,MATCH(AG151&amp;$B151,Podcasts!$E$10:'Podcasts'!$E$2535&amp;Podcasts!$D$10:'Podcasts'!$D$2535,0)))</f>
        <v/>
      </c>
      <c r="AI151" s="406" t="str">
        <f t="array" ref="AI151">IF(AJ151="","",INDEX(Podcasts!$J$10:'Podcasts'!$J$2535,MATCH(AJ151&amp;$B151,Podcasts!$E$10:'Podcasts'!$E$2535&amp;Podcasts!$D$10:'Podcasts'!$D$2535,0)))</f>
        <v/>
      </c>
      <c r="AJ151" s="400" t="str">
        <f t="array" ref="AJ151">IF(COUNTIF(Podcasts!$D$10:'Podcasts'!$D$2535,$B151)&lt;COLUMN(K114),"",SMALL(IF(Podcasts!$D$10:'Podcasts'!$D$2535=$B151,Podcasts!$E$10:'Podcasts'!$E$2535),COLUMN(K114)))</f>
        <v/>
      </c>
      <c r="AK151" s="401" t="str">
        <f t="array" ref="AK151">IF(AJ151="","",INDEX(Podcasts!$F$10:'Podcasts'!$F$2535,MATCH(AJ151&amp;$B151,Podcasts!$E$10:'Podcasts'!$E$2535&amp;Podcasts!$D$10:'Podcasts'!$D$2535,0)))</f>
        <v/>
      </c>
      <c r="AL151" s="406" t="str">
        <f t="array" ref="AL151">IF(AM151="","",INDEX(Podcasts!$J$10:'Podcasts'!$J$2535,MATCH(AM151&amp;$B151,Podcasts!$E$10:'Podcasts'!$E$2535&amp;Podcasts!$D$10:'Podcasts'!$D$2535,0)))</f>
        <v/>
      </c>
      <c r="AM151" s="400" t="str">
        <f t="array" ref="AM151">IF(COUNTIF(Podcasts!$D$10:'Podcasts'!$D$2535,$B151)&lt;COLUMN(L114),"",SMALL(IF(Podcasts!$D$10:'Podcasts'!$D$2535=$B151,Podcasts!$E$10:'Podcasts'!$E$2535),COLUMN(L114)))</f>
        <v/>
      </c>
      <c r="AN151" s="401" t="str">
        <f t="array" ref="AN151">IF(AM151="","",INDEX(Podcasts!$F$10:'Podcasts'!$F$2535,MATCH(AM151&amp;$B151,Podcasts!$E$10:'Podcasts'!$E$2535&amp;Podcasts!$D$10:'Podcasts'!$D$2535,0)))</f>
        <v/>
      </c>
      <c r="AO151" s="402"/>
      <c r="AP151" s="119"/>
      <c r="AQ151" s="117">
        <f t="array" aca="1" ref="AQ151" ca="1">IFERROR(SMALL(IF(COUNTIF(Podcasts!$D$10:'Podcasts'!$D$107,ROW(INDIRECT("1:"&amp;K$2)))=0,ROW(INDIRECT("1:"&amp;K$2))),ROW($A108)),"")</f>
        <v>140</v>
      </c>
      <c r="AR151" s="117">
        <f t="array" aca="1" ref="AR151" ca="1">IFERROR(SMALL(IF(COUNTIF(Podcasts!$D$113:'Podcasts'!$D$238,ROW(INDIRECT("1:"&amp;K$2)))=0,ROW(INDIRECT("1:"&amp;K$2))),ROW($A108)),"")</f>
        <v>108</v>
      </c>
      <c r="AS151" s="117">
        <f t="array" aca="1" ref="AS151" ca="1">IFERROR(SMALL(IF(COUNTIF(Podcasts!$D$244:'Podcasts'!$D$299,ROW(INDIRECT("1:"&amp;K$2)))=0,ROW(INDIRECT("1:"&amp;K$2))),ROW($A108)),"")</f>
        <v>127</v>
      </c>
      <c r="AT151" s="117"/>
      <c r="AU151" s="117">
        <f t="array" aca="1" ref="AU151" ca="1">IFERROR(SMALL(IF(COUNTIF(Podcasts!$D$479:'Podcasts'!$D$488,ROW(INDIRECT("1:"&amp;K$2)))=0,ROW(INDIRECT("1:"&amp;K$2))),ROW($A108)),"")</f>
        <v>110</v>
      </c>
      <c r="AV151" s="117">
        <f t="array" aca="1" ref="AV151" ca="1">IFERROR(SMALL(IF(COUNTIF(Podcasts!$D$494:'Podcasts'!$D$518,ROW(INDIRECT("1:"&amp;K$2)))=0,ROW(INDIRECT("1:"&amp;K$2))),ROW($A108)),"")</f>
        <v>129</v>
      </c>
      <c r="AW151" s="117">
        <f t="array" aca="1" ref="AW151" ca="1">IFERROR(SMALL(IF(COUNTIF(Podcasts!$D$524:'Podcasts'!$D$532,ROW(INDIRECT("1:"&amp;K$2)))=0,ROW(INDIRECT("1:"&amp;K$2))),ROW($A108)),"")</f>
        <v>109</v>
      </c>
      <c r="AX151" s="117"/>
      <c r="AY151" s="117">
        <f t="array" aca="1" ref="AY151" ca="1">IFERROR(SMALL(IF(COUNTIF(Podcasts!$D$915:'Podcasts'!$D$981,ROW(INDIRECT("1:"&amp;K$2)))=0,ROW(INDIRECT("1:"&amp;K$2))),ROW($A108)),"")</f>
        <v>155</v>
      </c>
      <c r="AZ151" s="445"/>
      <c r="BA151" s="117">
        <f t="array" aca="1" ref="BA151" ca="1">IFERROR(SMALL(IF(COUNTIF(Podcasts!$D$1001:'Podcasts'!$D$1251,ROW(INDIRECT("1:"&amp;K$2)))=0,ROW(INDIRECT("1:"&amp;K$2))),ROW($A108)),"")</f>
        <v>156</v>
      </c>
      <c r="BB151" s="117">
        <f t="array" aca="1" ref="BB151" ca="1">IFERROR(SMALL(IF(COUNTIF(Podcasts!$D$1257:'Podcasts'!$D$1267,ROW(INDIRECT("1:"&amp;K$2)))=0,ROW(INDIRECT("1:"&amp;K$2))),ROW($A108)),"")</f>
        <v>113</v>
      </c>
      <c r="BC151" s="117">
        <f t="array" aca="1" ref="BC151" ca="1">IFERROR(SMALL(IF(COUNTIF(Podcasts!$D$1273:'Podcasts'!$D$1283,ROW(INDIRECT("1:"&amp;K$2)))=0,ROW(INDIRECT("1:"&amp;K$2))),ROW($A108)),"")</f>
        <v>112</v>
      </c>
      <c r="BD151" s="117">
        <f t="array" aca="1" ref="BD151" ca="1">IFERROR(SMALL(IF(COUNTIF(Podcasts!$D$1289:'Podcasts'!$D$1295,ROW(INDIRECT("1:"&amp;K$2)))=0,ROW(INDIRECT("1:"&amp;K$2))),ROW($A108)),"")</f>
        <v>112</v>
      </c>
      <c r="BE151" s="117">
        <f t="array" aca="1" ref="BE151" ca="1">IFERROR(SMALL(IF(COUNTIF(Podcasts!$D$1301:'Podcasts'!$D$1356,ROW(INDIRECT("1:"&amp;K$2)))=0,ROW(INDIRECT("1:"&amp;K$2))),ROW($A108)),"")</f>
        <v>155</v>
      </c>
      <c r="BF151" s="117">
        <f t="array" aca="1" ref="BF151" ca="1">IFERROR(SMALL(IF(COUNTIF(Podcasts!$D$1362:'Podcasts'!$D$1364,ROW(INDIRECT("1:"&amp;K$2)))=0,ROW(INDIRECT("1:"&amp;K$2))),ROW($A108)),"")</f>
        <v>111</v>
      </c>
      <c r="BG151" s="202">
        <f t="array" aca="1" ref="BG151" ca="1">IFERROR(SMALL(IF(COUNTIF(Podcasts!$D$1370:'Podcasts'!$D$1419,ROW(INDIRECT("1:"&amp;K$2)))=0,ROW(INDIRECT("1:"&amp;K$2))),ROW($A108)),"")</f>
        <v>135</v>
      </c>
      <c r="BH151" s="202">
        <f t="array" aca="1" ref="BH151" ca="1">IFERROR(SMALL(IF(COUNTIF(Podcasts!$D$1425:'Podcasts'!$D$1446,ROW(INDIRECT("1:"&amp;K$2)))=0,ROW(INDIRECT("1:"&amp;K$2))),ROW($A108)),"")</f>
        <v>118</v>
      </c>
      <c r="BI151" s="202">
        <f t="array" aca="1" ref="BI151" ca="1">IFERROR(SMALL(IF(COUNTIF(Podcasts!$D$1452:'Podcasts'!$D$1574,ROW(INDIRECT("1:"&amp;K$2)))=0,ROW(INDIRECT("1:"&amp;K$2))),ROW($A108)),"")</f>
        <v>176</v>
      </c>
      <c r="BJ151" s="202">
        <f t="array" aca="1" ref="BJ151" ca="1">IFERROR(SMALL(IF(COUNTIF(Podcasts!$D$1580:'Podcasts'!$D$1705,ROW(INDIRECT("1:"&amp;K$2)))=0,ROW(INDIRECT("1:"&amp;K$2))),ROW($A108)),"")</f>
        <v>175</v>
      </c>
      <c r="BK151" s="202">
        <f t="array" aca="1" ref="BK151" ca="1">IFERROR(SMALL(IF(COUNTIF(Podcasts!$D$1711:'Podcasts'!$D$1833,ROW(INDIRECT("1:"&amp;K$2)))=0,ROW(INDIRECT("1:"&amp;K$2))),ROW($A108)),"")</f>
        <v>166</v>
      </c>
      <c r="BL151" s="202">
        <f t="array" aca="1" ref="BL151" ca="1">IFERROR(SMALL(IF(COUNTIF(Podcasts!$D$1839:'Podcasts'!$D$1855,ROW(INDIRECT("1:"&amp;K$2)))=0,ROW(INDIRECT("1:"&amp;K$2))),ROW($A108)),"")</f>
        <v>117</v>
      </c>
      <c r="BM151" s="567">
        <f t="array" aca="1" ref="BM151" ca="1">IFERROR(SMALL(IF(COUNTIF(Podcasts!$D$1861:'Podcasts'!$D$1994,ROW(INDIRECT("1:"&amp;K$2)))=0,ROW(INDIRECT("1:"&amp;K$2))),ROW($A108)),"")</f>
        <v>148</v>
      </c>
      <c r="BN151" s="567">
        <f t="array" aca="1" ref="BN151" ca="1">IFERROR(SMALL(IF(COUNTIF(Podcasts!$D$2000:'Podcasts'!$D$2057,ROW(INDIRECT("1:"&amp;K$2)))=0,ROW(INDIRECT("1:"&amp;K$2))),ROW($A108)),"")</f>
        <v>163</v>
      </c>
      <c r="BO151" s="567">
        <f t="array" aca="1" ref="BO151" ca="1">IFERROR(SMALL(IF(COUNTIF(Podcasts!$D$2063:'Podcasts'!$D$2071,ROW(INDIRECT("1:"&amp;K$2)))=0,ROW(INDIRECT("1:"&amp;K$2))),ROW($A108)),"")</f>
        <v>114</v>
      </c>
      <c r="BP151" s="202">
        <f t="array" aca="1" ref="BP151" ca="1">IFERROR(SMALL(IF(COUNTIF(Podcasts!$D$2077:'Podcasts'!$D$2092,ROW(INDIRECT("1:"&amp;K$2)))=0,ROW(INDIRECT("1:"&amp;K$2))),ROW($A108)),"")</f>
        <v>119</v>
      </c>
      <c r="BQ151" s="741">
        <f t="array" aca="1" ref="BQ151" ca="1">IFERROR(SMALL(IF(COUNTIF(Podcasts!$D$2098:'Podcasts'!$D$2114,ROW(INDIRECT("1:"&amp;K$2)))=0,ROW(INDIRECT("1:"&amp;K$2))),ROW($A108)),"")</f>
        <v>116</v>
      </c>
      <c r="BR151" s="744">
        <f t="array" aca="1" ref="BR151" ca="1">IFERROR(SMALL(IF(COUNTIF(Podcasts!$D$2120:'Podcasts'!$D$2124,ROW(INDIRECT("1:"&amp;K$2)))=0,ROW(INDIRECT("1:"&amp;K$2))),ROW($A108)),"")</f>
        <v>110</v>
      </c>
      <c r="BS151" s="28"/>
    </row>
    <row r="152" spans="1:71" outlineLevel="1">
      <c r="A152" s="28"/>
      <c r="B152" s="161">
        <v>109</v>
      </c>
      <c r="C152" s="161">
        <f>COUNTIF(Podcasts!$D$10:'Podcasts'!$D$2535,B152)</f>
        <v>6</v>
      </c>
      <c r="D152" s="158" t="s">
        <v>1136</v>
      </c>
      <c r="E152" s="156" t="str">
        <f t="array" ref="E152">IF(F152="","",INDEX(Podcasts!$J$10:'Podcasts'!$J$2535,MATCH(F152&amp;$B152,Podcasts!$E$10:'Podcasts'!$E$2535&amp;Podcasts!$D$10:'Podcasts'!$D$2535,0)))</f>
        <v>Fürst</v>
      </c>
      <c r="F152" s="131">
        <f t="array" ref="F152">IF(COUNTIF(Podcasts!$D$10:'Podcasts'!$D$2535,$B152)&lt;COLUMN(A115),"",SMALL(IF(Podcasts!$D$10:'Podcasts'!$D$2535=$B152,Podcasts!$E$10:'Podcasts'!$E$2535),COLUMN(A115)))</f>
        <v>41745</v>
      </c>
      <c r="G152" s="132">
        <f t="array" ref="G152">IF(F152="","",INDEX(Podcasts!$F$10:'Podcasts'!$F$2535,MATCH(F152&amp;$B152,Podcasts!$E$10:'Podcasts'!$E$2535&amp;Podcasts!$D$10:'Podcasts'!$D$2535,0)))</f>
        <v>5.3240740740740766E-3</v>
      </c>
      <c r="H152" s="136" t="str">
        <f t="array" ref="H152">IF(I152="","",INDEX(Podcasts!$J$10:'Podcasts'!$J$2535,MATCH(I152&amp;$B152,Podcasts!$E$10:'Podcasts'!$E$2535&amp;Podcasts!$D$10:'Podcasts'!$D$2535,0)))</f>
        <v>SSP</v>
      </c>
      <c r="I152" s="133">
        <f t="array" ref="I152">IF(COUNTIF(Podcasts!$D$10:'Podcasts'!$D$2535,$B152)&lt;COLUMN(B115),"",SMALL(IF(Podcasts!$D$10:'Podcasts'!$D$2535=$B152,Podcasts!$E$10:'Podcasts'!$E$2535),COLUMN(B115)))</f>
        <v>43124</v>
      </c>
      <c r="J152" s="132">
        <f t="array" ref="J152">IF(I152="","",INDEX(Podcasts!$F$10:'Podcasts'!$F$2535,MATCH(I152&amp;$B152,Podcasts!$E$10:'Podcasts'!$E$2535&amp;Podcasts!$D$10:'Podcasts'!$D$2535,0)))</f>
        <v>6.3067129629629626E-2</v>
      </c>
      <c r="K152" s="136" t="str">
        <f t="array" ref="K152">IF(L152="","",INDEX(Podcasts!$J$10:'Podcasts'!$J$2535,MATCH(L152&amp;$B152,Podcasts!$E$10:'Podcasts'!$E$2535&amp;Podcasts!$D$10:'Podcasts'!$D$2535,0)))</f>
        <v>R&amp;A</v>
      </c>
      <c r="L152" s="133">
        <f t="array" ref="L152">IF(COUNTIF(Podcasts!$D$10:'Podcasts'!$D$2535,$B152)&lt;COLUMN(C115),"",SMALL(IF(Podcasts!$D$10:'Podcasts'!$D$2535=$B152,Podcasts!$E$10:'Podcasts'!$E$2535),COLUMN(C115)))</f>
        <v>43458.447916666664</v>
      </c>
      <c r="M152" s="132">
        <f t="array" ref="M152">IF(L152="","",INDEX(Podcasts!$F$10:'Podcasts'!$F$2535,MATCH(L152&amp;$B152,Podcasts!$E$10:'Podcasts'!$E$2535&amp;Podcasts!$D$10:'Podcasts'!$D$2535,0)))</f>
        <v>4.8923611111111105E-2</v>
      </c>
      <c r="N152" s="136" t="str">
        <f t="array" ref="N152">IF(O152="","",INDEX(Podcasts!$J$10:'Podcasts'!$J$2535,MATCH(O152&amp;$B152,Podcasts!$E$10:'Podcasts'!$E$2535&amp;Podcasts!$D$10:'Podcasts'!$D$2535,0)))</f>
        <v>Verstärker</v>
      </c>
      <c r="O152" s="133">
        <f t="array" ref="O152">IF(COUNTIF(Podcasts!$D$10:'Podcasts'!$D$2535,$B152)&lt;COLUMN(D115),"",SMALL(IF(Podcasts!$D$10:'Podcasts'!$D$2535=$B152,Podcasts!$E$10:'Podcasts'!$E$2535),COLUMN(D115)))</f>
        <v>45233</v>
      </c>
      <c r="P152" s="132">
        <f t="array" ref="P152">IF(O152="","",INDEX(Podcasts!$F$10:'Podcasts'!$F$2535,MATCH(O152&amp;$B152,Podcasts!$E$10:'Podcasts'!$E$2535&amp;Podcasts!$D$10:'Podcasts'!$D$2535,0)))</f>
        <v>2.5543981481481483E-2</v>
      </c>
      <c r="Q152" s="136" t="str">
        <f t="array" ref="Q152">IF(R152="","",INDEX(Podcasts!$J$10:'Podcasts'!$J$2535,MATCH(R152&amp;$B152,Podcasts!$E$10:'Podcasts'!$E$2535&amp;Podcasts!$D$10:'Podcasts'!$D$2535,0)))</f>
        <v>Zw3i</v>
      </c>
      <c r="R152" s="133">
        <f t="array" ref="R152">IF(COUNTIF(Podcasts!$D$10:'Podcasts'!$D$2535,$B152)&lt;COLUMN(E115),"",SMALL(IF(Podcasts!$D$10:'Podcasts'!$D$2535=$B152,Podcasts!$E$10:'Podcasts'!$E$2535),COLUMN(E115)))</f>
        <v>45359</v>
      </c>
      <c r="S152" s="132">
        <f t="array" ref="S152">IF(R152="","",INDEX(Podcasts!$F$10:'Podcasts'!$F$2535,MATCH(R152&amp;$B152,Podcasts!$E$10:'Podcasts'!$E$2535&amp;Podcasts!$D$10:'Podcasts'!$D$2535,0)))</f>
        <v>9.1157407407407409E-2</v>
      </c>
      <c r="T152" s="136" t="str">
        <f t="array" ref="T152">IF(U152="","",INDEX(Podcasts!$J$10:'Podcasts'!$J$2535,MATCH(U152&amp;$B152,Podcasts!$E$10:'Podcasts'!$E$2535&amp;Podcasts!$D$10:'Podcasts'!$D$2535,0)))</f>
        <v>Kaffee</v>
      </c>
      <c r="U152" s="133">
        <f t="array" ref="U152">IF(COUNTIF(Podcasts!$D$10:'Podcasts'!$D$2535,$B152)&lt;COLUMN(F115),"",SMALL(IF(Podcasts!$D$10:'Podcasts'!$D$2535=$B152,Podcasts!$E$10:'Podcasts'!$E$2535),COLUMN(F115)))</f>
        <v>45380</v>
      </c>
      <c r="V152" s="132">
        <f t="array" ref="V152">IF(U152="","",INDEX(Podcasts!$F$10:'Podcasts'!$F$2535,MATCH(U152&amp;$B152,Podcasts!$E$10:'Podcasts'!$E$2535&amp;Podcasts!$D$10:'Podcasts'!$D$2535,0)))</f>
        <v>3.8379629629629632E-2</v>
      </c>
      <c r="W152" s="136" t="str">
        <f t="array" ref="W152">IF(X152="","",INDEX(Podcasts!$J$10:'Podcasts'!$J$2535,MATCH(X152&amp;$B152,Podcasts!$E$10:'Podcasts'!$E$2535&amp;Podcasts!$D$10:'Podcasts'!$D$2535,0)))</f>
        <v/>
      </c>
      <c r="X152" s="133" t="str">
        <f t="array" ref="X152">IF(COUNTIF(Podcasts!$D$10:'Podcasts'!$D$2535,$B152)&lt;COLUMN(G115),"",SMALL(IF(Podcasts!$D$10:'Podcasts'!$D$2535=$B152,Podcasts!$E$10:'Podcasts'!$E$2535),COLUMN(G115)))</f>
        <v/>
      </c>
      <c r="Y152" s="132" t="str">
        <f t="array" ref="Y152">IF(X152="","",INDEX(Podcasts!$F$10:'Podcasts'!$F$2535,MATCH(X152&amp;$B152,Podcasts!$E$10:'Podcasts'!$E$2535&amp;Podcasts!$D$10:'Podcasts'!$D$2535,0)))</f>
        <v/>
      </c>
      <c r="Z152" s="136" t="str">
        <f t="array" ref="Z152">IF(AA152="","",INDEX(Podcasts!$J$10:'Podcasts'!$J$2535,MATCH(AA152&amp;$B152,Podcasts!$E$10:'Podcasts'!$E$2535&amp;Podcasts!$D$10:'Podcasts'!$D$2535,0)))</f>
        <v/>
      </c>
      <c r="AA152" s="134" t="str">
        <f t="array" ref="AA152">IF(COUNTIF(Podcasts!$D$10:'Podcasts'!$D$2535,$B152)&lt;COLUMN(H115),"",SMALL(IF(Podcasts!$D$10:'Podcasts'!$D$2535=$B152,Podcasts!$E$10:'Podcasts'!$E$2535),COLUMN(H115)))</f>
        <v/>
      </c>
      <c r="AB152" s="404" t="str">
        <f t="array" ref="AB152">IF(AA152="","",INDEX(Podcasts!$F$10:'Podcasts'!$F$2535,MATCH(AA152&amp;$B152,Podcasts!$E$10:'Podcasts'!$E$2535&amp;Podcasts!$D$10:'Podcasts'!$D$2535,0)))</f>
        <v/>
      </c>
      <c r="AC152" s="406" t="str">
        <f t="array" ref="AC152">IF(AD152="","",INDEX(Podcasts!$J$10:'Podcasts'!$J$2535,MATCH(AD152&amp;$B152,Podcasts!$E$10:'Podcasts'!$E$2535&amp;Podcasts!$D$10:'Podcasts'!$D$2535,0)))</f>
        <v/>
      </c>
      <c r="AD152" s="400" t="str">
        <f t="array" ref="AD152">IF(COUNTIF(Podcasts!$D$10:'Podcasts'!$D$2535,$B152)&lt;COLUMN(I115),"",SMALL(IF(Podcasts!$D$10:'Podcasts'!$D$2535=$B152,Podcasts!$E$10:'Podcasts'!$E$2535),COLUMN(I115)))</f>
        <v/>
      </c>
      <c r="AE152" s="401" t="str">
        <f t="array" ref="AE152">IF(AD152="","",INDEX(Podcasts!$F$10:'Podcasts'!$F$2535,MATCH(AD152&amp;$B152,Podcasts!$E$10:'Podcasts'!$E$2535&amp;Podcasts!$D$10:'Podcasts'!$D$2535,0)))</f>
        <v/>
      </c>
      <c r="AF152" s="406" t="str">
        <f t="array" ref="AF152">IF(AG152="","",INDEX(Podcasts!$J$10:'Podcasts'!$J$2535,MATCH(AG152&amp;$B152,Podcasts!$E$10:'Podcasts'!$E$2535&amp;Podcasts!$D$10:'Podcasts'!$D$2535,0)))</f>
        <v/>
      </c>
      <c r="AG152" s="400" t="str">
        <f t="array" ref="AG152">IF(COUNTIF(Podcasts!$D$10:'Podcasts'!$D$2535,$B152)&lt;COLUMN(J115),"",SMALL(IF(Podcasts!$D$10:'Podcasts'!$D$2535=$B152,Podcasts!$E$10:'Podcasts'!$E$2535),COLUMN(J115)))</f>
        <v/>
      </c>
      <c r="AH152" s="401" t="str">
        <f t="array" ref="AH152">IF(AG152="","",INDEX(Podcasts!$F$10:'Podcasts'!$F$2535,MATCH(AG152&amp;$B152,Podcasts!$E$10:'Podcasts'!$E$2535&amp;Podcasts!$D$10:'Podcasts'!$D$2535,0)))</f>
        <v/>
      </c>
      <c r="AI152" s="406" t="str">
        <f t="array" ref="AI152">IF(AJ152="","",INDEX(Podcasts!$J$10:'Podcasts'!$J$2535,MATCH(AJ152&amp;$B152,Podcasts!$E$10:'Podcasts'!$E$2535&amp;Podcasts!$D$10:'Podcasts'!$D$2535,0)))</f>
        <v/>
      </c>
      <c r="AJ152" s="400" t="str">
        <f t="array" ref="AJ152">IF(COUNTIF(Podcasts!$D$10:'Podcasts'!$D$2535,$B152)&lt;COLUMN(K115),"",SMALL(IF(Podcasts!$D$10:'Podcasts'!$D$2535=$B152,Podcasts!$E$10:'Podcasts'!$E$2535),COLUMN(K115)))</f>
        <v/>
      </c>
      <c r="AK152" s="401" t="str">
        <f t="array" ref="AK152">IF(AJ152="","",INDEX(Podcasts!$F$10:'Podcasts'!$F$2535,MATCH(AJ152&amp;$B152,Podcasts!$E$10:'Podcasts'!$E$2535&amp;Podcasts!$D$10:'Podcasts'!$D$2535,0)))</f>
        <v/>
      </c>
      <c r="AL152" s="406" t="str">
        <f t="array" ref="AL152">IF(AM152="","",INDEX(Podcasts!$J$10:'Podcasts'!$J$2535,MATCH(AM152&amp;$B152,Podcasts!$E$10:'Podcasts'!$E$2535&amp;Podcasts!$D$10:'Podcasts'!$D$2535,0)))</f>
        <v/>
      </c>
      <c r="AM152" s="400" t="str">
        <f t="array" ref="AM152">IF(COUNTIF(Podcasts!$D$10:'Podcasts'!$D$2535,$B152)&lt;COLUMN(L115),"",SMALL(IF(Podcasts!$D$10:'Podcasts'!$D$2535=$B152,Podcasts!$E$10:'Podcasts'!$E$2535),COLUMN(L115)))</f>
        <v/>
      </c>
      <c r="AN152" s="401" t="str">
        <f t="array" ref="AN152">IF(AM152="","",INDEX(Podcasts!$F$10:'Podcasts'!$F$2535,MATCH(AM152&amp;$B152,Podcasts!$E$10:'Podcasts'!$E$2535&amp;Podcasts!$D$10:'Podcasts'!$D$2535,0)))</f>
        <v/>
      </c>
      <c r="AO152" s="402"/>
      <c r="AP152" s="119"/>
      <c r="AQ152" s="117">
        <f t="array" aca="1" ref="AQ152" ca="1">IFERROR(SMALL(IF(COUNTIF(Podcasts!$D$10:'Podcasts'!$D$107,ROW(INDIRECT("1:"&amp;K$2)))=0,ROW(INDIRECT("1:"&amp;K$2))),ROW($A109)),"")</f>
        <v>141</v>
      </c>
      <c r="AR152" s="117">
        <f t="array" aca="1" ref="AR152" ca="1">IFERROR(SMALL(IF(COUNTIF(Podcasts!$D$113:'Podcasts'!$D$238,ROW(INDIRECT("1:"&amp;K$2)))=0,ROW(INDIRECT("1:"&amp;K$2))),ROW($A109)),"")</f>
        <v>109</v>
      </c>
      <c r="AS152" s="117">
        <f t="array" aca="1" ref="AS152" ca="1">IFERROR(SMALL(IF(COUNTIF(Podcasts!$D$244:'Podcasts'!$D$299,ROW(INDIRECT("1:"&amp;K$2)))=0,ROW(INDIRECT("1:"&amp;K$2))),ROW($A109)),"")</f>
        <v>128</v>
      </c>
      <c r="AT152" s="117"/>
      <c r="AU152" s="117">
        <f t="array" aca="1" ref="AU152" ca="1">IFERROR(SMALL(IF(COUNTIF(Podcasts!$D$479:'Podcasts'!$D$488,ROW(INDIRECT("1:"&amp;K$2)))=0,ROW(INDIRECT("1:"&amp;K$2))),ROW($A109)),"")</f>
        <v>111</v>
      </c>
      <c r="AV152" s="117">
        <f t="array" aca="1" ref="AV152" ca="1">IFERROR(SMALL(IF(COUNTIF(Podcasts!$D$494:'Podcasts'!$D$518,ROW(INDIRECT("1:"&amp;K$2)))=0,ROW(INDIRECT("1:"&amp;K$2))),ROW($A109)),"")</f>
        <v>130</v>
      </c>
      <c r="AW152" s="117">
        <f t="array" aca="1" ref="AW152" ca="1">IFERROR(SMALL(IF(COUNTIF(Podcasts!$D$524:'Podcasts'!$D$532,ROW(INDIRECT("1:"&amp;K$2)))=0,ROW(INDIRECT("1:"&amp;K$2))),ROW($A109)),"")</f>
        <v>110</v>
      </c>
      <c r="AX152" s="117"/>
      <c r="AY152" s="117">
        <f t="array" aca="1" ref="AY152" ca="1">IFERROR(SMALL(IF(COUNTIF(Podcasts!$D$915:'Podcasts'!$D$981,ROW(INDIRECT("1:"&amp;K$2)))=0,ROW(INDIRECT("1:"&amp;K$2))),ROW($A109)),"")</f>
        <v>156</v>
      </c>
      <c r="AZ152" s="445"/>
      <c r="BA152" s="117">
        <f t="array" aca="1" ref="BA152" ca="1">IFERROR(SMALL(IF(COUNTIF(Podcasts!$D$1001:'Podcasts'!$D$1251,ROW(INDIRECT("1:"&amp;K$2)))=0,ROW(INDIRECT("1:"&amp;K$2))),ROW($A109)),"")</f>
        <v>157</v>
      </c>
      <c r="BB152" s="117">
        <f t="array" aca="1" ref="BB152" ca="1">IFERROR(SMALL(IF(COUNTIF(Podcasts!$D$1257:'Podcasts'!$D$1267,ROW(INDIRECT("1:"&amp;K$2)))=0,ROW(INDIRECT("1:"&amp;K$2))),ROW($A109)),"")</f>
        <v>114</v>
      </c>
      <c r="BC152" s="117">
        <f t="array" aca="1" ref="BC152" ca="1">IFERROR(SMALL(IF(COUNTIF(Podcasts!$D$1273:'Podcasts'!$D$1283,ROW(INDIRECT("1:"&amp;K$2)))=0,ROW(INDIRECT("1:"&amp;K$2))),ROW($A109)),"")</f>
        <v>113</v>
      </c>
      <c r="BD152" s="117">
        <f t="array" aca="1" ref="BD152" ca="1">IFERROR(SMALL(IF(COUNTIF(Podcasts!$D$1289:'Podcasts'!$D$1295,ROW(INDIRECT("1:"&amp;K$2)))=0,ROW(INDIRECT("1:"&amp;K$2))),ROW($A109)),"")</f>
        <v>113</v>
      </c>
      <c r="BE152" s="117">
        <f t="array" aca="1" ref="BE152" ca="1">IFERROR(SMALL(IF(COUNTIF(Podcasts!$D$1301:'Podcasts'!$D$1356,ROW(INDIRECT("1:"&amp;K$2)))=0,ROW(INDIRECT("1:"&amp;K$2))),ROW($A109)),"")</f>
        <v>156</v>
      </c>
      <c r="BF152" s="117">
        <f t="array" aca="1" ref="BF152" ca="1">IFERROR(SMALL(IF(COUNTIF(Podcasts!$D$1362:'Podcasts'!$D$1364,ROW(INDIRECT("1:"&amp;K$2)))=0,ROW(INDIRECT("1:"&amp;K$2))),ROW($A109)),"")</f>
        <v>112</v>
      </c>
      <c r="BG152" s="202">
        <f t="array" aca="1" ref="BG152" ca="1">IFERROR(SMALL(IF(COUNTIF(Podcasts!$D$1370:'Podcasts'!$D$1419,ROW(INDIRECT("1:"&amp;K$2)))=0,ROW(INDIRECT("1:"&amp;K$2))),ROW($A109)),"")</f>
        <v>136</v>
      </c>
      <c r="BH152" s="202">
        <f t="array" aca="1" ref="BH152" ca="1">IFERROR(SMALL(IF(COUNTIF(Podcasts!$D$1425:'Podcasts'!$D$1446,ROW(INDIRECT("1:"&amp;K$2)))=0,ROW(INDIRECT("1:"&amp;K$2))),ROW($A109)),"")</f>
        <v>119</v>
      </c>
      <c r="BI152" s="202">
        <f t="array" aca="1" ref="BI152" ca="1">IFERROR(SMALL(IF(COUNTIF(Podcasts!$D$1452:'Podcasts'!$D$1574,ROW(INDIRECT("1:"&amp;K$2)))=0,ROW(INDIRECT("1:"&amp;K$2))),ROW($A109)),"")</f>
        <v>177</v>
      </c>
      <c r="BJ152" s="202">
        <f t="array" aca="1" ref="BJ152" ca="1">IFERROR(SMALL(IF(COUNTIF(Podcasts!$D$1580:'Podcasts'!$D$1705,ROW(INDIRECT("1:"&amp;K$2)))=0,ROW(INDIRECT("1:"&amp;K$2))),ROW($A109)),"")</f>
        <v>176</v>
      </c>
      <c r="BK152" s="202">
        <f t="array" aca="1" ref="BK152" ca="1">IFERROR(SMALL(IF(COUNTIF(Podcasts!$D$1711:'Podcasts'!$D$1833,ROW(INDIRECT("1:"&amp;K$2)))=0,ROW(INDIRECT("1:"&amp;K$2))),ROW($A109)),"")</f>
        <v>168</v>
      </c>
      <c r="BL152" s="202">
        <f t="array" aca="1" ref="BL152" ca="1">IFERROR(SMALL(IF(COUNTIF(Podcasts!$D$1839:'Podcasts'!$D$1855,ROW(INDIRECT("1:"&amp;K$2)))=0,ROW(INDIRECT("1:"&amp;K$2))),ROW($A109)),"")</f>
        <v>118</v>
      </c>
      <c r="BM152" s="567">
        <f t="array" aca="1" ref="BM152" ca="1">IFERROR(SMALL(IF(COUNTIF(Podcasts!$D$1861:'Podcasts'!$D$1994,ROW(INDIRECT("1:"&amp;K$2)))=0,ROW(INDIRECT("1:"&amp;K$2))),ROW($A109)),"")</f>
        <v>149</v>
      </c>
      <c r="BN152" s="567">
        <f t="array" aca="1" ref="BN152" ca="1">IFERROR(SMALL(IF(COUNTIF(Podcasts!$D$2000:'Podcasts'!$D$2057,ROW(INDIRECT("1:"&amp;K$2)))=0,ROW(INDIRECT("1:"&amp;K$2))),ROW($A109)),"")</f>
        <v>164</v>
      </c>
      <c r="BO152" s="567">
        <f t="array" aca="1" ref="BO152" ca="1">IFERROR(SMALL(IF(COUNTIF(Podcasts!$D$2063:'Podcasts'!$D$2071,ROW(INDIRECT("1:"&amp;K$2)))=0,ROW(INDIRECT("1:"&amp;K$2))),ROW($A109)),"")</f>
        <v>115</v>
      </c>
      <c r="BP152" s="202">
        <f t="array" aca="1" ref="BP152" ca="1">IFERROR(SMALL(IF(COUNTIF(Podcasts!$D$2077:'Podcasts'!$D$2092,ROW(INDIRECT("1:"&amp;K$2)))=0,ROW(INDIRECT("1:"&amp;K$2))),ROW($A109)),"")</f>
        <v>120</v>
      </c>
      <c r="BQ152" s="741">
        <f t="array" aca="1" ref="BQ152" ca="1">IFERROR(SMALL(IF(COUNTIF(Podcasts!$D$2098:'Podcasts'!$D$2114,ROW(INDIRECT("1:"&amp;K$2)))=0,ROW(INDIRECT("1:"&amp;K$2))),ROW($A109)),"")</f>
        <v>117</v>
      </c>
      <c r="BR152" s="744">
        <f t="array" aca="1" ref="BR152" ca="1">IFERROR(SMALL(IF(COUNTIF(Podcasts!$D$2120:'Podcasts'!$D$2124,ROW(INDIRECT("1:"&amp;K$2)))=0,ROW(INDIRECT("1:"&amp;K$2))),ROW($A109)),"")</f>
        <v>111</v>
      </c>
      <c r="BS152" s="28"/>
    </row>
    <row r="153" spans="1:71" outlineLevel="1">
      <c r="A153" s="28"/>
      <c r="B153" s="161">
        <v>110</v>
      </c>
      <c r="C153" s="161">
        <f>COUNTIF(Podcasts!$D$10:'Podcasts'!$D$2535,B153)-1</f>
        <v>5</v>
      </c>
      <c r="D153" s="158" t="s">
        <v>1137</v>
      </c>
      <c r="E153" s="156" t="str">
        <f t="array" ref="E153">IF(F153="","",INDEX(Podcasts!$J$10:'Podcasts'!$J$2535,MATCH(F153&amp;$B153,Podcasts!$E$10:'Podcasts'!$E$2535&amp;Podcasts!$D$10:'Podcasts'!$D$2535,0)))</f>
        <v>Fürst</v>
      </c>
      <c r="F153" s="131">
        <f t="array" ref="F153">IF(COUNTIF(Podcasts!$D$10:'Podcasts'!$D$2535,$B153)&lt;COLUMN(A116),"",SMALL(IF(Podcasts!$D$10:'Podcasts'!$D$2535=$B153,Podcasts!$E$10:'Podcasts'!$E$2535),COLUMN(A116)))</f>
        <v>41803</v>
      </c>
      <c r="G153" s="132">
        <f t="array" ref="G153">IF(F153="","",INDEX(Podcasts!$F$10:'Podcasts'!$F$2535,MATCH(F153&amp;$B153,Podcasts!$E$10:'Podcasts'!$E$2535&amp;Podcasts!$D$10:'Podcasts'!$D$2535,0)))</f>
        <v>5.6712962962962949E-3</v>
      </c>
      <c r="H153" s="136" t="str">
        <f t="array" ref="H153">IF(I153="","",INDEX(Podcasts!$J$10:'Podcasts'!$J$2535,MATCH(I153&amp;$B153,Podcasts!$E$10:'Podcasts'!$E$2535&amp;Podcasts!$D$10:'Podcasts'!$D$2535,0)))</f>
        <v>Gebraucht</v>
      </c>
      <c r="I153" s="133">
        <f t="array" ref="I153">IF(COUNTIF(Podcasts!$D$10:'Podcasts'!$D$2535,$B153)&lt;COLUMN(B116),"",SMALL(IF(Podcasts!$D$10:'Podcasts'!$D$2535=$B153,Podcasts!$E$10:'Podcasts'!$E$2535),COLUMN(B116)))</f>
        <v>43572.356608796297</v>
      </c>
      <c r="J153" s="132">
        <f t="array" ref="J153">IF(I153="","",INDEX(Podcasts!$F$10:'Podcasts'!$F$2535,MATCH(I153&amp;$B153,Podcasts!$E$10:'Podcasts'!$E$2535&amp;Podcasts!$D$10:'Podcasts'!$D$2535,0)))</f>
        <v>5.1990740740740747E-2</v>
      </c>
      <c r="K153" s="136" t="str">
        <f t="array" ref="K153">IF(L153="","",INDEX(Podcasts!$J$10:'Podcasts'!$J$2535,MATCH(L153&amp;$B153,Podcasts!$E$10:'Podcasts'!$E$2535&amp;Podcasts!$D$10:'Podcasts'!$D$2535,0)))</f>
        <v>Gebraucht</v>
      </c>
      <c r="L153" s="133">
        <f t="array" ref="L153">IF(COUNTIF(Podcasts!$D$10:'Podcasts'!$D$2535,$B153)&lt;COLUMN(C116),"",SMALL(IF(Podcasts!$D$10:'Podcasts'!$D$2535=$B153,Podcasts!$E$10:'Podcasts'!$E$2535),COLUMN(C116)))</f>
        <v>43572.365254629629</v>
      </c>
      <c r="M153" s="132">
        <f t="array" ref="M153">IF(L153="","",INDEX(Podcasts!$F$10:'Podcasts'!$F$2535,MATCH(L153&amp;$B153,Podcasts!$E$10:'Podcasts'!$E$2535&amp;Podcasts!$D$10:'Podcasts'!$D$2535,0)))</f>
        <v>2.5231481481481481E-3</v>
      </c>
      <c r="N153" s="136" t="str">
        <f t="array" ref="N153">IF(O153="","",INDEX(Podcasts!$J$10:'Podcasts'!$J$2535,MATCH(O153&amp;$B153,Podcasts!$E$10:'Podcasts'!$E$2535&amp;Podcasts!$D$10:'Podcasts'!$D$2535,0)))</f>
        <v>R&amp;A</v>
      </c>
      <c r="O153" s="133">
        <f t="array" ref="O153">IF(COUNTIF(Podcasts!$D$10:'Podcasts'!$D$2535,$B153)&lt;COLUMN(D116),"",SMALL(IF(Podcasts!$D$10:'Podcasts'!$D$2535=$B153,Podcasts!$E$10:'Podcasts'!$E$2535),COLUMN(D116)))</f>
        <v>43890.871307870373</v>
      </c>
      <c r="P153" s="132">
        <f t="array" ref="P153">IF(O153="","",INDEX(Podcasts!$F$10:'Podcasts'!$F$2535,MATCH(O153&amp;$B153,Podcasts!$E$10:'Podcasts'!$E$2535&amp;Podcasts!$D$10:'Podcasts'!$D$2535,0)))</f>
        <v>7.059027777777778E-2</v>
      </c>
      <c r="Q153" s="136" t="str">
        <f t="array" ref="Q153">IF(R153="","",INDEX(Podcasts!$J$10:'Podcasts'!$J$2535,MATCH(R153&amp;$B153,Podcasts!$E$10:'Podcasts'!$E$2535&amp;Podcasts!$D$10:'Podcasts'!$D$2535,0)))</f>
        <v>Zeichen</v>
      </c>
      <c r="R153" s="133">
        <f t="array" ref="R153">IF(COUNTIF(Podcasts!$D$10:'Podcasts'!$D$2535,$B153)&lt;COLUMN(E116),"",SMALL(IF(Podcasts!$D$10:'Podcasts'!$D$2535=$B153,Podcasts!$E$10:'Podcasts'!$E$2535),COLUMN(E116)))</f>
        <v>44528</v>
      </c>
      <c r="S153" s="132">
        <f t="array" ref="S153">IF(R153="","",INDEX(Podcasts!$F$10:'Podcasts'!$F$2535,MATCH(R153&amp;$B153,Podcasts!$E$10:'Podcasts'!$E$2535&amp;Podcasts!$D$10:'Podcasts'!$D$2535,0)))</f>
        <v>7.5520833333333329E-2</v>
      </c>
      <c r="T153" s="136" t="str">
        <f t="array" ref="T153">IF(U153="","",INDEX(Podcasts!$J$10:'Podcasts'!$J$2535,MATCH(U153&amp;$B153,Podcasts!$E$10:'Podcasts'!$E$2535&amp;Podcasts!$D$10:'Podcasts'!$D$2535,0)))</f>
        <v>Kuchen</v>
      </c>
      <c r="U153" s="133">
        <f t="array" ref="U153">IF(COUNTIF(Podcasts!$D$10:'Podcasts'!$D$2535,$B153)&lt;COLUMN(F116),"",SMALL(IF(Podcasts!$D$10:'Podcasts'!$D$2535=$B153,Podcasts!$E$10:'Podcasts'!$E$2535),COLUMN(F116)))</f>
        <v>44822</v>
      </c>
      <c r="V153" s="132">
        <f t="array" ref="V153">IF(U153="","",INDEX(Podcasts!$F$10:'Podcasts'!$F$2535,MATCH(U153&amp;$B153,Podcasts!$E$10:'Podcasts'!$E$2535&amp;Podcasts!$D$10:'Podcasts'!$D$2535,0)))</f>
        <v>7.6597222222222219E-2</v>
      </c>
      <c r="W153" s="136" t="str">
        <f t="array" ref="W153">IF(X153="","",INDEX(Podcasts!$J$10:'Podcasts'!$J$2535,MATCH(X153&amp;$B153,Podcasts!$E$10:'Podcasts'!$E$2535&amp;Podcasts!$D$10:'Podcasts'!$D$2535,0)))</f>
        <v/>
      </c>
      <c r="X153" s="133" t="str">
        <f t="array" ref="X153">IF(COUNTIF(Podcasts!$D$10:'Podcasts'!$D$2535,$B153)&lt;COLUMN(G116),"",SMALL(IF(Podcasts!$D$10:'Podcasts'!$D$2535=$B153,Podcasts!$E$10:'Podcasts'!$E$2535),COLUMN(G116)))</f>
        <v/>
      </c>
      <c r="Y153" s="132" t="str">
        <f t="array" ref="Y153">IF(X153="","",INDEX(Podcasts!$F$10:'Podcasts'!$F$2535,MATCH(X153&amp;$B153,Podcasts!$E$10:'Podcasts'!$E$2535&amp;Podcasts!$D$10:'Podcasts'!$D$2535,0)))</f>
        <v/>
      </c>
      <c r="Z153" s="136" t="str">
        <f t="array" ref="Z153">IF(AA153="","",INDEX(Podcasts!$J$10:'Podcasts'!$J$2535,MATCH(AA153&amp;$B153,Podcasts!$E$10:'Podcasts'!$E$2535&amp;Podcasts!$D$10:'Podcasts'!$D$2535,0)))</f>
        <v/>
      </c>
      <c r="AA153" s="134" t="str">
        <f t="array" ref="AA153">IF(COUNTIF(Podcasts!$D$10:'Podcasts'!$D$2535,$B153)&lt;COLUMN(H116),"",SMALL(IF(Podcasts!$D$10:'Podcasts'!$D$2535=$B153,Podcasts!$E$10:'Podcasts'!$E$2535),COLUMN(H116)))</f>
        <v/>
      </c>
      <c r="AB153" s="404" t="str">
        <f t="array" ref="AB153">IF(AA153="","",INDEX(Podcasts!$F$10:'Podcasts'!$F$2535,MATCH(AA153&amp;$B153,Podcasts!$E$10:'Podcasts'!$E$2535&amp;Podcasts!$D$10:'Podcasts'!$D$2535,0)))</f>
        <v/>
      </c>
      <c r="AC153" s="406" t="str">
        <f t="array" ref="AC153">IF(AD153="","",INDEX(Podcasts!$J$10:'Podcasts'!$J$2535,MATCH(AD153&amp;$B153,Podcasts!$E$10:'Podcasts'!$E$2535&amp;Podcasts!$D$10:'Podcasts'!$D$2535,0)))</f>
        <v/>
      </c>
      <c r="AD153" s="400" t="str">
        <f t="array" ref="AD153">IF(COUNTIF(Podcasts!$D$10:'Podcasts'!$D$2535,$B153)&lt;COLUMN(I116),"",SMALL(IF(Podcasts!$D$10:'Podcasts'!$D$2535=$B153,Podcasts!$E$10:'Podcasts'!$E$2535),COLUMN(I116)))</f>
        <v/>
      </c>
      <c r="AE153" s="401" t="str">
        <f t="array" ref="AE153">IF(AD153="","",INDEX(Podcasts!$F$10:'Podcasts'!$F$2535,MATCH(AD153&amp;$B153,Podcasts!$E$10:'Podcasts'!$E$2535&amp;Podcasts!$D$10:'Podcasts'!$D$2535,0)))</f>
        <v/>
      </c>
      <c r="AF153" s="406" t="str">
        <f t="array" ref="AF153">IF(AG153="","",INDEX(Podcasts!$J$10:'Podcasts'!$J$2535,MATCH(AG153&amp;$B153,Podcasts!$E$10:'Podcasts'!$E$2535&amp;Podcasts!$D$10:'Podcasts'!$D$2535,0)))</f>
        <v/>
      </c>
      <c r="AG153" s="400" t="str">
        <f t="array" ref="AG153">IF(COUNTIF(Podcasts!$D$10:'Podcasts'!$D$2535,$B153)&lt;COLUMN(J116),"",SMALL(IF(Podcasts!$D$10:'Podcasts'!$D$2535=$B153,Podcasts!$E$10:'Podcasts'!$E$2535),COLUMN(J116)))</f>
        <v/>
      </c>
      <c r="AH153" s="401" t="str">
        <f t="array" ref="AH153">IF(AG153="","",INDEX(Podcasts!$F$10:'Podcasts'!$F$2535,MATCH(AG153&amp;$B153,Podcasts!$E$10:'Podcasts'!$E$2535&amp;Podcasts!$D$10:'Podcasts'!$D$2535,0)))</f>
        <v/>
      </c>
      <c r="AI153" s="406" t="str">
        <f t="array" ref="AI153">IF(AJ153="","",INDEX(Podcasts!$J$10:'Podcasts'!$J$2535,MATCH(AJ153&amp;$B153,Podcasts!$E$10:'Podcasts'!$E$2535&amp;Podcasts!$D$10:'Podcasts'!$D$2535,0)))</f>
        <v/>
      </c>
      <c r="AJ153" s="400" t="str">
        <f t="array" ref="AJ153">IF(COUNTIF(Podcasts!$D$10:'Podcasts'!$D$2535,$B153)&lt;COLUMN(K116),"",SMALL(IF(Podcasts!$D$10:'Podcasts'!$D$2535=$B153,Podcasts!$E$10:'Podcasts'!$E$2535),COLUMN(K116)))</f>
        <v/>
      </c>
      <c r="AK153" s="401" t="str">
        <f t="array" ref="AK153">IF(AJ153="","",INDEX(Podcasts!$F$10:'Podcasts'!$F$2535,MATCH(AJ153&amp;$B153,Podcasts!$E$10:'Podcasts'!$E$2535&amp;Podcasts!$D$10:'Podcasts'!$D$2535,0)))</f>
        <v/>
      </c>
      <c r="AL153" s="406" t="str">
        <f t="array" ref="AL153">IF(AM153="","",INDEX(Podcasts!$J$10:'Podcasts'!$J$2535,MATCH(AM153&amp;$B153,Podcasts!$E$10:'Podcasts'!$E$2535&amp;Podcasts!$D$10:'Podcasts'!$D$2535,0)))</f>
        <v/>
      </c>
      <c r="AM153" s="400" t="str">
        <f t="array" ref="AM153">IF(COUNTIF(Podcasts!$D$10:'Podcasts'!$D$2535,$B153)&lt;COLUMN(L116),"",SMALL(IF(Podcasts!$D$10:'Podcasts'!$D$2535=$B153,Podcasts!$E$10:'Podcasts'!$E$2535),COLUMN(L116)))</f>
        <v/>
      </c>
      <c r="AN153" s="401" t="str">
        <f t="array" ref="AN153">IF(AM153="","",INDEX(Podcasts!$F$10:'Podcasts'!$F$2535,MATCH(AM153&amp;$B153,Podcasts!$E$10:'Podcasts'!$E$2535&amp;Podcasts!$D$10:'Podcasts'!$D$2535,0)))</f>
        <v/>
      </c>
      <c r="AO153" s="402"/>
      <c r="AP153" s="119"/>
      <c r="AQ153" s="117">
        <f t="array" aca="1" ref="AQ153" ca="1">IFERROR(SMALL(IF(COUNTIF(Podcasts!$D$10:'Podcasts'!$D$107,ROW(INDIRECT("1:"&amp;K$2)))=0,ROW(INDIRECT("1:"&amp;K$2))),ROW($A110)),"")</f>
        <v>142</v>
      </c>
      <c r="AR153" s="117">
        <f t="array" aca="1" ref="AR153" ca="1">IFERROR(SMALL(IF(COUNTIF(Podcasts!$D$113:'Podcasts'!$D$238,ROW(INDIRECT("1:"&amp;K$2)))=0,ROW(INDIRECT("1:"&amp;K$2))),ROW($A110)),"")</f>
        <v>110</v>
      </c>
      <c r="AS153" s="117">
        <f t="array" aca="1" ref="AS153" ca="1">IFERROR(SMALL(IF(COUNTIF(Podcasts!$D$244:'Podcasts'!$D$299,ROW(INDIRECT("1:"&amp;K$2)))=0,ROW(INDIRECT("1:"&amp;K$2))),ROW($A110)),"")</f>
        <v>129</v>
      </c>
      <c r="AT153" s="117"/>
      <c r="AU153" s="117">
        <f t="array" aca="1" ref="AU153" ca="1">IFERROR(SMALL(IF(COUNTIF(Podcasts!$D$479:'Podcasts'!$D$488,ROW(INDIRECT("1:"&amp;K$2)))=0,ROW(INDIRECT("1:"&amp;K$2))),ROW($A110)),"")</f>
        <v>112</v>
      </c>
      <c r="AV153" s="117">
        <f t="array" aca="1" ref="AV153" ca="1">IFERROR(SMALL(IF(COUNTIF(Podcasts!$D$494:'Podcasts'!$D$518,ROW(INDIRECT("1:"&amp;K$2)))=0,ROW(INDIRECT("1:"&amp;K$2))),ROW($A110)),"")</f>
        <v>131</v>
      </c>
      <c r="AW153" s="117">
        <f t="array" aca="1" ref="AW153" ca="1">IFERROR(SMALL(IF(COUNTIF(Podcasts!$D$524:'Podcasts'!$D$532,ROW(INDIRECT("1:"&amp;K$2)))=0,ROW(INDIRECT("1:"&amp;K$2))),ROW($A110)),"")</f>
        <v>111</v>
      </c>
      <c r="AX153" s="117"/>
      <c r="AY153" s="117">
        <f t="array" aca="1" ref="AY153" ca="1">IFERROR(SMALL(IF(COUNTIF(Podcasts!$D$915:'Podcasts'!$D$981,ROW(INDIRECT("1:"&amp;K$2)))=0,ROW(INDIRECT("1:"&amp;K$2))),ROW($A110)),"")</f>
        <v>157</v>
      </c>
      <c r="AZ153" s="445"/>
      <c r="BA153" s="117">
        <f t="array" aca="1" ref="BA153" ca="1">IFERROR(SMALL(IF(COUNTIF(Podcasts!$D$1001:'Podcasts'!$D$1251,ROW(INDIRECT("1:"&amp;K$2)))=0,ROW(INDIRECT("1:"&amp;K$2))),ROW($A110)),"")</f>
        <v>158</v>
      </c>
      <c r="BB153" s="117">
        <f t="array" aca="1" ref="BB153" ca="1">IFERROR(SMALL(IF(COUNTIF(Podcasts!$D$1257:'Podcasts'!$D$1267,ROW(INDIRECT("1:"&amp;K$2)))=0,ROW(INDIRECT("1:"&amp;K$2))),ROW($A110)),"")</f>
        <v>115</v>
      </c>
      <c r="BC153" s="117">
        <f t="array" aca="1" ref="BC153" ca="1">IFERROR(SMALL(IF(COUNTIF(Podcasts!$D$1273:'Podcasts'!$D$1283,ROW(INDIRECT("1:"&amp;K$2)))=0,ROW(INDIRECT("1:"&amp;K$2))),ROW($A110)),"")</f>
        <v>114</v>
      </c>
      <c r="BD153" s="117">
        <f t="array" aca="1" ref="BD153" ca="1">IFERROR(SMALL(IF(COUNTIF(Podcasts!$D$1289:'Podcasts'!$D$1295,ROW(INDIRECT("1:"&amp;K$2)))=0,ROW(INDIRECT("1:"&amp;K$2))),ROW($A110)),"")</f>
        <v>114</v>
      </c>
      <c r="BE153" s="117">
        <f t="array" aca="1" ref="BE153" ca="1">IFERROR(SMALL(IF(COUNTIF(Podcasts!$D$1301:'Podcasts'!$D$1356,ROW(INDIRECT("1:"&amp;K$2)))=0,ROW(INDIRECT("1:"&amp;K$2))),ROW($A110)),"")</f>
        <v>157</v>
      </c>
      <c r="BF153" s="117">
        <f t="array" aca="1" ref="BF153" ca="1">IFERROR(SMALL(IF(COUNTIF(Podcasts!$D$1362:'Podcasts'!$D$1364,ROW(INDIRECT("1:"&amp;K$2)))=0,ROW(INDIRECT("1:"&amp;K$2))),ROW($A110)),"")</f>
        <v>113</v>
      </c>
      <c r="BG153" s="202">
        <f t="array" aca="1" ref="BG153" ca="1">IFERROR(SMALL(IF(COUNTIF(Podcasts!$D$1370:'Podcasts'!$D$1419,ROW(INDIRECT("1:"&amp;K$2)))=0,ROW(INDIRECT("1:"&amp;K$2))),ROW($A110)),"")</f>
        <v>137</v>
      </c>
      <c r="BH153" s="202">
        <f t="array" aca="1" ref="BH153" ca="1">IFERROR(SMALL(IF(COUNTIF(Podcasts!$D$1425:'Podcasts'!$D$1446,ROW(INDIRECT("1:"&amp;K$2)))=0,ROW(INDIRECT("1:"&amp;K$2))),ROW($A110)),"")</f>
        <v>120</v>
      </c>
      <c r="BI153" s="202">
        <f t="array" aca="1" ref="BI153" ca="1">IFERROR(SMALL(IF(COUNTIF(Podcasts!$D$1452:'Podcasts'!$D$1574,ROW(INDIRECT("1:"&amp;K$2)))=0,ROW(INDIRECT("1:"&amp;K$2))),ROW($A110)),"")</f>
        <v>178</v>
      </c>
      <c r="BJ153" s="202">
        <f t="array" aca="1" ref="BJ153" ca="1">IFERROR(SMALL(IF(COUNTIF(Podcasts!$D$1580:'Podcasts'!$D$1705,ROW(INDIRECT("1:"&amp;K$2)))=0,ROW(INDIRECT("1:"&amp;K$2))),ROW($A110)),"")</f>
        <v>178</v>
      </c>
      <c r="BK153" s="202">
        <f t="array" aca="1" ref="BK153" ca="1">IFERROR(SMALL(IF(COUNTIF(Podcasts!$D$1711:'Podcasts'!$D$1833,ROW(INDIRECT("1:"&amp;K$2)))=0,ROW(INDIRECT("1:"&amp;K$2))),ROW($A110)),"")</f>
        <v>171</v>
      </c>
      <c r="BL153" s="202">
        <f t="array" aca="1" ref="BL153" ca="1">IFERROR(SMALL(IF(COUNTIF(Podcasts!$D$1839:'Podcasts'!$D$1855,ROW(INDIRECT("1:"&amp;K$2)))=0,ROW(INDIRECT("1:"&amp;K$2))),ROW($A110)),"")</f>
        <v>119</v>
      </c>
      <c r="BM153" s="567">
        <f t="array" aca="1" ref="BM153" ca="1">IFERROR(SMALL(IF(COUNTIF(Podcasts!$D$1861:'Podcasts'!$D$1994,ROW(INDIRECT("1:"&amp;K$2)))=0,ROW(INDIRECT("1:"&amp;K$2))),ROW($A110)),"")</f>
        <v>150</v>
      </c>
      <c r="BN153" s="567">
        <f t="array" aca="1" ref="BN153" ca="1">IFERROR(SMALL(IF(COUNTIF(Podcasts!$D$2000:'Podcasts'!$D$2057,ROW(INDIRECT("1:"&amp;K$2)))=0,ROW(INDIRECT("1:"&amp;K$2))),ROW($A110)),"")</f>
        <v>165</v>
      </c>
      <c r="BO153" s="567">
        <f t="array" aca="1" ref="BO153" ca="1">IFERROR(SMALL(IF(COUNTIF(Podcasts!$D$2063:'Podcasts'!$D$2071,ROW(INDIRECT("1:"&amp;K$2)))=0,ROW(INDIRECT("1:"&amp;K$2))),ROW($A110)),"")</f>
        <v>116</v>
      </c>
      <c r="BP153" s="202">
        <f t="array" aca="1" ref="BP153" ca="1">IFERROR(SMALL(IF(COUNTIF(Podcasts!$D$2077:'Podcasts'!$D$2092,ROW(INDIRECT("1:"&amp;K$2)))=0,ROW(INDIRECT("1:"&amp;K$2))),ROW($A110)),"")</f>
        <v>121</v>
      </c>
      <c r="BQ153" s="741">
        <f t="array" aca="1" ref="BQ153" ca="1">IFERROR(SMALL(IF(COUNTIF(Podcasts!$D$2098:'Podcasts'!$D$2114,ROW(INDIRECT("1:"&amp;K$2)))=0,ROW(INDIRECT("1:"&amp;K$2))),ROW($A110)),"")</f>
        <v>118</v>
      </c>
      <c r="BR153" s="744">
        <f t="array" aca="1" ref="BR153" ca="1">IFERROR(SMALL(IF(COUNTIF(Podcasts!$D$2120:'Podcasts'!$D$2124,ROW(INDIRECT("1:"&amp;K$2)))=0,ROW(INDIRECT("1:"&amp;K$2))),ROW($A110)),"")</f>
        <v>112</v>
      </c>
      <c r="BS153" s="28"/>
    </row>
    <row r="154" spans="1:71" outlineLevel="1">
      <c r="A154" s="28"/>
      <c r="B154" s="161">
        <v>111</v>
      </c>
      <c r="C154" s="161">
        <f>COUNTIF(Podcasts!$D$10:'Podcasts'!$D$2535,B154)</f>
        <v>6</v>
      </c>
      <c r="D154" s="158" t="s">
        <v>1138</v>
      </c>
      <c r="E154" s="156" t="str">
        <f t="array" ref="E154">IF(F154="","",INDEX(Podcasts!$J$10:'Podcasts'!$J$2535,MATCH(F154&amp;$B154,Podcasts!$E$10:'Podcasts'!$E$2535&amp;Podcasts!$D$10:'Podcasts'!$D$2535,0)))</f>
        <v>Talker</v>
      </c>
      <c r="F154" s="131">
        <f t="array" ref="F154">IF(COUNTIF(Podcasts!$D$10:'Podcasts'!$D$2535,$B154)&lt;COLUMN(A117),"",SMALL(IF(Podcasts!$D$10:'Podcasts'!$D$2535=$B154,Podcasts!$E$10:'Podcasts'!$E$2535),COLUMN(A117)))</f>
        <v>41213</v>
      </c>
      <c r="G154" s="132">
        <f t="array" ref="G154">IF(F154="","",INDEX(Podcasts!$F$10:'Podcasts'!$F$2535,MATCH(F154&amp;$B154,Podcasts!$E$10:'Podcasts'!$E$2535&amp;Podcasts!$D$10:'Podcasts'!$D$2535,0)))</f>
        <v>1.8020833333333333E-2</v>
      </c>
      <c r="H154" s="136" t="str">
        <f t="array" ref="H154">IF(I154="","",INDEX(Podcasts!$J$10:'Podcasts'!$J$2535,MATCH(I154&amp;$B154,Podcasts!$E$10:'Podcasts'!$E$2535&amp;Podcasts!$D$10:'Podcasts'!$D$2535,0)))</f>
        <v>Fürst</v>
      </c>
      <c r="I154" s="133">
        <f t="array" ref="I154">IF(COUNTIF(Podcasts!$D$10:'Podcasts'!$D$2535,$B154)&lt;COLUMN(B117),"",SMALL(IF(Podcasts!$D$10:'Podcasts'!$D$2535=$B154,Podcasts!$E$10:'Podcasts'!$E$2535),COLUMN(B117)))</f>
        <v>42022</v>
      </c>
      <c r="J154" s="132">
        <f t="array" ref="J154">IF(I154="","",INDEX(Podcasts!$F$10:'Podcasts'!$F$2535,MATCH(I154&amp;$B154,Podcasts!$E$10:'Podcasts'!$E$2535&amp;Podcasts!$D$10:'Podcasts'!$D$2535,0)))</f>
        <v>7.0023148148148154E-3</v>
      </c>
      <c r="K154" s="136" t="str">
        <f t="array" ref="K154">IF(L154="","",INDEX(Podcasts!$J$10:'Podcasts'!$J$2535,MATCH(L154&amp;$B154,Podcasts!$E$10:'Podcasts'!$E$2535&amp;Podcasts!$D$10:'Podcasts'!$D$2535,0)))</f>
        <v>SSP</v>
      </c>
      <c r="L154" s="133">
        <f t="array" ref="L154">IF(COUNTIF(Podcasts!$D$10:'Podcasts'!$D$2535,$B154)&lt;COLUMN(C117),"",SMALL(IF(Podcasts!$D$10:'Podcasts'!$D$2535=$B154,Podcasts!$E$10:'Podcasts'!$E$2535),COLUMN(C117)))</f>
        <v>44282</v>
      </c>
      <c r="M154" s="132">
        <f t="array" ref="M154">IF(L154="","",INDEX(Podcasts!$F$10:'Podcasts'!$F$2535,MATCH(L154&amp;$B154,Podcasts!$E$10:'Podcasts'!$E$2535&amp;Podcasts!$D$10:'Podcasts'!$D$2535,0)))</f>
        <v>9.2847222222222234E-2</v>
      </c>
      <c r="N154" s="136" t="str">
        <f t="array" ref="N154">IF(O154="","",INDEX(Podcasts!$J$10:'Podcasts'!$J$2535,MATCH(O154&amp;$B154,Podcasts!$E$10:'Podcasts'!$E$2535&amp;Podcasts!$D$10:'Podcasts'!$D$2535,0)))</f>
        <v>Platz</v>
      </c>
      <c r="O154" s="133">
        <f t="array" ref="O154">IF(COUNTIF(Podcasts!$D$10:'Podcasts'!$D$2535,$B154)&lt;COLUMN(D117),"",SMALL(IF(Podcasts!$D$10:'Podcasts'!$D$2535=$B154,Podcasts!$E$10:'Podcasts'!$E$2535),COLUMN(D117)))</f>
        <v>44367</v>
      </c>
      <c r="P154" s="132">
        <f t="array" ref="P154">IF(O154="","",INDEX(Podcasts!$F$10:'Podcasts'!$F$2535,MATCH(O154&amp;$B154,Podcasts!$E$10:'Podcasts'!$E$2535&amp;Podcasts!$D$10:'Podcasts'!$D$2535,0)))</f>
        <v>6.6724537037037041E-2</v>
      </c>
      <c r="Q154" s="136" t="str">
        <f t="array" ref="Q154">IF(R154="","",INDEX(Podcasts!$J$10:'Podcasts'!$J$2535,MATCH(R154&amp;$B154,Podcasts!$E$10:'Podcasts'!$E$2535&amp;Podcasts!$D$10:'Podcasts'!$D$2535,0)))</f>
        <v>Zw3i</v>
      </c>
      <c r="R154" s="133">
        <f t="array" ref="R154">IF(COUNTIF(Podcasts!$D$10:'Podcasts'!$D$2535,$B154)&lt;COLUMN(E117),"",SMALL(IF(Podcasts!$D$10:'Podcasts'!$D$2535=$B154,Podcasts!$E$10:'Podcasts'!$E$2535),COLUMN(E117)))</f>
        <v>44645.083333333336</v>
      </c>
      <c r="S154" s="132">
        <f t="array" ref="S154">IF(R154="","",INDEX(Podcasts!$F$10:'Podcasts'!$F$2535,MATCH(R154&amp;$B154,Podcasts!$E$10:'Podcasts'!$E$2535&amp;Podcasts!$D$10:'Podcasts'!$D$2535,0)))</f>
        <v>7.9988425925925921E-2</v>
      </c>
      <c r="T154" s="136" t="str">
        <f t="array" ref="T154">IF(U154="","",INDEX(Podcasts!$J$10:'Podcasts'!$J$2535,MATCH(U154&amp;$B154,Podcasts!$E$10:'Podcasts'!$E$2535&amp;Podcasts!$D$10:'Podcasts'!$D$2535,0)))</f>
        <v>DGdB</v>
      </c>
      <c r="U154" s="133">
        <f t="array" ref="U154">IF(COUNTIF(Podcasts!$D$10:'Podcasts'!$D$2535,$B154)&lt;COLUMN(F117),"",SMALL(IF(Podcasts!$D$10:'Podcasts'!$D$2535=$B154,Podcasts!$E$10:'Podcasts'!$E$2535),COLUMN(F117)))</f>
        <v>45108</v>
      </c>
      <c r="V154" s="132">
        <f t="array" ref="V154">IF(U154="","",INDEX(Podcasts!$F$10:'Podcasts'!$F$2535,MATCH(U154&amp;$B154,Podcasts!$E$10:'Podcasts'!$E$2535&amp;Podcasts!$D$10:'Podcasts'!$D$2535,0)))</f>
        <v>0.18004629629629629</v>
      </c>
      <c r="W154" s="136" t="str">
        <f t="array" ref="W154">IF(X154="","",INDEX(Podcasts!$J$10:'Podcasts'!$J$2535,MATCH(X154&amp;$B154,Podcasts!$E$10:'Podcasts'!$E$2535&amp;Podcasts!$D$10:'Podcasts'!$D$2535,0)))</f>
        <v/>
      </c>
      <c r="X154" s="133" t="str">
        <f t="array" ref="X154">IF(COUNTIF(Podcasts!$D$10:'Podcasts'!$D$2535,$B154)&lt;COLUMN(G117),"",SMALL(IF(Podcasts!$D$10:'Podcasts'!$D$2535=$B154,Podcasts!$E$10:'Podcasts'!$E$2535),COLUMN(G117)))</f>
        <v/>
      </c>
      <c r="Y154" s="132" t="str">
        <f t="array" ref="Y154">IF(X154="","",INDEX(Podcasts!$F$10:'Podcasts'!$F$2535,MATCH(X154&amp;$B154,Podcasts!$E$10:'Podcasts'!$E$2535&amp;Podcasts!$D$10:'Podcasts'!$D$2535,0)))</f>
        <v/>
      </c>
      <c r="Z154" s="136" t="str">
        <f t="array" ref="Z154">IF(AA154="","",INDEX(Podcasts!$J$10:'Podcasts'!$J$2535,MATCH(AA154&amp;$B154,Podcasts!$E$10:'Podcasts'!$E$2535&amp;Podcasts!$D$10:'Podcasts'!$D$2535,0)))</f>
        <v/>
      </c>
      <c r="AA154" s="134" t="str">
        <f t="array" ref="AA154">IF(COUNTIF(Podcasts!$D$10:'Podcasts'!$D$2535,$B154)&lt;COLUMN(H117),"",SMALL(IF(Podcasts!$D$10:'Podcasts'!$D$2535=$B154,Podcasts!$E$10:'Podcasts'!$E$2535),COLUMN(H117)))</f>
        <v/>
      </c>
      <c r="AB154" s="404" t="str">
        <f t="array" ref="AB154">IF(AA154="","",INDEX(Podcasts!$F$10:'Podcasts'!$F$2535,MATCH(AA154&amp;$B154,Podcasts!$E$10:'Podcasts'!$E$2535&amp;Podcasts!$D$10:'Podcasts'!$D$2535,0)))</f>
        <v/>
      </c>
      <c r="AC154" s="406" t="str">
        <f t="array" ref="AC154">IF(AD154="","",INDEX(Podcasts!$J$10:'Podcasts'!$J$2535,MATCH(AD154&amp;$B154,Podcasts!$E$10:'Podcasts'!$E$2535&amp;Podcasts!$D$10:'Podcasts'!$D$2535,0)))</f>
        <v/>
      </c>
      <c r="AD154" s="400" t="str">
        <f t="array" ref="AD154">IF(COUNTIF(Podcasts!$D$10:'Podcasts'!$D$2535,$B154)&lt;COLUMN(I117),"",SMALL(IF(Podcasts!$D$10:'Podcasts'!$D$2535=$B154,Podcasts!$E$10:'Podcasts'!$E$2535),COLUMN(I117)))</f>
        <v/>
      </c>
      <c r="AE154" s="401" t="str">
        <f t="array" ref="AE154">IF(AD154="","",INDEX(Podcasts!$F$10:'Podcasts'!$F$2535,MATCH(AD154&amp;$B154,Podcasts!$E$10:'Podcasts'!$E$2535&amp;Podcasts!$D$10:'Podcasts'!$D$2535,0)))</f>
        <v/>
      </c>
      <c r="AF154" s="406" t="str">
        <f t="array" ref="AF154">IF(AG154="","",INDEX(Podcasts!$J$10:'Podcasts'!$J$2535,MATCH(AG154&amp;$B154,Podcasts!$E$10:'Podcasts'!$E$2535&amp;Podcasts!$D$10:'Podcasts'!$D$2535,0)))</f>
        <v/>
      </c>
      <c r="AG154" s="400" t="str">
        <f t="array" ref="AG154">IF(COUNTIF(Podcasts!$D$10:'Podcasts'!$D$2535,$B154)&lt;COLUMN(J117),"",SMALL(IF(Podcasts!$D$10:'Podcasts'!$D$2535=$B154,Podcasts!$E$10:'Podcasts'!$E$2535),COLUMN(J117)))</f>
        <v/>
      </c>
      <c r="AH154" s="401" t="str">
        <f t="array" ref="AH154">IF(AG154="","",INDEX(Podcasts!$F$10:'Podcasts'!$F$2535,MATCH(AG154&amp;$B154,Podcasts!$E$10:'Podcasts'!$E$2535&amp;Podcasts!$D$10:'Podcasts'!$D$2535,0)))</f>
        <v/>
      </c>
      <c r="AI154" s="406" t="str">
        <f t="array" ref="AI154">IF(AJ154="","",INDEX(Podcasts!$J$10:'Podcasts'!$J$2535,MATCH(AJ154&amp;$B154,Podcasts!$E$10:'Podcasts'!$E$2535&amp;Podcasts!$D$10:'Podcasts'!$D$2535,0)))</f>
        <v/>
      </c>
      <c r="AJ154" s="400" t="str">
        <f t="array" ref="AJ154">IF(COUNTIF(Podcasts!$D$10:'Podcasts'!$D$2535,$B154)&lt;COLUMN(K117),"",SMALL(IF(Podcasts!$D$10:'Podcasts'!$D$2535=$B154,Podcasts!$E$10:'Podcasts'!$E$2535),COLUMN(K117)))</f>
        <v/>
      </c>
      <c r="AK154" s="401" t="str">
        <f t="array" ref="AK154">IF(AJ154="","",INDEX(Podcasts!$F$10:'Podcasts'!$F$2535,MATCH(AJ154&amp;$B154,Podcasts!$E$10:'Podcasts'!$E$2535&amp;Podcasts!$D$10:'Podcasts'!$D$2535,0)))</f>
        <v/>
      </c>
      <c r="AL154" s="406" t="str">
        <f t="array" ref="AL154">IF(AM154="","",INDEX(Podcasts!$J$10:'Podcasts'!$J$2535,MATCH(AM154&amp;$B154,Podcasts!$E$10:'Podcasts'!$E$2535&amp;Podcasts!$D$10:'Podcasts'!$D$2535,0)))</f>
        <v/>
      </c>
      <c r="AM154" s="400" t="str">
        <f t="array" ref="AM154">IF(COUNTIF(Podcasts!$D$10:'Podcasts'!$D$2535,$B154)&lt;COLUMN(L117),"",SMALL(IF(Podcasts!$D$10:'Podcasts'!$D$2535=$B154,Podcasts!$E$10:'Podcasts'!$E$2535),COLUMN(L117)))</f>
        <v/>
      </c>
      <c r="AN154" s="401" t="str">
        <f t="array" ref="AN154">IF(AM154="","",INDEX(Podcasts!$F$10:'Podcasts'!$F$2535,MATCH(AM154&amp;$B154,Podcasts!$E$10:'Podcasts'!$E$2535&amp;Podcasts!$D$10:'Podcasts'!$D$2535,0)))</f>
        <v/>
      </c>
      <c r="AO154" s="402"/>
      <c r="AP154" s="119"/>
      <c r="AQ154" s="117">
        <f t="array" aca="1" ref="AQ154" ca="1">IFERROR(SMALL(IF(COUNTIF(Podcasts!$D$10:'Podcasts'!$D$107,ROW(INDIRECT("1:"&amp;K$2)))=0,ROW(INDIRECT("1:"&amp;K$2))),ROW($A111)),"")</f>
        <v>143</v>
      </c>
      <c r="AR154" s="117">
        <f t="array" aca="1" ref="AR154" ca="1">IFERROR(SMALL(IF(COUNTIF(Podcasts!$D$113:'Podcasts'!$D$238,ROW(INDIRECT("1:"&amp;K$2)))=0,ROW(INDIRECT("1:"&amp;K$2))),ROW($A111)),"")</f>
        <v>111</v>
      </c>
      <c r="AS154" s="117">
        <f t="array" aca="1" ref="AS154" ca="1">IFERROR(SMALL(IF(COUNTIF(Podcasts!$D$244:'Podcasts'!$D$299,ROW(INDIRECT("1:"&amp;K$2)))=0,ROW(INDIRECT("1:"&amp;K$2))),ROW($A111)),"")</f>
        <v>130</v>
      </c>
      <c r="AT154" s="117"/>
      <c r="AU154" s="117">
        <f t="array" aca="1" ref="AU154" ca="1">IFERROR(SMALL(IF(COUNTIF(Podcasts!$D$479:'Podcasts'!$D$488,ROW(INDIRECT("1:"&amp;K$2)))=0,ROW(INDIRECT("1:"&amp;K$2))),ROW($A111)),"")</f>
        <v>113</v>
      </c>
      <c r="AV154" s="117">
        <f t="array" aca="1" ref="AV154" ca="1">IFERROR(SMALL(IF(COUNTIF(Podcasts!$D$494:'Podcasts'!$D$518,ROW(INDIRECT("1:"&amp;K$2)))=0,ROW(INDIRECT("1:"&amp;K$2))),ROW($A111)),"")</f>
        <v>132</v>
      </c>
      <c r="AW154" s="117">
        <f t="array" aca="1" ref="AW154" ca="1">IFERROR(SMALL(IF(COUNTIF(Podcasts!$D$524:'Podcasts'!$D$532,ROW(INDIRECT("1:"&amp;K$2)))=0,ROW(INDIRECT("1:"&amp;K$2))),ROW($A111)),"")</f>
        <v>112</v>
      </c>
      <c r="AX154" s="117"/>
      <c r="AY154" s="117">
        <f t="array" aca="1" ref="AY154" ca="1">IFERROR(SMALL(IF(COUNTIF(Podcasts!$D$915:'Podcasts'!$D$981,ROW(INDIRECT("1:"&amp;K$2)))=0,ROW(INDIRECT("1:"&amp;K$2))),ROW($A111)),"")</f>
        <v>158</v>
      </c>
      <c r="AZ154" s="445"/>
      <c r="BA154" s="117">
        <f t="array" aca="1" ref="BA154" ca="1">IFERROR(SMALL(IF(COUNTIF(Podcasts!$D$1001:'Podcasts'!$D$1251,ROW(INDIRECT("1:"&amp;K$2)))=0,ROW(INDIRECT("1:"&amp;K$2))),ROW($A111)),"")</f>
        <v>159</v>
      </c>
      <c r="BB154" s="117">
        <f t="array" aca="1" ref="BB154" ca="1">IFERROR(SMALL(IF(COUNTIF(Podcasts!$D$1257:'Podcasts'!$D$1267,ROW(INDIRECT("1:"&amp;K$2)))=0,ROW(INDIRECT("1:"&amp;K$2))),ROW($A111)),"")</f>
        <v>116</v>
      </c>
      <c r="BC154" s="117">
        <f t="array" aca="1" ref="BC154" ca="1">IFERROR(SMALL(IF(COUNTIF(Podcasts!$D$1273:'Podcasts'!$D$1283,ROW(INDIRECT("1:"&amp;K$2)))=0,ROW(INDIRECT("1:"&amp;K$2))),ROW($A111)),"")</f>
        <v>115</v>
      </c>
      <c r="BD154" s="117">
        <f t="array" aca="1" ref="BD154" ca="1">IFERROR(SMALL(IF(COUNTIF(Podcasts!$D$1289:'Podcasts'!$D$1295,ROW(INDIRECT("1:"&amp;K$2)))=0,ROW(INDIRECT("1:"&amp;K$2))),ROW($A111)),"")</f>
        <v>115</v>
      </c>
      <c r="BE154" s="117">
        <f t="array" aca="1" ref="BE154" ca="1">IFERROR(SMALL(IF(COUNTIF(Podcasts!$D$1301:'Podcasts'!$D$1356,ROW(INDIRECT("1:"&amp;K$2)))=0,ROW(INDIRECT("1:"&amp;K$2))),ROW($A111)),"")</f>
        <v>158</v>
      </c>
      <c r="BF154" s="117">
        <f t="array" aca="1" ref="BF154" ca="1">IFERROR(SMALL(IF(COUNTIF(Podcasts!$D$1362:'Podcasts'!$D$1364,ROW(INDIRECT("1:"&amp;K$2)))=0,ROW(INDIRECT("1:"&amp;K$2))),ROW($A111)),"")</f>
        <v>114</v>
      </c>
      <c r="BG154" s="202">
        <f t="array" aca="1" ref="BG154" ca="1">IFERROR(SMALL(IF(COUNTIF(Podcasts!$D$1370:'Podcasts'!$D$1419,ROW(INDIRECT("1:"&amp;K$2)))=0,ROW(INDIRECT("1:"&amp;K$2))),ROW($A111)),"")</f>
        <v>139</v>
      </c>
      <c r="BH154" s="202">
        <f t="array" aca="1" ref="BH154" ca="1">IFERROR(SMALL(IF(COUNTIF(Podcasts!$D$1425:'Podcasts'!$D$1446,ROW(INDIRECT("1:"&amp;K$2)))=0,ROW(INDIRECT("1:"&amp;K$2))),ROW($A111)),"")</f>
        <v>121</v>
      </c>
      <c r="BI154" s="202">
        <f t="array" aca="1" ref="BI154" ca="1">IFERROR(SMALL(IF(COUNTIF(Podcasts!$D$1452:'Podcasts'!$D$1574,ROW(INDIRECT("1:"&amp;K$2)))=0,ROW(INDIRECT("1:"&amp;K$2))),ROW($A111)),"")</f>
        <v>179</v>
      </c>
      <c r="BJ154" s="202">
        <f t="array" aca="1" ref="BJ154" ca="1">IFERROR(SMALL(IF(COUNTIF(Podcasts!$D$1580:'Podcasts'!$D$1705,ROW(INDIRECT("1:"&amp;K$2)))=0,ROW(INDIRECT("1:"&amp;K$2))),ROW($A111)),"")</f>
        <v>179</v>
      </c>
      <c r="BK154" s="202">
        <f t="array" aca="1" ref="BK154" ca="1">IFERROR(SMALL(IF(COUNTIF(Podcasts!$D$1711:'Podcasts'!$D$1833,ROW(INDIRECT("1:"&amp;K$2)))=0,ROW(INDIRECT("1:"&amp;K$2))),ROW($A111)),"")</f>
        <v>173</v>
      </c>
      <c r="BL154" s="202">
        <f t="array" aca="1" ref="BL154" ca="1">IFERROR(SMALL(IF(COUNTIF(Podcasts!$D$1839:'Podcasts'!$D$1855,ROW(INDIRECT("1:"&amp;K$2)))=0,ROW(INDIRECT("1:"&amp;K$2))),ROW($A111)),"")</f>
        <v>120</v>
      </c>
      <c r="BM154" s="567">
        <f t="array" aca="1" ref="BM154" ca="1">IFERROR(SMALL(IF(COUNTIF(Podcasts!$D$1861:'Podcasts'!$D$1994,ROW(INDIRECT("1:"&amp;K$2)))=0,ROW(INDIRECT("1:"&amp;K$2))),ROW($A111)),"")</f>
        <v>151</v>
      </c>
      <c r="BN154" s="567">
        <f t="array" aca="1" ref="BN154" ca="1">IFERROR(SMALL(IF(COUNTIF(Podcasts!$D$2000:'Podcasts'!$D$2057,ROW(INDIRECT("1:"&amp;K$2)))=0,ROW(INDIRECT("1:"&amp;K$2))),ROW($A111)),"")</f>
        <v>166</v>
      </c>
      <c r="BO154" s="567">
        <f t="array" aca="1" ref="BO154" ca="1">IFERROR(SMALL(IF(COUNTIF(Podcasts!$D$2063:'Podcasts'!$D$2071,ROW(INDIRECT("1:"&amp;K$2)))=0,ROW(INDIRECT("1:"&amp;K$2))),ROW($A111)),"")</f>
        <v>117</v>
      </c>
      <c r="BP154" s="202">
        <f t="array" aca="1" ref="BP154" ca="1">IFERROR(SMALL(IF(COUNTIF(Podcasts!$D$2077:'Podcasts'!$D$2092,ROW(INDIRECT("1:"&amp;K$2)))=0,ROW(INDIRECT("1:"&amp;K$2))),ROW($A111)),"")</f>
        <v>122</v>
      </c>
      <c r="BQ154" s="741">
        <f t="array" aca="1" ref="BQ154" ca="1">IFERROR(SMALL(IF(COUNTIF(Podcasts!$D$2098:'Podcasts'!$D$2114,ROW(INDIRECT("1:"&amp;K$2)))=0,ROW(INDIRECT("1:"&amp;K$2))),ROW($A111)),"")</f>
        <v>120</v>
      </c>
      <c r="BR154" s="744">
        <f t="array" aca="1" ref="BR154" ca="1">IFERROR(SMALL(IF(COUNTIF(Podcasts!$D$2120:'Podcasts'!$D$2124,ROW(INDIRECT("1:"&amp;K$2)))=0,ROW(INDIRECT("1:"&amp;K$2))),ROW($A111)),"")</f>
        <v>113</v>
      </c>
      <c r="BS154" s="28"/>
    </row>
    <row r="155" spans="1:71" outlineLevel="1">
      <c r="A155" s="28"/>
      <c r="B155" s="161">
        <v>112</v>
      </c>
      <c r="C155" s="161">
        <f>COUNTIF(Podcasts!$D$10:'Podcasts'!$D$2535,B155)</f>
        <v>2</v>
      </c>
      <c r="D155" s="158" t="s">
        <v>1139</v>
      </c>
      <c r="E155" s="156" t="str">
        <f t="array" ref="E155">IF(F155="","",INDEX(Podcasts!$J$10:'Podcasts'!$J$2535,MATCH(F155&amp;$B155,Podcasts!$E$10:'Podcasts'!$E$2535&amp;Podcasts!$D$10:'Podcasts'!$D$2535,0)))</f>
        <v>Fürst</v>
      </c>
      <c r="F155" s="131">
        <f t="array" ref="F155">IF(COUNTIF(Podcasts!$D$10:'Podcasts'!$D$2535,$B155)&lt;COLUMN(A118),"",SMALL(IF(Podcasts!$D$10:'Podcasts'!$D$2535=$B155,Podcasts!$E$10:'Podcasts'!$E$2535),COLUMN(A118)))</f>
        <v>41811</v>
      </c>
      <c r="G155" s="132">
        <f t="array" ref="G155">IF(F155="","",INDEX(Podcasts!$F$10:'Podcasts'!$F$2535,MATCH(F155&amp;$B155,Podcasts!$E$10:'Podcasts'!$E$2535&amp;Podcasts!$D$10:'Podcasts'!$D$2535,0)))</f>
        <v>4.340277777777778E-3</v>
      </c>
      <c r="H155" s="136" t="str">
        <f t="array" ref="H155">IF(I155="","",INDEX(Podcasts!$J$10:'Podcasts'!$J$2535,MATCH(I155&amp;$B155,Podcasts!$E$10:'Podcasts'!$E$2535&amp;Podcasts!$D$10:'Podcasts'!$D$2535,0)))</f>
        <v>Schrott</v>
      </c>
      <c r="I155" s="133">
        <f t="array" ref="I155">IF(COUNTIF(Podcasts!$D$10:'Podcasts'!$D$2535,$B155)&lt;COLUMN(B118),"",SMALL(IF(Podcasts!$D$10:'Podcasts'!$D$2535=$B155,Podcasts!$E$10:'Podcasts'!$E$2535),COLUMN(B118)))</f>
        <v>43745</v>
      </c>
      <c r="J155" s="132">
        <f t="array" ref="J155">IF(I155="","",INDEX(Podcasts!$F$10:'Podcasts'!$F$2535,MATCH(I155&amp;$B155,Podcasts!$E$10:'Podcasts'!$E$2535&amp;Podcasts!$D$10:'Podcasts'!$D$2535,0)))</f>
        <v>4.4143518518518519E-2</v>
      </c>
      <c r="K155" s="136" t="str">
        <f t="array" ref="K155">IF(L155="","",INDEX(Podcasts!$J$10:'Podcasts'!$J$2535,MATCH(L155&amp;$B155,Podcasts!$E$10:'Podcasts'!$E$2535&amp;Podcasts!$D$10:'Podcasts'!$D$2535,0)))</f>
        <v/>
      </c>
      <c r="L155" s="133" t="str">
        <f t="array" ref="L155">IF(COUNTIF(Podcasts!$D$10:'Podcasts'!$D$2535,$B155)&lt;COLUMN(C118),"",SMALL(IF(Podcasts!$D$10:'Podcasts'!$D$2535=$B155,Podcasts!$E$10:'Podcasts'!$E$2535),COLUMN(C118)))</f>
        <v/>
      </c>
      <c r="M155" s="132" t="str">
        <f t="array" ref="M155">IF(L155="","",INDEX(Podcasts!$F$10:'Podcasts'!$F$2535,MATCH(L155&amp;$B155,Podcasts!$E$10:'Podcasts'!$E$2535&amp;Podcasts!$D$10:'Podcasts'!$D$2535,0)))</f>
        <v/>
      </c>
      <c r="N155" s="136" t="str">
        <f t="array" ref="N155">IF(O155="","",INDEX(Podcasts!$J$10:'Podcasts'!$J$2535,MATCH(O155&amp;$B155,Podcasts!$E$10:'Podcasts'!$E$2535&amp;Podcasts!$D$10:'Podcasts'!$D$2535,0)))</f>
        <v/>
      </c>
      <c r="O155" s="133" t="str">
        <f t="array" ref="O155">IF(COUNTIF(Podcasts!$D$10:'Podcasts'!$D$2535,$B155)&lt;COLUMN(D118),"",SMALL(IF(Podcasts!$D$10:'Podcasts'!$D$2535=$B155,Podcasts!$E$10:'Podcasts'!$E$2535),COLUMN(D118)))</f>
        <v/>
      </c>
      <c r="P155" s="132" t="str">
        <f t="array" ref="P155">IF(O155="","",INDEX(Podcasts!$F$10:'Podcasts'!$F$2535,MATCH(O155&amp;$B155,Podcasts!$E$10:'Podcasts'!$E$2535&amp;Podcasts!$D$10:'Podcasts'!$D$2535,0)))</f>
        <v/>
      </c>
      <c r="Q155" s="136" t="str">
        <f t="array" ref="Q155">IF(R155="","",INDEX(Podcasts!$J$10:'Podcasts'!$J$2535,MATCH(R155&amp;$B155,Podcasts!$E$10:'Podcasts'!$E$2535&amp;Podcasts!$D$10:'Podcasts'!$D$2535,0)))</f>
        <v/>
      </c>
      <c r="R155" s="133" t="str">
        <f t="array" ref="R155">IF(COUNTIF(Podcasts!$D$10:'Podcasts'!$D$2535,$B155)&lt;COLUMN(E118),"",SMALL(IF(Podcasts!$D$10:'Podcasts'!$D$2535=$B155,Podcasts!$E$10:'Podcasts'!$E$2535),COLUMN(E118)))</f>
        <v/>
      </c>
      <c r="S155" s="132" t="str">
        <f t="array" ref="S155">IF(R155="","",INDEX(Podcasts!$F$10:'Podcasts'!$F$2535,MATCH(R155&amp;$B155,Podcasts!$E$10:'Podcasts'!$E$2535&amp;Podcasts!$D$10:'Podcasts'!$D$2535,0)))</f>
        <v/>
      </c>
      <c r="T155" s="136" t="str">
        <f t="array" ref="T155">IF(U155="","",INDEX(Podcasts!$J$10:'Podcasts'!$J$2535,MATCH(U155&amp;$B155,Podcasts!$E$10:'Podcasts'!$E$2535&amp;Podcasts!$D$10:'Podcasts'!$D$2535,0)))</f>
        <v/>
      </c>
      <c r="U155" s="133" t="str">
        <f t="array" ref="U155">IF(COUNTIF(Podcasts!$D$10:'Podcasts'!$D$2535,$B155)&lt;COLUMN(F118),"",SMALL(IF(Podcasts!$D$10:'Podcasts'!$D$2535=$B155,Podcasts!$E$10:'Podcasts'!$E$2535),COLUMN(F118)))</f>
        <v/>
      </c>
      <c r="V155" s="132" t="str">
        <f t="array" ref="V155">IF(U155="","",INDEX(Podcasts!$F$10:'Podcasts'!$F$2535,MATCH(U155&amp;$B155,Podcasts!$E$10:'Podcasts'!$E$2535&amp;Podcasts!$D$10:'Podcasts'!$D$2535,0)))</f>
        <v/>
      </c>
      <c r="W155" s="136" t="str">
        <f t="array" ref="W155">IF(X155="","",INDEX(Podcasts!$J$10:'Podcasts'!$J$2535,MATCH(X155&amp;$B155,Podcasts!$E$10:'Podcasts'!$E$2535&amp;Podcasts!$D$10:'Podcasts'!$D$2535,0)))</f>
        <v/>
      </c>
      <c r="X155" s="133" t="str">
        <f t="array" ref="X155">IF(COUNTIF(Podcasts!$D$10:'Podcasts'!$D$2535,$B155)&lt;COLUMN(G118),"",SMALL(IF(Podcasts!$D$10:'Podcasts'!$D$2535=$B155,Podcasts!$E$10:'Podcasts'!$E$2535),COLUMN(G118)))</f>
        <v/>
      </c>
      <c r="Y155" s="132" t="str">
        <f t="array" ref="Y155">IF(X155="","",INDEX(Podcasts!$F$10:'Podcasts'!$F$2535,MATCH(X155&amp;$B155,Podcasts!$E$10:'Podcasts'!$E$2535&amp;Podcasts!$D$10:'Podcasts'!$D$2535,0)))</f>
        <v/>
      </c>
      <c r="Z155" s="136" t="str">
        <f t="array" ref="Z155">IF(AA155="","",INDEX(Podcasts!$J$10:'Podcasts'!$J$2535,MATCH(AA155&amp;$B155,Podcasts!$E$10:'Podcasts'!$E$2535&amp;Podcasts!$D$10:'Podcasts'!$D$2535,0)))</f>
        <v/>
      </c>
      <c r="AA155" s="134" t="str">
        <f t="array" ref="AA155">IF(COUNTIF(Podcasts!$D$10:'Podcasts'!$D$2535,$B155)&lt;COLUMN(H118),"",SMALL(IF(Podcasts!$D$10:'Podcasts'!$D$2535=$B155,Podcasts!$E$10:'Podcasts'!$E$2535),COLUMN(H118)))</f>
        <v/>
      </c>
      <c r="AB155" s="404" t="str">
        <f t="array" ref="AB155">IF(AA155="","",INDEX(Podcasts!$F$10:'Podcasts'!$F$2535,MATCH(AA155&amp;$B155,Podcasts!$E$10:'Podcasts'!$E$2535&amp;Podcasts!$D$10:'Podcasts'!$D$2535,0)))</f>
        <v/>
      </c>
      <c r="AC155" s="406" t="str">
        <f t="array" ref="AC155">IF(AD155="","",INDEX(Podcasts!$J$10:'Podcasts'!$J$2535,MATCH(AD155&amp;$B155,Podcasts!$E$10:'Podcasts'!$E$2535&amp;Podcasts!$D$10:'Podcasts'!$D$2535,0)))</f>
        <v/>
      </c>
      <c r="AD155" s="400" t="str">
        <f t="array" ref="AD155">IF(COUNTIF(Podcasts!$D$10:'Podcasts'!$D$2535,$B155)&lt;COLUMN(I118),"",SMALL(IF(Podcasts!$D$10:'Podcasts'!$D$2535=$B155,Podcasts!$E$10:'Podcasts'!$E$2535),COLUMN(I118)))</f>
        <v/>
      </c>
      <c r="AE155" s="401" t="str">
        <f t="array" ref="AE155">IF(AD155="","",INDEX(Podcasts!$F$10:'Podcasts'!$F$2535,MATCH(AD155&amp;$B155,Podcasts!$E$10:'Podcasts'!$E$2535&amp;Podcasts!$D$10:'Podcasts'!$D$2535,0)))</f>
        <v/>
      </c>
      <c r="AF155" s="406" t="str">
        <f t="array" ref="AF155">IF(AG155="","",INDEX(Podcasts!$J$10:'Podcasts'!$J$2535,MATCH(AG155&amp;$B155,Podcasts!$E$10:'Podcasts'!$E$2535&amp;Podcasts!$D$10:'Podcasts'!$D$2535,0)))</f>
        <v/>
      </c>
      <c r="AG155" s="400" t="str">
        <f t="array" ref="AG155">IF(COUNTIF(Podcasts!$D$10:'Podcasts'!$D$2535,$B155)&lt;COLUMN(J118),"",SMALL(IF(Podcasts!$D$10:'Podcasts'!$D$2535=$B155,Podcasts!$E$10:'Podcasts'!$E$2535),COLUMN(J118)))</f>
        <v/>
      </c>
      <c r="AH155" s="401" t="str">
        <f t="array" ref="AH155">IF(AG155="","",INDEX(Podcasts!$F$10:'Podcasts'!$F$2535,MATCH(AG155&amp;$B155,Podcasts!$E$10:'Podcasts'!$E$2535&amp;Podcasts!$D$10:'Podcasts'!$D$2535,0)))</f>
        <v/>
      </c>
      <c r="AI155" s="406" t="str">
        <f t="array" ref="AI155">IF(AJ155="","",INDEX(Podcasts!$J$10:'Podcasts'!$J$2535,MATCH(AJ155&amp;$B155,Podcasts!$E$10:'Podcasts'!$E$2535&amp;Podcasts!$D$10:'Podcasts'!$D$2535,0)))</f>
        <v/>
      </c>
      <c r="AJ155" s="400" t="str">
        <f t="array" ref="AJ155">IF(COUNTIF(Podcasts!$D$10:'Podcasts'!$D$2535,$B155)&lt;COLUMN(K118),"",SMALL(IF(Podcasts!$D$10:'Podcasts'!$D$2535=$B155,Podcasts!$E$10:'Podcasts'!$E$2535),COLUMN(K118)))</f>
        <v/>
      </c>
      <c r="AK155" s="401" t="str">
        <f t="array" ref="AK155">IF(AJ155="","",INDEX(Podcasts!$F$10:'Podcasts'!$F$2535,MATCH(AJ155&amp;$B155,Podcasts!$E$10:'Podcasts'!$E$2535&amp;Podcasts!$D$10:'Podcasts'!$D$2535,0)))</f>
        <v/>
      </c>
      <c r="AL155" s="406" t="str">
        <f t="array" ref="AL155">IF(AM155="","",INDEX(Podcasts!$J$10:'Podcasts'!$J$2535,MATCH(AM155&amp;$B155,Podcasts!$E$10:'Podcasts'!$E$2535&amp;Podcasts!$D$10:'Podcasts'!$D$2535,0)))</f>
        <v/>
      </c>
      <c r="AM155" s="400" t="str">
        <f t="array" ref="AM155">IF(COUNTIF(Podcasts!$D$10:'Podcasts'!$D$2535,$B155)&lt;COLUMN(L118),"",SMALL(IF(Podcasts!$D$10:'Podcasts'!$D$2535=$B155,Podcasts!$E$10:'Podcasts'!$E$2535),COLUMN(L118)))</f>
        <v/>
      </c>
      <c r="AN155" s="401" t="str">
        <f t="array" ref="AN155">IF(AM155="","",INDEX(Podcasts!$F$10:'Podcasts'!$F$2535,MATCH(AM155&amp;$B155,Podcasts!$E$10:'Podcasts'!$E$2535&amp;Podcasts!$D$10:'Podcasts'!$D$2535,0)))</f>
        <v/>
      </c>
      <c r="AO155" s="402"/>
      <c r="AP155" s="119"/>
      <c r="AQ155" s="117">
        <f t="array" aca="1" ref="AQ155" ca="1">IFERROR(SMALL(IF(COUNTIF(Podcasts!$D$10:'Podcasts'!$D$107,ROW(INDIRECT("1:"&amp;K$2)))=0,ROW(INDIRECT("1:"&amp;K$2))),ROW($A112)),"")</f>
        <v>144</v>
      </c>
      <c r="AR155" s="117">
        <f t="array" aca="1" ref="AR155" ca="1">IFERROR(SMALL(IF(COUNTIF(Podcasts!$D$113:'Podcasts'!$D$238,ROW(INDIRECT("1:"&amp;K$2)))=0,ROW(INDIRECT("1:"&amp;K$2))),ROW($A112)),"")</f>
        <v>112</v>
      </c>
      <c r="AS155" s="117">
        <f t="array" aca="1" ref="AS155" ca="1">IFERROR(SMALL(IF(COUNTIF(Podcasts!$D$244:'Podcasts'!$D$299,ROW(INDIRECT("1:"&amp;K$2)))=0,ROW(INDIRECT("1:"&amp;K$2))),ROW($A112)),"")</f>
        <v>131</v>
      </c>
      <c r="AT155" s="117"/>
      <c r="AU155" s="117">
        <f t="array" aca="1" ref="AU155" ca="1">IFERROR(SMALL(IF(COUNTIF(Podcasts!$D$479:'Podcasts'!$D$488,ROW(INDIRECT("1:"&amp;K$2)))=0,ROW(INDIRECT("1:"&amp;K$2))),ROW($A112)),"")</f>
        <v>114</v>
      </c>
      <c r="AV155" s="117">
        <f t="array" aca="1" ref="AV155" ca="1">IFERROR(SMALL(IF(COUNTIF(Podcasts!$D$494:'Podcasts'!$D$518,ROW(INDIRECT("1:"&amp;K$2)))=0,ROW(INDIRECT("1:"&amp;K$2))),ROW($A112)),"")</f>
        <v>133</v>
      </c>
      <c r="AW155" s="117">
        <f t="array" aca="1" ref="AW155" ca="1">IFERROR(SMALL(IF(COUNTIF(Podcasts!$D$524:'Podcasts'!$D$532,ROW(INDIRECT("1:"&amp;K$2)))=0,ROW(INDIRECT("1:"&amp;K$2))),ROW($A112)),"")</f>
        <v>113</v>
      </c>
      <c r="AX155" s="117"/>
      <c r="AY155" s="117">
        <f t="array" aca="1" ref="AY155" ca="1">IFERROR(SMALL(IF(COUNTIF(Podcasts!$D$915:'Podcasts'!$D$981,ROW(INDIRECT("1:"&amp;K$2)))=0,ROW(INDIRECT("1:"&amp;K$2))),ROW($A112)),"")</f>
        <v>159</v>
      </c>
      <c r="AZ155" s="445"/>
      <c r="BA155" s="117">
        <f t="array" aca="1" ref="BA155" ca="1">IFERROR(SMALL(IF(COUNTIF(Podcasts!$D$1001:'Podcasts'!$D$1251,ROW(INDIRECT("1:"&amp;K$2)))=0,ROW(INDIRECT("1:"&amp;K$2))),ROW($A112)),"")</f>
        <v>160</v>
      </c>
      <c r="BB155" s="117">
        <f t="array" aca="1" ref="BB155" ca="1">IFERROR(SMALL(IF(COUNTIF(Podcasts!$D$1257:'Podcasts'!$D$1267,ROW(INDIRECT("1:"&amp;K$2)))=0,ROW(INDIRECT("1:"&amp;K$2))),ROW($A112)),"")</f>
        <v>117</v>
      </c>
      <c r="BC155" s="117">
        <f t="array" aca="1" ref="BC155" ca="1">IFERROR(SMALL(IF(COUNTIF(Podcasts!$D$1273:'Podcasts'!$D$1283,ROW(INDIRECT("1:"&amp;K$2)))=0,ROW(INDIRECT("1:"&amp;K$2))),ROW($A112)),"")</f>
        <v>116</v>
      </c>
      <c r="BD155" s="117">
        <f t="array" aca="1" ref="BD155" ca="1">IFERROR(SMALL(IF(COUNTIF(Podcasts!$D$1289:'Podcasts'!$D$1295,ROW(INDIRECT("1:"&amp;K$2)))=0,ROW(INDIRECT("1:"&amp;K$2))),ROW($A112)),"")</f>
        <v>116</v>
      </c>
      <c r="BE155" s="117">
        <f t="array" aca="1" ref="BE155" ca="1">IFERROR(SMALL(IF(COUNTIF(Podcasts!$D$1301:'Podcasts'!$D$1356,ROW(INDIRECT("1:"&amp;K$2)))=0,ROW(INDIRECT("1:"&amp;K$2))),ROW($A112)),"")</f>
        <v>159</v>
      </c>
      <c r="BF155" s="117">
        <f t="array" aca="1" ref="BF155" ca="1">IFERROR(SMALL(IF(COUNTIF(Podcasts!$D$1362:'Podcasts'!$D$1364,ROW(INDIRECT("1:"&amp;K$2)))=0,ROW(INDIRECT("1:"&amp;K$2))),ROW($A112)),"")</f>
        <v>115</v>
      </c>
      <c r="BG155" s="202">
        <f t="array" aca="1" ref="BG155" ca="1">IFERROR(SMALL(IF(COUNTIF(Podcasts!$D$1370:'Podcasts'!$D$1419,ROW(INDIRECT("1:"&amp;K$2)))=0,ROW(INDIRECT("1:"&amp;K$2))),ROW($A112)),"")</f>
        <v>140</v>
      </c>
      <c r="BH155" s="202">
        <f t="array" aca="1" ref="BH155" ca="1">IFERROR(SMALL(IF(COUNTIF(Podcasts!$D$1425:'Podcasts'!$D$1446,ROW(INDIRECT("1:"&amp;K$2)))=0,ROW(INDIRECT("1:"&amp;K$2))),ROW($A112)),"")</f>
        <v>122</v>
      </c>
      <c r="BI155" s="202">
        <f t="array" aca="1" ref="BI155" ca="1">IFERROR(SMALL(IF(COUNTIF(Podcasts!$D$1452:'Podcasts'!$D$1574,ROW(INDIRECT("1:"&amp;K$2)))=0,ROW(INDIRECT("1:"&amp;K$2))),ROW($A112)),"")</f>
        <v>182</v>
      </c>
      <c r="BJ155" s="202">
        <f t="array" aca="1" ref="BJ155" ca="1">IFERROR(SMALL(IF(COUNTIF(Podcasts!$D$1580:'Podcasts'!$D$1705,ROW(INDIRECT("1:"&amp;K$2)))=0,ROW(INDIRECT("1:"&amp;K$2))),ROW($A112)),"")</f>
        <v>181</v>
      </c>
      <c r="BK155" s="202">
        <f t="array" aca="1" ref="BK155" ca="1">IFERROR(SMALL(IF(COUNTIF(Podcasts!$D$1711:'Podcasts'!$D$1833,ROW(INDIRECT("1:"&amp;K$2)))=0,ROW(INDIRECT("1:"&amp;K$2))),ROW($A112)),"")</f>
        <v>175</v>
      </c>
      <c r="BL155" s="202">
        <f t="array" aca="1" ref="BL155" ca="1">IFERROR(SMALL(IF(COUNTIF(Podcasts!$D$1839:'Podcasts'!$D$1855,ROW(INDIRECT("1:"&amp;K$2)))=0,ROW(INDIRECT("1:"&amp;K$2))),ROW($A112)),"")</f>
        <v>121</v>
      </c>
      <c r="BM155" s="567">
        <f t="array" aca="1" ref="BM155" ca="1">IFERROR(SMALL(IF(COUNTIF(Podcasts!$D$1861:'Podcasts'!$D$1994,ROW(INDIRECT("1:"&amp;K$2)))=0,ROW(INDIRECT("1:"&amp;K$2))),ROW($A112)),"")</f>
        <v>152</v>
      </c>
      <c r="BN155" s="567">
        <f t="array" aca="1" ref="BN155" ca="1">IFERROR(SMALL(IF(COUNTIF(Podcasts!$D$2000:'Podcasts'!$D$2057,ROW(INDIRECT("1:"&amp;K$2)))=0,ROW(INDIRECT("1:"&amp;K$2))),ROW($A112)),"")</f>
        <v>167</v>
      </c>
      <c r="BO155" s="567">
        <f t="array" aca="1" ref="BO155" ca="1">IFERROR(SMALL(IF(COUNTIF(Podcasts!$D$2063:'Podcasts'!$D$2071,ROW(INDIRECT("1:"&amp;K$2)))=0,ROW(INDIRECT("1:"&amp;K$2))),ROW($A112)),"")</f>
        <v>118</v>
      </c>
      <c r="BP155" s="202">
        <f t="array" aca="1" ref="BP155" ca="1">IFERROR(SMALL(IF(COUNTIF(Podcasts!$D$2077:'Podcasts'!$D$2092,ROW(INDIRECT("1:"&amp;K$2)))=0,ROW(INDIRECT("1:"&amp;K$2))),ROW($A112)),"")</f>
        <v>123</v>
      </c>
      <c r="BQ155" s="741">
        <f t="array" aca="1" ref="BQ155" ca="1">IFERROR(SMALL(IF(COUNTIF(Podcasts!$D$2098:'Podcasts'!$D$2114,ROW(INDIRECT("1:"&amp;K$2)))=0,ROW(INDIRECT("1:"&amp;K$2))),ROW($A112)),"")</f>
        <v>121</v>
      </c>
      <c r="BR155" s="744">
        <f t="array" aca="1" ref="BR155" ca="1">IFERROR(SMALL(IF(COUNTIF(Podcasts!$D$2120:'Podcasts'!$D$2124,ROW(INDIRECT("1:"&amp;K$2)))=0,ROW(INDIRECT("1:"&amp;K$2))),ROW($A112)),"")</f>
        <v>114</v>
      </c>
      <c r="BS155" s="28"/>
    </row>
    <row r="156" spans="1:71" outlineLevel="1">
      <c r="A156" s="28"/>
      <c r="B156" s="161">
        <v>113</v>
      </c>
      <c r="C156" s="161">
        <f>COUNTIF(Podcasts!$D$10:'Podcasts'!$D$2535,B156)</f>
        <v>4</v>
      </c>
      <c r="D156" s="158" t="s">
        <v>1140</v>
      </c>
      <c r="E156" s="156" t="str">
        <f t="array" ref="E156">IF(F156="","",INDEX(Podcasts!$J$10:'Podcasts'!$J$2535,MATCH(F156&amp;$B156,Podcasts!$E$10:'Podcasts'!$E$2535&amp;Podcasts!$D$10:'Podcasts'!$D$2535,0)))</f>
        <v>Fürst</v>
      </c>
      <c r="F156" s="131">
        <f t="array" ref="F156">IF(COUNTIF(Podcasts!$D$10:'Podcasts'!$D$2535,$B156)&lt;COLUMN(A119),"",SMALL(IF(Podcasts!$D$10:'Podcasts'!$D$2535=$B156,Podcasts!$E$10:'Podcasts'!$E$2535),COLUMN(A119)))</f>
        <v>41896</v>
      </c>
      <c r="G156" s="132">
        <f t="array" ref="G156">IF(F156="","",INDEX(Podcasts!$F$10:'Podcasts'!$F$2535,MATCH(F156&amp;$B156,Podcasts!$E$10:'Podcasts'!$E$2535&amp;Podcasts!$D$10:'Podcasts'!$D$2535,0)))</f>
        <v>5.7870370370370393E-3</v>
      </c>
      <c r="H156" s="136" t="str">
        <f t="array" ref="H156">IF(I156="","",INDEX(Podcasts!$J$10:'Podcasts'!$J$2535,MATCH(I156&amp;$B156,Podcasts!$E$10:'Podcasts'!$E$2535&amp;Podcasts!$D$10:'Podcasts'!$D$2535,0)))</f>
        <v>SSP</v>
      </c>
      <c r="I156" s="133">
        <f t="array" ref="I156">IF(COUNTIF(Podcasts!$D$10:'Podcasts'!$D$2535,$B156)&lt;COLUMN(B119),"",SMALL(IF(Podcasts!$D$10:'Podcasts'!$D$2535=$B156,Podcasts!$E$10:'Podcasts'!$E$2535),COLUMN(B119)))</f>
        <v>43884</v>
      </c>
      <c r="J156" s="132">
        <f t="array" ref="J156">IF(I156="","",INDEX(Podcasts!$F$10:'Podcasts'!$F$2535,MATCH(I156&amp;$B156,Podcasts!$E$10:'Podcasts'!$E$2535&amp;Podcasts!$D$10:'Podcasts'!$D$2535,0)))</f>
        <v>7.2650462962962958E-2</v>
      </c>
      <c r="K156" s="136" t="str">
        <f t="array" ref="K156">IF(L156="","",INDEX(Podcasts!$J$10:'Podcasts'!$J$2535,MATCH(L156&amp;$B156,Podcasts!$E$10:'Podcasts'!$E$2535&amp;Podcasts!$D$10:'Podcasts'!$D$2535,0)))</f>
        <v>Zeichen</v>
      </c>
      <c r="L156" s="133">
        <f t="array" ref="L156">IF(COUNTIF(Podcasts!$D$10:'Podcasts'!$D$2535,$B156)&lt;COLUMN(C119),"",SMALL(IF(Podcasts!$D$10:'Podcasts'!$D$2535=$B156,Podcasts!$E$10:'Podcasts'!$E$2535),COLUMN(C119)))</f>
        <v>44219</v>
      </c>
      <c r="M156" s="132">
        <f t="array" ref="M156">IF(L156="","",INDEX(Podcasts!$F$10:'Podcasts'!$F$2535,MATCH(L156&amp;$B156,Podcasts!$E$10:'Podcasts'!$E$2535&amp;Podcasts!$D$10:'Podcasts'!$D$2535,0)))</f>
        <v>7.7118055555555551E-2</v>
      </c>
      <c r="N156" s="136" t="str">
        <f t="array" ref="N156">IF(O156="","",INDEX(Podcasts!$J$10:'Podcasts'!$J$2535,MATCH(O156&amp;$B156,Podcasts!$E$10:'Podcasts'!$E$2535&amp;Podcasts!$D$10:'Podcasts'!$D$2535,0)))</f>
        <v>Kuchen</v>
      </c>
      <c r="O156" s="133">
        <f t="array" ref="O156">IF(COUNTIF(Podcasts!$D$10:'Podcasts'!$D$2535,$B156)&lt;COLUMN(D119),"",SMALL(IF(Podcasts!$D$10:'Podcasts'!$D$2535=$B156,Podcasts!$E$10:'Podcasts'!$E$2535),COLUMN(D119)))</f>
        <v>44654</v>
      </c>
      <c r="P156" s="132">
        <f t="array" ref="P156">IF(O156="","",INDEX(Podcasts!$F$10:'Podcasts'!$F$2535,MATCH(O156&amp;$B156,Podcasts!$E$10:'Podcasts'!$E$2535&amp;Podcasts!$D$10:'Podcasts'!$D$2535,0)))</f>
        <v>5.6840277777777781E-2</v>
      </c>
      <c r="Q156" s="136" t="str">
        <f t="array" ref="Q156">IF(R156="","",INDEX(Podcasts!$J$10:'Podcasts'!$J$2535,MATCH(R156&amp;$B156,Podcasts!$E$10:'Podcasts'!$E$2535&amp;Podcasts!$D$10:'Podcasts'!$D$2535,0)))</f>
        <v/>
      </c>
      <c r="R156" s="133" t="str">
        <f t="array" ref="R156">IF(COUNTIF(Podcasts!$D$10:'Podcasts'!$D$2535,$B156)&lt;COLUMN(E119),"",SMALL(IF(Podcasts!$D$10:'Podcasts'!$D$2535=$B156,Podcasts!$E$10:'Podcasts'!$E$2535),COLUMN(E119)))</f>
        <v/>
      </c>
      <c r="S156" s="132" t="str">
        <f t="array" ref="S156">IF(R156="","",INDEX(Podcasts!$F$10:'Podcasts'!$F$2535,MATCH(R156&amp;$B156,Podcasts!$E$10:'Podcasts'!$E$2535&amp;Podcasts!$D$10:'Podcasts'!$D$2535,0)))</f>
        <v/>
      </c>
      <c r="T156" s="136" t="str">
        <f t="array" ref="T156">IF(U156="","",INDEX(Podcasts!$J$10:'Podcasts'!$J$2535,MATCH(U156&amp;$B156,Podcasts!$E$10:'Podcasts'!$E$2535&amp;Podcasts!$D$10:'Podcasts'!$D$2535,0)))</f>
        <v/>
      </c>
      <c r="U156" s="133" t="str">
        <f t="array" ref="U156">IF(COUNTIF(Podcasts!$D$10:'Podcasts'!$D$2535,$B156)&lt;COLUMN(F119),"",SMALL(IF(Podcasts!$D$10:'Podcasts'!$D$2535=$B156,Podcasts!$E$10:'Podcasts'!$E$2535),COLUMN(F119)))</f>
        <v/>
      </c>
      <c r="V156" s="132" t="str">
        <f t="array" ref="V156">IF(U156="","",INDEX(Podcasts!$F$10:'Podcasts'!$F$2535,MATCH(U156&amp;$B156,Podcasts!$E$10:'Podcasts'!$E$2535&amp;Podcasts!$D$10:'Podcasts'!$D$2535,0)))</f>
        <v/>
      </c>
      <c r="W156" s="136" t="str">
        <f t="array" ref="W156">IF(X156="","",INDEX(Podcasts!$J$10:'Podcasts'!$J$2535,MATCH(X156&amp;$B156,Podcasts!$E$10:'Podcasts'!$E$2535&amp;Podcasts!$D$10:'Podcasts'!$D$2535,0)))</f>
        <v/>
      </c>
      <c r="X156" s="133" t="str">
        <f t="array" ref="X156">IF(COUNTIF(Podcasts!$D$10:'Podcasts'!$D$2535,$B156)&lt;COLUMN(G119),"",SMALL(IF(Podcasts!$D$10:'Podcasts'!$D$2535=$B156,Podcasts!$E$10:'Podcasts'!$E$2535),COLUMN(G119)))</f>
        <v/>
      </c>
      <c r="Y156" s="132" t="str">
        <f t="array" ref="Y156">IF(X156="","",INDEX(Podcasts!$F$10:'Podcasts'!$F$2535,MATCH(X156&amp;$B156,Podcasts!$E$10:'Podcasts'!$E$2535&amp;Podcasts!$D$10:'Podcasts'!$D$2535,0)))</f>
        <v/>
      </c>
      <c r="Z156" s="136" t="str">
        <f t="array" ref="Z156">IF(AA156="","",INDEX(Podcasts!$J$10:'Podcasts'!$J$2535,MATCH(AA156&amp;$B156,Podcasts!$E$10:'Podcasts'!$E$2535&amp;Podcasts!$D$10:'Podcasts'!$D$2535,0)))</f>
        <v/>
      </c>
      <c r="AA156" s="134" t="str">
        <f t="array" ref="AA156">IF(COUNTIF(Podcasts!$D$10:'Podcasts'!$D$2535,$B156)&lt;COLUMN(H119),"",SMALL(IF(Podcasts!$D$10:'Podcasts'!$D$2535=$B156,Podcasts!$E$10:'Podcasts'!$E$2535),COLUMN(H119)))</f>
        <v/>
      </c>
      <c r="AB156" s="404" t="str">
        <f t="array" ref="AB156">IF(AA156="","",INDEX(Podcasts!$F$10:'Podcasts'!$F$2535,MATCH(AA156&amp;$B156,Podcasts!$E$10:'Podcasts'!$E$2535&amp;Podcasts!$D$10:'Podcasts'!$D$2535,0)))</f>
        <v/>
      </c>
      <c r="AC156" s="406" t="str">
        <f t="array" ref="AC156">IF(AD156="","",INDEX(Podcasts!$J$10:'Podcasts'!$J$2535,MATCH(AD156&amp;$B156,Podcasts!$E$10:'Podcasts'!$E$2535&amp;Podcasts!$D$10:'Podcasts'!$D$2535,0)))</f>
        <v/>
      </c>
      <c r="AD156" s="400" t="str">
        <f t="array" ref="AD156">IF(COUNTIF(Podcasts!$D$10:'Podcasts'!$D$2535,$B156)&lt;COLUMN(I119),"",SMALL(IF(Podcasts!$D$10:'Podcasts'!$D$2535=$B156,Podcasts!$E$10:'Podcasts'!$E$2535),COLUMN(I119)))</f>
        <v/>
      </c>
      <c r="AE156" s="401" t="str">
        <f t="array" ref="AE156">IF(AD156="","",INDEX(Podcasts!$F$10:'Podcasts'!$F$2535,MATCH(AD156&amp;$B156,Podcasts!$E$10:'Podcasts'!$E$2535&amp;Podcasts!$D$10:'Podcasts'!$D$2535,0)))</f>
        <v/>
      </c>
      <c r="AF156" s="406" t="str">
        <f t="array" ref="AF156">IF(AG156="","",INDEX(Podcasts!$J$10:'Podcasts'!$J$2535,MATCH(AG156&amp;$B156,Podcasts!$E$10:'Podcasts'!$E$2535&amp;Podcasts!$D$10:'Podcasts'!$D$2535,0)))</f>
        <v/>
      </c>
      <c r="AG156" s="400" t="str">
        <f t="array" ref="AG156">IF(COUNTIF(Podcasts!$D$10:'Podcasts'!$D$2535,$B156)&lt;COLUMN(J119),"",SMALL(IF(Podcasts!$D$10:'Podcasts'!$D$2535=$B156,Podcasts!$E$10:'Podcasts'!$E$2535),COLUMN(J119)))</f>
        <v/>
      </c>
      <c r="AH156" s="401" t="str">
        <f t="array" ref="AH156">IF(AG156="","",INDEX(Podcasts!$F$10:'Podcasts'!$F$2535,MATCH(AG156&amp;$B156,Podcasts!$E$10:'Podcasts'!$E$2535&amp;Podcasts!$D$10:'Podcasts'!$D$2535,0)))</f>
        <v/>
      </c>
      <c r="AI156" s="406" t="str">
        <f t="array" ref="AI156">IF(AJ156="","",INDEX(Podcasts!$J$10:'Podcasts'!$J$2535,MATCH(AJ156&amp;$B156,Podcasts!$E$10:'Podcasts'!$E$2535&amp;Podcasts!$D$10:'Podcasts'!$D$2535,0)))</f>
        <v/>
      </c>
      <c r="AJ156" s="400" t="str">
        <f t="array" ref="AJ156">IF(COUNTIF(Podcasts!$D$10:'Podcasts'!$D$2535,$B156)&lt;COLUMN(K119),"",SMALL(IF(Podcasts!$D$10:'Podcasts'!$D$2535=$B156,Podcasts!$E$10:'Podcasts'!$E$2535),COLUMN(K119)))</f>
        <v/>
      </c>
      <c r="AK156" s="401" t="str">
        <f t="array" ref="AK156">IF(AJ156="","",INDEX(Podcasts!$F$10:'Podcasts'!$F$2535,MATCH(AJ156&amp;$B156,Podcasts!$E$10:'Podcasts'!$E$2535&amp;Podcasts!$D$10:'Podcasts'!$D$2535,0)))</f>
        <v/>
      </c>
      <c r="AL156" s="406" t="str">
        <f t="array" ref="AL156">IF(AM156="","",INDEX(Podcasts!$J$10:'Podcasts'!$J$2535,MATCH(AM156&amp;$B156,Podcasts!$E$10:'Podcasts'!$E$2535&amp;Podcasts!$D$10:'Podcasts'!$D$2535,0)))</f>
        <v/>
      </c>
      <c r="AM156" s="400" t="str">
        <f t="array" ref="AM156">IF(COUNTIF(Podcasts!$D$10:'Podcasts'!$D$2535,$B156)&lt;COLUMN(L119),"",SMALL(IF(Podcasts!$D$10:'Podcasts'!$D$2535=$B156,Podcasts!$E$10:'Podcasts'!$E$2535),COLUMN(L119)))</f>
        <v/>
      </c>
      <c r="AN156" s="401" t="str">
        <f t="array" ref="AN156">IF(AM156="","",INDEX(Podcasts!$F$10:'Podcasts'!$F$2535,MATCH(AM156&amp;$B156,Podcasts!$E$10:'Podcasts'!$E$2535&amp;Podcasts!$D$10:'Podcasts'!$D$2535,0)))</f>
        <v/>
      </c>
      <c r="AO156" s="402"/>
      <c r="AP156" s="119"/>
      <c r="AQ156" s="117">
        <f t="array" aca="1" ref="AQ156" ca="1">IFERROR(SMALL(IF(COUNTIF(Podcasts!$D$10:'Podcasts'!$D$107,ROW(INDIRECT("1:"&amp;K$2)))=0,ROW(INDIRECT("1:"&amp;K$2))),ROW($A113)),"")</f>
        <v>145</v>
      </c>
      <c r="AR156" s="117">
        <f t="array" aca="1" ref="AR156" ca="1">IFERROR(SMALL(IF(COUNTIF(Podcasts!$D$113:'Podcasts'!$D$238,ROW(INDIRECT("1:"&amp;K$2)))=0,ROW(INDIRECT("1:"&amp;K$2))),ROW($A113)),"")</f>
        <v>113</v>
      </c>
      <c r="AS156" s="117">
        <f t="array" aca="1" ref="AS156" ca="1">IFERROR(SMALL(IF(COUNTIF(Podcasts!$D$244:'Podcasts'!$D$299,ROW(INDIRECT("1:"&amp;K$2)))=0,ROW(INDIRECT("1:"&amp;K$2))),ROW($A113)),"")</f>
        <v>132</v>
      </c>
      <c r="AT156" s="117"/>
      <c r="AU156" s="117">
        <f t="array" aca="1" ref="AU156" ca="1">IFERROR(SMALL(IF(COUNTIF(Podcasts!$D$479:'Podcasts'!$D$488,ROW(INDIRECT("1:"&amp;K$2)))=0,ROW(INDIRECT("1:"&amp;K$2))),ROW($A113)),"")</f>
        <v>115</v>
      </c>
      <c r="AV156" s="117">
        <f t="array" aca="1" ref="AV156" ca="1">IFERROR(SMALL(IF(COUNTIF(Podcasts!$D$494:'Podcasts'!$D$518,ROW(INDIRECT("1:"&amp;K$2)))=0,ROW(INDIRECT("1:"&amp;K$2))),ROW($A113)),"")</f>
        <v>134</v>
      </c>
      <c r="AW156" s="117">
        <f t="array" aca="1" ref="AW156" ca="1">IFERROR(SMALL(IF(COUNTIF(Podcasts!$D$524:'Podcasts'!$D$532,ROW(INDIRECT("1:"&amp;K$2)))=0,ROW(INDIRECT("1:"&amp;K$2))),ROW($A113)),"")</f>
        <v>114</v>
      </c>
      <c r="AX156" s="117"/>
      <c r="AY156" s="117">
        <f t="array" aca="1" ref="AY156" ca="1">IFERROR(SMALL(IF(COUNTIF(Podcasts!$D$915:'Podcasts'!$D$981,ROW(INDIRECT("1:"&amp;K$2)))=0,ROW(INDIRECT("1:"&amp;K$2))),ROW($A113)),"")</f>
        <v>161</v>
      </c>
      <c r="AZ156" s="445"/>
      <c r="BA156" s="117">
        <f t="array" aca="1" ref="BA156" ca="1">IFERROR(SMALL(IF(COUNTIF(Podcasts!$D$1001:'Podcasts'!$D$1251,ROW(INDIRECT("1:"&amp;K$2)))=0,ROW(INDIRECT("1:"&amp;K$2))),ROW($A113)),"")</f>
        <v>161</v>
      </c>
      <c r="BB156" s="117">
        <f t="array" aca="1" ref="BB156" ca="1">IFERROR(SMALL(IF(COUNTIF(Podcasts!$D$1257:'Podcasts'!$D$1267,ROW(INDIRECT("1:"&amp;K$2)))=0,ROW(INDIRECT("1:"&amp;K$2))),ROW($A113)),"")</f>
        <v>118</v>
      </c>
      <c r="BC156" s="117">
        <f t="array" aca="1" ref="BC156" ca="1">IFERROR(SMALL(IF(COUNTIF(Podcasts!$D$1273:'Podcasts'!$D$1283,ROW(INDIRECT("1:"&amp;K$2)))=0,ROW(INDIRECT("1:"&amp;K$2))),ROW($A113)),"")</f>
        <v>117</v>
      </c>
      <c r="BD156" s="117">
        <f t="array" aca="1" ref="BD156" ca="1">IFERROR(SMALL(IF(COUNTIF(Podcasts!$D$1289:'Podcasts'!$D$1295,ROW(INDIRECT("1:"&amp;K$2)))=0,ROW(INDIRECT("1:"&amp;K$2))),ROW($A113)),"")</f>
        <v>117</v>
      </c>
      <c r="BE156" s="117">
        <f t="array" aca="1" ref="BE156" ca="1">IFERROR(SMALL(IF(COUNTIF(Podcasts!$D$1301:'Podcasts'!$D$1356,ROW(INDIRECT("1:"&amp;K$2)))=0,ROW(INDIRECT("1:"&amp;K$2))),ROW($A113)),"")</f>
        <v>160</v>
      </c>
      <c r="BF156" s="117">
        <f t="array" aca="1" ref="BF156" ca="1">IFERROR(SMALL(IF(COUNTIF(Podcasts!$D$1362:'Podcasts'!$D$1364,ROW(INDIRECT("1:"&amp;K$2)))=0,ROW(INDIRECT("1:"&amp;K$2))),ROW($A113)),"")</f>
        <v>116</v>
      </c>
      <c r="BG156" s="202">
        <f t="array" aca="1" ref="BG156" ca="1">IFERROR(SMALL(IF(COUNTIF(Podcasts!$D$1370:'Podcasts'!$D$1419,ROW(INDIRECT("1:"&amp;K$2)))=0,ROW(INDIRECT("1:"&amp;K$2))),ROW($A113)),"")</f>
        <v>141</v>
      </c>
      <c r="BH156" s="202">
        <f t="array" aca="1" ref="BH156" ca="1">IFERROR(SMALL(IF(COUNTIF(Podcasts!$D$1425:'Podcasts'!$D$1446,ROW(INDIRECT("1:"&amp;K$2)))=0,ROW(INDIRECT("1:"&amp;K$2))),ROW($A113)),"")</f>
        <v>123</v>
      </c>
      <c r="BI156" s="202">
        <f t="array" aca="1" ref="BI156" ca="1">IFERROR(SMALL(IF(COUNTIF(Podcasts!$D$1452:'Podcasts'!$D$1574,ROW(INDIRECT("1:"&amp;K$2)))=0,ROW(INDIRECT("1:"&amp;K$2))),ROW($A113)),"")</f>
        <v>183</v>
      </c>
      <c r="BJ156" s="202">
        <f t="array" aca="1" ref="BJ156" ca="1">IFERROR(SMALL(IF(COUNTIF(Podcasts!$D$1580:'Podcasts'!$D$1705,ROW(INDIRECT("1:"&amp;K$2)))=0,ROW(INDIRECT("1:"&amp;K$2))),ROW($A113)),"")</f>
        <v>182</v>
      </c>
      <c r="BK156" s="202">
        <f t="array" aca="1" ref="BK156" ca="1">IFERROR(SMALL(IF(COUNTIF(Podcasts!$D$1711:'Podcasts'!$D$1833,ROW(INDIRECT("1:"&amp;K$2)))=0,ROW(INDIRECT("1:"&amp;K$2))),ROW($A113)),"")</f>
        <v>176</v>
      </c>
      <c r="BL156" s="202">
        <f t="array" aca="1" ref="BL156" ca="1">IFERROR(SMALL(IF(COUNTIF(Podcasts!$D$1839:'Podcasts'!$D$1855,ROW(INDIRECT("1:"&amp;K$2)))=0,ROW(INDIRECT("1:"&amp;K$2))),ROW($A113)),"")</f>
        <v>122</v>
      </c>
      <c r="BM156" s="567">
        <f t="array" aca="1" ref="BM156" ca="1">IFERROR(SMALL(IF(COUNTIF(Podcasts!$D$1861:'Podcasts'!$D$1994,ROW(INDIRECT("1:"&amp;K$2)))=0,ROW(INDIRECT("1:"&amp;K$2))),ROW($A113)),"")</f>
        <v>156</v>
      </c>
      <c r="BN156" s="567">
        <f t="array" aca="1" ref="BN156" ca="1">IFERROR(SMALL(IF(COUNTIF(Podcasts!$D$2000:'Podcasts'!$D$2057,ROW(INDIRECT("1:"&amp;K$2)))=0,ROW(INDIRECT("1:"&amp;K$2))),ROW($A113)),"")</f>
        <v>168</v>
      </c>
      <c r="BO156" s="567">
        <f t="array" aca="1" ref="BO156" ca="1">IFERROR(SMALL(IF(COUNTIF(Podcasts!$D$2063:'Podcasts'!$D$2071,ROW(INDIRECT("1:"&amp;K$2)))=0,ROW(INDIRECT("1:"&amp;K$2))),ROW($A113)),"")</f>
        <v>119</v>
      </c>
      <c r="BP156" s="202">
        <f t="array" aca="1" ref="BP156" ca="1">IFERROR(SMALL(IF(COUNTIF(Podcasts!$D$2077:'Podcasts'!$D$2092,ROW(INDIRECT("1:"&amp;K$2)))=0,ROW(INDIRECT("1:"&amp;K$2))),ROW($A113)),"")</f>
        <v>124</v>
      </c>
      <c r="BQ156" s="741">
        <f t="array" aca="1" ref="BQ156" ca="1">IFERROR(SMALL(IF(COUNTIF(Podcasts!$D$2098:'Podcasts'!$D$2114,ROW(INDIRECT("1:"&amp;K$2)))=0,ROW(INDIRECT("1:"&amp;K$2))),ROW($A113)),"")</f>
        <v>122</v>
      </c>
      <c r="BR156" s="744">
        <f t="array" aca="1" ref="BR156" ca="1">IFERROR(SMALL(IF(COUNTIF(Podcasts!$D$2120:'Podcasts'!$D$2124,ROW(INDIRECT("1:"&amp;K$2)))=0,ROW(INDIRECT("1:"&amp;K$2))),ROW($A113)),"")</f>
        <v>115</v>
      </c>
      <c r="BS156" s="28"/>
    </row>
    <row r="157" spans="1:71" outlineLevel="1">
      <c r="A157" s="28"/>
      <c r="B157" s="161">
        <v>114</v>
      </c>
      <c r="C157" s="161">
        <f>COUNTIF(Podcasts!$D$10:'Podcasts'!$D$2535,B157)</f>
        <v>4</v>
      </c>
      <c r="D157" s="158" t="s">
        <v>1141</v>
      </c>
      <c r="E157" s="156" t="str">
        <f t="array" ref="E157">IF(F157="","",INDEX(Podcasts!$J$10:'Podcasts'!$J$2535,MATCH(F157&amp;$B157,Podcasts!$E$10:'Podcasts'!$E$2535&amp;Podcasts!$D$10:'Podcasts'!$D$2535,0)))</f>
        <v>R&amp;A</v>
      </c>
      <c r="F157" s="131">
        <f t="array" ref="F157">IF(COUNTIF(Podcasts!$D$10:'Podcasts'!$D$2535,$B157)&lt;COLUMN(A120),"",SMALL(IF(Podcasts!$D$10:'Podcasts'!$D$2535=$B157,Podcasts!$E$10:'Podcasts'!$E$2535),COLUMN(A120)))</f>
        <v>44135.000694444447</v>
      </c>
      <c r="G157" s="132">
        <f t="array" ref="G157">IF(F157="","",INDEX(Podcasts!$F$10:'Podcasts'!$F$2535,MATCH(F157&amp;$B157,Podcasts!$E$10:'Podcasts'!$E$2535&amp;Podcasts!$D$10:'Podcasts'!$D$2535,0)))</f>
        <v>0.10315972222222221</v>
      </c>
      <c r="H157" s="136" t="str">
        <f t="array" ref="H157">IF(I157="","",INDEX(Podcasts!$J$10:'Podcasts'!$J$2535,MATCH(I157&amp;$B157,Podcasts!$E$10:'Podcasts'!$E$2535&amp;Podcasts!$D$10:'Podcasts'!$D$2535,0)))</f>
        <v>SSP</v>
      </c>
      <c r="I157" s="133">
        <f t="array" ref="I157">IF(COUNTIF(Podcasts!$D$10:'Podcasts'!$D$2535,$B157)&lt;COLUMN(B120),"",SMALL(IF(Podcasts!$D$10:'Podcasts'!$D$2535=$B157,Podcasts!$E$10:'Podcasts'!$E$2535),COLUMN(B120)))</f>
        <v>44135.001238425924</v>
      </c>
      <c r="J157" s="132">
        <f t="array" ref="J157">IF(I157="","",INDEX(Podcasts!$F$10:'Podcasts'!$F$2535,MATCH(I157&amp;$B157,Podcasts!$E$10:'Podcasts'!$E$2535&amp;Podcasts!$D$10:'Podcasts'!$D$2535,0)))</f>
        <v>7.8935185185185178E-2</v>
      </c>
      <c r="K157" s="136" t="str">
        <f t="array" ref="K157">IF(L157="","",INDEX(Podcasts!$J$10:'Podcasts'!$J$2535,MATCH(L157&amp;$B157,Podcasts!$E$10:'Podcasts'!$E$2535&amp;Podcasts!$D$10:'Podcasts'!$D$2535,0)))</f>
        <v>Kuchen</v>
      </c>
      <c r="L157" s="133">
        <f t="array" ref="L157">IF(COUNTIF(Podcasts!$D$10:'Podcasts'!$D$2535,$B157)&lt;COLUMN(C120),"",SMALL(IF(Podcasts!$D$10:'Podcasts'!$D$2535=$B157,Podcasts!$E$10:'Podcasts'!$E$2535),COLUMN(C120)))</f>
        <v>44220</v>
      </c>
      <c r="M157" s="132">
        <f t="array" ref="M157">IF(L157="","",INDEX(Podcasts!$F$10:'Podcasts'!$F$2535,MATCH(L157&amp;$B157,Podcasts!$E$10:'Podcasts'!$E$2535&amp;Podcasts!$D$10:'Podcasts'!$D$2535,0)))</f>
        <v>4.7824074074074074E-2</v>
      </c>
      <c r="N157" s="136" t="str">
        <f t="array" ref="N157">IF(O157="","",INDEX(Podcasts!$J$10:'Podcasts'!$J$2535,MATCH(O157&amp;$B157,Podcasts!$E$10:'Podcasts'!$E$2535&amp;Podcasts!$D$10:'Podcasts'!$D$2535,0)))</f>
        <v>Kaffee</v>
      </c>
      <c r="O157" s="133">
        <f t="array" ref="O157">IF(COUNTIF(Podcasts!$D$10:'Podcasts'!$D$2535,$B157)&lt;COLUMN(D120),"",SMALL(IF(Podcasts!$D$10:'Podcasts'!$D$2535=$B157,Podcasts!$E$10:'Podcasts'!$E$2535),COLUMN(D120)))</f>
        <v>45121</v>
      </c>
      <c r="P157" s="132">
        <f t="array" ref="P157">IF(O157="","",INDEX(Podcasts!$F$10:'Podcasts'!$F$2535,MATCH(O157&amp;$B157,Podcasts!$E$10:'Podcasts'!$E$2535&amp;Podcasts!$D$10:'Podcasts'!$D$2535,0)))</f>
        <v>4.4780092592592587E-2</v>
      </c>
      <c r="Q157" s="136" t="str">
        <f t="array" ref="Q157">IF(R157="","",INDEX(Podcasts!$J$10:'Podcasts'!$J$2535,MATCH(R157&amp;$B157,Podcasts!$E$10:'Podcasts'!$E$2535&amp;Podcasts!$D$10:'Podcasts'!$D$2535,0)))</f>
        <v/>
      </c>
      <c r="R157" s="133" t="str">
        <f t="array" ref="R157">IF(COUNTIF(Podcasts!$D$10:'Podcasts'!$D$2535,$B157)&lt;COLUMN(E120),"",SMALL(IF(Podcasts!$D$10:'Podcasts'!$D$2535=$B157,Podcasts!$E$10:'Podcasts'!$E$2535),COLUMN(E120)))</f>
        <v/>
      </c>
      <c r="S157" s="132" t="str">
        <f t="array" ref="S157">IF(R157="","",INDEX(Podcasts!$F$10:'Podcasts'!$F$2535,MATCH(R157&amp;$B157,Podcasts!$E$10:'Podcasts'!$E$2535&amp;Podcasts!$D$10:'Podcasts'!$D$2535,0)))</f>
        <v/>
      </c>
      <c r="T157" s="136" t="str">
        <f t="array" ref="T157">IF(U157="","",INDEX(Podcasts!$J$10:'Podcasts'!$J$2535,MATCH(U157&amp;$B157,Podcasts!$E$10:'Podcasts'!$E$2535&amp;Podcasts!$D$10:'Podcasts'!$D$2535,0)))</f>
        <v/>
      </c>
      <c r="U157" s="133" t="str">
        <f t="array" ref="U157">IF(COUNTIF(Podcasts!$D$10:'Podcasts'!$D$2535,$B157)&lt;COLUMN(F120),"",SMALL(IF(Podcasts!$D$10:'Podcasts'!$D$2535=$B157,Podcasts!$E$10:'Podcasts'!$E$2535),COLUMN(F120)))</f>
        <v/>
      </c>
      <c r="V157" s="132" t="str">
        <f t="array" ref="V157">IF(U157="","",INDEX(Podcasts!$F$10:'Podcasts'!$F$2535,MATCH(U157&amp;$B157,Podcasts!$E$10:'Podcasts'!$E$2535&amp;Podcasts!$D$10:'Podcasts'!$D$2535,0)))</f>
        <v/>
      </c>
      <c r="W157" s="136" t="str">
        <f t="array" ref="W157">IF(X157="","",INDEX(Podcasts!$J$10:'Podcasts'!$J$2535,MATCH(X157&amp;$B157,Podcasts!$E$10:'Podcasts'!$E$2535&amp;Podcasts!$D$10:'Podcasts'!$D$2535,0)))</f>
        <v/>
      </c>
      <c r="X157" s="133" t="str">
        <f t="array" ref="X157">IF(COUNTIF(Podcasts!$D$10:'Podcasts'!$D$2535,$B157)&lt;COLUMN(G120),"",SMALL(IF(Podcasts!$D$10:'Podcasts'!$D$2535=$B157,Podcasts!$E$10:'Podcasts'!$E$2535),COLUMN(G120)))</f>
        <v/>
      </c>
      <c r="Y157" s="132" t="str">
        <f t="array" ref="Y157">IF(X157="","",INDEX(Podcasts!$F$10:'Podcasts'!$F$2535,MATCH(X157&amp;$B157,Podcasts!$E$10:'Podcasts'!$E$2535&amp;Podcasts!$D$10:'Podcasts'!$D$2535,0)))</f>
        <v/>
      </c>
      <c r="Z157" s="136" t="str">
        <f t="array" ref="Z157">IF(AA157="","",INDEX(Podcasts!$J$10:'Podcasts'!$J$2535,MATCH(AA157&amp;$B157,Podcasts!$E$10:'Podcasts'!$E$2535&amp;Podcasts!$D$10:'Podcasts'!$D$2535,0)))</f>
        <v/>
      </c>
      <c r="AA157" s="134" t="str">
        <f t="array" ref="AA157">IF(COUNTIF(Podcasts!$D$10:'Podcasts'!$D$2535,$B157)&lt;COLUMN(H120),"",SMALL(IF(Podcasts!$D$10:'Podcasts'!$D$2535=$B157,Podcasts!$E$10:'Podcasts'!$E$2535),COLUMN(H120)))</f>
        <v/>
      </c>
      <c r="AB157" s="404" t="str">
        <f t="array" ref="AB157">IF(AA157="","",INDEX(Podcasts!$F$10:'Podcasts'!$F$2535,MATCH(AA157&amp;$B157,Podcasts!$E$10:'Podcasts'!$E$2535&amp;Podcasts!$D$10:'Podcasts'!$D$2535,0)))</f>
        <v/>
      </c>
      <c r="AC157" s="406" t="str">
        <f t="array" ref="AC157">IF(AD157="","",INDEX(Podcasts!$J$10:'Podcasts'!$J$2535,MATCH(AD157&amp;$B157,Podcasts!$E$10:'Podcasts'!$E$2535&amp;Podcasts!$D$10:'Podcasts'!$D$2535,0)))</f>
        <v/>
      </c>
      <c r="AD157" s="400" t="str">
        <f t="array" ref="AD157">IF(COUNTIF(Podcasts!$D$10:'Podcasts'!$D$2535,$B157)&lt;COLUMN(I120),"",SMALL(IF(Podcasts!$D$10:'Podcasts'!$D$2535=$B157,Podcasts!$E$10:'Podcasts'!$E$2535),COLUMN(I120)))</f>
        <v/>
      </c>
      <c r="AE157" s="401" t="str">
        <f t="array" ref="AE157">IF(AD157="","",INDEX(Podcasts!$F$10:'Podcasts'!$F$2535,MATCH(AD157&amp;$B157,Podcasts!$E$10:'Podcasts'!$E$2535&amp;Podcasts!$D$10:'Podcasts'!$D$2535,0)))</f>
        <v/>
      </c>
      <c r="AF157" s="406" t="str">
        <f t="array" ref="AF157">IF(AG157="","",INDEX(Podcasts!$J$10:'Podcasts'!$J$2535,MATCH(AG157&amp;$B157,Podcasts!$E$10:'Podcasts'!$E$2535&amp;Podcasts!$D$10:'Podcasts'!$D$2535,0)))</f>
        <v/>
      </c>
      <c r="AG157" s="400" t="str">
        <f t="array" ref="AG157">IF(COUNTIF(Podcasts!$D$10:'Podcasts'!$D$2535,$B157)&lt;COLUMN(J120),"",SMALL(IF(Podcasts!$D$10:'Podcasts'!$D$2535=$B157,Podcasts!$E$10:'Podcasts'!$E$2535),COLUMN(J120)))</f>
        <v/>
      </c>
      <c r="AH157" s="401" t="str">
        <f t="array" ref="AH157">IF(AG157="","",INDEX(Podcasts!$F$10:'Podcasts'!$F$2535,MATCH(AG157&amp;$B157,Podcasts!$E$10:'Podcasts'!$E$2535&amp;Podcasts!$D$10:'Podcasts'!$D$2535,0)))</f>
        <v/>
      </c>
      <c r="AI157" s="406" t="str">
        <f t="array" ref="AI157">IF(AJ157="","",INDEX(Podcasts!$J$10:'Podcasts'!$J$2535,MATCH(AJ157&amp;$B157,Podcasts!$E$10:'Podcasts'!$E$2535&amp;Podcasts!$D$10:'Podcasts'!$D$2535,0)))</f>
        <v/>
      </c>
      <c r="AJ157" s="400" t="str">
        <f t="array" ref="AJ157">IF(COUNTIF(Podcasts!$D$10:'Podcasts'!$D$2535,$B157)&lt;COLUMN(K120),"",SMALL(IF(Podcasts!$D$10:'Podcasts'!$D$2535=$B157,Podcasts!$E$10:'Podcasts'!$E$2535),COLUMN(K120)))</f>
        <v/>
      </c>
      <c r="AK157" s="401" t="str">
        <f t="array" ref="AK157">IF(AJ157="","",INDEX(Podcasts!$F$10:'Podcasts'!$F$2535,MATCH(AJ157&amp;$B157,Podcasts!$E$10:'Podcasts'!$E$2535&amp;Podcasts!$D$10:'Podcasts'!$D$2535,0)))</f>
        <v/>
      </c>
      <c r="AL157" s="406" t="str">
        <f t="array" ref="AL157">IF(AM157="","",INDEX(Podcasts!$J$10:'Podcasts'!$J$2535,MATCH(AM157&amp;$B157,Podcasts!$E$10:'Podcasts'!$E$2535&amp;Podcasts!$D$10:'Podcasts'!$D$2535,0)))</f>
        <v/>
      </c>
      <c r="AM157" s="400" t="str">
        <f t="array" ref="AM157">IF(COUNTIF(Podcasts!$D$10:'Podcasts'!$D$2535,$B157)&lt;COLUMN(L120),"",SMALL(IF(Podcasts!$D$10:'Podcasts'!$D$2535=$B157,Podcasts!$E$10:'Podcasts'!$E$2535),COLUMN(L120)))</f>
        <v/>
      </c>
      <c r="AN157" s="401" t="str">
        <f t="array" ref="AN157">IF(AM157="","",INDEX(Podcasts!$F$10:'Podcasts'!$F$2535,MATCH(AM157&amp;$B157,Podcasts!$E$10:'Podcasts'!$E$2535&amp;Podcasts!$D$10:'Podcasts'!$D$2535,0)))</f>
        <v/>
      </c>
      <c r="AO157" s="402"/>
      <c r="AP157" s="119"/>
      <c r="AQ157" s="117">
        <f t="array" aca="1" ref="AQ157" ca="1">IFERROR(SMALL(IF(COUNTIF(Podcasts!$D$10:'Podcasts'!$D$107,ROW(INDIRECT("1:"&amp;K$2)))=0,ROW(INDIRECT("1:"&amp;K$2))),ROW($A114)),"")</f>
        <v>146</v>
      </c>
      <c r="AR157" s="117">
        <f t="array" aca="1" ref="AR157" ca="1">IFERROR(SMALL(IF(COUNTIF(Podcasts!$D$113:'Podcasts'!$D$238,ROW(INDIRECT("1:"&amp;K$2)))=0,ROW(INDIRECT("1:"&amp;K$2))),ROW($A114)),"")</f>
        <v>114</v>
      </c>
      <c r="AS157" s="117">
        <f t="array" aca="1" ref="AS157" ca="1">IFERROR(SMALL(IF(COUNTIF(Podcasts!$D$244:'Podcasts'!$D$299,ROW(INDIRECT("1:"&amp;K$2)))=0,ROW(INDIRECT("1:"&amp;K$2))),ROW($A114)),"")</f>
        <v>133</v>
      </c>
      <c r="AT157" s="117"/>
      <c r="AU157" s="117">
        <f t="array" aca="1" ref="AU157" ca="1">IFERROR(SMALL(IF(COUNTIF(Podcasts!$D$479:'Podcasts'!$D$488,ROW(INDIRECT("1:"&amp;K$2)))=0,ROW(INDIRECT("1:"&amp;K$2))),ROW($A114)),"")</f>
        <v>116</v>
      </c>
      <c r="AV157" s="117">
        <f t="array" aca="1" ref="AV157" ca="1">IFERROR(SMALL(IF(COUNTIF(Podcasts!$D$494:'Podcasts'!$D$518,ROW(INDIRECT("1:"&amp;K$2)))=0,ROW(INDIRECT("1:"&amp;K$2))),ROW($A114)),"")</f>
        <v>135</v>
      </c>
      <c r="AW157" s="117">
        <f t="array" aca="1" ref="AW157" ca="1">IFERROR(SMALL(IF(COUNTIF(Podcasts!$D$524:'Podcasts'!$D$532,ROW(INDIRECT("1:"&amp;K$2)))=0,ROW(INDIRECT("1:"&amp;K$2))),ROW($A114)),"")</f>
        <v>115</v>
      </c>
      <c r="AX157" s="117"/>
      <c r="AY157" s="117">
        <f t="array" aca="1" ref="AY157" ca="1">IFERROR(SMALL(IF(COUNTIF(Podcasts!$D$915:'Podcasts'!$D$981,ROW(INDIRECT("1:"&amp;K$2)))=0,ROW(INDIRECT("1:"&amp;K$2))),ROW($A114)),"")</f>
        <v>163</v>
      </c>
      <c r="AZ157" s="445"/>
      <c r="BA157" s="117">
        <f t="array" aca="1" ref="BA157" ca="1">IFERROR(SMALL(IF(COUNTIF(Podcasts!$D$1001:'Podcasts'!$D$1251,ROW(INDIRECT("1:"&amp;K$2)))=0,ROW(INDIRECT("1:"&amp;K$2))),ROW($A114)),"")</f>
        <v>162</v>
      </c>
      <c r="BB157" s="117">
        <f t="array" aca="1" ref="BB157" ca="1">IFERROR(SMALL(IF(COUNTIF(Podcasts!$D$1257:'Podcasts'!$D$1267,ROW(INDIRECT("1:"&amp;K$2)))=0,ROW(INDIRECT("1:"&amp;K$2))),ROW($A114)),"")</f>
        <v>119</v>
      </c>
      <c r="BC157" s="117">
        <f t="array" aca="1" ref="BC157" ca="1">IFERROR(SMALL(IF(COUNTIF(Podcasts!$D$1273:'Podcasts'!$D$1283,ROW(INDIRECT("1:"&amp;K$2)))=0,ROW(INDIRECT("1:"&amp;K$2))),ROW($A114)),"")</f>
        <v>118</v>
      </c>
      <c r="BD157" s="117">
        <f t="array" aca="1" ref="BD157" ca="1">IFERROR(SMALL(IF(COUNTIF(Podcasts!$D$1289:'Podcasts'!$D$1295,ROW(INDIRECT("1:"&amp;K$2)))=0,ROW(INDIRECT("1:"&amp;K$2))),ROW($A114)),"")</f>
        <v>118</v>
      </c>
      <c r="BE157" s="117">
        <f t="array" aca="1" ref="BE157" ca="1">IFERROR(SMALL(IF(COUNTIF(Podcasts!$D$1301:'Podcasts'!$D$1356,ROW(INDIRECT("1:"&amp;K$2)))=0,ROW(INDIRECT("1:"&amp;K$2))),ROW($A114)),"")</f>
        <v>161</v>
      </c>
      <c r="BF157" s="117">
        <f t="array" aca="1" ref="BF157" ca="1">IFERROR(SMALL(IF(COUNTIF(Podcasts!$D$1362:'Podcasts'!$D$1364,ROW(INDIRECT("1:"&amp;K$2)))=0,ROW(INDIRECT("1:"&amp;K$2))),ROW($A114)),"")</f>
        <v>117</v>
      </c>
      <c r="BG157" s="202">
        <f t="array" aca="1" ref="BG157" ca="1">IFERROR(SMALL(IF(COUNTIF(Podcasts!$D$1370:'Podcasts'!$D$1419,ROW(INDIRECT("1:"&amp;K$2)))=0,ROW(INDIRECT("1:"&amp;K$2))),ROW($A114)),"")</f>
        <v>142</v>
      </c>
      <c r="BH157" s="202">
        <f t="array" aca="1" ref="BH157" ca="1">IFERROR(SMALL(IF(COUNTIF(Podcasts!$D$1425:'Podcasts'!$D$1446,ROW(INDIRECT("1:"&amp;K$2)))=0,ROW(INDIRECT("1:"&amp;K$2))),ROW($A114)),"")</f>
        <v>124</v>
      </c>
      <c r="BI157" s="202">
        <f t="array" aca="1" ref="BI157" ca="1">IFERROR(SMALL(IF(COUNTIF(Podcasts!$D$1452:'Podcasts'!$D$1574,ROW(INDIRECT("1:"&amp;K$2)))=0,ROW(INDIRECT("1:"&amp;K$2))),ROW($A114)),"")</f>
        <v>184</v>
      </c>
      <c r="BJ157" s="202">
        <f t="array" aca="1" ref="BJ157" ca="1">IFERROR(SMALL(IF(COUNTIF(Podcasts!$D$1580:'Podcasts'!$D$1705,ROW(INDIRECT("1:"&amp;K$2)))=0,ROW(INDIRECT("1:"&amp;K$2))),ROW($A114)),"")</f>
        <v>185</v>
      </c>
      <c r="BK157" s="202">
        <f t="array" aca="1" ref="BK157" ca="1">IFERROR(SMALL(IF(COUNTIF(Podcasts!$D$1711:'Podcasts'!$D$1833,ROW(INDIRECT("1:"&amp;K$2)))=0,ROW(INDIRECT("1:"&amp;K$2))),ROW($A114)),"")</f>
        <v>178</v>
      </c>
      <c r="BL157" s="202">
        <f t="array" aca="1" ref="BL157" ca="1">IFERROR(SMALL(IF(COUNTIF(Podcasts!$D$1839:'Podcasts'!$D$1855,ROW(INDIRECT("1:"&amp;K$2)))=0,ROW(INDIRECT("1:"&amp;K$2))),ROW($A114)),"")</f>
        <v>123</v>
      </c>
      <c r="BM157" s="567">
        <f t="array" aca="1" ref="BM157" ca="1">IFERROR(SMALL(IF(COUNTIF(Podcasts!$D$1861:'Podcasts'!$D$1994,ROW(INDIRECT("1:"&amp;K$2)))=0,ROW(INDIRECT("1:"&amp;K$2))),ROW($A114)),"")</f>
        <v>157</v>
      </c>
      <c r="BN157" s="567">
        <f t="array" aca="1" ref="BN157" ca="1">IFERROR(SMALL(IF(COUNTIF(Podcasts!$D$2000:'Podcasts'!$D$2057,ROW(INDIRECT("1:"&amp;K$2)))=0,ROW(INDIRECT("1:"&amp;K$2))),ROW($A114)),"")</f>
        <v>169</v>
      </c>
      <c r="BO157" s="567">
        <f t="array" aca="1" ref="BO157" ca="1">IFERROR(SMALL(IF(COUNTIF(Podcasts!$D$2063:'Podcasts'!$D$2071,ROW(INDIRECT("1:"&amp;K$2)))=0,ROW(INDIRECT("1:"&amp;K$2))),ROW($A114)),"")</f>
        <v>121</v>
      </c>
      <c r="BP157" s="202">
        <f t="array" aca="1" ref="BP157" ca="1">IFERROR(SMALL(IF(COUNTIF(Podcasts!$D$2077:'Podcasts'!$D$2092,ROW(INDIRECT("1:"&amp;K$2)))=0,ROW(INDIRECT("1:"&amp;K$2))),ROW($A114)),"")</f>
        <v>125</v>
      </c>
      <c r="BQ157" s="741">
        <f t="array" aca="1" ref="BQ157" ca="1">IFERROR(SMALL(IF(COUNTIF(Podcasts!$D$2098:'Podcasts'!$D$2114,ROW(INDIRECT("1:"&amp;K$2)))=0,ROW(INDIRECT("1:"&amp;K$2))),ROW($A114)),"")</f>
        <v>123</v>
      </c>
      <c r="BR157" s="744">
        <f t="array" aca="1" ref="BR157" ca="1">IFERROR(SMALL(IF(COUNTIF(Podcasts!$D$2120:'Podcasts'!$D$2124,ROW(INDIRECT("1:"&amp;K$2)))=0,ROW(INDIRECT("1:"&amp;K$2))),ROW($A114)),"")</f>
        <v>116</v>
      </c>
      <c r="BS157" s="28"/>
    </row>
    <row r="158" spans="1:71" outlineLevel="1">
      <c r="A158" s="28"/>
      <c r="B158" s="161">
        <v>115</v>
      </c>
      <c r="C158" s="161">
        <f>COUNTIF(Podcasts!$D$10:'Podcasts'!$D$2535,B158)</f>
        <v>2</v>
      </c>
      <c r="D158" s="158" t="s">
        <v>1142</v>
      </c>
      <c r="E158" s="156" t="str">
        <f t="array" ref="E158">IF(F158="","",INDEX(Podcasts!$J$10:'Podcasts'!$J$2535,MATCH(F158&amp;$B158,Podcasts!$E$10:'Podcasts'!$E$2535&amp;Podcasts!$D$10:'Podcasts'!$D$2535,0)))</f>
        <v>SSP</v>
      </c>
      <c r="F158" s="131">
        <f t="array" ref="F158">IF(COUNTIF(Podcasts!$D$10:'Podcasts'!$D$2535,$B158)&lt;COLUMN(A121),"",SMALL(IF(Podcasts!$D$10:'Podcasts'!$D$2535=$B158,Podcasts!$E$10:'Podcasts'!$E$2535),COLUMN(A121)))</f>
        <v>44980</v>
      </c>
      <c r="G158" s="132">
        <f t="array" ref="G158">IF(F158="","",INDEX(Podcasts!$F$10:'Podcasts'!$F$2535,MATCH(F158&amp;$B158,Podcasts!$E$10:'Podcasts'!$E$2535&amp;Podcasts!$D$10:'Podcasts'!$D$2535,0)))</f>
        <v>7.12037037037037E-2</v>
      </c>
      <c r="H158" s="136" t="str">
        <f t="array" ref="H158">IF(I158="","",INDEX(Podcasts!$J$10:'Podcasts'!$J$2535,MATCH(I158&amp;$B158,Podcasts!$E$10:'Podcasts'!$E$2535&amp;Podcasts!$D$10:'Podcasts'!$D$2535,0)))</f>
        <v>Zentrale</v>
      </c>
      <c r="I158" s="133">
        <f t="array" ref="I158">IF(COUNTIF(Podcasts!$D$10:'Podcasts'!$D$2535,$B158)&lt;COLUMN(B121),"",SMALL(IF(Podcasts!$D$10:'Podcasts'!$D$2535=$B158,Podcasts!$E$10:'Podcasts'!$E$2535),COLUMN(B121)))</f>
        <v>45121</v>
      </c>
      <c r="J158" s="132">
        <f t="array" ref="J158">IF(I158="","",INDEX(Podcasts!$F$10:'Podcasts'!$F$2535,MATCH(I158&amp;$B158,Podcasts!$E$10:'Podcasts'!$E$2535&amp;Podcasts!$D$10:'Podcasts'!$D$2535,0)))</f>
        <v>0.13760416666666667</v>
      </c>
      <c r="K158" s="136" t="str">
        <f t="array" ref="K158">IF(L158="","",INDEX(Podcasts!$J$10:'Podcasts'!$J$2535,MATCH(L158&amp;$B158,Podcasts!$E$10:'Podcasts'!$E$2535&amp;Podcasts!$D$10:'Podcasts'!$D$2535,0)))</f>
        <v/>
      </c>
      <c r="L158" s="133" t="str">
        <f t="array" ref="L158">IF(COUNTIF(Podcasts!$D$10:'Podcasts'!$D$2535,$B158)&lt;COLUMN(C121),"",SMALL(IF(Podcasts!$D$10:'Podcasts'!$D$2535=$B158,Podcasts!$E$10:'Podcasts'!$E$2535),COLUMN(C121)))</f>
        <v/>
      </c>
      <c r="M158" s="132" t="str">
        <f t="array" ref="M158">IF(L158="","",INDEX(Podcasts!$F$10:'Podcasts'!$F$2535,MATCH(L158&amp;$B158,Podcasts!$E$10:'Podcasts'!$E$2535&amp;Podcasts!$D$10:'Podcasts'!$D$2535,0)))</f>
        <v/>
      </c>
      <c r="N158" s="136" t="str">
        <f t="array" ref="N158">IF(O158="","",INDEX(Podcasts!$J$10:'Podcasts'!$J$2535,MATCH(O158&amp;$B158,Podcasts!$E$10:'Podcasts'!$E$2535&amp;Podcasts!$D$10:'Podcasts'!$D$2535,0)))</f>
        <v/>
      </c>
      <c r="O158" s="133" t="str">
        <f t="array" ref="O158">IF(COUNTIF(Podcasts!$D$10:'Podcasts'!$D$2535,$B158)&lt;COLUMN(D121),"",SMALL(IF(Podcasts!$D$10:'Podcasts'!$D$2535=$B158,Podcasts!$E$10:'Podcasts'!$E$2535),COLUMN(D121)))</f>
        <v/>
      </c>
      <c r="P158" s="132" t="str">
        <f t="array" ref="P158">IF(O158="","",INDEX(Podcasts!$F$10:'Podcasts'!$F$2535,MATCH(O158&amp;$B158,Podcasts!$E$10:'Podcasts'!$E$2535&amp;Podcasts!$D$10:'Podcasts'!$D$2535,0)))</f>
        <v/>
      </c>
      <c r="Q158" s="136" t="str">
        <f t="array" ref="Q158">IF(R158="","",INDEX(Podcasts!$J$10:'Podcasts'!$J$2535,MATCH(R158&amp;$B158,Podcasts!$E$10:'Podcasts'!$E$2535&amp;Podcasts!$D$10:'Podcasts'!$D$2535,0)))</f>
        <v/>
      </c>
      <c r="R158" s="133" t="str">
        <f t="array" ref="R158">IF(COUNTIF(Podcasts!$D$10:'Podcasts'!$D$2535,$B158)&lt;COLUMN(E121),"",SMALL(IF(Podcasts!$D$10:'Podcasts'!$D$2535=$B158,Podcasts!$E$10:'Podcasts'!$E$2535),COLUMN(E121)))</f>
        <v/>
      </c>
      <c r="S158" s="132" t="str">
        <f t="array" ref="S158">IF(R158="","",INDEX(Podcasts!$F$10:'Podcasts'!$F$2535,MATCH(R158&amp;$B158,Podcasts!$E$10:'Podcasts'!$E$2535&amp;Podcasts!$D$10:'Podcasts'!$D$2535,0)))</f>
        <v/>
      </c>
      <c r="T158" s="136" t="str">
        <f t="array" ref="T158">IF(U158="","",INDEX(Podcasts!$J$10:'Podcasts'!$J$2535,MATCH(U158&amp;$B158,Podcasts!$E$10:'Podcasts'!$E$2535&amp;Podcasts!$D$10:'Podcasts'!$D$2535,0)))</f>
        <v/>
      </c>
      <c r="U158" s="133" t="str">
        <f t="array" ref="U158">IF(COUNTIF(Podcasts!$D$10:'Podcasts'!$D$2535,$B158)&lt;COLUMN(F121),"",SMALL(IF(Podcasts!$D$10:'Podcasts'!$D$2535=$B158,Podcasts!$E$10:'Podcasts'!$E$2535),COLUMN(F121)))</f>
        <v/>
      </c>
      <c r="V158" s="132" t="str">
        <f t="array" ref="V158">IF(U158="","",INDEX(Podcasts!$F$10:'Podcasts'!$F$2535,MATCH(U158&amp;$B158,Podcasts!$E$10:'Podcasts'!$E$2535&amp;Podcasts!$D$10:'Podcasts'!$D$2535,0)))</f>
        <v/>
      </c>
      <c r="W158" s="136" t="str">
        <f t="array" ref="W158">IF(X158="","",INDEX(Podcasts!$J$10:'Podcasts'!$J$2535,MATCH(X158&amp;$B158,Podcasts!$E$10:'Podcasts'!$E$2535&amp;Podcasts!$D$10:'Podcasts'!$D$2535,0)))</f>
        <v/>
      </c>
      <c r="X158" s="133" t="str">
        <f t="array" ref="X158">IF(COUNTIF(Podcasts!$D$10:'Podcasts'!$D$2535,$B158)&lt;COLUMN(G121),"",SMALL(IF(Podcasts!$D$10:'Podcasts'!$D$2535=$B158,Podcasts!$E$10:'Podcasts'!$E$2535),COLUMN(G121)))</f>
        <v/>
      </c>
      <c r="Y158" s="132" t="str">
        <f t="array" ref="Y158">IF(X158="","",INDEX(Podcasts!$F$10:'Podcasts'!$F$2535,MATCH(X158&amp;$B158,Podcasts!$E$10:'Podcasts'!$E$2535&amp;Podcasts!$D$10:'Podcasts'!$D$2535,0)))</f>
        <v/>
      </c>
      <c r="Z158" s="136" t="str">
        <f t="array" ref="Z158">IF(AA158="","",INDEX(Podcasts!$J$10:'Podcasts'!$J$2535,MATCH(AA158&amp;$B158,Podcasts!$E$10:'Podcasts'!$E$2535&amp;Podcasts!$D$10:'Podcasts'!$D$2535,0)))</f>
        <v/>
      </c>
      <c r="AA158" s="134" t="str">
        <f t="array" ref="AA158">IF(COUNTIF(Podcasts!$D$10:'Podcasts'!$D$2535,$B158)&lt;COLUMN(H121),"",SMALL(IF(Podcasts!$D$10:'Podcasts'!$D$2535=$B158,Podcasts!$E$10:'Podcasts'!$E$2535),COLUMN(H121)))</f>
        <v/>
      </c>
      <c r="AB158" s="404" t="str">
        <f t="array" ref="AB158">IF(AA158="","",INDEX(Podcasts!$F$10:'Podcasts'!$F$2535,MATCH(AA158&amp;$B158,Podcasts!$E$10:'Podcasts'!$E$2535&amp;Podcasts!$D$10:'Podcasts'!$D$2535,0)))</f>
        <v/>
      </c>
      <c r="AC158" s="406" t="str">
        <f t="array" ref="AC158">IF(AD158="","",INDEX(Podcasts!$J$10:'Podcasts'!$J$2535,MATCH(AD158&amp;$B158,Podcasts!$E$10:'Podcasts'!$E$2535&amp;Podcasts!$D$10:'Podcasts'!$D$2535,0)))</f>
        <v/>
      </c>
      <c r="AD158" s="400" t="str">
        <f t="array" ref="AD158">IF(COUNTIF(Podcasts!$D$10:'Podcasts'!$D$2535,$B158)&lt;COLUMN(I121),"",SMALL(IF(Podcasts!$D$10:'Podcasts'!$D$2535=$B158,Podcasts!$E$10:'Podcasts'!$E$2535),COLUMN(I121)))</f>
        <v/>
      </c>
      <c r="AE158" s="401" t="str">
        <f t="array" ref="AE158">IF(AD158="","",INDEX(Podcasts!$F$10:'Podcasts'!$F$2535,MATCH(AD158&amp;$B158,Podcasts!$E$10:'Podcasts'!$E$2535&amp;Podcasts!$D$10:'Podcasts'!$D$2535,0)))</f>
        <v/>
      </c>
      <c r="AF158" s="406" t="str">
        <f t="array" ref="AF158">IF(AG158="","",INDEX(Podcasts!$J$10:'Podcasts'!$J$2535,MATCH(AG158&amp;$B158,Podcasts!$E$10:'Podcasts'!$E$2535&amp;Podcasts!$D$10:'Podcasts'!$D$2535,0)))</f>
        <v/>
      </c>
      <c r="AG158" s="400" t="str">
        <f t="array" ref="AG158">IF(COUNTIF(Podcasts!$D$10:'Podcasts'!$D$2535,$B158)&lt;COLUMN(J121),"",SMALL(IF(Podcasts!$D$10:'Podcasts'!$D$2535=$B158,Podcasts!$E$10:'Podcasts'!$E$2535),COLUMN(J121)))</f>
        <v/>
      </c>
      <c r="AH158" s="401" t="str">
        <f t="array" ref="AH158">IF(AG158="","",INDEX(Podcasts!$F$10:'Podcasts'!$F$2535,MATCH(AG158&amp;$B158,Podcasts!$E$10:'Podcasts'!$E$2535&amp;Podcasts!$D$10:'Podcasts'!$D$2535,0)))</f>
        <v/>
      </c>
      <c r="AI158" s="406" t="str">
        <f t="array" ref="AI158">IF(AJ158="","",INDEX(Podcasts!$J$10:'Podcasts'!$J$2535,MATCH(AJ158&amp;$B158,Podcasts!$E$10:'Podcasts'!$E$2535&amp;Podcasts!$D$10:'Podcasts'!$D$2535,0)))</f>
        <v/>
      </c>
      <c r="AJ158" s="400" t="str">
        <f t="array" ref="AJ158">IF(COUNTIF(Podcasts!$D$10:'Podcasts'!$D$2535,$B158)&lt;COLUMN(K121),"",SMALL(IF(Podcasts!$D$10:'Podcasts'!$D$2535=$B158,Podcasts!$E$10:'Podcasts'!$E$2535),COLUMN(K121)))</f>
        <v/>
      </c>
      <c r="AK158" s="401" t="str">
        <f t="array" ref="AK158">IF(AJ158="","",INDEX(Podcasts!$F$10:'Podcasts'!$F$2535,MATCH(AJ158&amp;$B158,Podcasts!$E$10:'Podcasts'!$E$2535&amp;Podcasts!$D$10:'Podcasts'!$D$2535,0)))</f>
        <v/>
      </c>
      <c r="AL158" s="406" t="str">
        <f t="array" ref="AL158">IF(AM158="","",INDEX(Podcasts!$J$10:'Podcasts'!$J$2535,MATCH(AM158&amp;$B158,Podcasts!$E$10:'Podcasts'!$E$2535&amp;Podcasts!$D$10:'Podcasts'!$D$2535,0)))</f>
        <v/>
      </c>
      <c r="AM158" s="400" t="str">
        <f t="array" ref="AM158">IF(COUNTIF(Podcasts!$D$10:'Podcasts'!$D$2535,$B158)&lt;COLUMN(L121),"",SMALL(IF(Podcasts!$D$10:'Podcasts'!$D$2535=$B158,Podcasts!$E$10:'Podcasts'!$E$2535),COLUMN(L121)))</f>
        <v/>
      </c>
      <c r="AN158" s="401" t="str">
        <f t="array" ref="AN158">IF(AM158="","",INDEX(Podcasts!$F$10:'Podcasts'!$F$2535,MATCH(AM158&amp;$B158,Podcasts!$E$10:'Podcasts'!$E$2535&amp;Podcasts!$D$10:'Podcasts'!$D$2535,0)))</f>
        <v/>
      </c>
      <c r="AO158" s="402"/>
      <c r="AP158" s="119"/>
      <c r="AQ158" s="117">
        <f t="array" aca="1" ref="AQ158" ca="1">IFERROR(SMALL(IF(COUNTIF(Podcasts!$D$10:'Podcasts'!$D$107,ROW(INDIRECT("1:"&amp;K$2)))=0,ROW(INDIRECT("1:"&amp;K$2))),ROW($A115)),"")</f>
        <v>147</v>
      </c>
      <c r="AR158" s="117">
        <f t="array" aca="1" ref="AR158" ca="1">IFERROR(SMALL(IF(COUNTIF(Podcasts!$D$113:'Podcasts'!$D$238,ROW(INDIRECT("1:"&amp;K$2)))=0,ROW(INDIRECT("1:"&amp;K$2))),ROW($A115)),"")</f>
        <v>115</v>
      </c>
      <c r="AS158" s="117">
        <f t="array" aca="1" ref="AS158" ca="1">IFERROR(SMALL(IF(COUNTIF(Podcasts!$D$244:'Podcasts'!$D$299,ROW(INDIRECT("1:"&amp;K$2)))=0,ROW(INDIRECT("1:"&amp;K$2))),ROW($A115)),"")</f>
        <v>134</v>
      </c>
      <c r="AT158" s="117"/>
      <c r="AU158" s="117">
        <f t="array" aca="1" ref="AU158" ca="1">IFERROR(SMALL(IF(COUNTIF(Podcasts!$D$479:'Podcasts'!$D$488,ROW(INDIRECT("1:"&amp;K$2)))=0,ROW(INDIRECT("1:"&amp;K$2))),ROW($A115)),"")</f>
        <v>117</v>
      </c>
      <c r="AV158" s="117">
        <f t="array" aca="1" ref="AV158" ca="1">IFERROR(SMALL(IF(COUNTIF(Podcasts!$D$494:'Podcasts'!$D$518,ROW(INDIRECT("1:"&amp;K$2)))=0,ROW(INDIRECT("1:"&amp;K$2))),ROW($A115)),"")</f>
        <v>136</v>
      </c>
      <c r="AW158" s="117">
        <f t="array" aca="1" ref="AW158" ca="1">IFERROR(SMALL(IF(COUNTIF(Podcasts!$D$524:'Podcasts'!$D$532,ROW(INDIRECT("1:"&amp;K$2)))=0,ROW(INDIRECT("1:"&amp;K$2))),ROW($A115)),"")</f>
        <v>116</v>
      </c>
      <c r="AX158" s="117"/>
      <c r="AY158" s="117">
        <f t="array" aca="1" ref="AY158" ca="1">IFERROR(SMALL(IF(COUNTIF(Podcasts!$D$915:'Podcasts'!$D$981,ROW(INDIRECT("1:"&amp;K$2)))=0,ROW(INDIRECT("1:"&amp;K$2))),ROW($A115)),"")</f>
        <v>164</v>
      </c>
      <c r="AZ158" s="445"/>
      <c r="BA158" s="117">
        <f t="array" aca="1" ref="BA158" ca="1">IFERROR(SMALL(IF(COUNTIF(Podcasts!$D$1001:'Podcasts'!$D$1251,ROW(INDIRECT("1:"&amp;K$2)))=0,ROW(INDIRECT("1:"&amp;K$2))),ROW($A115)),"")</f>
        <v>164</v>
      </c>
      <c r="BB158" s="117">
        <f t="array" aca="1" ref="BB158" ca="1">IFERROR(SMALL(IF(COUNTIF(Podcasts!$D$1257:'Podcasts'!$D$1267,ROW(INDIRECT("1:"&amp;K$2)))=0,ROW(INDIRECT("1:"&amp;K$2))),ROW($A115)),"")</f>
        <v>120</v>
      </c>
      <c r="BC158" s="117">
        <f t="array" aca="1" ref="BC158" ca="1">IFERROR(SMALL(IF(COUNTIF(Podcasts!$D$1273:'Podcasts'!$D$1283,ROW(INDIRECT("1:"&amp;K$2)))=0,ROW(INDIRECT("1:"&amp;K$2))),ROW($A115)),"")</f>
        <v>119</v>
      </c>
      <c r="BD158" s="117">
        <f t="array" aca="1" ref="BD158" ca="1">IFERROR(SMALL(IF(COUNTIF(Podcasts!$D$1289:'Podcasts'!$D$1295,ROW(INDIRECT("1:"&amp;K$2)))=0,ROW(INDIRECT("1:"&amp;K$2))),ROW($A115)),"")</f>
        <v>119</v>
      </c>
      <c r="BE158" s="117">
        <f t="array" aca="1" ref="BE158" ca="1">IFERROR(SMALL(IF(COUNTIF(Podcasts!$D$1301:'Podcasts'!$D$1356,ROW(INDIRECT("1:"&amp;K$2)))=0,ROW(INDIRECT("1:"&amp;K$2))),ROW($A115)),"")</f>
        <v>162</v>
      </c>
      <c r="BF158" s="117">
        <f t="array" aca="1" ref="BF158" ca="1">IFERROR(SMALL(IF(COUNTIF(Podcasts!$D$1362:'Podcasts'!$D$1364,ROW(INDIRECT("1:"&amp;K$2)))=0,ROW(INDIRECT("1:"&amp;K$2))),ROW($A115)),"")</f>
        <v>118</v>
      </c>
      <c r="BG158" s="202">
        <f t="array" aca="1" ref="BG158" ca="1">IFERROR(SMALL(IF(COUNTIF(Podcasts!$D$1370:'Podcasts'!$D$1419,ROW(INDIRECT("1:"&amp;K$2)))=0,ROW(INDIRECT("1:"&amp;K$2))),ROW($A115)),"")</f>
        <v>144</v>
      </c>
      <c r="BH158" s="202">
        <f t="array" aca="1" ref="BH158" ca="1">IFERROR(SMALL(IF(COUNTIF(Podcasts!$D$1425:'Podcasts'!$D$1446,ROW(INDIRECT("1:"&amp;K$2)))=0,ROW(INDIRECT("1:"&amp;K$2))),ROW($A115)),"")</f>
        <v>125</v>
      </c>
      <c r="BI158" s="202">
        <f t="array" aca="1" ref="BI158" ca="1">IFERROR(SMALL(IF(COUNTIF(Podcasts!$D$1452:'Podcasts'!$D$1574,ROW(INDIRECT("1:"&amp;K$2)))=0,ROW(INDIRECT("1:"&amp;K$2))),ROW($A115)),"")</f>
        <v>185</v>
      </c>
      <c r="BJ158" s="202">
        <f t="array" aca="1" ref="BJ158" ca="1">IFERROR(SMALL(IF(COUNTIF(Podcasts!$D$1580:'Podcasts'!$D$1705,ROW(INDIRECT("1:"&amp;K$2)))=0,ROW(INDIRECT("1:"&amp;K$2))),ROW($A115)),"")</f>
        <v>186</v>
      </c>
      <c r="BK158" s="202">
        <f t="array" aca="1" ref="BK158" ca="1">IFERROR(SMALL(IF(COUNTIF(Podcasts!$D$1711:'Podcasts'!$D$1833,ROW(INDIRECT("1:"&amp;K$2)))=0,ROW(INDIRECT("1:"&amp;K$2))),ROW($A115)),"")</f>
        <v>179</v>
      </c>
      <c r="BL158" s="202">
        <f t="array" aca="1" ref="BL158" ca="1">IFERROR(SMALL(IF(COUNTIF(Podcasts!$D$1839:'Podcasts'!$D$1855,ROW(INDIRECT("1:"&amp;K$2)))=0,ROW(INDIRECT("1:"&amp;K$2))),ROW($A115)),"")</f>
        <v>124</v>
      </c>
      <c r="BM158" s="567">
        <f t="array" aca="1" ref="BM158" ca="1">IFERROR(SMALL(IF(COUNTIF(Podcasts!$D$1861:'Podcasts'!$D$1994,ROW(INDIRECT("1:"&amp;K$2)))=0,ROW(INDIRECT("1:"&amp;K$2))),ROW($A115)),"")</f>
        <v>158</v>
      </c>
      <c r="BN158" s="567">
        <f t="array" aca="1" ref="BN158" ca="1">IFERROR(SMALL(IF(COUNTIF(Podcasts!$D$2000:'Podcasts'!$D$2057,ROW(INDIRECT("1:"&amp;K$2)))=0,ROW(INDIRECT("1:"&amp;K$2))),ROW($A115)),"")</f>
        <v>170</v>
      </c>
      <c r="BO158" s="567">
        <f t="array" aca="1" ref="BO158" ca="1">IFERROR(SMALL(IF(COUNTIF(Podcasts!$D$2063:'Podcasts'!$D$2071,ROW(INDIRECT("1:"&amp;K$2)))=0,ROW(INDIRECT("1:"&amp;K$2))),ROW($A115)),"")</f>
        <v>122</v>
      </c>
      <c r="BP158" s="202">
        <f t="array" aca="1" ref="BP158" ca="1">IFERROR(SMALL(IF(COUNTIF(Podcasts!$D$2077:'Podcasts'!$D$2092,ROW(INDIRECT("1:"&amp;K$2)))=0,ROW(INDIRECT("1:"&amp;K$2))),ROW($A115)),"")</f>
        <v>126</v>
      </c>
      <c r="BQ158" s="741">
        <f t="array" aca="1" ref="BQ158" ca="1">IFERROR(SMALL(IF(COUNTIF(Podcasts!$D$2098:'Podcasts'!$D$2114,ROW(INDIRECT("1:"&amp;K$2)))=0,ROW(INDIRECT("1:"&amp;K$2))),ROW($A115)),"")</f>
        <v>124</v>
      </c>
      <c r="BR158" s="744">
        <f t="array" aca="1" ref="BR158" ca="1">IFERROR(SMALL(IF(COUNTIF(Podcasts!$D$2120:'Podcasts'!$D$2124,ROW(INDIRECT("1:"&amp;K$2)))=0,ROW(INDIRECT("1:"&amp;K$2))),ROW($A115)),"")</f>
        <v>117</v>
      </c>
      <c r="BS158" s="28"/>
    </row>
    <row r="159" spans="1:71" outlineLevel="1">
      <c r="A159" s="28"/>
      <c r="B159" s="161">
        <v>116</v>
      </c>
      <c r="C159" s="161">
        <f>COUNTIF(Podcasts!$D$10:'Podcasts'!$D$2535,B159)</f>
        <v>1</v>
      </c>
      <c r="D159" s="158" t="s">
        <v>1143</v>
      </c>
      <c r="E159" s="156" t="str">
        <f t="array" ref="E159">IF(F159="","",INDEX(Podcasts!$J$10:'Podcasts'!$J$2535,MATCH(F159&amp;$B159,Podcasts!$E$10:'Podcasts'!$E$2535&amp;Podcasts!$D$10:'Podcasts'!$D$2535,0)))</f>
        <v>???od</v>
      </c>
      <c r="F159" s="131">
        <f t="array" ref="F159">IF(COUNTIF(Podcasts!$D$10:'Podcasts'!$D$2535,$B159)&lt;COLUMN(A122),"",SMALL(IF(Podcasts!$D$10:'Podcasts'!$D$2535=$B159,Podcasts!$E$10:'Podcasts'!$E$2535),COLUMN(A122)))</f>
        <v>40932</v>
      </c>
      <c r="G159" s="132">
        <f t="array" ref="G159">IF(F159="","",INDEX(Podcasts!$F$10:'Podcasts'!$F$2535,MATCH(F159&amp;$B159,Podcasts!$E$10:'Podcasts'!$E$2535&amp;Podcasts!$D$10:'Podcasts'!$D$2535,0)))</f>
        <v>3.0266203703703708E-2</v>
      </c>
      <c r="H159" s="136" t="str">
        <f t="array" ref="H159">IF(I159="","",INDEX(Podcasts!$J$10:'Podcasts'!$J$2535,MATCH(I159&amp;$B159,Podcasts!$E$10:'Podcasts'!$E$2535&amp;Podcasts!$D$10:'Podcasts'!$D$2535,0)))</f>
        <v/>
      </c>
      <c r="I159" s="133" t="str">
        <f t="array" ref="I159">IF(COUNTIF(Podcasts!$D$10:'Podcasts'!$D$2535,$B159)&lt;COLUMN(B122),"",SMALL(IF(Podcasts!$D$10:'Podcasts'!$D$2535=$B159,Podcasts!$E$10:'Podcasts'!$E$2535),COLUMN(B122)))</f>
        <v/>
      </c>
      <c r="J159" s="132" t="str">
        <f t="array" ref="J159">IF(I159="","",INDEX(Podcasts!$F$10:'Podcasts'!$F$2535,MATCH(I159&amp;$B159,Podcasts!$E$10:'Podcasts'!$E$2535&amp;Podcasts!$D$10:'Podcasts'!$D$2535,0)))</f>
        <v/>
      </c>
      <c r="K159" s="136" t="str">
        <f t="array" ref="K159">IF(L159="","",INDEX(Podcasts!$J$10:'Podcasts'!$J$2535,MATCH(L159&amp;$B159,Podcasts!$E$10:'Podcasts'!$E$2535&amp;Podcasts!$D$10:'Podcasts'!$D$2535,0)))</f>
        <v/>
      </c>
      <c r="L159" s="133" t="str">
        <f t="array" ref="L159">IF(COUNTIF(Podcasts!$D$10:'Podcasts'!$D$2535,$B159)&lt;COLUMN(C122),"",SMALL(IF(Podcasts!$D$10:'Podcasts'!$D$2535=$B159,Podcasts!$E$10:'Podcasts'!$E$2535),COLUMN(C122)))</f>
        <v/>
      </c>
      <c r="M159" s="132" t="str">
        <f t="array" ref="M159">IF(L159="","",INDEX(Podcasts!$F$10:'Podcasts'!$F$2535,MATCH(L159&amp;$B159,Podcasts!$E$10:'Podcasts'!$E$2535&amp;Podcasts!$D$10:'Podcasts'!$D$2535,0)))</f>
        <v/>
      </c>
      <c r="N159" s="136" t="str">
        <f t="array" ref="N159">IF(O159="","",INDEX(Podcasts!$J$10:'Podcasts'!$J$2535,MATCH(O159&amp;$B159,Podcasts!$E$10:'Podcasts'!$E$2535&amp;Podcasts!$D$10:'Podcasts'!$D$2535,0)))</f>
        <v/>
      </c>
      <c r="O159" s="133" t="str">
        <f t="array" ref="O159">IF(COUNTIF(Podcasts!$D$10:'Podcasts'!$D$2535,$B159)&lt;COLUMN(D122),"",SMALL(IF(Podcasts!$D$10:'Podcasts'!$D$2535=$B159,Podcasts!$E$10:'Podcasts'!$E$2535),COLUMN(D122)))</f>
        <v/>
      </c>
      <c r="P159" s="132" t="str">
        <f t="array" ref="P159">IF(O159="","",INDEX(Podcasts!$F$10:'Podcasts'!$F$2535,MATCH(O159&amp;$B159,Podcasts!$E$10:'Podcasts'!$E$2535&amp;Podcasts!$D$10:'Podcasts'!$D$2535,0)))</f>
        <v/>
      </c>
      <c r="Q159" s="136" t="str">
        <f t="array" ref="Q159">IF(R159="","",INDEX(Podcasts!$J$10:'Podcasts'!$J$2535,MATCH(R159&amp;$B159,Podcasts!$E$10:'Podcasts'!$E$2535&amp;Podcasts!$D$10:'Podcasts'!$D$2535,0)))</f>
        <v/>
      </c>
      <c r="R159" s="133" t="str">
        <f t="array" ref="R159">IF(COUNTIF(Podcasts!$D$10:'Podcasts'!$D$2535,$B159)&lt;COLUMN(E122),"",SMALL(IF(Podcasts!$D$10:'Podcasts'!$D$2535=$B159,Podcasts!$E$10:'Podcasts'!$E$2535),COLUMN(E122)))</f>
        <v/>
      </c>
      <c r="S159" s="132" t="str">
        <f t="array" ref="S159">IF(R159="","",INDEX(Podcasts!$F$10:'Podcasts'!$F$2535,MATCH(R159&amp;$B159,Podcasts!$E$10:'Podcasts'!$E$2535&amp;Podcasts!$D$10:'Podcasts'!$D$2535,0)))</f>
        <v/>
      </c>
      <c r="T159" s="136" t="str">
        <f t="array" ref="T159">IF(U159="","",INDEX(Podcasts!$J$10:'Podcasts'!$J$2535,MATCH(U159&amp;$B159,Podcasts!$E$10:'Podcasts'!$E$2535&amp;Podcasts!$D$10:'Podcasts'!$D$2535,0)))</f>
        <v/>
      </c>
      <c r="U159" s="133" t="str">
        <f t="array" ref="U159">IF(COUNTIF(Podcasts!$D$10:'Podcasts'!$D$2535,$B159)&lt;COLUMN(F122),"",SMALL(IF(Podcasts!$D$10:'Podcasts'!$D$2535=$B159,Podcasts!$E$10:'Podcasts'!$E$2535),COLUMN(F122)))</f>
        <v/>
      </c>
      <c r="V159" s="132" t="str">
        <f t="array" ref="V159">IF(U159="","",INDEX(Podcasts!$F$10:'Podcasts'!$F$2535,MATCH(U159&amp;$B159,Podcasts!$E$10:'Podcasts'!$E$2535&amp;Podcasts!$D$10:'Podcasts'!$D$2535,0)))</f>
        <v/>
      </c>
      <c r="W159" s="136" t="str">
        <f t="array" ref="W159">IF(X159="","",INDEX(Podcasts!$J$10:'Podcasts'!$J$2535,MATCH(X159&amp;$B159,Podcasts!$E$10:'Podcasts'!$E$2535&amp;Podcasts!$D$10:'Podcasts'!$D$2535,0)))</f>
        <v/>
      </c>
      <c r="X159" s="133" t="str">
        <f t="array" ref="X159">IF(COUNTIF(Podcasts!$D$10:'Podcasts'!$D$2535,$B159)&lt;COLUMN(G122),"",SMALL(IF(Podcasts!$D$10:'Podcasts'!$D$2535=$B159,Podcasts!$E$10:'Podcasts'!$E$2535),COLUMN(G122)))</f>
        <v/>
      </c>
      <c r="Y159" s="132" t="str">
        <f t="array" ref="Y159">IF(X159="","",INDEX(Podcasts!$F$10:'Podcasts'!$F$2535,MATCH(X159&amp;$B159,Podcasts!$E$10:'Podcasts'!$E$2535&amp;Podcasts!$D$10:'Podcasts'!$D$2535,0)))</f>
        <v/>
      </c>
      <c r="Z159" s="136" t="str">
        <f t="array" ref="Z159">IF(AA159="","",INDEX(Podcasts!$J$10:'Podcasts'!$J$2535,MATCH(AA159&amp;$B159,Podcasts!$E$10:'Podcasts'!$E$2535&amp;Podcasts!$D$10:'Podcasts'!$D$2535,0)))</f>
        <v/>
      </c>
      <c r="AA159" s="134" t="str">
        <f t="array" ref="AA159">IF(COUNTIF(Podcasts!$D$10:'Podcasts'!$D$2535,$B159)&lt;COLUMN(H122),"",SMALL(IF(Podcasts!$D$10:'Podcasts'!$D$2535=$B159,Podcasts!$E$10:'Podcasts'!$E$2535),COLUMN(H122)))</f>
        <v/>
      </c>
      <c r="AB159" s="404" t="str">
        <f t="array" ref="AB159">IF(AA159="","",INDEX(Podcasts!$F$10:'Podcasts'!$F$2535,MATCH(AA159&amp;$B159,Podcasts!$E$10:'Podcasts'!$E$2535&amp;Podcasts!$D$10:'Podcasts'!$D$2535,0)))</f>
        <v/>
      </c>
      <c r="AC159" s="406" t="str">
        <f t="array" ref="AC159">IF(AD159="","",INDEX(Podcasts!$J$10:'Podcasts'!$J$2535,MATCH(AD159&amp;$B159,Podcasts!$E$10:'Podcasts'!$E$2535&amp;Podcasts!$D$10:'Podcasts'!$D$2535,0)))</f>
        <v/>
      </c>
      <c r="AD159" s="400" t="str">
        <f t="array" ref="AD159">IF(COUNTIF(Podcasts!$D$10:'Podcasts'!$D$2535,$B159)&lt;COLUMN(I122),"",SMALL(IF(Podcasts!$D$10:'Podcasts'!$D$2535=$B159,Podcasts!$E$10:'Podcasts'!$E$2535),COLUMN(I122)))</f>
        <v/>
      </c>
      <c r="AE159" s="401" t="str">
        <f t="array" ref="AE159">IF(AD159="","",INDEX(Podcasts!$F$10:'Podcasts'!$F$2535,MATCH(AD159&amp;$B159,Podcasts!$E$10:'Podcasts'!$E$2535&amp;Podcasts!$D$10:'Podcasts'!$D$2535,0)))</f>
        <v/>
      </c>
      <c r="AF159" s="406" t="str">
        <f t="array" ref="AF159">IF(AG159="","",INDEX(Podcasts!$J$10:'Podcasts'!$J$2535,MATCH(AG159&amp;$B159,Podcasts!$E$10:'Podcasts'!$E$2535&amp;Podcasts!$D$10:'Podcasts'!$D$2535,0)))</f>
        <v/>
      </c>
      <c r="AG159" s="400" t="str">
        <f t="array" ref="AG159">IF(COUNTIF(Podcasts!$D$10:'Podcasts'!$D$2535,$B159)&lt;COLUMN(J122),"",SMALL(IF(Podcasts!$D$10:'Podcasts'!$D$2535=$B159,Podcasts!$E$10:'Podcasts'!$E$2535),COLUMN(J122)))</f>
        <v/>
      </c>
      <c r="AH159" s="401" t="str">
        <f t="array" ref="AH159">IF(AG159="","",INDEX(Podcasts!$F$10:'Podcasts'!$F$2535,MATCH(AG159&amp;$B159,Podcasts!$E$10:'Podcasts'!$E$2535&amp;Podcasts!$D$10:'Podcasts'!$D$2535,0)))</f>
        <v/>
      </c>
      <c r="AI159" s="406" t="str">
        <f t="array" ref="AI159">IF(AJ159="","",INDEX(Podcasts!$J$10:'Podcasts'!$J$2535,MATCH(AJ159&amp;$B159,Podcasts!$E$10:'Podcasts'!$E$2535&amp;Podcasts!$D$10:'Podcasts'!$D$2535,0)))</f>
        <v/>
      </c>
      <c r="AJ159" s="400" t="str">
        <f t="array" ref="AJ159">IF(COUNTIF(Podcasts!$D$10:'Podcasts'!$D$2535,$B159)&lt;COLUMN(K122),"",SMALL(IF(Podcasts!$D$10:'Podcasts'!$D$2535=$B159,Podcasts!$E$10:'Podcasts'!$E$2535),COLUMN(K122)))</f>
        <v/>
      </c>
      <c r="AK159" s="401" t="str">
        <f t="array" ref="AK159">IF(AJ159="","",INDEX(Podcasts!$F$10:'Podcasts'!$F$2535,MATCH(AJ159&amp;$B159,Podcasts!$E$10:'Podcasts'!$E$2535&amp;Podcasts!$D$10:'Podcasts'!$D$2535,0)))</f>
        <v/>
      </c>
      <c r="AL159" s="406" t="str">
        <f t="array" ref="AL159">IF(AM159="","",INDEX(Podcasts!$J$10:'Podcasts'!$J$2535,MATCH(AM159&amp;$B159,Podcasts!$E$10:'Podcasts'!$E$2535&amp;Podcasts!$D$10:'Podcasts'!$D$2535,0)))</f>
        <v/>
      </c>
      <c r="AM159" s="400" t="str">
        <f t="array" ref="AM159">IF(COUNTIF(Podcasts!$D$10:'Podcasts'!$D$2535,$B159)&lt;COLUMN(L122),"",SMALL(IF(Podcasts!$D$10:'Podcasts'!$D$2535=$B159,Podcasts!$E$10:'Podcasts'!$E$2535),COLUMN(L122)))</f>
        <v/>
      </c>
      <c r="AN159" s="401" t="str">
        <f t="array" ref="AN159">IF(AM159="","",INDEX(Podcasts!$F$10:'Podcasts'!$F$2535,MATCH(AM159&amp;$B159,Podcasts!$E$10:'Podcasts'!$E$2535&amp;Podcasts!$D$10:'Podcasts'!$D$2535,0)))</f>
        <v/>
      </c>
      <c r="AO159" s="402"/>
      <c r="AP159" s="119"/>
      <c r="AQ159" s="117">
        <f t="array" aca="1" ref="AQ159" ca="1">IFERROR(SMALL(IF(COUNTIF(Podcasts!$D$10:'Podcasts'!$D$107,ROW(INDIRECT("1:"&amp;K$2)))=0,ROW(INDIRECT("1:"&amp;K$2))),ROW($A116)),"")</f>
        <v>148</v>
      </c>
      <c r="AR159" s="117">
        <f t="array" aca="1" ref="AR159" ca="1">IFERROR(SMALL(IF(COUNTIF(Podcasts!$D$113:'Podcasts'!$D$238,ROW(INDIRECT("1:"&amp;K$2)))=0,ROW(INDIRECT("1:"&amp;K$2))),ROW($A116)),"")</f>
        <v>116</v>
      </c>
      <c r="AS159" s="117">
        <f t="array" aca="1" ref="AS159" ca="1">IFERROR(SMALL(IF(COUNTIF(Podcasts!$D$244:'Podcasts'!$D$299,ROW(INDIRECT("1:"&amp;K$2)))=0,ROW(INDIRECT("1:"&amp;K$2))),ROW($A116)),"")</f>
        <v>135</v>
      </c>
      <c r="AT159" s="117"/>
      <c r="AU159" s="117">
        <f t="array" aca="1" ref="AU159" ca="1">IFERROR(SMALL(IF(COUNTIF(Podcasts!$D$479:'Podcasts'!$D$488,ROW(INDIRECT("1:"&amp;K$2)))=0,ROW(INDIRECT("1:"&amp;K$2))),ROW($A116)),"")</f>
        <v>118</v>
      </c>
      <c r="AV159" s="117">
        <f t="array" aca="1" ref="AV159" ca="1">IFERROR(SMALL(IF(COUNTIF(Podcasts!$D$494:'Podcasts'!$D$518,ROW(INDIRECT("1:"&amp;K$2)))=0,ROW(INDIRECT("1:"&amp;K$2))),ROW($A116)),"")</f>
        <v>137</v>
      </c>
      <c r="AW159" s="117">
        <f t="array" aca="1" ref="AW159" ca="1">IFERROR(SMALL(IF(COUNTIF(Podcasts!$D$524:'Podcasts'!$D$532,ROW(INDIRECT("1:"&amp;K$2)))=0,ROW(INDIRECT("1:"&amp;K$2))),ROW($A116)),"")</f>
        <v>117</v>
      </c>
      <c r="AX159" s="117"/>
      <c r="AY159" s="117">
        <f t="array" aca="1" ref="AY159" ca="1">IFERROR(SMALL(IF(COUNTIF(Podcasts!$D$915:'Podcasts'!$D$981,ROW(INDIRECT("1:"&amp;K$2)))=0,ROW(INDIRECT("1:"&amp;K$2))),ROW($A116)),"")</f>
        <v>166</v>
      </c>
      <c r="AZ159" s="445"/>
      <c r="BA159" s="117">
        <f t="array" aca="1" ref="BA159" ca="1">IFERROR(SMALL(IF(COUNTIF(Podcasts!$D$1001:'Podcasts'!$D$1251,ROW(INDIRECT("1:"&amp;K$2)))=0,ROW(INDIRECT("1:"&amp;K$2))),ROW($A116)),"")</f>
        <v>165</v>
      </c>
      <c r="BB159" s="117">
        <f t="array" aca="1" ref="BB159" ca="1">IFERROR(SMALL(IF(COUNTIF(Podcasts!$D$1257:'Podcasts'!$D$1267,ROW(INDIRECT("1:"&amp;K$2)))=0,ROW(INDIRECT("1:"&amp;K$2))),ROW($A116)),"")</f>
        <v>121</v>
      </c>
      <c r="BC159" s="117">
        <f t="array" aca="1" ref="BC159" ca="1">IFERROR(SMALL(IF(COUNTIF(Podcasts!$D$1273:'Podcasts'!$D$1283,ROW(INDIRECT("1:"&amp;K$2)))=0,ROW(INDIRECT("1:"&amp;K$2))),ROW($A116)),"")</f>
        <v>120</v>
      </c>
      <c r="BD159" s="117">
        <f t="array" aca="1" ref="BD159" ca="1">IFERROR(SMALL(IF(COUNTIF(Podcasts!$D$1289:'Podcasts'!$D$1295,ROW(INDIRECT("1:"&amp;K$2)))=0,ROW(INDIRECT("1:"&amp;K$2))),ROW($A116)),"")</f>
        <v>120</v>
      </c>
      <c r="BE159" s="117">
        <f t="array" aca="1" ref="BE159" ca="1">IFERROR(SMALL(IF(COUNTIF(Podcasts!$D$1301:'Podcasts'!$D$1356,ROW(INDIRECT("1:"&amp;K$2)))=0,ROW(INDIRECT("1:"&amp;K$2))),ROW($A116)),"")</f>
        <v>163</v>
      </c>
      <c r="BF159" s="117">
        <f t="array" aca="1" ref="BF159" ca="1">IFERROR(SMALL(IF(COUNTIF(Podcasts!$D$1362:'Podcasts'!$D$1364,ROW(INDIRECT("1:"&amp;K$2)))=0,ROW(INDIRECT("1:"&amp;K$2))),ROW($A116)),"")</f>
        <v>119</v>
      </c>
      <c r="BG159" s="202">
        <f t="array" aca="1" ref="BG159" ca="1">IFERROR(SMALL(IF(COUNTIF(Podcasts!$D$1370:'Podcasts'!$D$1419,ROW(INDIRECT("1:"&amp;K$2)))=0,ROW(INDIRECT("1:"&amp;K$2))),ROW($A116)),"")</f>
        <v>145</v>
      </c>
      <c r="BH159" s="202">
        <f t="array" aca="1" ref="BH159" ca="1">IFERROR(SMALL(IF(COUNTIF(Podcasts!$D$1425:'Podcasts'!$D$1446,ROW(INDIRECT("1:"&amp;K$2)))=0,ROW(INDIRECT("1:"&amp;K$2))),ROW($A116)),"")</f>
        <v>126</v>
      </c>
      <c r="BI159" s="202">
        <f t="array" aca="1" ref="BI159" ca="1">IFERROR(SMALL(IF(COUNTIF(Podcasts!$D$1452:'Podcasts'!$D$1574,ROW(INDIRECT("1:"&amp;K$2)))=0,ROW(INDIRECT("1:"&amp;K$2))),ROW($A116)),"")</f>
        <v>189</v>
      </c>
      <c r="BJ159" s="202">
        <f t="array" aca="1" ref="BJ159" ca="1">IFERROR(SMALL(IF(COUNTIF(Podcasts!$D$1580:'Podcasts'!$D$1705,ROW(INDIRECT("1:"&amp;K$2)))=0,ROW(INDIRECT("1:"&amp;K$2))),ROW($A116)),"")</f>
        <v>187</v>
      </c>
      <c r="BK159" s="202">
        <f t="array" aca="1" ref="BK159" ca="1">IFERROR(SMALL(IF(COUNTIF(Podcasts!$D$1711:'Podcasts'!$D$1833,ROW(INDIRECT("1:"&amp;K$2)))=0,ROW(INDIRECT("1:"&amp;K$2))),ROW($A116)),"")</f>
        <v>182</v>
      </c>
      <c r="BL159" s="202">
        <f t="array" aca="1" ref="BL159" ca="1">IFERROR(SMALL(IF(COUNTIF(Podcasts!$D$1839:'Podcasts'!$D$1855,ROW(INDIRECT("1:"&amp;K$2)))=0,ROW(INDIRECT("1:"&amp;K$2))),ROW($A116)),"")</f>
        <v>125</v>
      </c>
      <c r="BM159" s="567">
        <f t="array" aca="1" ref="BM159" ca="1">IFERROR(SMALL(IF(COUNTIF(Podcasts!$D$1861:'Podcasts'!$D$1994,ROW(INDIRECT("1:"&amp;K$2)))=0,ROW(INDIRECT("1:"&amp;K$2))),ROW($A116)),"")</f>
        <v>160</v>
      </c>
      <c r="BN159" s="567">
        <f t="array" aca="1" ref="BN159" ca="1">IFERROR(SMALL(IF(COUNTIF(Podcasts!$D$2000:'Podcasts'!$D$2057,ROW(INDIRECT("1:"&amp;K$2)))=0,ROW(INDIRECT("1:"&amp;K$2))),ROW($A116)),"")</f>
        <v>171</v>
      </c>
      <c r="BO159" s="567">
        <f t="array" aca="1" ref="BO159" ca="1">IFERROR(SMALL(IF(COUNTIF(Podcasts!$D$2063:'Podcasts'!$D$2071,ROW(INDIRECT("1:"&amp;K$2)))=0,ROW(INDIRECT("1:"&amp;K$2))),ROW($A116)),"")</f>
        <v>123</v>
      </c>
      <c r="BP159" s="202">
        <f t="array" aca="1" ref="BP159" ca="1">IFERROR(SMALL(IF(COUNTIF(Podcasts!$D$2077:'Podcasts'!$D$2092,ROW(INDIRECT("1:"&amp;K$2)))=0,ROW(INDIRECT("1:"&amp;K$2))),ROW($A116)),"")</f>
        <v>127</v>
      </c>
      <c r="BQ159" s="741">
        <f t="array" aca="1" ref="BQ159" ca="1">IFERROR(SMALL(IF(COUNTIF(Podcasts!$D$2098:'Podcasts'!$D$2114,ROW(INDIRECT("1:"&amp;K$2)))=0,ROW(INDIRECT("1:"&amp;K$2))),ROW($A116)),"")</f>
        <v>125</v>
      </c>
      <c r="BR159" s="744">
        <f t="array" aca="1" ref="BR159" ca="1">IFERROR(SMALL(IF(COUNTIF(Podcasts!$D$2120:'Podcasts'!$D$2124,ROW(INDIRECT("1:"&amp;K$2)))=0,ROW(INDIRECT("1:"&amp;K$2))),ROW($A116)),"")</f>
        <v>118</v>
      </c>
      <c r="BS159" s="28"/>
    </row>
    <row r="160" spans="1:71" outlineLevel="1">
      <c r="A160" s="28"/>
      <c r="B160" s="161">
        <v>117</v>
      </c>
      <c r="C160" s="161">
        <f>COUNTIF(Podcasts!$D$10:'Podcasts'!$D$2535,B160)</f>
        <v>1</v>
      </c>
      <c r="D160" s="158" t="s">
        <v>1144</v>
      </c>
      <c r="E160" s="156" t="str">
        <f t="array" ref="E160">IF(F160="","",INDEX(Podcasts!$J$10:'Podcasts'!$J$2535,MATCH(F160&amp;$B160,Podcasts!$E$10:'Podcasts'!$E$2535&amp;Podcasts!$D$10:'Podcasts'!$D$2535,0)))</f>
        <v>Zeichen</v>
      </c>
      <c r="F160" s="131">
        <f t="array" ref="F160">IF(COUNTIF(Podcasts!$D$10:'Podcasts'!$D$2535,$B160)&lt;COLUMN(A123),"",SMALL(IF(Podcasts!$D$10:'Podcasts'!$D$2535=$B160,Podcasts!$E$10:'Podcasts'!$E$2535),COLUMN(A123)))</f>
        <v>45194</v>
      </c>
      <c r="G160" s="132">
        <f t="array" ref="G160">IF(F160="","",INDEX(Podcasts!$F$10:'Podcasts'!$F$2535,MATCH(F160&amp;$B160,Podcasts!$E$10:'Podcasts'!$E$2535&amp;Podcasts!$D$10:'Podcasts'!$D$2535,0)))</f>
        <v>7.5486111111111115E-2</v>
      </c>
      <c r="H160" s="136" t="str">
        <f t="array" ref="H160">IF(I160="","",INDEX(Podcasts!$J$10:'Podcasts'!$J$2535,MATCH(I160&amp;$B160,Podcasts!$E$10:'Podcasts'!$E$2535&amp;Podcasts!$D$10:'Podcasts'!$D$2535,0)))</f>
        <v/>
      </c>
      <c r="I160" s="133" t="str">
        <f t="array" ref="I160">IF(COUNTIF(Podcasts!$D$10:'Podcasts'!$D$2535,$B160)&lt;COLUMN(B123),"",SMALL(IF(Podcasts!$D$10:'Podcasts'!$D$2535=$B160,Podcasts!$E$10:'Podcasts'!$E$2535),COLUMN(B123)))</f>
        <v/>
      </c>
      <c r="J160" s="132" t="str">
        <f t="array" ref="J160">IF(I160="","",INDEX(Podcasts!$F$10:'Podcasts'!$F$2535,MATCH(I160&amp;$B160,Podcasts!$E$10:'Podcasts'!$E$2535&amp;Podcasts!$D$10:'Podcasts'!$D$2535,0)))</f>
        <v/>
      </c>
      <c r="K160" s="136" t="str">
        <f t="array" ref="K160">IF(L160="","",INDEX(Podcasts!$J$10:'Podcasts'!$J$2535,MATCH(L160&amp;$B160,Podcasts!$E$10:'Podcasts'!$E$2535&amp;Podcasts!$D$10:'Podcasts'!$D$2535,0)))</f>
        <v/>
      </c>
      <c r="L160" s="133" t="str">
        <f t="array" ref="L160">IF(COUNTIF(Podcasts!$D$10:'Podcasts'!$D$2535,$B160)&lt;COLUMN(C123),"",SMALL(IF(Podcasts!$D$10:'Podcasts'!$D$2535=$B160,Podcasts!$E$10:'Podcasts'!$E$2535),COLUMN(C123)))</f>
        <v/>
      </c>
      <c r="M160" s="132" t="str">
        <f t="array" ref="M160">IF(L160="","",INDEX(Podcasts!$F$10:'Podcasts'!$F$2535,MATCH(L160&amp;$B160,Podcasts!$E$10:'Podcasts'!$E$2535&amp;Podcasts!$D$10:'Podcasts'!$D$2535,0)))</f>
        <v/>
      </c>
      <c r="N160" s="136" t="str">
        <f t="array" ref="N160">IF(O160="","",INDEX(Podcasts!$J$10:'Podcasts'!$J$2535,MATCH(O160&amp;$B160,Podcasts!$E$10:'Podcasts'!$E$2535&amp;Podcasts!$D$10:'Podcasts'!$D$2535,0)))</f>
        <v/>
      </c>
      <c r="O160" s="133" t="str">
        <f t="array" ref="O160">IF(COUNTIF(Podcasts!$D$10:'Podcasts'!$D$2535,$B160)&lt;COLUMN(D123),"",SMALL(IF(Podcasts!$D$10:'Podcasts'!$D$2535=$B160,Podcasts!$E$10:'Podcasts'!$E$2535),COLUMN(D123)))</f>
        <v/>
      </c>
      <c r="P160" s="132" t="str">
        <f t="array" ref="P160">IF(O160="","",INDEX(Podcasts!$F$10:'Podcasts'!$F$2535,MATCH(O160&amp;$B160,Podcasts!$E$10:'Podcasts'!$E$2535&amp;Podcasts!$D$10:'Podcasts'!$D$2535,0)))</f>
        <v/>
      </c>
      <c r="Q160" s="136" t="str">
        <f t="array" ref="Q160">IF(R160="","",INDEX(Podcasts!$J$10:'Podcasts'!$J$2535,MATCH(R160&amp;$B160,Podcasts!$E$10:'Podcasts'!$E$2535&amp;Podcasts!$D$10:'Podcasts'!$D$2535,0)))</f>
        <v/>
      </c>
      <c r="R160" s="133" t="str">
        <f t="array" ref="R160">IF(COUNTIF(Podcasts!$D$10:'Podcasts'!$D$2535,$B160)&lt;COLUMN(E123),"",SMALL(IF(Podcasts!$D$10:'Podcasts'!$D$2535=$B160,Podcasts!$E$10:'Podcasts'!$E$2535),COLUMN(E123)))</f>
        <v/>
      </c>
      <c r="S160" s="132" t="str">
        <f t="array" ref="S160">IF(R160="","",INDEX(Podcasts!$F$10:'Podcasts'!$F$2535,MATCH(R160&amp;$B160,Podcasts!$E$10:'Podcasts'!$E$2535&amp;Podcasts!$D$10:'Podcasts'!$D$2535,0)))</f>
        <v/>
      </c>
      <c r="T160" s="136" t="str">
        <f t="array" ref="T160">IF(U160="","",INDEX(Podcasts!$J$10:'Podcasts'!$J$2535,MATCH(U160&amp;$B160,Podcasts!$E$10:'Podcasts'!$E$2535&amp;Podcasts!$D$10:'Podcasts'!$D$2535,0)))</f>
        <v/>
      </c>
      <c r="U160" s="133" t="str">
        <f t="array" ref="U160">IF(COUNTIF(Podcasts!$D$10:'Podcasts'!$D$2535,$B160)&lt;COLUMN(F123),"",SMALL(IF(Podcasts!$D$10:'Podcasts'!$D$2535=$B160,Podcasts!$E$10:'Podcasts'!$E$2535),COLUMN(F123)))</f>
        <v/>
      </c>
      <c r="V160" s="132" t="str">
        <f t="array" ref="V160">IF(U160="","",INDEX(Podcasts!$F$10:'Podcasts'!$F$2535,MATCH(U160&amp;$B160,Podcasts!$E$10:'Podcasts'!$E$2535&amp;Podcasts!$D$10:'Podcasts'!$D$2535,0)))</f>
        <v/>
      </c>
      <c r="W160" s="136" t="str">
        <f t="array" ref="W160">IF(X160="","",INDEX(Podcasts!$J$10:'Podcasts'!$J$2535,MATCH(X160&amp;$B160,Podcasts!$E$10:'Podcasts'!$E$2535&amp;Podcasts!$D$10:'Podcasts'!$D$2535,0)))</f>
        <v/>
      </c>
      <c r="X160" s="133" t="str">
        <f t="array" ref="X160">IF(COUNTIF(Podcasts!$D$10:'Podcasts'!$D$2535,$B160)&lt;COLUMN(G123),"",SMALL(IF(Podcasts!$D$10:'Podcasts'!$D$2535=$B160,Podcasts!$E$10:'Podcasts'!$E$2535),COLUMN(G123)))</f>
        <v/>
      </c>
      <c r="Y160" s="132" t="str">
        <f t="array" ref="Y160">IF(X160="","",INDEX(Podcasts!$F$10:'Podcasts'!$F$2535,MATCH(X160&amp;$B160,Podcasts!$E$10:'Podcasts'!$E$2535&amp;Podcasts!$D$10:'Podcasts'!$D$2535,0)))</f>
        <v/>
      </c>
      <c r="Z160" s="136" t="str">
        <f t="array" ref="Z160">IF(AA160="","",INDEX(Podcasts!$J$10:'Podcasts'!$J$2535,MATCH(AA160&amp;$B160,Podcasts!$E$10:'Podcasts'!$E$2535&amp;Podcasts!$D$10:'Podcasts'!$D$2535,0)))</f>
        <v/>
      </c>
      <c r="AA160" s="134" t="str">
        <f t="array" ref="AA160">IF(COUNTIF(Podcasts!$D$10:'Podcasts'!$D$2535,$B160)&lt;COLUMN(H123),"",SMALL(IF(Podcasts!$D$10:'Podcasts'!$D$2535=$B160,Podcasts!$E$10:'Podcasts'!$E$2535),COLUMN(H123)))</f>
        <v/>
      </c>
      <c r="AB160" s="404" t="str">
        <f t="array" ref="AB160">IF(AA160="","",INDEX(Podcasts!$F$10:'Podcasts'!$F$2535,MATCH(AA160&amp;$B160,Podcasts!$E$10:'Podcasts'!$E$2535&amp;Podcasts!$D$10:'Podcasts'!$D$2535,0)))</f>
        <v/>
      </c>
      <c r="AC160" s="406" t="str">
        <f t="array" ref="AC160">IF(AD160="","",INDEX(Podcasts!$J$10:'Podcasts'!$J$2535,MATCH(AD160&amp;$B160,Podcasts!$E$10:'Podcasts'!$E$2535&amp;Podcasts!$D$10:'Podcasts'!$D$2535,0)))</f>
        <v/>
      </c>
      <c r="AD160" s="400" t="str">
        <f t="array" ref="AD160">IF(COUNTIF(Podcasts!$D$10:'Podcasts'!$D$2535,$B160)&lt;COLUMN(I123),"",SMALL(IF(Podcasts!$D$10:'Podcasts'!$D$2535=$B160,Podcasts!$E$10:'Podcasts'!$E$2535),COLUMN(I123)))</f>
        <v/>
      </c>
      <c r="AE160" s="401" t="str">
        <f t="array" ref="AE160">IF(AD160="","",INDEX(Podcasts!$F$10:'Podcasts'!$F$2535,MATCH(AD160&amp;$B160,Podcasts!$E$10:'Podcasts'!$E$2535&amp;Podcasts!$D$10:'Podcasts'!$D$2535,0)))</f>
        <v/>
      </c>
      <c r="AF160" s="406" t="str">
        <f t="array" ref="AF160">IF(AG160="","",INDEX(Podcasts!$J$10:'Podcasts'!$J$2535,MATCH(AG160&amp;$B160,Podcasts!$E$10:'Podcasts'!$E$2535&amp;Podcasts!$D$10:'Podcasts'!$D$2535,0)))</f>
        <v/>
      </c>
      <c r="AG160" s="400" t="str">
        <f t="array" ref="AG160">IF(COUNTIF(Podcasts!$D$10:'Podcasts'!$D$2535,$B160)&lt;COLUMN(J123),"",SMALL(IF(Podcasts!$D$10:'Podcasts'!$D$2535=$B160,Podcasts!$E$10:'Podcasts'!$E$2535),COLUMN(J123)))</f>
        <v/>
      </c>
      <c r="AH160" s="401" t="str">
        <f t="array" ref="AH160">IF(AG160="","",INDEX(Podcasts!$F$10:'Podcasts'!$F$2535,MATCH(AG160&amp;$B160,Podcasts!$E$10:'Podcasts'!$E$2535&amp;Podcasts!$D$10:'Podcasts'!$D$2535,0)))</f>
        <v/>
      </c>
      <c r="AI160" s="406" t="str">
        <f t="array" ref="AI160">IF(AJ160="","",INDEX(Podcasts!$J$10:'Podcasts'!$J$2535,MATCH(AJ160&amp;$B160,Podcasts!$E$10:'Podcasts'!$E$2535&amp;Podcasts!$D$10:'Podcasts'!$D$2535,0)))</f>
        <v/>
      </c>
      <c r="AJ160" s="400" t="str">
        <f t="array" ref="AJ160">IF(COUNTIF(Podcasts!$D$10:'Podcasts'!$D$2535,$B160)&lt;COLUMN(K123),"",SMALL(IF(Podcasts!$D$10:'Podcasts'!$D$2535=$B160,Podcasts!$E$10:'Podcasts'!$E$2535),COLUMN(K123)))</f>
        <v/>
      </c>
      <c r="AK160" s="401" t="str">
        <f t="array" ref="AK160">IF(AJ160="","",INDEX(Podcasts!$F$10:'Podcasts'!$F$2535,MATCH(AJ160&amp;$B160,Podcasts!$E$10:'Podcasts'!$E$2535&amp;Podcasts!$D$10:'Podcasts'!$D$2535,0)))</f>
        <v/>
      </c>
      <c r="AL160" s="406" t="str">
        <f t="array" ref="AL160">IF(AM160="","",INDEX(Podcasts!$J$10:'Podcasts'!$J$2535,MATCH(AM160&amp;$B160,Podcasts!$E$10:'Podcasts'!$E$2535&amp;Podcasts!$D$10:'Podcasts'!$D$2535,0)))</f>
        <v/>
      </c>
      <c r="AM160" s="400" t="str">
        <f t="array" ref="AM160">IF(COUNTIF(Podcasts!$D$10:'Podcasts'!$D$2535,$B160)&lt;COLUMN(L123),"",SMALL(IF(Podcasts!$D$10:'Podcasts'!$D$2535=$B160,Podcasts!$E$10:'Podcasts'!$E$2535),COLUMN(L123)))</f>
        <v/>
      </c>
      <c r="AN160" s="401" t="str">
        <f t="array" ref="AN160">IF(AM160="","",INDEX(Podcasts!$F$10:'Podcasts'!$F$2535,MATCH(AM160&amp;$B160,Podcasts!$E$10:'Podcasts'!$E$2535&amp;Podcasts!$D$10:'Podcasts'!$D$2535,0)))</f>
        <v/>
      </c>
      <c r="AO160" s="402"/>
      <c r="AP160" s="119"/>
      <c r="AQ160" s="117">
        <f t="array" aca="1" ref="AQ160" ca="1">IFERROR(SMALL(IF(COUNTIF(Podcasts!$D$10:'Podcasts'!$D$107,ROW(INDIRECT("1:"&amp;K$2)))=0,ROW(INDIRECT("1:"&amp;K$2))),ROW($A117)),"")</f>
        <v>150</v>
      </c>
      <c r="AR160" s="117">
        <f t="array" aca="1" ref="AR160" ca="1">IFERROR(SMALL(IF(COUNTIF(Podcasts!$D$113:'Podcasts'!$D$238,ROW(INDIRECT("1:"&amp;K$2)))=0,ROW(INDIRECT("1:"&amp;K$2))),ROW($A117)),"")</f>
        <v>117</v>
      </c>
      <c r="AS160" s="117">
        <f t="array" aca="1" ref="AS160" ca="1">IFERROR(SMALL(IF(COUNTIF(Podcasts!$D$244:'Podcasts'!$D$299,ROW(INDIRECT("1:"&amp;K$2)))=0,ROW(INDIRECT("1:"&amp;K$2))),ROW($A117)),"")</f>
        <v>136</v>
      </c>
      <c r="AT160" s="117"/>
      <c r="AU160" s="117">
        <f t="array" aca="1" ref="AU160" ca="1">IFERROR(SMALL(IF(COUNTIF(Podcasts!$D$479:'Podcasts'!$D$488,ROW(INDIRECT("1:"&amp;K$2)))=0,ROW(INDIRECT("1:"&amp;K$2))),ROW($A117)),"")</f>
        <v>119</v>
      </c>
      <c r="AV160" s="117">
        <f t="array" aca="1" ref="AV160" ca="1">IFERROR(SMALL(IF(COUNTIF(Podcasts!$D$494:'Podcasts'!$D$518,ROW(INDIRECT("1:"&amp;K$2)))=0,ROW(INDIRECT("1:"&amp;K$2))),ROW($A117)),"")</f>
        <v>138</v>
      </c>
      <c r="AW160" s="117">
        <f t="array" aca="1" ref="AW160" ca="1">IFERROR(SMALL(IF(COUNTIF(Podcasts!$D$524:'Podcasts'!$D$532,ROW(INDIRECT("1:"&amp;K$2)))=0,ROW(INDIRECT("1:"&amp;K$2))),ROW($A117)),"")</f>
        <v>118</v>
      </c>
      <c r="AX160" s="117"/>
      <c r="AY160" s="117">
        <f t="array" aca="1" ref="AY160" ca="1">IFERROR(SMALL(IF(COUNTIF(Podcasts!$D$915:'Podcasts'!$D$981,ROW(INDIRECT("1:"&amp;K$2)))=0,ROW(INDIRECT("1:"&amp;K$2))),ROW($A117)),"")</f>
        <v>167</v>
      </c>
      <c r="AZ160" s="445"/>
      <c r="BA160" s="117">
        <f t="array" aca="1" ref="BA160" ca="1">IFERROR(SMALL(IF(COUNTIF(Podcasts!$D$1001:'Podcasts'!$D$1251,ROW(INDIRECT("1:"&amp;K$2)))=0,ROW(INDIRECT("1:"&amp;K$2))),ROW($A117)),"")</f>
        <v>166</v>
      </c>
      <c r="BB160" s="117">
        <f t="array" aca="1" ref="BB160" ca="1">IFERROR(SMALL(IF(COUNTIF(Podcasts!$D$1257:'Podcasts'!$D$1267,ROW(INDIRECT("1:"&amp;K$2)))=0,ROW(INDIRECT("1:"&amp;K$2))),ROW($A117)),"")</f>
        <v>122</v>
      </c>
      <c r="BC160" s="117">
        <f t="array" aca="1" ref="BC160" ca="1">IFERROR(SMALL(IF(COUNTIF(Podcasts!$D$1273:'Podcasts'!$D$1283,ROW(INDIRECT("1:"&amp;K$2)))=0,ROW(INDIRECT("1:"&amp;K$2))),ROW($A117)),"")</f>
        <v>121</v>
      </c>
      <c r="BD160" s="117">
        <f t="array" aca="1" ref="BD160" ca="1">IFERROR(SMALL(IF(COUNTIF(Podcasts!$D$1289:'Podcasts'!$D$1295,ROW(INDIRECT("1:"&amp;K$2)))=0,ROW(INDIRECT("1:"&amp;K$2))),ROW($A117)),"")</f>
        <v>121</v>
      </c>
      <c r="BE160" s="117">
        <f t="array" aca="1" ref="BE160" ca="1">IFERROR(SMALL(IF(COUNTIF(Podcasts!$D$1301:'Podcasts'!$D$1356,ROW(INDIRECT("1:"&amp;K$2)))=0,ROW(INDIRECT("1:"&amp;K$2))),ROW($A117)),"")</f>
        <v>164</v>
      </c>
      <c r="BF160" s="117">
        <f t="array" aca="1" ref="BF160" ca="1">IFERROR(SMALL(IF(COUNTIF(Podcasts!$D$1362:'Podcasts'!$D$1364,ROW(INDIRECT("1:"&amp;K$2)))=0,ROW(INDIRECT("1:"&amp;K$2))),ROW($A117)),"")</f>
        <v>120</v>
      </c>
      <c r="BG160" s="202">
        <f t="array" aca="1" ref="BG160" ca="1">IFERROR(SMALL(IF(COUNTIF(Podcasts!$D$1370:'Podcasts'!$D$1419,ROW(INDIRECT("1:"&amp;K$2)))=0,ROW(INDIRECT("1:"&amp;K$2))),ROW($A117)),"")</f>
        <v>146</v>
      </c>
      <c r="BH160" s="202">
        <f t="array" aca="1" ref="BH160" ca="1">IFERROR(SMALL(IF(COUNTIF(Podcasts!$D$1425:'Podcasts'!$D$1446,ROW(INDIRECT("1:"&amp;K$2)))=0,ROW(INDIRECT("1:"&amp;K$2))),ROW($A117)),"")</f>
        <v>127</v>
      </c>
      <c r="BI160" s="202">
        <f t="array" aca="1" ref="BI160" ca="1">IFERROR(SMALL(IF(COUNTIF(Podcasts!$D$1452:'Podcasts'!$D$1574,ROW(INDIRECT("1:"&amp;K$2)))=0,ROW(INDIRECT("1:"&amp;K$2))),ROW($A117)),"")</f>
        <v>190</v>
      </c>
      <c r="BJ160" s="202">
        <f t="array" aca="1" ref="BJ160" ca="1">IFERROR(SMALL(IF(COUNTIF(Podcasts!$D$1580:'Podcasts'!$D$1705,ROW(INDIRECT("1:"&amp;K$2)))=0,ROW(INDIRECT("1:"&amp;K$2))),ROW($A117)),"")</f>
        <v>188</v>
      </c>
      <c r="BK160" s="202">
        <f t="array" aca="1" ref="BK160" ca="1">IFERROR(SMALL(IF(COUNTIF(Podcasts!$D$1711:'Podcasts'!$D$1833,ROW(INDIRECT("1:"&amp;K$2)))=0,ROW(INDIRECT("1:"&amp;K$2))),ROW($A117)),"")</f>
        <v>184</v>
      </c>
      <c r="BL160" s="202">
        <f t="array" aca="1" ref="BL160" ca="1">IFERROR(SMALL(IF(COUNTIF(Podcasts!$D$1839:'Podcasts'!$D$1855,ROW(INDIRECT("1:"&amp;K$2)))=0,ROW(INDIRECT("1:"&amp;K$2))),ROW($A117)),"")</f>
        <v>126</v>
      </c>
      <c r="BM160" s="567">
        <f t="array" aca="1" ref="BM160" ca="1">IFERROR(SMALL(IF(COUNTIF(Podcasts!$D$1861:'Podcasts'!$D$1994,ROW(INDIRECT("1:"&amp;K$2)))=0,ROW(INDIRECT("1:"&amp;K$2))),ROW($A117)),"")</f>
        <v>162</v>
      </c>
      <c r="BN160" s="567">
        <f t="array" aca="1" ref="BN160" ca="1">IFERROR(SMALL(IF(COUNTIF(Podcasts!$D$2000:'Podcasts'!$D$2057,ROW(INDIRECT("1:"&amp;K$2)))=0,ROW(INDIRECT("1:"&amp;K$2))),ROW($A117)),"")</f>
        <v>172</v>
      </c>
      <c r="BO160" s="567">
        <f t="array" aca="1" ref="BO160" ca="1">IFERROR(SMALL(IF(COUNTIF(Podcasts!$D$2063:'Podcasts'!$D$2071,ROW(INDIRECT("1:"&amp;K$2)))=0,ROW(INDIRECT("1:"&amp;K$2))),ROW($A117)),"")</f>
        <v>124</v>
      </c>
      <c r="BP160" s="202">
        <f t="array" aca="1" ref="BP160" ca="1">IFERROR(SMALL(IF(COUNTIF(Podcasts!$D$2077:'Podcasts'!$D$2092,ROW(INDIRECT("1:"&amp;K$2)))=0,ROW(INDIRECT("1:"&amp;K$2))),ROW($A117)),"")</f>
        <v>128</v>
      </c>
      <c r="BQ160" s="741">
        <f t="array" aca="1" ref="BQ160" ca="1">IFERROR(SMALL(IF(COUNTIF(Podcasts!$D$2098:'Podcasts'!$D$2114,ROW(INDIRECT("1:"&amp;K$2)))=0,ROW(INDIRECT("1:"&amp;K$2))),ROW($A117)),"")</f>
        <v>126</v>
      </c>
      <c r="BR160" s="744">
        <f t="array" aca="1" ref="BR160" ca="1">IFERROR(SMALL(IF(COUNTIF(Podcasts!$D$2120:'Podcasts'!$D$2124,ROW(INDIRECT("1:"&amp;K$2)))=0,ROW(INDIRECT("1:"&amp;K$2))),ROW($A117)),"")</f>
        <v>119</v>
      </c>
      <c r="BS160" s="28"/>
    </row>
    <row r="161" spans="1:71" outlineLevel="1">
      <c r="A161" s="28"/>
      <c r="B161" s="161">
        <v>118</v>
      </c>
      <c r="C161" s="161">
        <f>COUNTIF(Podcasts!$D$10:'Podcasts'!$D$2535,B161)</f>
        <v>0</v>
      </c>
      <c r="D161" s="158" t="s">
        <v>1145</v>
      </c>
      <c r="E161" s="156" t="str">
        <f t="array" ref="E161">IF(F161="","",INDEX(Podcasts!$J$10:'Podcasts'!$J$2535,MATCH(F161&amp;$B161,Podcasts!$E$10:'Podcasts'!$E$2535&amp;Podcasts!$D$10:'Podcasts'!$D$2535,0)))</f>
        <v/>
      </c>
      <c r="F161" s="131" t="str">
        <f t="array" ref="F161">IF(COUNTIF(Podcasts!$D$10:'Podcasts'!$D$2535,$B161)&lt;COLUMN(A124),"",SMALL(IF(Podcasts!$D$10:'Podcasts'!$D$2535=$B161,Podcasts!$E$10:'Podcasts'!$E$2535),COLUMN(A124)))</f>
        <v/>
      </c>
      <c r="G161" s="132" t="str">
        <f t="array" ref="G161">IF(F161="","",INDEX(Podcasts!$F$10:'Podcasts'!$F$2535,MATCH(F161&amp;$B161,Podcasts!$E$10:'Podcasts'!$E$2535&amp;Podcasts!$D$10:'Podcasts'!$D$2535,0)))</f>
        <v/>
      </c>
      <c r="H161" s="136" t="str">
        <f t="array" ref="H161">IF(I161="","",INDEX(Podcasts!$J$10:'Podcasts'!$J$2535,MATCH(I161&amp;$B161,Podcasts!$E$10:'Podcasts'!$E$2535&amp;Podcasts!$D$10:'Podcasts'!$D$2535,0)))</f>
        <v/>
      </c>
      <c r="I161" s="133" t="str">
        <f t="array" ref="I161">IF(COUNTIF(Podcasts!$D$10:'Podcasts'!$D$2535,$B161)&lt;COLUMN(B124),"",SMALL(IF(Podcasts!$D$10:'Podcasts'!$D$2535=$B161,Podcasts!$E$10:'Podcasts'!$E$2535),COLUMN(B124)))</f>
        <v/>
      </c>
      <c r="J161" s="132" t="str">
        <f t="array" ref="J161">IF(I161="","",INDEX(Podcasts!$F$10:'Podcasts'!$F$2535,MATCH(I161&amp;$B161,Podcasts!$E$10:'Podcasts'!$E$2535&amp;Podcasts!$D$10:'Podcasts'!$D$2535,0)))</f>
        <v/>
      </c>
      <c r="K161" s="136" t="str">
        <f t="array" ref="K161">IF(L161="","",INDEX(Podcasts!$J$10:'Podcasts'!$J$2535,MATCH(L161&amp;$B161,Podcasts!$E$10:'Podcasts'!$E$2535&amp;Podcasts!$D$10:'Podcasts'!$D$2535,0)))</f>
        <v/>
      </c>
      <c r="L161" s="133" t="str">
        <f t="array" ref="L161">IF(COUNTIF(Podcasts!$D$10:'Podcasts'!$D$2535,$B161)&lt;COLUMN(C124),"",SMALL(IF(Podcasts!$D$10:'Podcasts'!$D$2535=$B161,Podcasts!$E$10:'Podcasts'!$E$2535),COLUMN(C124)))</f>
        <v/>
      </c>
      <c r="M161" s="132" t="str">
        <f t="array" ref="M161">IF(L161="","",INDEX(Podcasts!$F$10:'Podcasts'!$F$2535,MATCH(L161&amp;$B161,Podcasts!$E$10:'Podcasts'!$E$2535&amp;Podcasts!$D$10:'Podcasts'!$D$2535,0)))</f>
        <v/>
      </c>
      <c r="N161" s="136" t="str">
        <f t="array" ref="N161">IF(O161="","",INDEX(Podcasts!$J$10:'Podcasts'!$J$2535,MATCH(O161&amp;$B161,Podcasts!$E$10:'Podcasts'!$E$2535&amp;Podcasts!$D$10:'Podcasts'!$D$2535,0)))</f>
        <v/>
      </c>
      <c r="O161" s="133" t="str">
        <f t="array" ref="O161">IF(COUNTIF(Podcasts!$D$10:'Podcasts'!$D$2535,$B161)&lt;COLUMN(D124),"",SMALL(IF(Podcasts!$D$10:'Podcasts'!$D$2535=$B161,Podcasts!$E$10:'Podcasts'!$E$2535),COLUMN(D124)))</f>
        <v/>
      </c>
      <c r="P161" s="132" t="str">
        <f t="array" ref="P161">IF(O161="","",INDEX(Podcasts!$F$10:'Podcasts'!$F$2535,MATCH(O161&amp;$B161,Podcasts!$E$10:'Podcasts'!$E$2535&amp;Podcasts!$D$10:'Podcasts'!$D$2535,0)))</f>
        <v/>
      </c>
      <c r="Q161" s="136" t="str">
        <f t="array" ref="Q161">IF(R161="","",INDEX(Podcasts!$J$10:'Podcasts'!$J$2535,MATCH(R161&amp;$B161,Podcasts!$E$10:'Podcasts'!$E$2535&amp;Podcasts!$D$10:'Podcasts'!$D$2535,0)))</f>
        <v/>
      </c>
      <c r="R161" s="133" t="str">
        <f t="array" ref="R161">IF(COUNTIF(Podcasts!$D$10:'Podcasts'!$D$2535,$B161)&lt;COLUMN(E124),"",SMALL(IF(Podcasts!$D$10:'Podcasts'!$D$2535=$B161,Podcasts!$E$10:'Podcasts'!$E$2535),COLUMN(E124)))</f>
        <v/>
      </c>
      <c r="S161" s="132" t="str">
        <f t="array" ref="S161">IF(R161="","",INDEX(Podcasts!$F$10:'Podcasts'!$F$2535,MATCH(R161&amp;$B161,Podcasts!$E$10:'Podcasts'!$E$2535&amp;Podcasts!$D$10:'Podcasts'!$D$2535,0)))</f>
        <v/>
      </c>
      <c r="T161" s="136" t="str">
        <f t="array" ref="T161">IF(U161="","",INDEX(Podcasts!$J$10:'Podcasts'!$J$2535,MATCH(U161&amp;$B161,Podcasts!$E$10:'Podcasts'!$E$2535&amp;Podcasts!$D$10:'Podcasts'!$D$2535,0)))</f>
        <v/>
      </c>
      <c r="U161" s="133" t="str">
        <f t="array" ref="U161">IF(COUNTIF(Podcasts!$D$10:'Podcasts'!$D$2535,$B161)&lt;COLUMN(F124),"",SMALL(IF(Podcasts!$D$10:'Podcasts'!$D$2535=$B161,Podcasts!$E$10:'Podcasts'!$E$2535),COLUMN(F124)))</f>
        <v/>
      </c>
      <c r="V161" s="132" t="str">
        <f t="array" ref="V161">IF(U161="","",INDEX(Podcasts!$F$10:'Podcasts'!$F$2535,MATCH(U161&amp;$B161,Podcasts!$E$10:'Podcasts'!$E$2535&amp;Podcasts!$D$10:'Podcasts'!$D$2535,0)))</f>
        <v/>
      </c>
      <c r="W161" s="136" t="str">
        <f t="array" ref="W161">IF(X161="","",INDEX(Podcasts!$J$10:'Podcasts'!$J$2535,MATCH(X161&amp;$B161,Podcasts!$E$10:'Podcasts'!$E$2535&amp;Podcasts!$D$10:'Podcasts'!$D$2535,0)))</f>
        <v/>
      </c>
      <c r="X161" s="133" t="str">
        <f t="array" ref="X161">IF(COUNTIF(Podcasts!$D$10:'Podcasts'!$D$2535,$B161)&lt;COLUMN(G124),"",SMALL(IF(Podcasts!$D$10:'Podcasts'!$D$2535=$B161,Podcasts!$E$10:'Podcasts'!$E$2535),COLUMN(G124)))</f>
        <v/>
      </c>
      <c r="Y161" s="132" t="str">
        <f t="array" ref="Y161">IF(X161="","",INDEX(Podcasts!$F$10:'Podcasts'!$F$2535,MATCH(X161&amp;$B161,Podcasts!$E$10:'Podcasts'!$E$2535&amp;Podcasts!$D$10:'Podcasts'!$D$2535,0)))</f>
        <v/>
      </c>
      <c r="Z161" s="136" t="str">
        <f t="array" ref="Z161">IF(AA161="","",INDEX(Podcasts!$J$10:'Podcasts'!$J$2535,MATCH(AA161&amp;$B161,Podcasts!$E$10:'Podcasts'!$E$2535&amp;Podcasts!$D$10:'Podcasts'!$D$2535,0)))</f>
        <v/>
      </c>
      <c r="AA161" s="134" t="str">
        <f t="array" ref="AA161">IF(COUNTIF(Podcasts!$D$10:'Podcasts'!$D$2535,$B161)&lt;COLUMN(H124),"",SMALL(IF(Podcasts!$D$10:'Podcasts'!$D$2535=$B161,Podcasts!$E$10:'Podcasts'!$E$2535),COLUMN(H124)))</f>
        <v/>
      </c>
      <c r="AB161" s="404" t="str">
        <f t="array" ref="AB161">IF(AA161="","",INDEX(Podcasts!$F$10:'Podcasts'!$F$2535,MATCH(AA161&amp;$B161,Podcasts!$E$10:'Podcasts'!$E$2535&amp;Podcasts!$D$10:'Podcasts'!$D$2535,0)))</f>
        <v/>
      </c>
      <c r="AC161" s="406" t="str">
        <f t="array" ref="AC161">IF(AD161="","",INDEX(Podcasts!$J$10:'Podcasts'!$J$2535,MATCH(AD161&amp;$B161,Podcasts!$E$10:'Podcasts'!$E$2535&amp;Podcasts!$D$10:'Podcasts'!$D$2535,0)))</f>
        <v/>
      </c>
      <c r="AD161" s="400" t="str">
        <f t="array" ref="AD161">IF(COUNTIF(Podcasts!$D$10:'Podcasts'!$D$2535,$B161)&lt;COLUMN(I124),"",SMALL(IF(Podcasts!$D$10:'Podcasts'!$D$2535=$B161,Podcasts!$E$10:'Podcasts'!$E$2535),COLUMN(I124)))</f>
        <v/>
      </c>
      <c r="AE161" s="401" t="str">
        <f t="array" ref="AE161">IF(AD161="","",INDEX(Podcasts!$F$10:'Podcasts'!$F$2535,MATCH(AD161&amp;$B161,Podcasts!$E$10:'Podcasts'!$E$2535&amp;Podcasts!$D$10:'Podcasts'!$D$2535,0)))</f>
        <v/>
      </c>
      <c r="AF161" s="406" t="str">
        <f t="array" ref="AF161">IF(AG161="","",INDEX(Podcasts!$J$10:'Podcasts'!$J$2535,MATCH(AG161&amp;$B161,Podcasts!$E$10:'Podcasts'!$E$2535&amp;Podcasts!$D$10:'Podcasts'!$D$2535,0)))</f>
        <v/>
      </c>
      <c r="AG161" s="400" t="str">
        <f t="array" ref="AG161">IF(COUNTIF(Podcasts!$D$10:'Podcasts'!$D$2535,$B161)&lt;COLUMN(J124),"",SMALL(IF(Podcasts!$D$10:'Podcasts'!$D$2535=$B161,Podcasts!$E$10:'Podcasts'!$E$2535),COLUMN(J124)))</f>
        <v/>
      </c>
      <c r="AH161" s="401" t="str">
        <f t="array" ref="AH161">IF(AG161="","",INDEX(Podcasts!$F$10:'Podcasts'!$F$2535,MATCH(AG161&amp;$B161,Podcasts!$E$10:'Podcasts'!$E$2535&amp;Podcasts!$D$10:'Podcasts'!$D$2535,0)))</f>
        <v/>
      </c>
      <c r="AI161" s="406" t="str">
        <f t="array" ref="AI161">IF(AJ161="","",INDEX(Podcasts!$J$10:'Podcasts'!$J$2535,MATCH(AJ161&amp;$B161,Podcasts!$E$10:'Podcasts'!$E$2535&amp;Podcasts!$D$10:'Podcasts'!$D$2535,0)))</f>
        <v/>
      </c>
      <c r="AJ161" s="400" t="str">
        <f t="array" ref="AJ161">IF(COUNTIF(Podcasts!$D$10:'Podcasts'!$D$2535,$B161)&lt;COLUMN(K124),"",SMALL(IF(Podcasts!$D$10:'Podcasts'!$D$2535=$B161,Podcasts!$E$10:'Podcasts'!$E$2535),COLUMN(K124)))</f>
        <v/>
      </c>
      <c r="AK161" s="401" t="str">
        <f t="array" ref="AK161">IF(AJ161="","",INDEX(Podcasts!$F$10:'Podcasts'!$F$2535,MATCH(AJ161&amp;$B161,Podcasts!$E$10:'Podcasts'!$E$2535&amp;Podcasts!$D$10:'Podcasts'!$D$2535,0)))</f>
        <v/>
      </c>
      <c r="AL161" s="406" t="str">
        <f t="array" ref="AL161">IF(AM161="","",INDEX(Podcasts!$J$10:'Podcasts'!$J$2535,MATCH(AM161&amp;$B161,Podcasts!$E$10:'Podcasts'!$E$2535&amp;Podcasts!$D$10:'Podcasts'!$D$2535,0)))</f>
        <v/>
      </c>
      <c r="AM161" s="400" t="str">
        <f t="array" ref="AM161">IF(COUNTIF(Podcasts!$D$10:'Podcasts'!$D$2535,$B161)&lt;COLUMN(L124),"",SMALL(IF(Podcasts!$D$10:'Podcasts'!$D$2535=$B161,Podcasts!$E$10:'Podcasts'!$E$2535),COLUMN(L124)))</f>
        <v/>
      </c>
      <c r="AN161" s="401" t="str">
        <f t="array" ref="AN161">IF(AM161="","",INDEX(Podcasts!$F$10:'Podcasts'!$F$2535,MATCH(AM161&amp;$B161,Podcasts!$E$10:'Podcasts'!$E$2535&amp;Podcasts!$D$10:'Podcasts'!$D$2535,0)))</f>
        <v/>
      </c>
      <c r="AO161" s="402"/>
      <c r="AP161" s="119"/>
      <c r="AQ161" s="117">
        <f t="array" aca="1" ref="AQ161" ca="1">IFERROR(SMALL(IF(COUNTIF(Podcasts!$D$10:'Podcasts'!$D$107,ROW(INDIRECT("1:"&amp;K$2)))=0,ROW(INDIRECT("1:"&amp;K$2))),ROW($A118)),"")</f>
        <v>152</v>
      </c>
      <c r="AR161" s="117">
        <f t="array" aca="1" ref="AR161" ca="1">IFERROR(SMALL(IF(COUNTIF(Podcasts!$D$113:'Podcasts'!$D$238,ROW(INDIRECT("1:"&amp;K$2)))=0,ROW(INDIRECT("1:"&amp;K$2))),ROW($A118)),"")</f>
        <v>118</v>
      </c>
      <c r="AS161" s="117">
        <f t="array" aca="1" ref="AS161" ca="1">IFERROR(SMALL(IF(COUNTIF(Podcasts!$D$244:'Podcasts'!$D$299,ROW(INDIRECT("1:"&amp;K$2)))=0,ROW(INDIRECT("1:"&amp;K$2))),ROW($A118)),"")</f>
        <v>137</v>
      </c>
      <c r="AT161" s="117"/>
      <c r="AU161" s="117">
        <f t="array" aca="1" ref="AU161" ca="1">IFERROR(SMALL(IF(COUNTIF(Podcasts!$D$479:'Podcasts'!$D$488,ROW(INDIRECT("1:"&amp;K$2)))=0,ROW(INDIRECT("1:"&amp;K$2))),ROW($A118)),"")</f>
        <v>120</v>
      </c>
      <c r="AV161" s="117">
        <f t="array" aca="1" ref="AV161" ca="1">IFERROR(SMALL(IF(COUNTIF(Podcasts!$D$494:'Podcasts'!$D$518,ROW(INDIRECT("1:"&amp;K$2)))=0,ROW(INDIRECT("1:"&amp;K$2))),ROW($A118)),"")</f>
        <v>139</v>
      </c>
      <c r="AW161" s="117">
        <f t="array" aca="1" ref="AW161" ca="1">IFERROR(SMALL(IF(COUNTIF(Podcasts!$D$524:'Podcasts'!$D$532,ROW(INDIRECT("1:"&amp;K$2)))=0,ROW(INDIRECT("1:"&amp;K$2))),ROW($A118)),"")</f>
        <v>119</v>
      </c>
      <c r="AX161" s="117"/>
      <c r="AY161" s="117">
        <f t="array" aca="1" ref="AY161" ca="1">IFERROR(SMALL(IF(COUNTIF(Podcasts!$D$915:'Podcasts'!$D$981,ROW(INDIRECT("1:"&amp;K$2)))=0,ROW(INDIRECT("1:"&amp;K$2))),ROW($A118)),"")</f>
        <v>168</v>
      </c>
      <c r="AZ161" s="445"/>
      <c r="BA161" s="117">
        <f t="array" aca="1" ref="BA161" ca="1">IFERROR(SMALL(IF(COUNTIF(Podcasts!$D$1001:'Podcasts'!$D$1251,ROW(INDIRECT("1:"&amp;K$2)))=0,ROW(INDIRECT("1:"&amp;K$2))),ROW($A118)),"")</f>
        <v>167</v>
      </c>
      <c r="BB161" s="117">
        <f t="array" aca="1" ref="BB161" ca="1">IFERROR(SMALL(IF(COUNTIF(Podcasts!$D$1257:'Podcasts'!$D$1267,ROW(INDIRECT("1:"&amp;K$2)))=0,ROW(INDIRECT("1:"&amp;K$2))),ROW($A118)),"")</f>
        <v>123</v>
      </c>
      <c r="BC161" s="117">
        <f t="array" aca="1" ref="BC161" ca="1">IFERROR(SMALL(IF(COUNTIF(Podcasts!$D$1273:'Podcasts'!$D$1283,ROW(INDIRECT("1:"&amp;K$2)))=0,ROW(INDIRECT("1:"&amp;K$2))),ROW($A118)),"")</f>
        <v>122</v>
      </c>
      <c r="BD161" s="117">
        <f t="array" aca="1" ref="BD161" ca="1">IFERROR(SMALL(IF(COUNTIF(Podcasts!$D$1289:'Podcasts'!$D$1295,ROW(INDIRECT("1:"&amp;K$2)))=0,ROW(INDIRECT("1:"&amp;K$2))),ROW($A118)),"")</f>
        <v>122</v>
      </c>
      <c r="BE161" s="117">
        <f t="array" aca="1" ref="BE161" ca="1">IFERROR(SMALL(IF(COUNTIF(Podcasts!$D$1301:'Podcasts'!$D$1356,ROW(INDIRECT("1:"&amp;K$2)))=0,ROW(INDIRECT("1:"&amp;K$2))),ROW($A118)),"")</f>
        <v>165</v>
      </c>
      <c r="BF161" s="117">
        <f t="array" aca="1" ref="BF161" ca="1">IFERROR(SMALL(IF(COUNTIF(Podcasts!$D$1362:'Podcasts'!$D$1364,ROW(INDIRECT("1:"&amp;K$2)))=0,ROW(INDIRECT("1:"&amp;K$2))),ROW($A118)),"")</f>
        <v>121</v>
      </c>
      <c r="BG161" s="202">
        <f t="array" aca="1" ref="BG161" ca="1">IFERROR(SMALL(IF(COUNTIF(Podcasts!$D$1370:'Podcasts'!$D$1419,ROW(INDIRECT("1:"&amp;K$2)))=0,ROW(INDIRECT("1:"&amp;K$2))),ROW($A118)),"")</f>
        <v>149</v>
      </c>
      <c r="BH161" s="202">
        <f t="array" aca="1" ref="BH161" ca="1">IFERROR(SMALL(IF(COUNTIF(Podcasts!$D$1425:'Podcasts'!$D$1446,ROW(INDIRECT("1:"&amp;K$2)))=0,ROW(INDIRECT("1:"&amp;K$2))),ROW($A118)),"")</f>
        <v>128</v>
      </c>
      <c r="BI161" s="202">
        <f t="array" aca="1" ref="BI161" ca="1">IFERROR(SMALL(IF(COUNTIF(Podcasts!$D$1452:'Podcasts'!$D$1574,ROW(INDIRECT("1:"&amp;K$2)))=0,ROW(INDIRECT("1:"&amp;K$2))),ROW($A118)),"")</f>
        <v>191</v>
      </c>
      <c r="BJ161" s="202">
        <f t="array" aca="1" ref="BJ161" ca="1">IFERROR(SMALL(IF(COUNTIF(Podcasts!$D$1580:'Podcasts'!$D$1705,ROW(INDIRECT("1:"&amp;K$2)))=0,ROW(INDIRECT("1:"&amp;K$2))),ROW($A118)),"")</f>
        <v>190</v>
      </c>
      <c r="BK161" s="202">
        <f t="array" aca="1" ref="BK161" ca="1">IFERROR(SMALL(IF(COUNTIF(Podcasts!$D$1711:'Podcasts'!$D$1833,ROW(INDIRECT("1:"&amp;K$2)))=0,ROW(INDIRECT("1:"&amp;K$2))),ROW($A118)),"")</f>
        <v>187</v>
      </c>
      <c r="BL161" s="202">
        <f t="array" aca="1" ref="BL161" ca="1">IFERROR(SMALL(IF(COUNTIF(Podcasts!$D$1839:'Podcasts'!$D$1855,ROW(INDIRECT("1:"&amp;K$2)))=0,ROW(INDIRECT("1:"&amp;K$2))),ROW($A118)),"")</f>
        <v>127</v>
      </c>
      <c r="BM161" s="567">
        <f t="array" aca="1" ref="BM161" ca="1">IFERROR(SMALL(IF(COUNTIF(Podcasts!$D$1861:'Podcasts'!$D$1994,ROW(INDIRECT("1:"&amp;K$2)))=0,ROW(INDIRECT("1:"&amp;K$2))),ROW($A118)),"")</f>
        <v>163</v>
      </c>
      <c r="BN161" s="567">
        <f t="array" aca="1" ref="BN161" ca="1">IFERROR(SMALL(IF(COUNTIF(Podcasts!$D$2000:'Podcasts'!$D$2057,ROW(INDIRECT("1:"&amp;K$2)))=0,ROW(INDIRECT("1:"&amp;K$2))),ROW($A118)),"")</f>
        <v>173</v>
      </c>
      <c r="BO161" s="567">
        <f t="array" aca="1" ref="BO161" ca="1">IFERROR(SMALL(IF(COUNTIF(Podcasts!$D$2063:'Podcasts'!$D$2071,ROW(INDIRECT("1:"&amp;K$2)))=0,ROW(INDIRECT("1:"&amp;K$2))),ROW($A118)),"")</f>
        <v>125</v>
      </c>
      <c r="BP161" s="202">
        <f t="array" aca="1" ref="BP161" ca="1">IFERROR(SMALL(IF(COUNTIF(Podcasts!$D$2077:'Podcasts'!$D$2092,ROW(INDIRECT("1:"&amp;K$2)))=0,ROW(INDIRECT("1:"&amp;K$2))),ROW($A118)),"")</f>
        <v>129</v>
      </c>
      <c r="BQ161" s="741">
        <f t="array" aca="1" ref="BQ161" ca="1">IFERROR(SMALL(IF(COUNTIF(Podcasts!$D$2098:'Podcasts'!$D$2114,ROW(INDIRECT("1:"&amp;K$2)))=0,ROW(INDIRECT("1:"&amp;K$2))),ROW($A118)),"")</f>
        <v>128</v>
      </c>
      <c r="BR161" s="744">
        <f t="array" aca="1" ref="BR161" ca="1">IFERROR(SMALL(IF(COUNTIF(Podcasts!$D$2120:'Podcasts'!$D$2124,ROW(INDIRECT("1:"&amp;K$2)))=0,ROW(INDIRECT("1:"&amp;K$2))),ROW($A118)),"")</f>
        <v>120</v>
      </c>
      <c r="BS161" s="28"/>
    </row>
    <row r="162" spans="1:71" outlineLevel="1">
      <c r="A162" s="28"/>
      <c r="B162" s="161">
        <v>119</v>
      </c>
      <c r="C162" s="161">
        <f>COUNTIF(Podcasts!$D$10:'Podcasts'!$D$2535,B162)</f>
        <v>3</v>
      </c>
      <c r="D162" s="159" t="s">
        <v>1146</v>
      </c>
      <c r="E162" s="156" t="str">
        <f t="array" ref="E162">IF(F162="","",INDEX(Podcasts!$J$10:'Podcasts'!$J$2535,MATCH(F162&amp;$B162,Podcasts!$E$10:'Podcasts'!$E$2535&amp;Podcasts!$D$10:'Podcasts'!$D$2535,0)))</f>
        <v>Fürst</v>
      </c>
      <c r="F162" s="131">
        <f t="array" ref="F162">IF(COUNTIF(Podcasts!$D$10:'Podcasts'!$D$2535,$B162)&lt;COLUMN(A125),"",SMALL(IF(Podcasts!$D$10:'Podcasts'!$D$2535=$B162,Podcasts!$E$10:'Podcasts'!$E$2535),COLUMN(A125)))</f>
        <v>41980</v>
      </c>
      <c r="G162" s="132">
        <f t="array" ref="G162">IF(F162="","",INDEX(Podcasts!$F$10:'Podcasts'!$F$2535,MATCH(F162&amp;$B162,Podcasts!$E$10:'Podcasts'!$E$2535&amp;Podcasts!$D$10:'Podcasts'!$D$2535,0)))</f>
        <v>7.5810185185185182E-3</v>
      </c>
      <c r="H162" s="136" t="str">
        <f t="array" ref="H162">IF(I162="","",INDEX(Podcasts!$J$10:'Podcasts'!$J$2535,MATCH(I162&amp;$B162,Podcasts!$E$10:'Podcasts'!$E$2535&amp;Podcasts!$D$10:'Podcasts'!$D$2535,0)))</f>
        <v>SSP</v>
      </c>
      <c r="I162" s="133">
        <f t="array" ref="I162">IF(COUNTIF(Podcasts!$D$10:'Podcasts'!$D$2535,$B162)&lt;COLUMN(B125),"",SMALL(IF(Podcasts!$D$10:'Podcasts'!$D$2535=$B162,Podcasts!$E$10:'Podcasts'!$E$2535),COLUMN(B125)))</f>
        <v>44016</v>
      </c>
      <c r="J162" s="132">
        <f t="array" ref="J162">IF(I162="","",INDEX(Podcasts!$F$10:'Podcasts'!$F$2535,MATCH(I162&amp;$B162,Podcasts!$E$10:'Podcasts'!$E$2535&amp;Podcasts!$D$10:'Podcasts'!$D$2535,0)))</f>
        <v>8.0578703703703694E-2</v>
      </c>
      <c r="K162" s="136" t="str">
        <f t="array" ref="K162">IF(L162="","",INDEX(Podcasts!$J$10:'Podcasts'!$J$2535,MATCH(L162&amp;$B162,Podcasts!$E$10:'Podcasts'!$E$2535&amp;Podcasts!$D$10:'Podcasts'!$D$2535,0)))</f>
        <v>DGdB</v>
      </c>
      <c r="L162" s="133">
        <f t="array" ref="L162">IF(COUNTIF(Podcasts!$D$10:'Podcasts'!$D$2535,$B162)&lt;COLUMN(C125),"",SMALL(IF(Podcasts!$D$10:'Podcasts'!$D$2535=$B162,Podcasts!$E$10:'Podcasts'!$E$2535),COLUMN(C125)))</f>
        <v>45292</v>
      </c>
      <c r="M162" s="132">
        <f t="array" ref="M162">IF(L162="","",INDEX(Podcasts!$F$10:'Podcasts'!$F$2535,MATCH(L162&amp;$B162,Podcasts!$E$10:'Podcasts'!$E$2535&amp;Podcasts!$D$10:'Podcasts'!$D$2535,0)))</f>
        <v>0.12072916666666667</v>
      </c>
      <c r="N162" s="136" t="str">
        <f t="array" ref="N162">IF(O162="","",INDEX(Podcasts!$J$10:'Podcasts'!$J$2535,MATCH(O162&amp;$B162,Podcasts!$E$10:'Podcasts'!$E$2535&amp;Podcasts!$D$10:'Podcasts'!$D$2535,0)))</f>
        <v/>
      </c>
      <c r="O162" s="133" t="str">
        <f t="array" ref="O162">IF(COUNTIF(Podcasts!$D$10:'Podcasts'!$D$2535,$B162)&lt;COLUMN(D125),"",SMALL(IF(Podcasts!$D$10:'Podcasts'!$D$2535=$B162,Podcasts!$E$10:'Podcasts'!$E$2535),COLUMN(D125)))</f>
        <v/>
      </c>
      <c r="P162" s="132" t="str">
        <f t="array" ref="P162">IF(O162="","",INDEX(Podcasts!$F$10:'Podcasts'!$F$2535,MATCH(O162&amp;$B162,Podcasts!$E$10:'Podcasts'!$E$2535&amp;Podcasts!$D$10:'Podcasts'!$D$2535,0)))</f>
        <v/>
      </c>
      <c r="Q162" s="136" t="str">
        <f t="array" ref="Q162">IF(R162="","",INDEX(Podcasts!$J$10:'Podcasts'!$J$2535,MATCH(R162&amp;$B162,Podcasts!$E$10:'Podcasts'!$E$2535&amp;Podcasts!$D$10:'Podcasts'!$D$2535,0)))</f>
        <v/>
      </c>
      <c r="R162" s="133" t="str">
        <f t="array" ref="R162">IF(COUNTIF(Podcasts!$D$10:'Podcasts'!$D$2535,$B162)&lt;COLUMN(E125),"",SMALL(IF(Podcasts!$D$10:'Podcasts'!$D$2535=$B162,Podcasts!$E$10:'Podcasts'!$E$2535),COLUMN(E125)))</f>
        <v/>
      </c>
      <c r="S162" s="132" t="str">
        <f t="array" ref="S162">IF(R162="","",INDEX(Podcasts!$F$10:'Podcasts'!$F$2535,MATCH(R162&amp;$B162,Podcasts!$E$10:'Podcasts'!$E$2535&amp;Podcasts!$D$10:'Podcasts'!$D$2535,0)))</f>
        <v/>
      </c>
      <c r="T162" s="136" t="str">
        <f t="array" ref="T162">IF(U162="","",INDEX(Podcasts!$J$10:'Podcasts'!$J$2535,MATCH(U162&amp;$B162,Podcasts!$E$10:'Podcasts'!$E$2535&amp;Podcasts!$D$10:'Podcasts'!$D$2535,0)))</f>
        <v/>
      </c>
      <c r="U162" s="133" t="str">
        <f t="array" ref="U162">IF(COUNTIF(Podcasts!$D$10:'Podcasts'!$D$2535,$B162)&lt;COLUMN(F125),"",SMALL(IF(Podcasts!$D$10:'Podcasts'!$D$2535=$B162,Podcasts!$E$10:'Podcasts'!$E$2535),COLUMN(F125)))</f>
        <v/>
      </c>
      <c r="V162" s="132" t="str">
        <f t="array" ref="V162">IF(U162="","",INDEX(Podcasts!$F$10:'Podcasts'!$F$2535,MATCH(U162&amp;$B162,Podcasts!$E$10:'Podcasts'!$E$2535&amp;Podcasts!$D$10:'Podcasts'!$D$2535,0)))</f>
        <v/>
      </c>
      <c r="W162" s="136" t="str">
        <f t="array" ref="W162">IF(X162="","",INDEX(Podcasts!$J$10:'Podcasts'!$J$2535,MATCH(X162&amp;$B162,Podcasts!$E$10:'Podcasts'!$E$2535&amp;Podcasts!$D$10:'Podcasts'!$D$2535,0)))</f>
        <v/>
      </c>
      <c r="X162" s="133" t="str">
        <f t="array" ref="X162">IF(COUNTIF(Podcasts!$D$10:'Podcasts'!$D$2535,$B162)&lt;COLUMN(G125),"",SMALL(IF(Podcasts!$D$10:'Podcasts'!$D$2535=$B162,Podcasts!$E$10:'Podcasts'!$E$2535),COLUMN(G125)))</f>
        <v/>
      </c>
      <c r="Y162" s="132" t="str">
        <f t="array" ref="Y162">IF(X162="","",INDEX(Podcasts!$F$10:'Podcasts'!$F$2535,MATCH(X162&amp;$B162,Podcasts!$E$10:'Podcasts'!$E$2535&amp;Podcasts!$D$10:'Podcasts'!$D$2535,0)))</f>
        <v/>
      </c>
      <c r="Z162" s="136" t="str">
        <f t="array" ref="Z162">IF(AA162="","",INDEX(Podcasts!$J$10:'Podcasts'!$J$2535,MATCH(AA162&amp;$B162,Podcasts!$E$10:'Podcasts'!$E$2535&amp;Podcasts!$D$10:'Podcasts'!$D$2535,0)))</f>
        <v/>
      </c>
      <c r="AA162" s="134" t="str">
        <f t="array" ref="AA162">IF(COUNTIF(Podcasts!$D$10:'Podcasts'!$D$2535,$B162)&lt;COLUMN(H125),"",SMALL(IF(Podcasts!$D$10:'Podcasts'!$D$2535=$B162,Podcasts!$E$10:'Podcasts'!$E$2535),COLUMN(H125)))</f>
        <v/>
      </c>
      <c r="AB162" s="404" t="str">
        <f t="array" ref="AB162">IF(AA162="","",INDEX(Podcasts!$F$10:'Podcasts'!$F$2535,MATCH(AA162&amp;$B162,Podcasts!$E$10:'Podcasts'!$E$2535&amp;Podcasts!$D$10:'Podcasts'!$D$2535,0)))</f>
        <v/>
      </c>
      <c r="AC162" s="406" t="str">
        <f t="array" ref="AC162">IF(AD162="","",INDEX(Podcasts!$J$10:'Podcasts'!$J$2535,MATCH(AD162&amp;$B162,Podcasts!$E$10:'Podcasts'!$E$2535&amp;Podcasts!$D$10:'Podcasts'!$D$2535,0)))</f>
        <v/>
      </c>
      <c r="AD162" s="400" t="str">
        <f t="array" ref="AD162">IF(COUNTIF(Podcasts!$D$10:'Podcasts'!$D$2535,$B162)&lt;COLUMN(I125),"",SMALL(IF(Podcasts!$D$10:'Podcasts'!$D$2535=$B162,Podcasts!$E$10:'Podcasts'!$E$2535),COLUMN(I125)))</f>
        <v/>
      </c>
      <c r="AE162" s="401" t="str">
        <f t="array" ref="AE162">IF(AD162="","",INDEX(Podcasts!$F$10:'Podcasts'!$F$2535,MATCH(AD162&amp;$B162,Podcasts!$E$10:'Podcasts'!$E$2535&amp;Podcasts!$D$10:'Podcasts'!$D$2535,0)))</f>
        <v/>
      </c>
      <c r="AF162" s="406" t="str">
        <f t="array" ref="AF162">IF(AG162="","",INDEX(Podcasts!$J$10:'Podcasts'!$J$2535,MATCH(AG162&amp;$B162,Podcasts!$E$10:'Podcasts'!$E$2535&amp;Podcasts!$D$10:'Podcasts'!$D$2535,0)))</f>
        <v/>
      </c>
      <c r="AG162" s="400" t="str">
        <f t="array" ref="AG162">IF(COUNTIF(Podcasts!$D$10:'Podcasts'!$D$2535,$B162)&lt;COLUMN(J125),"",SMALL(IF(Podcasts!$D$10:'Podcasts'!$D$2535=$B162,Podcasts!$E$10:'Podcasts'!$E$2535),COLUMN(J125)))</f>
        <v/>
      </c>
      <c r="AH162" s="401" t="str">
        <f t="array" ref="AH162">IF(AG162="","",INDEX(Podcasts!$F$10:'Podcasts'!$F$2535,MATCH(AG162&amp;$B162,Podcasts!$E$10:'Podcasts'!$E$2535&amp;Podcasts!$D$10:'Podcasts'!$D$2535,0)))</f>
        <v/>
      </c>
      <c r="AI162" s="406" t="str">
        <f t="array" ref="AI162">IF(AJ162="","",INDEX(Podcasts!$J$10:'Podcasts'!$J$2535,MATCH(AJ162&amp;$B162,Podcasts!$E$10:'Podcasts'!$E$2535&amp;Podcasts!$D$10:'Podcasts'!$D$2535,0)))</f>
        <v/>
      </c>
      <c r="AJ162" s="400" t="str">
        <f t="array" ref="AJ162">IF(COUNTIF(Podcasts!$D$10:'Podcasts'!$D$2535,$B162)&lt;COLUMN(K125),"",SMALL(IF(Podcasts!$D$10:'Podcasts'!$D$2535=$B162,Podcasts!$E$10:'Podcasts'!$E$2535),COLUMN(K125)))</f>
        <v/>
      </c>
      <c r="AK162" s="401" t="str">
        <f t="array" ref="AK162">IF(AJ162="","",INDEX(Podcasts!$F$10:'Podcasts'!$F$2535,MATCH(AJ162&amp;$B162,Podcasts!$E$10:'Podcasts'!$E$2535&amp;Podcasts!$D$10:'Podcasts'!$D$2535,0)))</f>
        <v/>
      </c>
      <c r="AL162" s="406" t="str">
        <f t="array" ref="AL162">IF(AM162="","",INDEX(Podcasts!$J$10:'Podcasts'!$J$2535,MATCH(AM162&amp;$B162,Podcasts!$E$10:'Podcasts'!$E$2535&amp;Podcasts!$D$10:'Podcasts'!$D$2535,0)))</f>
        <v/>
      </c>
      <c r="AM162" s="400" t="str">
        <f t="array" ref="AM162">IF(COUNTIF(Podcasts!$D$10:'Podcasts'!$D$2535,$B162)&lt;COLUMN(L125),"",SMALL(IF(Podcasts!$D$10:'Podcasts'!$D$2535=$B162,Podcasts!$E$10:'Podcasts'!$E$2535),COLUMN(L125)))</f>
        <v/>
      </c>
      <c r="AN162" s="401" t="str">
        <f t="array" ref="AN162">IF(AM162="","",INDEX(Podcasts!$F$10:'Podcasts'!$F$2535,MATCH(AM162&amp;$B162,Podcasts!$E$10:'Podcasts'!$E$2535&amp;Podcasts!$D$10:'Podcasts'!$D$2535,0)))</f>
        <v/>
      </c>
      <c r="AO162" s="402"/>
      <c r="AP162" s="119"/>
      <c r="AQ162" s="117">
        <f t="array" aca="1" ref="AQ162" ca="1">IFERROR(SMALL(IF(COUNTIF(Podcasts!$D$10:'Podcasts'!$D$107,ROW(INDIRECT("1:"&amp;K$2)))=0,ROW(INDIRECT("1:"&amp;K$2))),ROW($A119)),"")</f>
        <v>153</v>
      </c>
      <c r="AR162" s="117">
        <f t="array" aca="1" ref="AR162" ca="1">IFERROR(SMALL(IF(COUNTIF(Podcasts!$D$113:'Podcasts'!$D$238,ROW(INDIRECT("1:"&amp;K$2)))=0,ROW(INDIRECT("1:"&amp;K$2))),ROW($A119)),"")</f>
        <v>119</v>
      </c>
      <c r="AS162" s="117">
        <f t="array" aca="1" ref="AS162" ca="1">IFERROR(SMALL(IF(COUNTIF(Podcasts!$D$244:'Podcasts'!$D$299,ROW(INDIRECT("1:"&amp;K$2)))=0,ROW(INDIRECT("1:"&amp;K$2))),ROW($A119)),"")</f>
        <v>138</v>
      </c>
      <c r="AT162" s="117"/>
      <c r="AU162" s="117">
        <f t="array" aca="1" ref="AU162" ca="1">IFERROR(SMALL(IF(COUNTIF(Podcasts!$D$479:'Podcasts'!$D$488,ROW(INDIRECT("1:"&amp;K$2)))=0,ROW(INDIRECT("1:"&amp;K$2))),ROW($A119)),"")</f>
        <v>121</v>
      </c>
      <c r="AV162" s="117">
        <f t="array" aca="1" ref="AV162" ca="1">IFERROR(SMALL(IF(COUNTIF(Podcasts!$D$494:'Podcasts'!$D$518,ROW(INDIRECT("1:"&amp;K$2)))=0,ROW(INDIRECT("1:"&amp;K$2))),ROW($A119)),"")</f>
        <v>140</v>
      </c>
      <c r="AW162" s="117">
        <f t="array" aca="1" ref="AW162" ca="1">IFERROR(SMALL(IF(COUNTIF(Podcasts!$D$524:'Podcasts'!$D$532,ROW(INDIRECT("1:"&amp;K$2)))=0,ROW(INDIRECT("1:"&amp;K$2))),ROW($A119)),"")</f>
        <v>120</v>
      </c>
      <c r="AX162" s="117"/>
      <c r="AY162" s="117">
        <f t="array" aca="1" ref="AY162" ca="1">IFERROR(SMALL(IF(COUNTIF(Podcasts!$D$915:'Podcasts'!$D$981,ROW(INDIRECT("1:"&amp;K$2)))=0,ROW(INDIRECT("1:"&amp;K$2))),ROW($A119)),"")</f>
        <v>171</v>
      </c>
      <c r="AZ162" s="445"/>
      <c r="BA162" s="117">
        <f t="array" aca="1" ref="BA162" ca="1">IFERROR(SMALL(IF(COUNTIF(Podcasts!$D$1001:'Podcasts'!$D$1251,ROW(INDIRECT("1:"&amp;K$2)))=0,ROW(INDIRECT("1:"&amp;K$2))),ROW($A119)),"")</f>
        <v>168</v>
      </c>
      <c r="BB162" s="117">
        <f t="array" aca="1" ref="BB162" ca="1">IFERROR(SMALL(IF(COUNTIF(Podcasts!$D$1257:'Podcasts'!$D$1267,ROW(INDIRECT("1:"&amp;K$2)))=0,ROW(INDIRECT("1:"&amp;K$2))),ROW($A119)),"")</f>
        <v>124</v>
      </c>
      <c r="BC162" s="117">
        <f t="array" aca="1" ref="BC162" ca="1">IFERROR(SMALL(IF(COUNTIF(Podcasts!$D$1273:'Podcasts'!$D$1283,ROW(INDIRECT("1:"&amp;K$2)))=0,ROW(INDIRECT("1:"&amp;K$2))),ROW($A119)),"")</f>
        <v>123</v>
      </c>
      <c r="BD162" s="117">
        <f t="array" aca="1" ref="BD162" ca="1">IFERROR(SMALL(IF(COUNTIF(Podcasts!$D$1289:'Podcasts'!$D$1295,ROW(INDIRECT("1:"&amp;K$2)))=0,ROW(INDIRECT("1:"&amp;K$2))),ROW($A119)),"")</f>
        <v>123</v>
      </c>
      <c r="BE162" s="117">
        <f t="array" aca="1" ref="BE162" ca="1">IFERROR(SMALL(IF(COUNTIF(Podcasts!$D$1301:'Podcasts'!$D$1356,ROW(INDIRECT("1:"&amp;K$2)))=0,ROW(INDIRECT("1:"&amp;K$2))),ROW($A119)),"")</f>
        <v>166</v>
      </c>
      <c r="BF162" s="117">
        <f t="array" aca="1" ref="BF162" ca="1">IFERROR(SMALL(IF(COUNTIF(Podcasts!$D$1362:'Podcasts'!$D$1364,ROW(INDIRECT("1:"&amp;K$2)))=0,ROW(INDIRECT("1:"&amp;K$2))),ROW($A119)),"")</f>
        <v>122</v>
      </c>
      <c r="BG162" s="202">
        <f t="array" aca="1" ref="BG162" ca="1">IFERROR(SMALL(IF(COUNTIF(Podcasts!$D$1370:'Podcasts'!$D$1419,ROW(INDIRECT("1:"&amp;K$2)))=0,ROW(INDIRECT("1:"&amp;K$2))),ROW($A119)),"")</f>
        <v>150</v>
      </c>
      <c r="BH162" s="202">
        <f t="array" aca="1" ref="BH162" ca="1">IFERROR(SMALL(IF(COUNTIF(Podcasts!$D$1425:'Podcasts'!$D$1446,ROW(INDIRECT("1:"&amp;K$2)))=0,ROW(INDIRECT("1:"&amp;K$2))),ROW($A119)),"")</f>
        <v>129</v>
      </c>
      <c r="BI162" s="202">
        <f t="array" aca="1" ref="BI162" ca="1">IFERROR(SMALL(IF(COUNTIF(Podcasts!$D$1452:'Podcasts'!$D$1574,ROW(INDIRECT("1:"&amp;K$2)))=0,ROW(INDIRECT("1:"&amp;K$2))),ROW($A119)),"")</f>
        <v>192</v>
      </c>
      <c r="BJ162" s="202">
        <f t="array" aca="1" ref="BJ162" ca="1">IFERROR(SMALL(IF(COUNTIF(Podcasts!$D$1580:'Podcasts'!$D$1705,ROW(INDIRECT("1:"&amp;K$2)))=0,ROW(INDIRECT("1:"&amp;K$2))),ROW($A119)),"")</f>
        <v>193</v>
      </c>
      <c r="BK162" s="202">
        <f t="array" aca="1" ref="BK162" ca="1">IFERROR(SMALL(IF(COUNTIF(Podcasts!$D$1711:'Podcasts'!$D$1833,ROW(INDIRECT("1:"&amp;K$2)))=0,ROW(INDIRECT("1:"&amp;K$2))),ROW($A119)),"")</f>
        <v>188</v>
      </c>
      <c r="BL162" s="202">
        <f t="array" aca="1" ref="BL162" ca="1">IFERROR(SMALL(IF(COUNTIF(Podcasts!$D$1839:'Podcasts'!$D$1855,ROW(INDIRECT("1:"&amp;K$2)))=0,ROW(INDIRECT("1:"&amp;K$2))),ROW($A119)),"")</f>
        <v>128</v>
      </c>
      <c r="BM162" s="567">
        <f t="array" aca="1" ref="BM162" ca="1">IFERROR(SMALL(IF(COUNTIF(Podcasts!$D$1861:'Podcasts'!$D$1994,ROW(INDIRECT("1:"&amp;K$2)))=0,ROW(INDIRECT("1:"&amp;K$2))),ROW($A119)),"")</f>
        <v>164</v>
      </c>
      <c r="BN162" s="567">
        <f t="array" aca="1" ref="BN162" ca="1">IFERROR(SMALL(IF(COUNTIF(Podcasts!$D$2000:'Podcasts'!$D$2057,ROW(INDIRECT("1:"&amp;K$2)))=0,ROW(INDIRECT("1:"&amp;K$2))),ROW($A119)),"")</f>
        <v>174</v>
      </c>
      <c r="BO162" s="567">
        <f t="array" aca="1" ref="BO162" ca="1">IFERROR(SMALL(IF(COUNTIF(Podcasts!$D$2063:'Podcasts'!$D$2071,ROW(INDIRECT("1:"&amp;K$2)))=0,ROW(INDIRECT("1:"&amp;K$2))),ROW($A119)),"")</f>
        <v>126</v>
      </c>
      <c r="BP162" s="202">
        <f t="array" aca="1" ref="BP162" ca="1">IFERROR(SMALL(IF(COUNTIF(Podcasts!$D$2077:'Podcasts'!$D$2092,ROW(INDIRECT("1:"&amp;K$2)))=0,ROW(INDIRECT("1:"&amp;K$2))),ROW($A119)),"")</f>
        <v>130</v>
      </c>
      <c r="BQ162" s="741">
        <f t="array" aca="1" ref="BQ162" ca="1">IFERROR(SMALL(IF(COUNTIF(Podcasts!$D$2098:'Podcasts'!$D$2114,ROW(INDIRECT("1:"&amp;K$2)))=0,ROW(INDIRECT("1:"&amp;K$2))),ROW($A119)),"")</f>
        <v>129</v>
      </c>
      <c r="BR162" s="744">
        <f t="array" aca="1" ref="BR162" ca="1">IFERROR(SMALL(IF(COUNTIF(Podcasts!$D$2120:'Podcasts'!$D$2124,ROW(INDIRECT("1:"&amp;K$2)))=0,ROW(INDIRECT("1:"&amp;K$2))),ROW($A119)),"")</f>
        <v>121</v>
      </c>
      <c r="BS162" s="28"/>
    </row>
    <row r="163" spans="1:71" outlineLevel="1">
      <c r="A163" s="28"/>
      <c r="B163" s="161">
        <v>120</v>
      </c>
      <c r="C163" s="161">
        <f>COUNTIF(Podcasts!$D$10:'Podcasts'!$D$2535,B163)</f>
        <v>3</v>
      </c>
      <c r="D163" s="158" t="s">
        <v>1147</v>
      </c>
      <c r="E163" s="156" t="str">
        <f t="array" ref="E163">IF(F163="","",INDEX(Podcasts!$J$10:'Podcasts'!$J$2535,MATCH(F163&amp;$B163,Podcasts!$E$10:'Podcasts'!$E$2535&amp;Podcasts!$D$10:'Podcasts'!$D$2535,0)))</f>
        <v>SSP</v>
      </c>
      <c r="F163" s="131">
        <f t="array" ref="F163">IF(COUNTIF(Podcasts!$D$10:'Podcasts'!$D$2535,$B163)&lt;COLUMN(A126),"",SMALL(IF(Podcasts!$D$10:'Podcasts'!$D$2535=$B163,Podcasts!$E$10:'Podcasts'!$E$2535),COLUMN(A126)))</f>
        <v>43385</v>
      </c>
      <c r="G163" s="132">
        <f t="array" ref="G163">IF(F163="","",INDEX(Podcasts!$F$10:'Podcasts'!$F$2535,MATCH(F163&amp;$B163,Podcasts!$E$10:'Podcasts'!$E$2535&amp;Podcasts!$D$10:'Podcasts'!$D$2535,0)))</f>
        <v>6.9085648148148146E-2</v>
      </c>
      <c r="H163" s="136" t="str">
        <f t="array" ref="H163">IF(I163="","",INDEX(Podcasts!$J$10:'Podcasts'!$J$2535,MATCH(I163&amp;$B163,Podcasts!$E$10:'Podcasts'!$E$2535&amp;Podcasts!$D$10:'Podcasts'!$D$2535,0)))</f>
        <v>Kaffee</v>
      </c>
      <c r="I163" s="133">
        <f t="array" ref="I163">IF(COUNTIF(Podcasts!$D$10:'Podcasts'!$D$2535,$B163)&lt;COLUMN(B126),"",SMALL(IF(Podcasts!$D$10:'Podcasts'!$D$2535=$B163,Podcasts!$E$10:'Podcasts'!$E$2535),COLUMN(B126)))</f>
        <v>44176</v>
      </c>
      <c r="J163" s="132">
        <f t="array" ref="J163">IF(I163="","",INDEX(Podcasts!$F$10:'Podcasts'!$F$2535,MATCH(I163&amp;$B163,Podcasts!$E$10:'Podcasts'!$E$2535&amp;Podcasts!$D$10:'Podcasts'!$D$2535,0)))</f>
        <v>1.7789351851851851E-2</v>
      </c>
      <c r="K163" s="136" t="str">
        <f t="array" ref="K163">IF(L163="","",INDEX(Podcasts!$J$10:'Podcasts'!$J$2535,MATCH(L163&amp;$B163,Podcasts!$E$10:'Podcasts'!$E$2535&amp;Podcasts!$D$10:'Podcasts'!$D$2535,0)))</f>
        <v>:punkt</v>
      </c>
      <c r="L163" s="133">
        <f t="array" ref="L163">IF(COUNTIF(Podcasts!$D$10:'Podcasts'!$D$2535,$B163)&lt;COLUMN(C126),"",SMALL(IF(Podcasts!$D$10:'Podcasts'!$D$2535=$B163,Podcasts!$E$10:'Podcasts'!$E$2535),COLUMN(C126)))</f>
        <v>45027</v>
      </c>
      <c r="M163" s="132">
        <f t="array" ref="M163">IF(L163="","",INDEX(Podcasts!$F$10:'Podcasts'!$F$2535,MATCH(L163&amp;$B163,Podcasts!$E$10:'Podcasts'!$E$2535&amp;Podcasts!$D$10:'Podcasts'!$D$2535,0)))</f>
        <v>4.2638888888888893E-2</v>
      </c>
      <c r="N163" s="136" t="str">
        <f t="array" ref="N163">IF(O163="","",INDEX(Podcasts!$J$10:'Podcasts'!$J$2535,MATCH(O163&amp;$B163,Podcasts!$E$10:'Podcasts'!$E$2535&amp;Podcasts!$D$10:'Podcasts'!$D$2535,0)))</f>
        <v/>
      </c>
      <c r="O163" s="133" t="str">
        <f t="array" ref="O163">IF(COUNTIF(Podcasts!$D$10:'Podcasts'!$D$2535,$B163)&lt;COLUMN(D126),"",SMALL(IF(Podcasts!$D$10:'Podcasts'!$D$2535=$B163,Podcasts!$E$10:'Podcasts'!$E$2535),COLUMN(D126)))</f>
        <v/>
      </c>
      <c r="P163" s="132" t="str">
        <f t="array" ref="P163">IF(O163="","",INDEX(Podcasts!$F$10:'Podcasts'!$F$2535,MATCH(O163&amp;$B163,Podcasts!$E$10:'Podcasts'!$E$2535&amp;Podcasts!$D$10:'Podcasts'!$D$2535,0)))</f>
        <v/>
      </c>
      <c r="Q163" s="136" t="str">
        <f t="array" ref="Q163">IF(R163="","",INDEX(Podcasts!$J$10:'Podcasts'!$J$2535,MATCH(R163&amp;$B163,Podcasts!$E$10:'Podcasts'!$E$2535&amp;Podcasts!$D$10:'Podcasts'!$D$2535,0)))</f>
        <v/>
      </c>
      <c r="R163" s="133" t="str">
        <f t="array" ref="R163">IF(COUNTIF(Podcasts!$D$10:'Podcasts'!$D$2535,$B163)&lt;COLUMN(E126),"",SMALL(IF(Podcasts!$D$10:'Podcasts'!$D$2535=$B163,Podcasts!$E$10:'Podcasts'!$E$2535),COLUMN(E126)))</f>
        <v/>
      </c>
      <c r="S163" s="132" t="str">
        <f t="array" ref="S163">IF(R163="","",INDEX(Podcasts!$F$10:'Podcasts'!$F$2535,MATCH(R163&amp;$B163,Podcasts!$E$10:'Podcasts'!$E$2535&amp;Podcasts!$D$10:'Podcasts'!$D$2535,0)))</f>
        <v/>
      </c>
      <c r="T163" s="136" t="str">
        <f t="array" ref="T163">IF(U163="","",INDEX(Podcasts!$J$10:'Podcasts'!$J$2535,MATCH(U163&amp;$B163,Podcasts!$E$10:'Podcasts'!$E$2535&amp;Podcasts!$D$10:'Podcasts'!$D$2535,0)))</f>
        <v/>
      </c>
      <c r="U163" s="133" t="str">
        <f t="array" ref="U163">IF(COUNTIF(Podcasts!$D$10:'Podcasts'!$D$2535,$B163)&lt;COLUMN(F126),"",SMALL(IF(Podcasts!$D$10:'Podcasts'!$D$2535=$B163,Podcasts!$E$10:'Podcasts'!$E$2535),COLUMN(F126)))</f>
        <v/>
      </c>
      <c r="V163" s="132" t="str">
        <f t="array" ref="V163">IF(U163="","",INDEX(Podcasts!$F$10:'Podcasts'!$F$2535,MATCH(U163&amp;$B163,Podcasts!$E$10:'Podcasts'!$E$2535&amp;Podcasts!$D$10:'Podcasts'!$D$2535,0)))</f>
        <v/>
      </c>
      <c r="W163" s="136" t="str">
        <f t="array" ref="W163">IF(X163="","",INDEX(Podcasts!$J$10:'Podcasts'!$J$2535,MATCH(X163&amp;$B163,Podcasts!$E$10:'Podcasts'!$E$2535&amp;Podcasts!$D$10:'Podcasts'!$D$2535,0)))</f>
        <v/>
      </c>
      <c r="X163" s="133" t="str">
        <f t="array" ref="X163">IF(COUNTIF(Podcasts!$D$10:'Podcasts'!$D$2535,$B163)&lt;COLUMN(G126),"",SMALL(IF(Podcasts!$D$10:'Podcasts'!$D$2535=$B163,Podcasts!$E$10:'Podcasts'!$E$2535),COLUMN(G126)))</f>
        <v/>
      </c>
      <c r="Y163" s="132" t="str">
        <f t="array" ref="Y163">IF(X163="","",INDEX(Podcasts!$F$10:'Podcasts'!$F$2535,MATCH(X163&amp;$B163,Podcasts!$E$10:'Podcasts'!$E$2535&amp;Podcasts!$D$10:'Podcasts'!$D$2535,0)))</f>
        <v/>
      </c>
      <c r="Z163" s="136" t="str">
        <f t="array" ref="Z163">IF(AA163="","",INDEX(Podcasts!$J$10:'Podcasts'!$J$2535,MATCH(AA163&amp;$B163,Podcasts!$E$10:'Podcasts'!$E$2535&amp;Podcasts!$D$10:'Podcasts'!$D$2535,0)))</f>
        <v/>
      </c>
      <c r="AA163" s="134" t="str">
        <f t="array" ref="AA163">IF(COUNTIF(Podcasts!$D$10:'Podcasts'!$D$2535,$B163)&lt;COLUMN(H126),"",SMALL(IF(Podcasts!$D$10:'Podcasts'!$D$2535=$B163,Podcasts!$E$10:'Podcasts'!$E$2535),COLUMN(H126)))</f>
        <v/>
      </c>
      <c r="AB163" s="404" t="str">
        <f t="array" ref="AB163">IF(AA163="","",INDEX(Podcasts!$F$10:'Podcasts'!$F$2535,MATCH(AA163&amp;$B163,Podcasts!$E$10:'Podcasts'!$E$2535&amp;Podcasts!$D$10:'Podcasts'!$D$2535,0)))</f>
        <v/>
      </c>
      <c r="AC163" s="406" t="str">
        <f t="array" ref="AC163">IF(AD163="","",INDEX(Podcasts!$J$10:'Podcasts'!$J$2535,MATCH(AD163&amp;$B163,Podcasts!$E$10:'Podcasts'!$E$2535&amp;Podcasts!$D$10:'Podcasts'!$D$2535,0)))</f>
        <v/>
      </c>
      <c r="AD163" s="400" t="str">
        <f t="array" ref="AD163">IF(COUNTIF(Podcasts!$D$10:'Podcasts'!$D$2535,$B163)&lt;COLUMN(I126),"",SMALL(IF(Podcasts!$D$10:'Podcasts'!$D$2535=$B163,Podcasts!$E$10:'Podcasts'!$E$2535),COLUMN(I126)))</f>
        <v/>
      </c>
      <c r="AE163" s="401" t="str">
        <f t="array" ref="AE163">IF(AD163="","",INDEX(Podcasts!$F$10:'Podcasts'!$F$2535,MATCH(AD163&amp;$B163,Podcasts!$E$10:'Podcasts'!$E$2535&amp;Podcasts!$D$10:'Podcasts'!$D$2535,0)))</f>
        <v/>
      </c>
      <c r="AF163" s="406" t="str">
        <f t="array" ref="AF163">IF(AG163="","",INDEX(Podcasts!$J$10:'Podcasts'!$J$2535,MATCH(AG163&amp;$B163,Podcasts!$E$10:'Podcasts'!$E$2535&amp;Podcasts!$D$10:'Podcasts'!$D$2535,0)))</f>
        <v/>
      </c>
      <c r="AG163" s="400" t="str">
        <f t="array" ref="AG163">IF(COUNTIF(Podcasts!$D$10:'Podcasts'!$D$2535,$B163)&lt;COLUMN(J126),"",SMALL(IF(Podcasts!$D$10:'Podcasts'!$D$2535=$B163,Podcasts!$E$10:'Podcasts'!$E$2535),COLUMN(J126)))</f>
        <v/>
      </c>
      <c r="AH163" s="401" t="str">
        <f t="array" ref="AH163">IF(AG163="","",INDEX(Podcasts!$F$10:'Podcasts'!$F$2535,MATCH(AG163&amp;$B163,Podcasts!$E$10:'Podcasts'!$E$2535&amp;Podcasts!$D$10:'Podcasts'!$D$2535,0)))</f>
        <v/>
      </c>
      <c r="AI163" s="406" t="str">
        <f t="array" ref="AI163">IF(AJ163="","",INDEX(Podcasts!$J$10:'Podcasts'!$J$2535,MATCH(AJ163&amp;$B163,Podcasts!$E$10:'Podcasts'!$E$2535&amp;Podcasts!$D$10:'Podcasts'!$D$2535,0)))</f>
        <v/>
      </c>
      <c r="AJ163" s="400" t="str">
        <f t="array" ref="AJ163">IF(COUNTIF(Podcasts!$D$10:'Podcasts'!$D$2535,$B163)&lt;COLUMN(K126),"",SMALL(IF(Podcasts!$D$10:'Podcasts'!$D$2535=$B163,Podcasts!$E$10:'Podcasts'!$E$2535),COLUMN(K126)))</f>
        <v/>
      </c>
      <c r="AK163" s="401" t="str">
        <f t="array" ref="AK163">IF(AJ163="","",INDEX(Podcasts!$F$10:'Podcasts'!$F$2535,MATCH(AJ163&amp;$B163,Podcasts!$E$10:'Podcasts'!$E$2535&amp;Podcasts!$D$10:'Podcasts'!$D$2535,0)))</f>
        <v/>
      </c>
      <c r="AL163" s="406" t="str">
        <f t="array" ref="AL163">IF(AM163="","",INDEX(Podcasts!$J$10:'Podcasts'!$J$2535,MATCH(AM163&amp;$B163,Podcasts!$E$10:'Podcasts'!$E$2535&amp;Podcasts!$D$10:'Podcasts'!$D$2535,0)))</f>
        <v/>
      </c>
      <c r="AM163" s="400" t="str">
        <f t="array" ref="AM163">IF(COUNTIF(Podcasts!$D$10:'Podcasts'!$D$2535,$B163)&lt;COLUMN(L126),"",SMALL(IF(Podcasts!$D$10:'Podcasts'!$D$2535=$B163,Podcasts!$E$10:'Podcasts'!$E$2535),COLUMN(L126)))</f>
        <v/>
      </c>
      <c r="AN163" s="401" t="str">
        <f t="array" ref="AN163">IF(AM163="","",INDEX(Podcasts!$F$10:'Podcasts'!$F$2535,MATCH(AM163&amp;$B163,Podcasts!$E$10:'Podcasts'!$E$2535&amp;Podcasts!$D$10:'Podcasts'!$D$2535,0)))</f>
        <v/>
      </c>
      <c r="AO163" s="402"/>
      <c r="AP163" s="119"/>
      <c r="AQ163" s="117">
        <f t="array" aca="1" ref="AQ163" ca="1">IFERROR(SMALL(IF(COUNTIF(Podcasts!$D$10:'Podcasts'!$D$107,ROW(INDIRECT("1:"&amp;K$2)))=0,ROW(INDIRECT("1:"&amp;K$2))),ROW($A120)),"")</f>
        <v>156</v>
      </c>
      <c r="AR163" s="117">
        <f t="array" aca="1" ref="AR163" ca="1">IFERROR(SMALL(IF(COUNTIF(Podcasts!$D$113:'Podcasts'!$D$238,ROW(INDIRECT("1:"&amp;K$2)))=0,ROW(INDIRECT("1:"&amp;K$2))),ROW($A120)),"")</f>
        <v>120</v>
      </c>
      <c r="AS163" s="117">
        <f t="array" aca="1" ref="AS163" ca="1">IFERROR(SMALL(IF(COUNTIF(Podcasts!$D$244:'Podcasts'!$D$299,ROW(INDIRECT("1:"&amp;K$2)))=0,ROW(INDIRECT("1:"&amp;K$2))),ROW($A120)),"")</f>
        <v>139</v>
      </c>
      <c r="AT163" s="117"/>
      <c r="AU163" s="117">
        <f t="array" aca="1" ref="AU163" ca="1">IFERROR(SMALL(IF(COUNTIF(Podcasts!$D$479:'Podcasts'!$D$488,ROW(INDIRECT("1:"&amp;K$2)))=0,ROW(INDIRECT("1:"&amp;K$2))),ROW($A120)),"")</f>
        <v>122</v>
      </c>
      <c r="AV163" s="117">
        <f t="array" aca="1" ref="AV163" ca="1">IFERROR(SMALL(IF(COUNTIF(Podcasts!$D$494:'Podcasts'!$D$518,ROW(INDIRECT("1:"&amp;K$2)))=0,ROW(INDIRECT("1:"&amp;K$2))),ROW($A120)),"")</f>
        <v>141</v>
      </c>
      <c r="AW163" s="117">
        <f t="array" aca="1" ref="AW163" ca="1">IFERROR(SMALL(IF(COUNTIF(Podcasts!$D$524:'Podcasts'!$D$532,ROW(INDIRECT("1:"&amp;K$2)))=0,ROW(INDIRECT("1:"&amp;K$2))),ROW($A120)),"")</f>
        <v>121</v>
      </c>
      <c r="AX163" s="117"/>
      <c r="AY163" s="117">
        <f t="array" aca="1" ref="AY163" ca="1">IFERROR(SMALL(IF(COUNTIF(Podcasts!$D$915:'Podcasts'!$D$981,ROW(INDIRECT("1:"&amp;K$2)))=0,ROW(INDIRECT("1:"&amp;K$2))),ROW($A120)),"")</f>
        <v>172</v>
      </c>
      <c r="AZ163" s="445"/>
      <c r="BA163" s="117">
        <f t="array" aca="1" ref="BA163" ca="1">IFERROR(SMALL(IF(COUNTIF(Podcasts!$D$1001:'Podcasts'!$D$1251,ROW(INDIRECT("1:"&amp;K$2)))=0,ROW(INDIRECT("1:"&amp;K$2))),ROW($A120)),"")</f>
        <v>169</v>
      </c>
      <c r="BB163" s="117">
        <f t="array" aca="1" ref="BB163" ca="1">IFERROR(SMALL(IF(COUNTIF(Podcasts!$D$1257:'Podcasts'!$D$1267,ROW(INDIRECT("1:"&amp;K$2)))=0,ROW(INDIRECT("1:"&amp;K$2))),ROW($A120)),"")</f>
        <v>125</v>
      </c>
      <c r="BC163" s="117">
        <f t="array" aca="1" ref="BC163" ca="1">IFERROR(SMALL(IF(COUNTIF(Podcasts!$D$1273:'Podcasts'!$D$1283,ROW(INDIRECT("1:"&amp;K$2)))=0,ROW(INDIRECT("1:"&amp;K$2))),ROW($A120)),"")</f>
        <v>124</v>
      </c>
      <c r="BD163" s="117">
        <f t="array" aca="1" ref="BD163" ca="1">IFERROR(SMALL(IF(COUNTIF(Podcasts!$D$1289:'Podcasts'!$D$1295,ROW(INDIRECT("1:"&amp;K$2)))=0,ROW(INDIRECT("1:"&amp;K$2))),ROW($A120)),"")</f>
        <v>125</v>
      </c>
      <c r="BE163" s="117">
        <f t="array" aca="1" ref="BE163" ca="1">IFERROR(SMALL(IF(COUNTIF(Podcasts!$D$1301:'Podcasts'!$D$1356,ROW(INDIRECT("1:"&amp;K$2)))=0,ROW(INDIRECT("1:"&amp;K$2))),ROW($A120)),"")</f>
        <v>167</v>
      </c>
      <c r="BF163" s="117">
        <f t="array" aca="1" ref="BF163" ca="1">IFERROR(SMALL(IF(COUNTIF(Podcasts!$D$1362:'Podcasts'!$D$1364,ROW(INDIRECT("1:"&amp;K$2)))=0,ROW(INDIRECT("1:"&amp;K$2))),ROW($A120)),"")</f>
        <v>123</v>
      </c>
      <c r="BG163" s="202">
        <f t="array" aca="1" ref="BG163" ca="1">IFERROR(SMALL(IF(COUNTIF(Podcasts!$D$1370:'Podcasts'!$D$1419,ROW(INDIRECT("1:"&amp;K$2)))=0,ROW(INDIRECT("1:"&amp;K$2))),ROW($A120)),"")</f>
        <v>151</v>
      </c>
      <c r="BH163" s="202">
        <f t="array" aca="1" ref="BH163" ca="1">IFERROR(SMALL(IF(COUNTIF(Podcasts!$D$1425:'Podcasts'!$D$1446,ROW(INDIRECT("1:"&amp;K$2)))=0,ROW(INDIRECT("1:"&amp;K$2))),ROW($A120)),"")</f>
        <v>130</v>
      </c>
      <c r="BI163" s="202">
        <f t="array" aca="1" ref="BI163" ca="1">IFERROR(SMALL(IF(COUNTIF(Podcasts!$D$1452:'Podcasts'!$D$1574,ROW(INDIRECT("1:"&amp;K$2)))=0,ROW(INDIRECT("1:"&amp;K$2))),ROW($A120)),"")</f>
        <v>193</v>
      </c>
      <c r="BJ163" s="202">
        <f t="array" aca="1" ref="BJ163" ca="1">IFERROR(SMALL(IF(COUNTIF(Podcasts!$D$1580:'Podcasts'!$D$1705,ROW(INDIRECT("1:"&amp;K$2)))=0,ROW(INDIRECT("1:"&amp;K$2))),ROW($A120)),"")</f>
        <v>196</v>
      </c>
      <c r="BK163" s="202">
        <f t="array" aca="1" ref="BK163" ca="1">IFERROR(SMALL(IF(COUNTIF(Podcasts!$D$1711:'Podcasts'!$D$1833,ROW(INDIRECT("1:"&amp;K$2)))=0,ROW(INDIRECT("1:"&amp;K$2))),ROW($A120)),"")</f>
        <v>189</v>
      </c>
      <c r="BL163" s="202">
        <f t="array" aca="1" ref="BL163" ca="1">IFERROR(SMALL(IF(COUNTIF(Podcasts!$D$1839:'Podcasts'!$D$1855,ROW(INDIRECT("1:"&amp;K$2)))=0,ROW(INDIRECT("1:"&amp;K$2))),ROW($A120)),"")</f>
        <v>129</v>
      </c>
      <c r="BM163" s="567">
        <f t="array" aca="1" ref="BM163" ca="1">IFERROR(SMALL(IF(COUNTIF(Podcasts!$D$1861:'Podcasts'!$D$1994,ROW(INDIRECT("1:"&amp;K$2)))=0,ROW(INDIRECT("1:"&amp;K$2))),ROW($A120)),"")</f>
        <v>165</v>
      </c>
      <c r="BN163" s="567">
        <f t="array" aca="1" ref="BN163" ca="1">IFERROR(SMALL(IF(COUNTIF(Podcasts!$D$2000:'Podcasts'!$D$2057,ROW(INDIRECT("1:"&amp;K$2)))=0,ROW(INDIRECT("1:"&amp;K$2))),ROW($A120)),"")</f>
        <v>175</v>
      </c>
      <c r="BO163" s="567">
        <f t="array" aca="1" ref="BO163" ca="1">IFERROR(SMALL(IF(COUNTIF(Podcasts!$D$2063:'Podcasts'!$D$2071,ROW(INDIRECT("1:"&amp;K$2)))=0,ROW(INDIRECT("1:"&amp;K$2))),ROW($A120)),"")</f>
        <v>127</v>
      </c>
      <c r="BP163" s="202">
        <f t="array" aca="1" ref="BP163" ca="1">IFERROR(SMALL(IF(COUNTIF(Podcasts!$D$2077:'Podcasts'!$D$2092,ROW(INDIRECT("1:"&amp;K$2)))=0,ROW(INDIRECT("1:"&amp;K$2))),ROW($A120)),"")</f>
        <v>131</v>
      </c>
      <c r="BQ163" s="741">
        <f t="array" aca="1" ref="BQ163" ca="1">IFERROR(SMALL(IF(COUNTIF(Podcasts!$D$2098:'Podcasts'!$D$2114,ROW(INDIRECT("1:"&amp;K$2)))=0,ROW(INDIRECT("1:"&amp;K$2))),ROW($A120)),"")</f>
        <v>130</v>
      </c>
      <c r="BR163" s="744">
        <f t="array" aca="1" ref="BR163" ca="1">IFERROR(SMALL(IF(COUNTIF(Podcasts!$D$2120:'Podcasts'!$D$2124,ROW(INDIRECT("1:"&amp;K$2)))=0,ROW(INDIRECT("1:"&amp;K$2))),ROW($A120)),"")</f>
        <v>122</v>
      </c>
      <c r="BS163" s="28"/>
    </row>
    <row r="164" spans="1:71" outlineLevel="1">
      <c r="A164" s="28"/>
      <c r="B164" s="161">
        <v>121</v>
      </c>
      <c r="C164" s="161">
        <f>COUNTIF(Podcasts!$D$10:'Podcasts'!$D$2535,B164)</f>
        <v>3</v>
      </c>
      <c r="D164" s="158" t="s">
        <v>1148</v>
      </c>
      <c r="E164" s="156" t="str">
        <f t="array" ref="E164">IF(F164="","",INDEX(Podcasts!$J$10:'Podcasts'!$J$2535,MATCH(F164&amp;$B164,Podcasts!$E$10:'Podcasts'!$E$2535&amp;Podcasts!$D$10:'Podcasts'!$D$2535,0)))</f>
        <v>Fürst</v>
      </c>
      <c r="F164" s="131">
        <f t="array" ref="F164">IF(COUNTIF(Podcasts!$D$10:'Podcasts'!$D$2535,$B164)&lt;COLUMN(A127),"",SMALL(IF(Podcasts!$D$10:'Podcasts'!$D$2535=$B164,Podcasts!$E$10:'Podcasts'!$E$2535),COLUMN(A127)))</f>
        <v>41745</v>
      </c>
      <c r="G164" s="132">
        <f t="array" ref="G164">IF(F164="","",INDEX(Podcasts!$F$10:'Podcasts'!$F$2535,MATCH(F164&amp;$B164,Podcasts!$E$10:'Podcasts'!$E$2535&amp;Podcasts!$D$10:'Podcasts'!$D$2535,0)))</f>
        <v>5.324074074074074E-3</v>
      </c>
      <c r="H164" s="136" t="str">
        <f t="array" ref="H164">IF(I164="","",INDEX(Podcasts!$J$10:'Podcasts'!$J$2535,MATCH(I164&amp;$B164,Podcasts!$E$10:'Podcasts'!$E$2535&amp;Podcasts!$D$10:'Podcasts'!$D$2535,0)))</f>
        <v>SSP</v>
      </c>
      <c r="I164" s="133">
        <f t="array" ref="I164">IF(COUNTIF(Podcasts!$D$10:'Podcasts'!$D$2535,$B164)&lt;COLUMN(B127),"",SMALL(IF(Podcasts!$D$10:'Podcasts'!$D$2535=$B164,Podcasts!$E$10:'Podcasts'!$E$2535),COLUMN(B127)))</f>
        <v>43940</v>
      </c>
      <c r="J164" s="132">
        <f t="array" ref="J164">IF(I164="","",INDEX(Podcasts!$F$10:'Podcasts'!$F$2535,MATCH(I164&amp;$B164,Podcasts!$E$10:'Podcasts'!$E$2535&amp;Podcasts!$D$10:'Podcasts'!$D$2535,0)))</f>
        <v>6.7905092592592586E-2</v>
      </c>
      <c r="K164" s="136" t="str">
        <f t="array" ref="K164">IF(L164="","",INDEX(Podcasts!$J$10:'Podcasts'!$J$2535,MATCH(L164&amp;$B164,Podcasts!$E$10:'Podcasts'!$E$2535&amp;Podcasts!$D$10:'Podcasts'!$D$2535,0)))</f>
        <v>Kuchen</v>
      </c>
      <c r="L164" s="133">
        <f t="array" ref="L164">IF(COUNTIF(Podcasts!$D$10:'Podcasts'!$D$2535,$B164)&lt;COLUMN(C127),"",SMALL(IF(Podcasts!$D$10:'Podcasts'!$D$2535=$B164,Podcasts!$E$10:'Podcasts'!$E$2535),COLUMN(C127)))</f>
        <v>44493</v>
      </c>
      <c r="M164" s="132">
        <f t="array" ref="M164">IF(L164="","",INDEX(Podcasts!$F$10:'Podcasts'!$F$2535,MATCH(L164&amp;$B164,Podcasts!$E$10:'Podcasts'!$E$2535&amp;Podcasts!$D$10:'Podcasts'!$D$2535,0)))</f>
        <v>4.9027777777777781E-2</v>
      </c>
      <c r="N164" s="136" t="str">
        <f t="array" ref="N164">IF(O164="","",INDEX(Podcasts!$J$10:'Podcasts'!$J$2535,MATCH(O164&amp;$B164,Podcasts!$E$10:'Podcasts'!$E$2535&amp;Podcasts!$D$10:'Podcasts'!$D$2535,0)))</f>
        <v/>
      </c>
      <c r="O164" s="133" t="str">
        <f t="array" ref="O164">IF(COUNTIF(Podcasts!$D$10:'Podcasts'!$D$2535,$B164)&lt;COLUMN(D127),"",SMALL(IF(Podcasts!$D$10:'Podcasts'!$D$2535=$B164,Podcasts!$E$10:'Podcasts'!$E$2535),COLUMN(D127)))</f>
        <v/>
      </c>
      <c r="P164" s="132" t="str">
        <f t="array" ref="P164">IF(O164="","",INDEX(Podcasts!$F$10:'Podcasts'!$F$2535,MATCH(O164&amp;$B164,Podcasts!$E$10:'Podcasts'!$E$2535&amp;Podcasts!$D$10:'Podcasts'!$D$2535,0)))</f>
        <v/>
      </c>
      <c r="Q164" s="136" t="str">
        <f t="array" ref="Q164">IF(R164="","",INDEX(Podcasts!$J$10:'Podcasts'!$J$2535,MATCH(R164&amp;$B164,Podcasts!$E$10:'Podcasts'!$E$2535&amp;Podcasts!$D$10:'Podcasts'!$D$2535,0)))</f>
        <v/>
      </c>
      <c r="R164" s="133" t="str">
        <f t="array" ref="R164">IF(COUNTIF(Podcasts!$D$10:'Podcasts'!$D$2535,$B164)&lt;COLUMN(E127),"",SMALL(IF(Podcasts!$D$10:'Podcasts'!$D$2535=$B164,Podcasts!$E$10:'Podcasts'!$E$2535),COLUMN(E127)))</f>
        <v/>
      </c>
      <c r="S164" s="132" t="str">
        <f t="array" ref="S164">IF(R164="","",INDEX(Podcasts!$F$10:'Podcasts'!$F$2535,MATCH(R164&amp;$B164,Podcasts!$E$10:'Podcasts'!$E$2535&amp;Podcasts!$D$10:'Podcasts'!$D$2535,0)))</f>
        <v/>
      </c>
      <c r="T164" s="136" t="str">
        <f t="array" ref="T164">IF(U164="","",INDEX(Podcasts!$J$10:'Podcasts'!$J$2535,MATCH(U164&amp;$B164,Podcasts!$E$10:'Podcasts'!$E$2535&amp;Podcasts!$D$10:'Podcasts'!$D$2535,0)))</f>
        <v/>
      </c>
      <c r="U164" s="133" t="str">
        <f t="array" ref="U164">IF(COUNTIF(Podcasts!$D$10:'Podcasts'!$D$2535,$B164)&lt;COLUMN(F127),"",SMALL(IF(Podcasts!$D$10:'Podcasts'!$D$2535=$B164,Podcasts!$E$10:'Podcasts'!$E$2535),COLUMN(F127)))</f>
        <v/>
      </c>
      <c r="V164" s="132" t="str">
        <f t="array" ref="V164">IF(U164="","",INDEX(Podcasts!$F$10:'Podcasts'!$F$2535,MATCH(U164&amp;$B164,Podcasts!$E$10:'Podcasts'!$E$2535&amp;Podcasts!$D$10:'Podcasts'!$D$2535,0)))</f>
        <v/>
      </c>
      <c r="W164" s="136" t="str">
        <f t="array" ref="W164">IF(X164="","",INDEX(Podcasts!$J$10:'Podcasts'!$J$2535,MATCH(X164&amp;$B164,Podcasts!$E$10:'Podcasts'!$E$2535&amp;Podcasts!$D$10:'Podcasts'!$D$2535,0)))</f>
        <v/>
      </c>
      <c r="X164" s="133" t="str">
        <f t="array" ref="X164">IF(COUNTIF(Podcasts!$D$10:'Podcasts'!$D$2535,$B164)&lt;COLUMN(G127),"",SMALL(IF(Podcasts!$D$10:'Podcasts'!$D$2535=$B164,Podcasts!$E$10:'Podcasts'!$E$2535),COLUMN(G127)))</f>
        <v/>
      </c>
      <c r="Y164" s="132" t="str">
        <f t="array" ref="Y164">IF(X164="","",INDEX(Podcasts!$F$10:'Podcasts'!$F$2535,MATCH(X164&amp;$B164,Podcasts!$E$10:'Podcasts'!$E$2535&amp;Podcasts!$D$10:'Podcasts'!$D$2535,0)))</f>
        <v/>
      </c>
      <c r="Z164" s="136" t="str">
        <f t="array" ref="Z164">IF(AA164="","",INDEX(Podcasts!$J$10:'Podcasts'!$J$2535,MATCH(AA164&amp;$B164,Podcasts!$E$10:'Podcasts'!$E$2535&amp;Podcasts!$D$10:'Podcasts'!$D$2535,0)))</f>
        <v/>
      </c>
      <c r="AA164" s="134" t="str">
        <f t="array" ref="AA164">IF(COUNTIF(Podcasts!$D$10:'Podcasts'!$D$2535,$B164)&lt;COLUMN(H127),"",SMALL(IF(Podcasts!$D$10:'Podcasts'!$D$2535=$B164,Podcasts!$E$10:'Podcasts'!$E$2535),COLUMN(H127)))</f>
        <v/>
      </c>
      <c r="AB164" s="404" t="str">
        <f t="array" ref="AB164">IF(AA164="","",INDEX(Podcasts!$F$10:'Podcasts'!$F$2535,MATCH(AA164&amp;$B164,Podcasts!$E$10:'Podcasts'!$E$2535&amp;Podcasts!$D$10:'Podcasts'!$D$2535,0)))</f>
        <v/>
      </c>
      <c r="AC164" s="406" t="str">
        <f t="array" ref="AC164">IF(AD164="","",INDEX(Podcasts!$J$10:'Podcasts'!$J$2535,MATCH(AD164&amp;$B164,Podcasts!$E$10:'Podcasts'!$E$2535&amp;Podcasts!$D$10:'Podcasts'!$D$2535,0)))</f>
        <v/>
      </c>
      <c r="AD164" s="400" t="str">
        <f t="array" ref="AD164">IF(COUNTIF(Podcasts!$D$10:'Podcasts'!$D$2535,$B164)&lt;COLUMN(I127),"",SMALL(IF(Podcasts!$D$10:'Podcasts'!$D$2535=$B164,Podcasts!$E$10:'Podcasts'!$E$2535),COLUMN(I127)))</f>
        <v/>
      </c>
      <c r="AE164" s="401" t="str">
        <f t="array" ref="AE164">IF(AD164="","",INDEX(Podcasts!$F$10:'Podcasts'!$F$2535,MATCH(AD164&amp;$B164,Podcasts!$E$10:'Podcasts'!$E$2535&amp;Podcasts!$D$10:'Podcasts'!$D$2535,0)))</f>
        <v/>
      </c>
      <c r="AF164" s="406" t="str">
        <f t="array" ref="AF164">IF(AG164="","",INDEX(Podcasts!$J$10:'Podcasts'!$J$2535,MATCH(AG164&amp;$B164,Podcasts!$E$10:'Podcasts'!$E$2535&amp;Podcasts!$D$10:'Podcasts'!$D$2535,0)))</f>
        <v/>
      </c>
      <c r="AG164" s="400" t="str">
        <f t="array" ref="AG164">IF(COUNTIF(Podcasts!$D$10:'Podcasts'!$D$2535,$B164)&lt;COLUMN(J127),"",SMALL(IF(Podcasts!$D$10:'Podcasts'!$D$2535=$B164,Podcasts!$E$10:'Podcasts'!$E$2535),COLUMN(J127)))</f>
        <v/>
      </c>
      <c r="AH164" s="401" t="str">
        <f t="array" ref="AH164">IF(AG164="","",INDEX(Podcasts!$F$10:'Podcasts'!$F$2535,MATCH(AG164&amp;$B164,Podcasts!$E$10:'Podcasts'!$E$2535&amp;Podcasts!$D$10:'Podcasts'!$D$2535,0)))</f>
        <v/>
      </c>
      <c r="AI164" s="406" t="str">
        <f t="array" ref="AI164">IF(AJ164="","",INDEX(Podcasts!$J$10:'Podcasts'!$J$2535,MATCH(AJ164&amp;$B164,Podcasts!$E$10:'Podcasts'!$E$2535&amp;Podcasts!$D$10:'Podcasts'!$D$2535,0)))</f>
        <v/>
      </c>
      <c r="AJ164" s="400" t="str">
        <f t="array" ref="AJ164">IF(COUNTIF(Podcasts!$D$10:'Podcasts'!$D$2535,$B164)&lt;COLUMN(K127),"",SMALL(IF(Podcasts!$D$10:'Podcasts'!$D$2535=$B164,Podcasts!$E$10:'Podcasts'!$E$2535),COLUMN(K127)))</f>
        <v/>
      </c>
      <c r="AK164" s="401" t="str">
        <f t="array" ref="AK164">IF(AJ164="","",INDEX(Podcasts!$F$10:'Podcasts'!$F$2535,MATCH(AJ164&amp;$B164,Podcasts!$E$10:'Podcasts'!$E$2535&amp;Podcasts!$D$10:'Podcasts'!$D$2535,0)))</f>
        <v/>
      </c>
      <c r="AL164" s="406" t="str">
        <f t="array" ref="AL164">IF(AM164="","",INDEX(Podcasts!$J$10:'Podcasts'!$J$2535,MATCH(AM164&amp;$B164,Podcasts!$E$10:'Podcasts'!$E$2535&amp;Podcasts!$D$10:'Podcasts'!$D$2535,0)))</f>
        <v/>
      </c>
      <c r="AM164" s="400" t="str">
        <f t="array" ref="AM164">IF(COUNTIF(Podcasts!$D$10:'Podcasts'!$D$2535,$B164)&lt;COLUMN(L127),"",SMALL(IF(Podcasts!$D$10:'Podcasts'!$D$2535=$B164,Podcasts!$E$10:'Podcasts'!$E$2535),COLUMN(L127)))</f>
        <v/>
      </c>
      <c r="AN164" s="401" t="str">
        <f t="array" ref="AN164">IF(AM164="","",INDEX(Podcasts!$F$10:'Podcasts'!$F$2535,MATCH(AM164&amp;$B164,Podcasts!$E$10:'Podcasts'!$E$2535&amp;Podcasts!$D$10:'Podcasts'!$D$2535,0)))</f>
        <v/>
      </c>
      <c r="AO164" s="402"/>
      <c r="AP164" s="119"/>
      <c r="AQ164" s="117">
        <f t="array" aca="1" ref="AQ164" ca="1">IFERROR(SMALL(IF(COUNTIF(Podcasts!$D$10:'Podcasts'!$D$107,ROW(INDIRECT("1:"&amp;K$2)))=0,ROW(INDIRECT("1:"&amp;K$2))),ROW($A121)),"")</f>
        <v>157</v>
      </c>
      <c r="AR164" s="117">
        <f t="array" aca="1" ref="AR164" ca="1">IFERROR(SMALL(IF(COUNTIF(Podcasts!$D$113:'Podcasts'!$D$238,ROW(INDIRECT("1:"&amp;K$2)))=0,ROW(INDIRECT("1:"&amp;K$2))),ROW($A121)),"")</f>
        <v>121</v>
      </c>
      <c r="AS164" s="117">
        <f t="array" aca="1" ref="AS164" ca="1">IFERROR(SMALL(IF(COUNTIF(Podcasts!$D$244:'Podcasts'!$D$299,ROW(INDIRECT("1:"&amp;K$2)))=0,ROW(INDIRECT("1:"&amp;K$2))),ROW($A121)),"")</f>
        <v>140</v>
      </c>
      <c r="AT164" s="117"/>
      <c r="AU164" s="117">
        <f t="array" aca="1" ref="AU164" ca="1">IFERROR(SMALL(IF(COUNTIF(Podcasts!$D$479:'Podcasts'!$D$488,ROW(INDIRECT("1:"&amp;K$2)))=0,ROW(INDIRECT("1:"&amp;K$2))),ROW($A121)),"")</f>
        <v>123</v>
      </c>
      <c r="AV164" s="117">
        <f t="array" aca="1" ref="AV164" ca="1">IFERROR(SMALL(IF(COUNTIF(Podcasts!$D$494:'Podcasts'!$D$518,ROW(INDIRECT("1:"&amp;K$2)))=0,ROW(INDIRECT("1:"&amp;K$2))),ROW($A121)),"")</f>
        <v>142</v>
      </c>
      <c r="AW164" s="117">
        <f t="array" aca="1" ref="AW164" ca="1">IFERROR(SMALL(IF(COUNTIF(Podcasts!$D$524:'Podcasts'!$D$532,ROW(INDIRECT("1:"&amp;K$2)))=0,ROW(INDIRECT("1:"&amp;K$2))),ROW($A121)),"")</f>
        <v>122</v>
      </c>
      <c r="AX164" s="117"/>
      <c r="AY164" s="117">
        <f t="array" aca="1" ref="AY164" ca="1">IFERROR(SMALL(IF(COUNTIF(Podcasts!$D$915:'Podcasts'!$D$981,ROW(INDIRECT("1:"&amp;K$2)))=0,ROW(INDIRECT("1:"&amp;K$2))),ROW($A121)),"")</f>
        <v>174</v>
      </c>
      <c r="AZ164" s="445"/>
      <c r="BA164" s="117">
        <f t="array" aca="1" ref="BA164" ca="1">IFERROR(SMALL(IF(COUNTIF(Podcasts!$D$1001:'Podcasts'!$D$1251,ROW(INDIRECT("1:"&amp;K$2)))=0,ROW(INDIRECT("1:"&amp;K$2))),ROW($A121)),"")</f>
        <v>170</v>
      </c>
      <c r="BB164" s="117">
        <f t="array" aca="1" ref="BB164" ca="1">IFERROR(SMALL(IF(COUNTIF(Podcasts!$D$1257:'Podcasts'!$D$1267,ROW(INDIRECT("1:"&amp;K$2)))=0,ROW(INDIRECT("1:"&amp;K$2))),ROW($A121)),"")</f>
        <v>126</v>
      </c>
      <c r="BC164" s="117">
        <f t="array" aca="1" ref="BC164" ca="1">IFERROR(SMALL(IF(COUNTIF(Podcasts!$D$1273:'Podcasts'!$D$1283,ROW(INDIRECT("1:"&amp;K$2)))=0,ROW(INDIRECT("1:"&amp;K$2))),ROW($A121)),"")</f>
        <v>125</v>
      </c>
      <c r="BD164" s="117">
        <f t="array" aca="1" ref="BD164" ca="1">IFERROR(SMALL(IF(COUNTIF(Podcasts!$D$1289:'Podcasts'!$D$1295,ROW(INDIRECT("1:"&amp;K$2)))=0,ROW(INDIRECT("1:"&amp;K$2))),ROW($A121)),"")</f>
        <v>126</v>
      </c>
      <c r="BE164" s="117">
        <f t="array" aca="1" ref="BE164" ca="1">IFERROR(SMALL(IF(COUNTIF(Podcasts!$D$1301:'Podcasts'!$D$1356,ROW(INDIRECT("1:"&amp;K$2)))=0,ROW(INDIRECT("1:"&amp;K$2))),ROW($A121)),"")</f>
        <v>168</v>
      </c>
      <c r="BF164" s="117">
        <f t="array" aca="1" ref="BF164" ca="1">IFERROR(SMALL(IF(COUNTIF(Podcasts!$D$1362:'Podcasts'!$D$1364,ROW(INDIRECT("1:"&amp;K$2)))=0,ROW(INDIRECT("1:"&amp;K$2))),ROW($A121)),"")</f>
        <v>124</v>
      </c>
      <c r="BG164" s="202">
        <f t="array" aca="1" ref="BG164" ca="1">IFERROR(SMALL(IF(COUNTIF(Podcasts!$D$1370:'Podcasts'!$D$1419,ROW(INDIRECT("1:"&amp;K$2)))=0,ROW(INDIRECT("1:"&amp;K$2))),ROW($A121)),"")</f>
        <v>152</v>
      </c>
      <c r="BH164" s="202">
        <f t="array" aca="1" ref="BH164" ca="1">IFERROR(SMALL(IF(COUNTIF(Podcasts!$D$1425:'Podcasts'!$D$1446,ROW(INDIRECT("1:"&amp;K$2)))=0,ROW(INDIRECT("1:"&amp;K$2))),ROW($A121)),"")</f>
        <v>131</v>
      </c>
      <c r="BI164" s="202">
        <f t="array" aca="1" ref="BI164" ca="1">IFERROR(SMALL(IF(COUNTIF(Podcasts!$D$1452:'Podcasts'!$D$1574,ROW(INDIRECT("1:"&amp;K$2)))=0,ROW(INDIRECT("1:"&amp;K$2))),ROW($A121)),"")</f>
        <v>195</v>
      </c>
      <c r="BJ164" s="202">
        <f t="array" aca="1" ref="BJ164" ca="1">IFERROR(SMALL(IF(COUNTIF(Podcasts!$D$1580:'Podcasts'!$D$1705,ROW(INDIRECT("1:"&amp;K$2)))=0,ROW(INDIRECT("1:"&amp;K$2))),ROW($A121)),"")</f>
        <v>197</v>
      </c>
      <c r="BK164" s="202">
        <f t="array" aca="1" ref="BK164" ca="1">IFERROR(SMALL(IF(COUNTIF(Podcasts!$D$1711:'Podcasts'!$D$1833,ROW(INDIRECT("1:"&amp;K$2)))=0,ROW(INDIRECT("1:"&amp;K$2))),ROW($A121)),"")</f>
        <v>190</v>
      </c>
      <c r="BL164" s="202">
        <f t="array" aca="1" ref="BL164" ca="1">IFERROR(SMALL(IF(COUNTIF(Podcasts!$D$1839:'Podcasts'!$D$1855,ROW(INDIRECT("1:"&amp;K$2)))=0,ROW(INDIRECT("1:"&amp;K$2))),ROW($A121)),"")</f>
        <v>130</v>
      </c>
      <c r="BM164" s="567">
        <f t="array" aca="1" ref="BM164" ca="1">IFERROR(SMALL(IF(COUNTIF(Podcasts!$D$1861:'Podcasts'!$D$1994,ROW(INDIRECT("1:"&amp;K$2)))=0,ROW(INDIRECT("1:"&amp;K$2))),ROW($A121)),"")</f>
        <v>166</v>
      </c>
      <c r="BN164" s="567">
        <f t="array" aca="1" ref="BN164" ca="1">IFERROR(SMALL(IF(COUNTIF(Podcasts!$D$2000:'Podcasts'!$D$2057,ROW(INDIRECT("1:"&amp;K$2)))=0,ROW(INDIRECT("1:"&amp;K$2))),ROW($A121)),"")</f>
        <v>176</v>
      </c>
      <c r="BO164" s="567">
        <f t="array" aca="1" ref="BO164" ca="1">IFERROR(SMALL(IF(COUNTIF(Podcasts!$D$2063:'Podcasts'!$D$2071,ROW(INDIRECT("1:"&amp;K$2)))=0,ROW(INDIRECT("1:"&amp;K$2))),ROW($A121)),"")</f>
        <v>128</v>
      </c>
      <c r="BP164" s="202">
        <f t="array" aca="1" ref="BP164" ca="1">IFERROR(SMALL(IF(COUNTIF(Podcasts!$D$2077:'Podcasts'!$D$2092,ROW(INDIRECT("1:"&amp;K$2)))=0,ROW(INDIRECT("1:"&amp;K$2))),ROW($A121)),"")</f>
        <v>132</v>
      </c>
      <c r="BQ164" s="741">
        <f t="array" aca="1" ref="BQ164" ca="1">IFERROR(SMALL(IF(COUNTIF(Podcasts!$D$2098:'Podcasts'!$D$2114,ROW(INDIRECT("1:"&amp;K$2)))=0,ROW(INDIRECT("1:"&amp;K$2))),ROW($A121)),"")</f>
        <v>132</v>
      </c>
      <c r="BR164" s="744">
        <f t="array" aca="1" ref="BR164" ca="1">IFERROR(SMALL(IF(COUNTIF(Podcasts!$D$2120:'Podcasts'!$D$2124,ROW(INDIRECT("1:"&amp;K$2)))=0,ROW(INDIRECT("1:"&amp;K$2))),ROW($A121)),"")</f>
        <v>123</v>
      </c>
      <c r="BS164" s="28"/>
    </row>
    <row r="165" spans="1:71" outlineLevel="1">
      <c r="A165" s="28"/>
      <c r="B165" s="161">
        <v>122</v>
      </c>
      <c r="C165" s="161">
        <f>COUNTIF(Podcasts!$D$10:'Podcasts'!$D$2535,B165)</f>
        <v>3</v>
      </c>
      <c r="D165" s="158" t="s">
        <v>1149</v>
      </c>
      <c r="E165" s="156" t="str">
        <f t="array" ref="E165">IF(F165="","",INDEX(Podcasts!$J$10:'Podcasts'!$J$2535,MATCH(F165&amp;$B165,Podcasts!$E$10:'Podcasts'!$E$2535&amp;Podcasts!$D$10:'Podcasts'!$D$2535,0)))</f>
        <v>Fürst</v>
      </c>
      <c r="F165" s="131">
        <f t="array" ref="F165">IF(COUNTIF(Podcasts!$D$10:'Podcasts'!$D$2535,$B165)&lt;COLUMN(A128),"",SMALL(IF(Podcasts!$D$10:'Podcasts'!$D$2535=$B165,Podcasts!$E$10:'Podcasts'!$E$2535),COLUMN(A128)))</f>
        <v>41917</v>
      </c>
      <c r="G165" s="132">
        <f t="array" ref="G165">IF(F165="","",INDEX(Podcasts!$F$10:'Podcasts'!$F$2535,MATCH(F165&amp;$B165,Podcasts!$E$10:'Podcasts'!$E$2535&amp;Podcasts!$D$10:'Podcasts'!$D$2535,0)))</f>
        <v>5.6712962962962923E-3</v>
      </c>
      <c r="H165" s="136" t="str">
        <f t="array" ref="H165">IF(I165="","",INDEX(Podcasts!$J$10:'Podcasts'!$J$2535,MATCH(I165&amp;$B165,Podcasts!$E$10:'Podcasts'!$E$2535&amp;Podcasts!$D$10:'Podcasts'!$D$2535,0)))</f>
        <v>SSP</v>
      </c>
      <c r="I165" s="133">
        <f t="array" ref="I165">IF(COUNTIF(Podcasts!$D$10:'Podcasts'!$D$2535,$B165)&lt;COLUMN(B128),"",SMALL(IF(Podcasts!$D$10:'Podcasts'!$D$2535=$B165,Podcasts!$E$10:'Podcasts'!$E$2535),COLUMN(B128)))</f>
        <v>44371</v>
      </c>
      <c r="J165" s="132">
        <f t="array" ref="J165">IF(I165="","",INDEX(Podcasts!$F$10:'Podcasts'!$F$2535,MATCH(I165&amp;$B165,Podcasts!$E$10:'Podcasts'!$E$2535&amp;Podcasts!$D$10:'Podcasts'!$D$2535,0)))</f>
        <v>8.3622685185185189E-2</v>
      </c>
      <c r="K165" s="136" t="str">
        <f t="array" ref="K165">IF(L165="","",INDEX(Podcasts!$J$10:'Podcasts'!$J$2535,MATCH(L165&amp;$B165,Podcasts!$E$10:'Podcasts'!$E$2535&amp;Podcasts!$D$10:'Podcasts'!$D$2535,0)))</f>
        <v>Zw3i</v>
      </c>
      <c r="L165" s="133">
        <f t="array" ref="L165">IF(COUNTIF(Podcasts!$D$10:'Podcasts'!$D$2535,$B165)&lt;COLUMN(C128),"",SMALL(IF(Podcasts!$D$10:'Podcasts'!$D$2535=$B165,Podcasts!$E$10:'Podcasts'!$E$2535),COLUMN(C128)))</f>
        <v>45268</v>
      </c>
      <c r="M165" s="132">
        <f t="array" ref="M165">IF(L165="","",INDEX(Podcasts!$F$10:'Podcasts'!$F$2535,MATCH(L165&amp;$B165,Podcasts!$E$10:'Podcasts'!$E$2535&amp;Podcasts!$D$10:'Podcasts'!$D$2535,0)))</f>
        <v>9.481481481481481E-2</v>
      </c>
      <c r="N165" s="136" t="str">
        <f t="array" ref="N165">IF(O165="","",INDEX(Podcasts!$J$10:'Podcasts'!$J$2535,MATCH(O165&amp;$B165,Podcasts!$E$10:'Podcasts'!$E$2535&amp;Podcasts!$D$10:'Podcasts'!$D$2535,0)))</f>
        <v/>
      </c>
      <c r="O165" s="133" t="str">
        <f t="array" ref="O165">IF(COUNTIF(Podcasts!$D$10:'Podcasts'!$D$2535,$B165)&lt;COLUMN(D128),"",SMALL(IF(Podcasts!$D$10:'Podcasts'!$D$2535=$B165,Podcasts!$E$10:'Podcasts'!$E$2535),COLUMN(D128)))</f>
        <v/>
      </c>
      <c r="P165" s="132" t="str">
        <f t="array" ref="P165">IF(O165="","",INDEX(Podcasts!$F$10:'Podcasts'!$F$2535,MATCH(O165&amp;$B165,Podcasts!$E$10:'Podcasts'!$E$2535&amp;Podcasts!$D$10:'Podcasts'!$D$2535,0)))</f>
        <v/>
      </c>
      <c r="Q165" s="136" t="str">
        <f t="array" ref="Q165">IF(R165="","",INDEX(Podcasts!$J$10:'Podcasts'!$J$2535,MATCH(R165&amp;$B165,Podcasts!$E$10:'Podcasts'!$E$2535&amp;Podcasts!$D$10:'Podcasts'!$D$2535,0)))</f>
        <v/>
      </c>
      <c r="R165" s="133" t="str">
        <f t="array" ref="R165">IF(COUNTIF(Podcasts!$D$10:'Podcasts'!$D$2535,$B165)&lt;COLUMN(E128),"",SMALL(IF(Podcasts!$D$10:'Podcasts'!$D$2535=$B165,Podcasts!$E$10:'Podcasts'!$E$2535),COLUMN(E128)))</f>
        <v/>
      </c>
      <c r="S165" s="132" t="str">
        <f t="array" ref="S165">IF(R165="","",INDEX(Podcasts!$F$10:'Podcasts'!$F$2535,MATCH(R165&amp;$B165,Podcasts!$E$10:'Podcasts'!$E$2535&amp;Podcasts!$D$10:'Podcasts'!$D$2535,0)))</f>
        <v/>
      </c>
      <c r="T165" s="136" t="str">
        <f t="array" ref="T165">IF(U165="","",INDEX(Podcasts!$J$10:'Podcasts'!$J$2535,MATCH(U165&amp;$B165,Podcasts!$E$10:'Podcasts'!$E$2535&amp;Podcasts!$D$10:'Podcasts'!$D$2535,0)))</f>
        <v/>
      </c>
      <c r="U165" s="133" t="str">
        <f t="array" ref="U165">IF(COUNTIF(Podcasts!$D$10:'Podcasts'!$D$2535,$B165)&lt;COLUMN(F128),"",SMALL(IF(Podcasts!$D$10:'Podcasts'!$D$2535=$B165,Podcasts!$E$10:'Podcasts'!$E$2535),COLUMN(F128)))</f>
        <v/>
      </c>
      <c r="V165" s="132" t="str">
        <f t="array" ref="V165">IF(U165="","",INDEX(Podcasts!$F$10:'Podcasts'!$F$2535,MATCH(U165&amp;$B165,Podcasts!$E$10:'Podcasts'!$E$2535&amp;Podcasts!$D$10:'Podcasts'!$D$2535,0)))</f>
        <v/>
      </c>
      <c r="W165" s="136" t="str">
        <f t="array" ref="W165">IF(X165="","",INDEX(Podcasts!$J$10:'Podcasts'!$J$2535,MATCH(X165&amp;$B165,Podcasts!$E$10:'Podcasts'!$E$2535&amp;Podcasts!$D$10:'Podcasts'!$D$2535,0)))</f>
        <v/>
      </c>
      <c r="X165" s="133" t="str">
        <f t="array" ref="X165">IF(COUNTIF(Podcasts!$D$10:'Podcasts'!$D$2535,$B165)&lt;COLUMN(G128),"",SMALL(IF(Podcasts!$D$10:'Podcasts'!$D$2535=$B165,Podcasts!$E$10:'Podcasts'!$E$2535),COLUMN(G128)))</f>
        <v/>
      </c>
      <c r="Y165" s="132" t="str">
        <f t="array" ref="Y165">IF(X165="","",INDEX(Podcasts!$F$10:'Podcasts'!$F$2535,MATCH(X165&amp;$B165,Podcasts!$E$10:'Podcasts'!$E$2535&amp;Podcasts!$D$10:'Podcasts'!$D$2535,0)))</f>
        <v/>
      </c>
      <c r="Z165" s="136" t="str">
        <f t="array" ref="Z165">IF(AA165="","",INDEX(Podcasts!$J$10:'Podcasts'!$J$2535,MATCH(AA165&amp;$B165,Podcasts!$E$10:'Podcasts'!$E$2535&amp;Podcasts!$D$10:'Podcasts'!$D$2535,0)))</f>
        <v/>
      </c>
      <c r="AA165" s="134" t="str">
        <f t="array" ref="AA165">IF(COUNTIF(Podcasts!$D$10:'Podcasts'!$D$2535,$B165)&lt;COLUMN(H128),"",SMALL(IF(Podcasts!$D$10:'Podcasts'!$D$2535=$B165,Podcasts!$E$10:'Podcasts'!$E$2535),COLUMN(H128)))</f>
        <v/>
      </c>
      <c r="AB165" s="404" t="str">
        <f t="array" ref="AB165">IF(AA165="","",INDEX(Podcasts!$F$10:'Podcasts'!$F$2535,MATCH(AA165&amp;$B165,Podcasts!$E$10:'Podcasts'!$E$2535&amp;Podcasts!$D$10:'Podcasts'!$D$2535,0)))</f>
        <v/>
      </c>
      <c r="AC165" s="406" t="str">
        <f t="array" ref="AC165">IF(AD165="","",INDEX(Podcasts!$J$10:'Podcasts'!$J$2535,MATCH(AD165&amp;$B165,Podcasts!$E$10:'Podcasts'!$E$2535&amp;Podcasts!$D$10:'Podcasts'!$D$2535,0)))</f>
        <v/>
      </c>
      <c r="AD165" s="400" t="str">
        <f t="array" ref="AD165">IF(COUNTIF(Podcasts!$D$10:'Podcasts'!$D$2535,$B165)&lt;COLUMN(I128),"",SMALL(IF(Podcasts!$D$10:'Podcasts'!$D$2535=$B165,Podcasts!$E$10:'Podcasts'!$E$2535),COLUMN(I128)))</f>
        <v/>
      </c>
      <c r="AE165" s="401" t="str">
        <f t="array" ref="AE165">IF(AD165="","",INDEX(Podcasts!$F$10:'Podcasts'!$F$2535,MATCH(AD165&amp;$B165,Podcasts!$E$10:'Podcasts'!$E$2535&amp;Podcasts!$D$10:'Podcasts'!$D$2535,0)))</f>
        <v/>
      </c>
      <c r="AF165" s="406" t="str">
        <f t="array" ref="AF165">IF(AG165="","",INDEX(Podcasts!$J$10:'Podcasts'!$J$2535,MATCH(AG165&amp;$B165,Podcasts!$E$10:'Podcasts'!$E$2535&amp;Podcasts!$D$10:'Podcasts'!$D$2535,0)))</f>
        <v/>
      </c>
      <c r="AG165" s="400" t="str">
        <f t="array" ref="AG165">IF(COUNTIF(Podcasts!$D$10:'Podcasts'!$D$2535,$B165)&lt;COLUMN(J128),"",SMALL(IF(Podcasts!$D$10:'Podcasts'!$D$2535=$B165,Podcasts!$E$10:'Podcasts'!$E$2535),COLUMN(J128)))</f>
        <v/>
      </c>
      <c r="AH165" s="401" t="str">
        <f t="array" ref="AH165">IF(AG165="","",INDEX(Podcasts!$F$10:'Podcasts'!$F$2535,MATCH(AG165&amp;$B165,Podcasts!$E$10:'Podcasts'!$E$2535&amp;Podcasts!$D$10:'Podcasts'!$D$2535,0)))</f>
        <v/>
      </c>
      <c r="AI165" s="406" t="str">
        <f t="array" ref="AI165">IF(AJ165="","",INDEX(Podcasts!$J$10:'Podcasts'!$J$2535,MATCH(AJ165&amp;$B165,Podcasts!$E$10:'Podcasts'!$E$2535&amp;Podcasts!$D$10:'Podcasts'!$D$2535,0)))</f>
        <v/>
      </c>
      <c r="AJ165" s="400" t="str">
        <f t="array" ref="AJ165">IF(COUNTIF(Podcasts!$D$10:'Podcasts'!$D$2535,$B165)&lt;COLUMN(K128),"",SMALL(IF(Podcasts!$D$10:'Podcasts'!$D$2535=$B165,Podcasts!$E$10:'Podcasts'!$E$2535),COLUMN(K128)))</f>
        <v/>
      </c>
      <c r="AK165" s="401" t="str">
        <f t="array" ref="AK165">IF(AJ165="","",INDEX(Podcasts!$F$10:'Podcasts'!$F$2535,MATCH(AJ165&amp;$B165,Podcasts!$E$10:'Podcasts'!$E$2535&amp;Podcasts!$D$10:'Podcasts'!$D$2535,0)))</f>
        <v/>
      </c>
      <c r="AL165" s="406" t="str">
        <f t="array" ref="AL165">IF(AM165="","",INDEX(Podcasts!$J$10:'Podcasts'!$J$2535,MATCH(AM165&amp;$B165,Podcasts!$E$10:'Podcasts'!$E$2535&amp;Podcasts!$D$10:'Podcasts'!$D$2535,0)))</f>
        <v/>
      </c>
      <c r="AM165" s="400" t="str">
        <f t="array" ref="AM165">IF(COUNTIF(Podcasts!$D$10:'Podcasts'!$D$2535,$B165)&lt;COLUMN(L128),"",SMALL(IF(Podcasts!$D$10:'Podcasts'!$D$2535=$B165,Podcasts!$E$10:'Podcasts'!$E$2535),COLUMN(L128)))</f>
        <v/>
      </c>
      <c r="AN165" s="401" t="str">
        <f t="array" ref="AN165">IF(AM165="","",INDEX(Podcasts!$F$10:'Podcasts'!$F$2535,MATCH(AM165&amp;$B165,Podcasts!$E$10:'Podcasts'!$E$2535&amp;Podcasts!$D$10:'Podcasts'!$D$2535,0)))</f>
        <v/>
      </c>
      <c r="AO165" s="402"/>
      <c r="AP165" s="119"/>
      <c r="AQ165" s="117">
        <f t="array" aca="1" ref="AQ165" ca="1">IFERROR(SMALL(IF(COUNTIF(Podcasts!$D$10:'Podcasts'!$D$107,ROW(INDIRECT("1:"&amp;K$2)))=0,ROW(INDIRECT("1:"&amp;K$2))),ROW($A122)),"")</f>
        <v>158</v>
      </c>
      <c r="AR165" s="117">
        <f t="array" aca="1" ref="AR165" ca="1">IFERROR(SMALL(IF(COUNTIF(Podcasts!$D$113:'Podcasts'!$D$238,ROW(INDIRECT("1:"&amp;K$2)))=0,ROW(INDIRECT("1:"&amp;K$2))),ROW($A122)),"")</f>
        <v>122</v>
      </c>
      <c r="AS165" s="117">
        <f t="array" aca="1" ref="AS165" ca="1">IFERROR(SMALL(IF(COUNTIF(Podcasts!$D$244:'Podcasts'!$D$299,ROW(INDIRECT("1:"&amp;K$2)))=0,ROW(INDIRECT("1:"&amp;K$2))),ROW($A122)),"")</f>
        <v>141</v>
      </c>
      <c r="AT165" s="117"/>
      <c r="AU165" s="117">
        <f t="array" aca="1" ref="AU165" ca="1">IFERROR(SMALL(IF(COUNTIF(Podcasts!$D$479:'Podcasts'!$D$488,ROW(INDIRECT("1:"&amp;K$2)))=0,ROW(INDIRECT("1:"&amp;K$2))),ROW($A122)),"")</f>
        <v>124</v>
      </c>
      <c r="AV165" s="117">
        <f t="array" aca="1" ref="AV165" ca="1">IFERROR(SMALL(IF(COUNTIF(Podcasts!$D$494:'Podcasts'!$D$518,ROW(INDIRECT("1:"&amp;K$2)))=0,ROW(INDIRECT("1:"&amp;K$2))),ROW($A122)),"")</f>
        <v>143</v>
      </c>
      <c r="AW165" s="117">
        <f t="array" aca="1" ref="AW165" ca="1">IFERROR(SMALL(IF(COUNTIF(Podcasts!$D$524:'Podcasts'!$D$532,ROW(INDIRECT("1:"&amp;K$2)))=0,ROW(INDIRECT("1:"&amp;K$2))),ROW($A122)),"")</f>
        <v>123</v>
      </c>
      <c r="AX165" s="117"/>
      <c r="AY165" s="117">
        <f t="array" aca="1" ref="AY165" ca="1">IFERROR(SMALL(IF(COUNTIF(Podcasts!$D$915:'Podcasts'!$D$981,ROW(INDIRECT("1:"&amp;K$2)))=0,ROW(INDIRECT("1:"&amp;K$2))),ROW($A122)),"")</f>
        <v>175</v>
      </c>
      <c r="AZ165" s="445"/>
      <c r="BA165" s="117">
        <f t="array" aca="1" ref="BA165" ca="1">IFERROR(SMALL(IF(COUNTIF(Podcasts!$D$1001:'Podcasts'!$D$1251,ROW(INDIRECT("1:"&amp;K$2)))=0,ROW(INDIRECT("1:"&amp;K$2))),ROW($A122)),"")</f>
        <v>171</v>
      </c>
      <c r="BB165" s="117">
        <f t="array" aca="1" ref="BB165" ca="1">IFERROR(SMALL(IF(COUNTIF(Podcasts!$D$1257:'Podcasts'!$D$1267,ROW(INDIRECT("1:"&amp;K$2)))=0,ROW(INDIRECT("1:"&amp;K$2))),ROW($A122)),"")</f>
        <v>127</v>
      </c>
      <c r="BC165" s="117">
        <f t="array" aca="1" ref="BC165" ca="1">IFERROR(SMALL(IF(COUNTIF(Podcasts!$D$1273:'Podcasts'!$D$1283,ROW(INDIRECT("1:"&amp;K$2)))=0,ROW(INDIRECT("1:"&amp;K$2))),ROW($A122)),"")</f>
        <v>126</v>
      </c>
      <c r="BD165" s="117">
        <f t="array" aca="1" ref="BD165" ca="1">IFERROR(SMALL(IF(COUNTIF(Podcasts!$D$1289:'Podcasts'!$D$1295,ROW(INDIRECT("1:"&amp;K$2)))=0,ROW(INDIRECT("1:"&amp;K$2))),ROW($A122)),"")</f>
        <v>127</v>
      </c>
      <c r="BE165" s="117">
        <f t="array" aca="1" ref="BE165" ca="1">IFERROR(SMALL(IF(COUNTIF(Podcasts!$D$1301:'Podcasts'!$D$1356,ROW(INDIRECT("1:"&amp;K$2)))=0,ROW(INDIRECT("1:"&amp;K$2))),ROW($A122)),"")</f>
        <v>169</v>
      </c>
      <c r="BF165" s="117">
        <f t="array" aca="1" ref="BF165" ca="1">IFERROR(SMALL(IF(COUNTIF(Podcasts!$D$1362:'Podcasts'!$D$1364,ROW(INDIRECT("1:"&amp;K$2)))=0,ROW(INDIRECT("1:"&amp;K$2))),ROW($A122)),"")</f>
        <v>125</v>
      </c>
      <c r="BG165" s="202">
        <f t="array" aca="1" ref="BG165" ca="1">IFERROR(SMALL(IF(COUNTIF(Podcasts!$D$1370:'Podcasts'!$D$1419,ROW(INDIRECT("1:"&amp;K$2)))=0,ROW(INDIRECT("1:"&amp;K$2))),ROW($A122)),"")</f>
        <v>153</v>
      </c>
      <c r="BH165" s="202">
        <f t="array" aca="1" ref="BH165" ca="1">IFERROR(SMALL(IF(COUNTIF(Podcasts!$D$1425:'Podcasts'!$D$1446,ROW(INDIRECT("1:"&amp;K$2)))=0,ROW(INDIRECT("1:"&amp;K$2))),ROW($A122)),"")</f>
        <v>132</v>
      </c>
      <c r="BI165" s="202">
        <f t="array" aca="1" ref="BI165" ca="1">IFERROR(SMALL(IF(COUNTIF(Podcasts!$D$1452:'Podcasts'!$D$1574,ROW(INDIRECT("1:"&amp;K$2)))=0,ROW(INDIRECT("1:"&amp;K$2))),ROW($A122)),"")</f>
        <v>196</v>
      </c>
      <c r="BJ165" s="202">
        <f t="array" aca="1" ref="BJ165" ca="1">IFERROR(SMALL(IF(COUNTIF(Podcasts!$D$1580:'Podcasts'!$D$1705,ROW(INDIRECT("1:"&amp;K$2)))=0,ROW(INDIRECT("1:"&amp;K$2))),ROW($A122)),"")</f>
        <v>198</v>
      </c>
      <c r="BK165" s="202">
        <f t="array" aca="1" ref="BK165" ca="1">IFERROR(SMALL(IF(COUNTIF(Podcasts!$D$1711:'Podcasts'!$D$1833,ROW(INDIRECT("1:"&amp;K$2)))=0,ROW(INDIRECT("1:"&amp;K$2))),ROW($A122)),"")</f>
        <v>191</v>
      </c>
      <c r="BL165" s="202">
        <f t="array" aca="1" ref="BL165" ca="1">IFERROR(SMALL(IF(COUNTIF(Podcasts!$D$1839:'Podcasts'!$D$1855,ROW(INDIRECT("1:"&amp;K$2)))=0,ROW(INDIRECT("1:"&amp;K$2))),ROW($A122)),"")</f>
        <v>131</v>
      </c>
      <c r="BM165" s="567">
        <f t="array" aca="1" ref="BM165" ca="1">IFERROR(SMALL(IF(COUNTIF(Podcasts!$D$1861:'Podcasts'!$D$1994,ROW(INDIRECT("1:"&amp;K$2)))=0,ROW(INDIRECT("1:"&amp;K$2))),ROW($A122)),"")</f>
        <v>167</v>
      </c>
      <c r="BN165" s="567">
        <f t="array" aca="1" ref="BN165" ca="1">IFERROR(SMALL(IF(COUNTIF(Podcasts!$D$2000:'Podcasts'!$D$2057,ROW(INDIRECT("1:"&amp;K$2)))=0,ROW(INDIRECT("1:"&amp;K$2))),ROW($A122)),"")</f>
        <v>177</v>
      </c>
      <c r="BO165" s="567">
        <f t="array" aca="1" ref="BO165" ca="1">IFERROR(SMALL(IF(COUNTIF(Podcasts!$D$2063:'Podcasts'!$D$2071,ROW(INDIRECT("1:"&amp;K$2)))=0,ROW(INDIRECT("1:"&amp;K$2))),ROW($A122)),"")</f>
        <v>129</v>
      </c>
      <c r="BP165" s="202">
        <f t="array" aca="1" ref="BP165" ca="1">IFERROR(SMALL(IF(COUNTIF(Podcasts!$D$2077:'Podcasts'!$D$2092,ROW(INDIRECT("1:"&amp;K$2)))=0,ROW(INDIRECT("1:"&amp;K$2))),ROW($A122)),"")</f>
        <v>133</v>
      </c>
      <c r="BQ165" s="741">
        <f t="array" aca="1" ref="BQ165" ca="1">IFERROR(SMALL(IF(COUNTIF(Podcasts!$D$2098:'Podcasts'!$D$2114,ROW(INDIRECT("1:"&amp;K$2)))=0,ROW(INDIRECT("1:"&amp;K$2))),ROW($A122)),"")</f>
        <v>133</v>
      </c>
      <c r="BR165" s="744">
        <f t="array" aca="1" ref="BR165" ca="1">IFERROR(SMALL(IF(COUNTIF(Podcasts!$D$2120:'Podcasts'!$D$2124,ROW(INDIRECT("1:"&amp;K$2)))=0,ROW(INDIRECT("1:"&amp;K$2))),ROW($A122)),"")</f>
        <v>124</v>
      </c>
      <c r="BS165" s="28"/>
    </row>
    <row r="166" spans="1:71" outlineLevel="1">
      <c r="A166" s="28"/>
      <c r="B166" s="161">
        <v>123</v>
      </c>
      <c r="C166" s="161">
        <f>COUNTIF(Podcasts!$D$10:'Podcasts'!$D$2535,B166)</f>
        <v>3</v>
      </c>
      <c r="D166" s="158" t="s">
        <v>1150</v>
      </c>
      <c r="E166" s="156" t="str">
        <f t="array" ref="E166">IF(F166="","",INDEX(Podcasts!$J$10:'Podcasts'!$J$2535,MATCH(F166&amp;$B166,Podcasts!$E$10:'Podcasts'!$E$2535&amp;Podcasts!$D$10:'Podcasts'!$D$2535,0)))</f>
        <v>Fürst</v>
      </c>
      <c r="F166" s="131">
        <f t="array" ref="F166">IF(COUNTIF(Podcasts!$D$10:'Podcasts'!$D$2535,$B166)&lt;COLUMN(A129),"",SMALL(IF(Podcasts!$D$10:'Podcasts'!$D$2535=$B166,Podcasts!$E$10:'Podcasts'!$E$2535),COLUMN(A129)))</f>
        <v>41745</v>
      </c>
      <c r="G166" s="132">
        <f t="array" ref="G166">IF(F166="","",INDEX(Podcasts!$F$10:'Podcasts'!$F$2535,MATCH(F166&amp;$B166,Podcasts!$E$10:'Podcasts'!$E$2535&amp;Podcasts!$D$10:'Podcasts'!$D$2535,0)))</f>
        <v>4.2824074074074014E-3</v>
      </c>
      <c r="H166" s="136" t="str">
        <f t="array" ref="H166">IF(I166="","",INDEX(Podcasts!$J$10:'Podcasts'!$J$2535,MATCH(I166&amp;$B166,Podcasts!$E$10:'Podcasts'!$E$2535&amp;Podcasts!$D$10:'Podcasts'!$D$2535,0)))</f>
        <v>SSP</v>
      </c>
      <c r="I166" s="133">
        <f t="array" ref="I166">IF(COUNTIF(Podcasts!$D$10:'Podcasts'!$D$2535,$B166)&lt;COLUMN(B129),"",SMALL(IF(Podcasts!$D$10:'Podcasts'!$D$2535=$B166,Podcasts!$E$10:'Podcasts'!$E$2535),COLUMN(B129)))</f>
        <v>44015</v>
      </c>
      <c r="J166" s="132">
        <f t="array" ref="J166">IF(I166="","",INDEX(Podcasts!$F$10:'Podcasts'!$F$2535,MATCH(I166&amp;$B166,Podcasts!$E$10:'Podcasts'!$E$2535&amp;Podcasts!$D$10:'Podcasts'!$D$2535,0)))</f>
        <v>7.7627314814814816E-2</v>
      </c>
      <c r="K166" s="136" t="str">
        <f t="array" ref="K166">IF(L166="","",INDEX(Podcasts!$J$10:'Podcasts'!$J$2535,MATCH(L166&amp;$B166,Podcasts!$E$10:'Podcasts'!$E$2535&amp;Podcasts!$D$10:'Podcasts'!$D$2535,0)))</f>
        <v>Kuchen</v>
      </c>
      <c r="L166" s="133">
        <f t="array" ref="L166">IF(COUNTIF(Podcasts!$D$10:'Podcasts'!$D$2535,$B166)&lt;COLUMN(C129),"",SMALL(IF(Podcasts!$D$10:'Podcasts'!$D$2535=$B166,Podcasts!$E$10:'Podcasts'!$E$2535),COLUMN(C129)))</f>
        <v>45382</v>
      </c>
      <c r="M166" s="132">
        <f t="array" ref="M166">IF(L166="","",INDEX(Podcasts!$F$10:'Podcasts'!$F$2535,MATCH(L166&amp;$B166,Podcasts!$E$10:'Podcasts'!$E$2535&amp;Podcasts!$D$10:'Podcasts'!$D$2535,0)))</f>
        <v>6.0092592592592593E-2</v>
      </c>
      <c r="N166" s="136" t="str">
        <f t="array" ref="N166">IF(O166="","",INDEX(Podcasts!$J$10:'Podcasts'!$J$2535,MATCH(O166&amp;$B166,Podcasts!$E$10:'Podcasts'!$E$2535&amp;Podcasts!$D$10:'Podcasts'!$D$2535,0)))</f>
        <v/>
      </c>
      <c r="O166" s="133" t="str">
        <f t="array" ref="O166">IF(COUNTIF(Podcasts!$D$10:'Podcasts'!$D$2535,$B166)&lt;COLUMN(D129),"",SMALL(IF(Podcasts!$D$10:'Podcasts'!$D$2535=$B166,Podcasts!$E$10:'Podcasts'!$E$2535),COLUMN(D129)))</f>
        <v/>
      </c>
      <c r="P166" s="132" t="str">
        <f t="array" ref="P166">IF(O166="","",INDEX(Podcasts!$F$10:'Podcasts'!$F$2535,MATCH(O166&amp;$B166,Podcasts!$E$10:'Podcasts'!$E$2535&amp;Podcasts!$D$10:'Podcasts'!$D$2535,0)))</f>
        <v/>
      </c>
      <c r="Q166" s="136" t="str">
        <f t="array" ref="Q166">IF(R166="","",INDEX(Podcasts!$J$10:'Podcasts'!$J$2535,MATCH(R166&amp;$B166,Podcasts!$E$10:'Podcasts'!$E$2535&amp;Podcasts!$D$10:'Podcasts'!$D$2535,0)))</f>
        <v/>
      </c>
      <c r="R166" s="133" t="str">
        <f t="array" ref="R166">IF(COUNTIF(Podcasts!$D$10:'Podcasts'!$D$2535,$B166)&lt;COLUMN(E129),"",SMALL(IF(Podcasts!$D$10:'Podcasts'!$D$2535=$B166,Podcasts!$E$10:'Podcasts'!$E$2535),COLUMN(E129)))</f>
        <v/>
      </c>
      <c r="S166" s="132" t="str">
        <f t="array" ref="S166">IF(R166="","",INDEX(Podcasts!$F$10:'Podcasts'!$F$2535,MATCH(R166&amp;$B166,Podcasts!$E$10:'Podcasts'!$E$2535&amp;Podcasts!$D$10:'Podcasts'!$D$2535,0)))</f>
        <v/>
      </c>
      <c r="T166" s="136" t="str">
        <f t="array" ref="T166">IF(U166="","",INDEX(Podcasts!$J$10:'Podcasts'!$J$2535,MATCH(U166&amp;$B166,Podcasts!$E$10:'Podcasts'!$E$2535&amp;Podcasts!$D$10:'Podcasts'!$D$2535,0)))</f>
        <v/>
      </c>
      <c r="U166" s="133" t="str">
        <f t="array" ref="U166">IF(COUNTIF(Podcasts!$D$10:'Podcasts'!$D$2535,$B166)&lt;COLUMN(F129),"",SMALL(IF(Podcasts!$D$10:'Podcasts'!$D$2535=$B166,Podcasts!$E$10:'Podcasts'!$E$2535),COLUMN(F129)))</f>
        <v/>
      </c>
      <c r="V166" s="132" t="str">
        <f t="array" ref="V166">IF(U166="","",INDEX(Podcasts!$F$10:'Podcasts'!$F$2535,MATCH(U166&amp;$B166,Podcasts!$E$10:'Podcasts'!$E$2535&amp;Podcasts!$D$10:'Podcasts'!$D$2535,0)))</f>
        <v/>
      </c>
      <c r="W166" s="136" t="str">
        <f t="array" ref="W166">IF(X166="","",INDEX(Podcasts!$J$10:'Podcasts'!$J$2535,MATCH(X166&amp;$B166,Podcasts!$E$10:'Podcasts'!$E$2535&amp;Podcasts!$D$10:'Podcasts'!$D$2535,0)))</f>
        <v/>
      </c>
      <c r="X166" s="133" t="str">
        <f t="array" ref="X166">IF(COUNTIF(Podcasts!$D$10:'Podcasts'!$D$2535,$B166)&lt;COLUMN(G129),"",SMALL(IF(Podcasts!$D$10:'Podcasts'!$D$2535=$B166,Podcasts!$E$10:'Podcasts'!$E$2535),COLUMN(G129)))</f>
        <v/>
      </c>
      <c r="Y166" s="132" t="str">
        <f t="array" ref="Y166">IF(X166="","",INDEX(Podcasts!$F$10:'Podcasts'!$F$2535,MATCH(X166&amp;$B166,Podcasts!$E$10:'Podcasts'!$E$2535&amp;Podcasts!$D$10:'Podcasts'!$D$2535,0)))</f>
        <v/>
      </c>
      <c r="Z166" s="136" t="str">
        <f t="array" ref="Z166">IF(AA166="","",INDEX(Podcasts!$J$10:'Podcasts'!$J$2535,MATCH(AA166&amp;$B166,Podcasts!$E$10:'Podcasts'!$E$2535&amp;Podcasts!$D$10:'Podcasts'!$D$2535,0)))</f>
        <v/>
      </c>
      <c r="AA166" s="134" t="str">
        <f t="array" ref="AA166">IF(COUNTIF(Podcasts!$D$10:'Podcasts'!$D$2535,$B166)&lt;COLUMN(H129),"",SMALL(IF(Podcasts!$D$10:'Podcasts'!$D$2535=$B166,Podcasts!$E$10:'Podcasts'!$E$2535),COLUMN(H129)))</f>
        <v/>
      </c>
      <c r="AB166" s="404" t="str">
        <f t="array" ref="AB166">IF(AA166="","",INDEX(Podcasts!$F$10:'Podcasts'!$F$2535,MATCH(AA166&amp;$B166,Podcasts!$E$10:'Podcasts'!$E$2535&amp;Podcasts!$D$10:'Podcasts'!$D$2535,0)))</f>
        <v/>
      </c>
      <c r="AC166" s="406" t="str">
        <f t="array" ref="AC166">IF(AD166="","",INDEX(Podcasts!$J$10:'Podcasts'!$J$2535,MATCH(AD166&amp;$B166,Podcasts!$E$10:'Podcasts'!$E$2535&amp;Podcasts!$D$10:'Podcasts'!$D$2535,0)))</f>
        <v/>
      </c>
      <c r="AD166" s="400" t="str">
        <f t="array" ref="AD166">IF(COUNTIF(Podcasts!$D$10:'Podcasts'!$D$2535,$B166)&lt;COLUMN(I129),"",SMALL(IF(Podcasts!$D$10:'Podcasts'!$D$2535=$B166,Podcasts!$E$10:'Podcasts'!$E$2535),COLUMN(I129)))</f>
        <v/>
      </c>
      <c r="AE166" s="401" t="str">
        <f t="array" ref="AE166">IF(AD166="","",INDEX(Podcasts!$F$10:'Podcasts'!$F$2535,MATCH(AD166&amp;$B166,Podcasts!$E$10:'Podcasts'!$E$2535&amp;Podcasts!$D$10:'Podcasts'!$D$2535,0)))</f>
        <v/>
      </c>
      <c r="AF166" s="406" t="str">
        <f t="array" ref="AF166">IF(AG166="","",INDEX(Podcasts!$J$10:'Podcasts'!$J$2535,MATCH(AG166&amp;$B166,Podcasts!$E$10:'Podcasts'!$E$2535&amp;Podcasts!$D$10:'Podcasts'!$D$2535,0)))</f>
        <v/>
      </c>
      <c r="AG166" s="400" t="str">
        <f t="array" ref="AG166">IF(COUNTIF(Podcasts!$D$10:'Podcasts'!$D$2535,$B166)&lt;COLUMN(J129),"",SMALL(IF(Podcasts!$D$10:'Podcasts'!$D$2535=$B166,Podcasts!$E$10:'Podcasts'!$E$2535),COLUMN(J129)))</f>
        <v/>
      </c>
      <c r="AH166" s="401" t="str">
        <f t="array" ref="AH166">IF(AG166="","",INDEX(Podcasts!$F$10:'Podcasts'!$F$2535,MATCH(AG166&amp;$B166,Podcasts!$E$10:'Podcasts'!$E$2535&amp;Podcasts!$D$10:'Podcasts'!$D$2535,0)))</f>
        <v/>
      </c>
      <c r="AI166" s="406" t="str">
        <f t="array" ref="AI166">IF(AJ166="","",INDEX(Podcasts!$J$10:'Podcasts'!$J$2535,MATCH(AJ166&amp;$B166,Podcasts!$E$10:'Podcasts'!$E$2535&amp;Podcasts!$D$10:'Podcasts'!$D$2535,0)))</f>
        <v/>
      </c>
      <c r="AJ166" s="400" t="str">
        <f t="array" ref="AJ166">IF(COUNTIF(Podcasts!$D$10:'Podcasts'!$D$2535,$B166)&lt;COLUMN(K129),"",SMALL(IF(Podcasts!$D$10:'Podcasts'!$D$2535=$B166,Podcasts!$E$10:'Podcasts'!$E$2535),COLUMN(K129)))</f>
        <v/>
      </c>
      <c r="AK166" s="401" t="str">
        <f t="array" ref="AK166">IF(AJ166="","",INDEX(Podcasts!$F$10:'Podcasts'!$F$2535,MATCH(AJ166&amp;$B166,Podcasts!$E$10:'Podcasts'!$E$2535&amp;Podcasts!$D$10:'Podcasts'!$D$2535,0)))</f>
        <v/>
      </c>
      <c r="AL166" s="406" t="str">
        <f t="array" ref="AL166">IF(AM166="","",INDEX(Podcasts!$J$10:'Podcasts'!$J$2535,MATCH(AM166&amp;$B166,Podcasts!$E$10:'Podcasts'!$E$2535&amp;Podcasts!$D$10:'Podcasts'!$D$2535,0)))</f>
        <v/>
      </c>
      <c r="AM166" s="400" t="str">
        <f t="array" ref="AM166">IF(COUNTIF(Podcasts!$D$10:'Podcasts'!$D$2535,$B166)&lt;COLUMN(L129),"",SMALL(IF(Podcasts!$D$10:'Podcasts'!$D$2535=$B166,Podcasts!$E$10:'Podcasts'!$E$2535),COLUMN(L129)))</f>
        <v/>
      </c>
      <c r="AN166" s="401" t="str">
        <f t="array" ref="AN166">IF(AM166="","",INDEX(Podcasts!$F$10:'Podcasts'!$F$2535,MATCH(AM166&amp;$B166,Podcasts!$E$10:'Podcasts'!$E$2535&amp;Podcasts!$D$10:'Podcasts'!$D$2535,0)))</f>
        <v/>
      </c>
      <c r="AO166" s="402"/>
      <c r="AP166" s="119"/>
      <c r="AQ166" s="117">
        <f t="array" aca="1" ref="AQ166" ca="1">IFERROR(SMALL(IF(COUNTIF(Podcasts!$D$10:'Podcasts'!$D$107,ROW(INDIRECT("1:"&amp;K$2)))=0,ROW(INDIRECT("1:"&amp;K$2))),ROW($A123)),"")</f>
        <v>160</v>
      </c>
      <c r="AR166" s="117">
        <f t="array" aca="1" ref="AR166" ca="1">IFERROR(SMALL(IF(COUNTIF(Podcasts!$D$113:'Podcasts'!$D$238,ROW(INDIRECT("1:"&amp;K$2)))=0,ROW(INDIRECT("1:"&amp;K$2))),ROW($A123)),"")</f>
        <v>123</v>
      </c>
      <c r="AS166" s="117">
        <f t="array" aca="1" ref="AS166" ca="1">IFERROR(SMALL(IF(COUNTIF(Podcasts!$D$244:'Podcasts'!$D$299,ROW(INDIRECT("1:"&amp;K$2)))=0,ROW(INDIRECT("1:"&amp;K$2))),ROW($A123)),"")</f>
        <v>142</v>
      </c>
      <c r="AT166" s="117"/>
      <c r="AU166" s="117">
        <f t="array" aca="1" ref="AU166" ca="1">IFERROR(SMALL(IF(COUNTIF(Podcasts!$D$479:'Podcasts'!$D$488,ROW(INDIRECT("1:"&amp;K$2)))=0,ROW(INDIRECT("1:"&amp;K$2))),ROW($A123)),"")</f>
        <v>125</v>
      </c>
      <c r="AV166" s="117">
        <f t="array" aca="1" ref="AV166" ca="1">IFERROR(SMALL(IF(COUNTIF(Podcasts!$D$494:'Podcasts'!$D$518,ROW(INDIRECT("1:"&amp;K$2)))=0,ROW(INDIRECT("1:"&amp;K$2))),ROW($A123)),"")</f>
        <v>145</v>
      </c>
      <c r="AW166" s="117">
        <f t="array" aca="1" ref="AW166" ca="1">IFERROR(SMALL(IF(COUNTIF(Podcasts!$D$524:'Podcasts'!$D$532,ROW(INDIRECT("1:"&amp;K$2)))=0,ROW(INDIRECT("1:"&amp;K$2))),ROW($A123)),"")</f>
        <v>124</v>
      </c>
      <c r="AX166" s="117"/>
      <c r="AY166" s="117">
        <f t="array" aca="1" ref="AY166" ca="1">IFERROR(SMALL(IF(COUNTIF(Podcasts!$D$915:'Podcasts'!$D$981,ROW(INDIRECT("1:"&amp;K$2)))=0,ROW(INDIRECT("1:"&amp;K$2))),ROW($A123)),"")</f>
        <v>176</v>
      </c>
      <c r="AZ166" s="445"/>
      <c r="BA166" s="117">
        <f t="array" aca="1" ref="BA166" ca="1">IFERROR(SMALL(IF(COUNTIF(Podcasts!$D$1001:'Podcasts'!$D$1251,ROW(INDIRECT("1:"&amp;K$2)))=0,ROW(INDIRECT("1:"&amp;K$2))),ROW($A123)),"")</f>
        <v>172</v>
      </c>
      <c r="BB166" s="117">
        <f t="array" aca="1" ref="BB166" ca="1">IFERROR(SMALL(IF(COUNTIF(Podcasts!$D$1257:'Podcasts'!$D$1267,ROW(INDIRECT("1:"&amp;K$2)))=0,ROW(INDIRECT("1:"&amp;K$2))),ROW($A123)),"")</f>
        <v>128</v>
      </c>
      <c r="BC166" s="117">
        <f t="array" aca="1" ref="BC166" ca="1">IFERROR(SMALL(IF(COUNTIF(Podcasts!$D$1273:'Podcasts'!$D$1283,ROW(INDIRECT("1:"&amp;K$2)))=0,ROW(INDIRECT("1:"&amp;K$2))),ROW($A123)),"")</f>
        <v>127</v>
      </c>
      <c r="BD166" s="117">
        <f t="array" aca="1" ref="BD166" ca="1">IFERROR(SMALL(IF(COUNTIF(Podcasts!$D$1289:'Podcasts'!$D$1295,ROW(INDIRECT("1:"&amp;K$2)))=0,ROW(INDIRECT("1:"&amp;K$2))),ROW($A123)),"")</f>
        <v>128</v>
      </c>
      <c r="BE166" s="117">
        <f t="array" aca="1" ref="BE166" ca="1">IFERROR(SMALL(IF(COUNTIF(Podcasts!$D$1301:'Podcasts'!$D$1356,ROW(INDIRECT("1:"&amp;K$2)))=0,ROW(INDIRECT("1:"&amp;K$2))),ROW($A123)),"")</f>
        <v>170</v>
      </c>
      <c r="BF166" s="117">
        <f t="array" aca="1" ref="BF166" ca="1">IFERROR(SMALL(IF(COUNTIF(Podcasts!$D$1362:'Podcasts'!$D$1364,ROW(INDIRECT("1:"&amp;K$2)))=0,ROW(INDIRECT("1:"&amp;K$2))),ROW($A123)),"")</f>
        <v>126</v>
      </c>
      <c r="BG166" s="202">
        <f t="array" aca="1" ref="BG166" ca="1">IFERROR(SMALL(IF(COUNTIF(Podcasts!$D$1370:'Podcasts'!$D$1419,ROW(INDIRECT("1:"&amp;K$2)))=0,ROW(INDIRECT("1:"&amp;K$2))),ROW($A123)),"")</f>
        <v>155</v>
      </c>
      <c r="BH166" s="202">
        <f t="array" aca="1" ref="BH166" ca="1">IFERROR(SMALL(IF(COUNTIF(Podcasts!$D$1425:'Podcasts'!$D$1446,ROW(INDIRECT("1:"&amp;K$2)))=0,ROW(INDIRECT("1:"&amp;K$2))),ROW($A123)),"")</f>
        <v>133</v>
      </c>
      <c r="BI166" s="202">
        <f t="array" aca="1" ref="BI166" ca="1">IFERROR(SMALL(IF(COUNTIF(Podcasts!$D$1452:'Podcasts'!$D$1574,ROW(INDIRECT("1:"&amp;K$2)))=0,ROW(INDIRECT("1:"&amp;K$2))),ROW($A123)),"")</f>
        <v>197</v>
      </c>
      <c r="BJ166" s="202">
        <f t="array" aca="1" ref="BJ166" ca="1">IFERROR(SMALL(IF(COUNTIF(Podcasts!$D$1580:'Podcasts'!$D$1705,ROW(INDIRECT("1:"&amp;K$2)))=0,ROW(INDIRECT("1:"&amp;K$2))),ROW($A123)),"")</f>
        <v>199</v>
      </c>
      <c r="BK166" s="202">
        <f t="array" aca="1" ref="BK166" ca="1">IFERROR(SMALL(IF(COUNTIF(Podcasts!$D$1711:'Podcasts'!$D$1833,ROW(INDIRECT("1:"&amp;K$2)))=0,ROW(INDIRECT("1:"&amp;K$2))),ROW($A123)),"")</f>
        <v>192</v>
      </c>
      <c r="BL166" s="202">
        <f t="array" aca="1" ref="BL166" ca="1">IFERROR(SMALL(IF(COUNTIF(Podcasts!$D$1839:'Podcasts'!$D$1855,ROW(INDIRECT("1:"&amp;K$2)))=0,ROW(INDIRECT("1:"&amp;K$2))),ROW($A123)),"")</f>
        <v>132</v>
      </c>
      <c r="BM166" s="567">
        <f t="array" aca="1" ref="BM166" ca="1">IFERROR(SMALL(IF(COUNTIF(Podcasts!$D$1861:'Podcasts'!$D$1994,ROW(INDIRECT("1:"&amp;K$2)))=0,ROW(INDIRECT("1:"&amp;K$2))),ROW($A123)),"")</f>
        <v>168</v>
      </c>
      <c r="BN166" s="567">
        <f t="array" aca="1" ref="BN166" ca="1">IFERROR(SMALL(IF(COUNTIF(Podcasts!$D$2000:'Podcasts'!$D$2057,ROW(INDIRECT("1:"&amp;K$2)))=0,ROW(INDIRECT("1:"&amp;K$2))),ROW($A123)),"")</f>
        <v>178</v>
      </c>
      <c r="BO166" s="567">
        <f t="array" aca="1" ref="BO166" ca="1">IFERROR(SMALL(IF(COUNTIF(Podcasts!$D$2063:'Podcasts'!$D$2071,ROW(INDIRECT("1:"&amp;K$2)))=0,ROW(INDIRECT("1:"&amp;K$2))),ROW($A123)),"")</f>
        <v>130</v>
      </c>
      <c r="BP166" s="202">
        <f t="array" aca="1" ref="BP166" ca="1">IFERROR(SMALL(IF(COUNTIF(Podcasts!$D$2077:'Podcasts'!$D$2092,ROW(INDIRECT("1:"&amp;K$2)))=0,ROW(INDIRECT("1:"&amp;K$2))),ROW($A123)),"")</f>
        <v>134</v>
      </c>
      <c r="BQ166" s="741">
        <f t="array" aca="1" ref="BQ166" ca="1">IFERROR(SMALL(IF(COUNTIF(Podcasts!$D$2098:'Podcasts'!$D$2114,ROW(INDIRECT("1:"&amp;K$2)))=0,ROW(INDIRECT("1:"&amp;K$2))),ROW($A123)),"")</f>
        <v>134</v>
      </c>
      <c r="BR166" s="744">
        <f t="array" aca="1" ref="BR166" ca="1">IFERROR(SMALL(IF(COUNTIF(Podcasts!$D$2120:'Podcasts'!$D$2124,ROW(INDIRECT("1:"&amp;K$2)))=0,ROW(INDIRECT("1:"&amp;K$2))),ROW($A123)),"")</f>
        <v>125</v>
      </c>
      <c r="BS166" s="28"/>
    </row>
    <row r="167" spans="1:71" outlineLevel="1">
      <c r="A167" s="28"/>
      <c r="B167" s="161">
        <v>124</v>
      </c>
      <c r="C167" s="161">
        <f>COUNTIF(Podcasts!$D$10:'Podcasts'!$D$2535,B167)-1</f>
        <v>4</v>
      </c>
      <c r="D167" s="158" t="s">
        <v>1151</v>
      </c>
      <c r="E167" s="156" t="str">
        <f t="array" ref="E167">IF(F167="","",INDEX(Podcasts!$J$10:'Podcasts'!$J$2535,MATCH(F167&amp;$B167,Podcasts!$E$10:'Podcasts'!$E$2535&amp;Podcasts!$D$10:'Podcasts'!$D$2535,0)))</f>
        <v>Fürst</v>
      </c>
      <c r="F167" s="131">
        <f t="array" ref="F167">IF(COUNTIF(Podcasts!$D$10:'Podcasts'!$D$2535,$B167)&lt;COLUMN(A130),"",SMALL(IF(Podcasts!$D$10:'Podcasts'!$D$2535=$B167,Podcasts!$E$10:'Podcasts'!$E$2535),COLUMN(A130)))</f>
        <v>41803</v>
      </c>
      <c r="G167" s="132">
        <f t="array" ref="G167">IF(F167="","",INDEX(Podcasts!$F$10:'Podcasts'!$F$2535,MATCH(F167&amp;$B167,Podcasts!$E$10:'Podcasts'!$E$2535&amp;Podcasts!$D$10:'Podcasts'!$D$2535,0)))</f>
        <v>5.2083333333333322E-3</v>
      </c>
      <c r="H167" s="136" t="str">
        <f t="array" ref="H167">IF(I167="","",INDEX(Podcasts!$J$10:'Podcasts'!$J$2535,MATCH(I167&amp;$B167,Podcasts!$E$10:'Podcasts'!$E$2535&amp;Podcasts!$D$10:'Podcasts'!$D$2535,0)))</f>
        <v>SSP</v>
      </c>
      <c r="I167" s="133">
        <f t="array" ref="I167">IF(COUNTIF(Podcasts!$D$10:'Podcasts'!$D$2535,$B167)&lt;COLUMN(B130),"",SMALL(IF(Podcasts!$D$10:'Podcasts'!$D$2535=$B167,Podcasts!$E$10:'Podcasts'!$E$2535),COLUMN(B130)))</f>
        <v>44156</v>
      </c>
      <c r="J167" s="132">
        <f t="array" ref="J167">IF(I167="","",INDEX(Podcasts!$F$10:'Podcasts'!$F$2535,MATCH(I167&amp;$B167,Podcasts!$E$10:'Podcasts'!$E$2535&amp;Podcasts!$D$10:'Podcasts'!$D$2535,0)))</f>
        <v>0.13252314814814814</v>
      </c>
      <c r="K167" s="136" t="str">
        <f t="array" ref="K167">IF(L167="","",INDEX(Podcasts!$J$10:'Podcasts'!$J$2535,MATCH(L167&amp;$B167,Podcasts!$E$10:'Podcasts'!$E$2535&amp;Podcasts!$D$10:'Podcasts'!$D$2535,0)))</f>
        <v>SSP</v>
      </c>
      <c r="L167" s="133">
        <f t="array" ref="L167">IF(COUNTIF(Podcasts!$D$10:'Podcasts'!$D$2535,$B167)&lt;COLUMN(C130),"",SMALL(IF(Podcasts!$D$10:'Podcasts'!$D$2535=$B167,Podcasts!$E$10:'Podcasts'!$E$2535),COLUMN(C130)))</f>
        <v>44166</v>
      </c>
      <c r="M167" s="132" t="str">
        <f t="array" ref="M167">IF(L167="","",INDEX(Podcasts!$F$10:'Podcasts'!$F$2535,MATCH(L167&amp;$B167,Podcasts!$E$10:'Podcasts'!$E$2535&amp;Podcasts!$D$10:'Podcasts'!$D$2535,0)))</f>
        <v>3:06:53</v>
      </c>
      <c r="N167" s="136" t="str">
        <f t="array" ref="N167">IF(O167="","",INDEX(Podcasts!$J$10:'Podcasts'!$J$2535,MATCH(O167&amp;$B167,Podcasts!$E$10:'Podcasts'!$E$2535&amp;Podcasts!$D$10:'Podcasts'!$D$2535,0)))</f>
        <v>Platz</v>
      </c>
      <c r="O167" s="133">
        <f t="array" ref="O167">IF(COUNTIF(Podcasts!$D$10:'Podcasts'!$D$2535,$B167)&lt;COLUMN(D130),"",SMALL(IF(Podcasts!$D$10:'Podcasts'!$D$2535=$B167,Podcasts!$E$10:'Podcasts'!$E$2535),COLUMN(D130)))</f>
        <v>44208</v>
      </c>
      <c r="P167" s="132">
        <f t="array" ref="P167">IF(O167="","",INDEX(Podcasts!$F$10:'Podcasts'!$F$2535,MATCH(O167&amp;$B167,Podcasts!$E$10:'Podcasts'!$E$2535&amp;Podcasts!$D$10:'Podcasts'!$D$2535,0)))</f>
        <v>7.4328703703703702E-2</v>
      </c>
      <c r="Q167" s="136" t="str">
        <f t="array" ref="Q167">IF(R167="","",INDEX(Podcasts!$J$10:'Podcasts'!$J$2535,MATCH(R167&amp;$B167,Podcasts!$E$10:'Podcasts'!$E$2535&amp;Podcasts!$D$10:'Podcasts'!$D$2535,0)))</f>
        <v>Zw3i</v>
      </c>
      <c r="R167" s="133">
        <f t="array" ref="R167">IF(COUNTIF(Podcasts!$D$10:'Podcasts'!$D$2535,$B167)&lt;COLUMN(E130),"",SMALL(IF(Podcasts!$D$10:'Podcasts'!$D$2535=$B167,Podcasts!$E$10:'Podcasts'!$E$2535),COLUMN(E130)))</f>
        <v>45240</v>
      </c>
      <c r="S167" s="132">
        <f t="array" ref="S167">IF(R167="","",INDEX(Podcasts!$F$10:'Podcasts'!$F$2535,MATCH(R167&amp;$B167,Podcasts!$E$10:'Podcasts'!$E$2535&amp;Podcasts!$D$10:'Podcasts'!$D$2535,0)))</f>
        <v>0.15462962962962964</v>
      </c>
      <c r="T167" s="136" t="str">
        <f t="array" ref="T167">IF(U167="","",INDEX(Podcasts!$J$10:'Podcasts'!$J$2535,MATCH(U167&amp;$B167,Podcasts!$E$10:'Podcasts'!$E$2535&amp;Podcasts!$D$10:'Podcasts'!$D$2535,0)))</f>
        <v/>
      </c>
      <c r="U167" s="133" t="str">
        <f t="array" ref="U167">IF(COUNTIF(Podcasts!$D$10:'Podcasts'!$D$2535,$B167)&lt;COLUMN(F130),"",SMALL(IF(Podcasts!$D$10:'Podcasts'!$D$2535=$B167,Podcasts!$E$10:'Podcasts'!$E$2535),COLUMN(F130)))</f>
        <v/>
      </c>
      <c r="V167" s="132" t="str">
        <f t="array" ref="V167">IF(U167="","",INDEX(Podcasts!$F$10:'Podcasts'!$F$2535,MATCH(U167&amp;$B167,Podcasts!$E$10:'Podcasts'!$E$2535&amp;Podcasts!$D$10:'Podcasts'!$D$2535,0)))</f>
        <v/>
      </c>
      <c r="W167" s="136" t="str">
        <f t="array" ref="W167">IF(X167="","",INDEX(Podcasts!$J$10:'Podcasts'!$J$2535,MATCH(X167&amp;$B167,Podcasts!$E$10:'Podcasts'!$E$2535&amp;Podcasts!$D$10:'Podcasts'!$D$2535,0)))</f>
        <v/>
      </c>
      <c r="X167" s="133" t="str">
        <f t="array" ref="X167">IF(COUNTIF(Podcasts!$D$10:'Podcasts'!$D$2535,$B167)&lt;COLUMN(G130),"",SMALL(IF(Podcasts!$D$10:'Podcasts'!$D$2535=$B167,Podcasts!$E$10:'Podcasts'!$E$2535),COLUMN(G130)))</f>
        <v/>
      </c>
      <c r="Y167" s="132" t="str">
        <f t="array" ref="Y167">IF(X167="","",INDEX(Podcasts!$F$10:'Podcasts'!$F$2535,MATCH(X167&amp;$B167,Podcasts!$E$10:'Podcasts'!$E$2535&amp;Podcasts!$D$10:'Podcasts'!$D$2535,0)))</f>
        <v/>
      </c>
      <c r="Z167" s="136" t="str">
        <f t="array" ref="Z167">IF(AA167="","",INDEX(Podcasts!$J$10:'Podcasts'!$J$2535,MATCH(AA167&amp;$B167,Podcasts!$E$10:'Podcasts'!$E$2535&amp;Podcasts!$D$10:'Podcasts'!$D$2535,0)))</f>
        <v/>
      </c>
      <c r="AA167" s="134" t="str">
        <f t="array" ref="AA167">IF(COUNTIF(Podcasts!$D$10:'Podcasts'!$D$2535,$B167)&lt;COLUMN(H130),"",SMALL(IF(Podcasts!$D$10:'Podcasts'!$D$2535=$B167,Podcasts!$E$10:'Podcasts'!$E$2535),COLUMN(H130)))</f>
        <v/>
      </c>
      <c r="AB167" s="404" t="str">
        <f t="array" ref="AB167">IF(AA167="","",INDEX(Podcasts!$F$10:'Podcasts'!$F$2535,MATCH(AA167&amp;$B167,Podcasts!$E$10:'Podcasts'!$E$2535&amp;Podcasts!$D$10:'Podcasts'!$D$2535,0)))</f>
        <v/>
      </c>
      <c r="AC167" s="406" t="str">
        <f t="array" ref="AC167">IF(AD167="","",INDEX(Podcasts!$J$10:'Podcasts'!$J$2535,MATCH(AD167&amp;$B167,Podcasts!$E$10:'Podcasts'!$E$2535&amp;Podcasts!$D$10:'Podcasts'!$D$2535,0)))</f>
        <v/>
      </c>
      <c r="AD167" s="400" t="str">
        <f t="array" ref="AD167">IF(COUNTIF(Podcasts!$D$10:'Podcasts'!$D$2535,$B167)&lt;COLUMN(I130),"",SMALL(IF(Podcasts!$D$10:'Podcasts'!$D$2535=$B167,Podcasts!$E$10:'Podcasts'!$E$2535),COLUMN(I130)))</f>
        <v/>
      </c>
      <c r="AE167" s="401" t="str">
        <f t="array" ref="AE167">IF(AD167="","",INDEX(Podcasts!$F$10:'Podcasts'!$F$2535,MATCH(AD167&amp;$B167,Podcasts!$E$10:'Podcasts'!$E$2535&amp;Podcasts!$D$10:'Podcasts'!$D$2535,0)))</f>
        <v/>
      </c>
      <c r="AF167" s="406" t="str">
        <f t="array" ref="AF167">IF(AG167="","",INDEX(Podcasts!$J$10:'Podcasts'!$J$2535,MATCH(AG167&amp;$B167,Podcasts!$E$10:'Podcasts'!$E$2535&amp;Podcasts!$D$10:'Podcasts'!$D$2535,0)))</f>
        <v/>
      </c>
      <c r="AG167" s="400" t="str">
        <f t="array" ref="AG167">IF(COUNTIF(Podcasts!$D$10:'Podcasts'!$D$2535,$B167)&lt;COLUMN(J130),"",SMALL(IF(Podcasts!$D$10:'Podcasts'!$D$2535=$B167,Podcasts!$E$10:'Podcasts'!$E$2535),COLUMN(J130)))</f>
        <v/>
      </c>
      <c r="AH167" s="401" t="str">
        <f t="array" ref="AH167">IF(AG167="","",INDEX(Podcasts!$F$10:'Podcasts'!$F$2535,MATCH(AG167&amp;$B167,Podcasts!$E$10:'Podcasts'!$E$2535&amp;Podcasts!$D$10:'Podcasts'!$D$2535,0)))</f>
        <v/>
      </c>
      <c r="AI167" s="406" t="str">
        <f t="array" ref="AI167">IF(AJ167="","",INDEX(Podcasts!$J$10:'Podcasts'!$J$2535,MATCH(AJ167&amp;$B167,Podcasts!$E$10:'Podcasts'!$E$2535&amp;Podcasts!$D$10:'Podcasts'!$D$2535,0)))</f>
        <v/>
      </c>
      <c r="AJ167" s="400" t="str">
        <f t="array" ref="AJ167">IF(COUNTIF(Podcasts!$D$10:'Podcasts'!$D$2535,$B167)&lt;COLUMN(K130),"",SMALL(IF(Podcasts!$D$10:'Podcasts'!$D$2535=$B167,Podcasts!$E$10:'Podcasts'!$E$2535),COLUMN(K130)))</f>
        <v/>
      </c>
      <c r="AK167" s="401" t="str">
        <f t="array" ref="AK167">IF(AJ167="","",INDEX(Podcasts!$F$10:'Podcasts'!$F$2535,MATCH(AJ167&amp;$B167,Podcasts!$E$10:'Podcasts'!$E$2535&amp;Podcasts!$D$10:'Podcasts'!$D$2535,0)))</f>
        <v/>
      </c>
      <c r="AL167" s="406" t="str">
        <f t="array" ref="AL167">IF(AM167="","",INDEX(Podcasts!$J$10:'Podcasts'!$J$2535,MATCH(AM167&amp;$B167,Podcasts!$E$10:'Podcasts'!$E$2535&amp;Podcasts!$D$10:'Podcasts'!$D$2535,0)))</f>
        <v/>
      </c>
      <c r="AM167" s="400" t="str">
        <f t="array" ref="AM167">IF(COUNTIF(Podcasts!$D$10:'Podcasts'!$D$2535,$B167)&lt;COLUMN(L130),"",SMALL(IF(Podcasts!$D$10:'Podcasts'!$D$2535=$B167,Podcasts!$E$10:'Podcasts'!$E$2535),COLUMN(L130)))</f>
        <v/>
      </c>
      <c r="AN167" s="401" t="str">
        <f t="array" ref="AN167">IF(AM167="","",INDEX(Podcasts!$F$10:'Podcasts'!$F$2535,MATCH(AM167&amp;$B167,Podcasts!$E$10:'Podcasts'!$E$2535&amp;Podcasts!$D$10:'Podcasts'!$D$2535,0)))</f>
        <v/>
      </c>
      <c r="AO167" s="402"/>
      <c r="AP167" s="119"/>
      <c r="AQ167" s="117">
        <f t="array" aca="1" ref="AQ167" ca="1">IFERROR(SMALL(IF(COUNTIF(Podcasts!$D$10:'Podcasts'!$D$107,ROW(INDIRECT("1:"&amp;K$2)))=0,ROW(INDIRECT("1:"&amp;K$2))),ROW($A124)),"")</f>
        <v>161</v>
      </c>
      <c r="AR167" s="117">
        <f t="array" aca="1" ref="AR167" ca="1">IFERROR(SMALL(IF(COUNTIF(Podcasts!$D$113:'Podcasts'!$D$238,ROW(INDIRECT("1:"&amp;K$2)))=0,ROW(INDIRECT("1:"&amp;K$2))),ROW($A124)),"")</f>
        <v>124</v>
      </c>
      <c r="AS167" s="117">
        <f t="array" aca="1" ref="AS167" ca="1">IFERROR(SMALL(IF(COUNTIF(Podcasts!$D$244:'Podcasts'!$D$299,ROW(INDIRECT("1:"&amp;K$2)))=0,ROW(INDIRECT("1:"&amp;K$2))),ROW($A124)),"")</f>
        <v>143</v>
      </c>
      <c r="AT167" s="117"/>
      <c r="AU167" s="117">
        <f t="array" aca="1" ref="AU167" ca="1">IFERROR(SMALL(IF(COUNTIF(Podcasts!$D$479:'Podcasts'!$D$488,ROW(INDIRECT("1:"&amp;K$2)))=0,ROW(INDIRECT("1:"&amp;K$2))),ROW($A124)),"")</f>
        <v>126</v>
      </c>
      <c r="AV167" s="117">
        <f t="array" aca="1" ref="AV167" ca="1">IFERROR(SMALL(IF(COUNTIF(Podcasts!$D$494:'Podcasts'!$D$518,ROW(INDIRECT("1:"&amp;K$2)))=0,ROW(INDIRECT("1:"&amp;K$2))),ROW($A124)),"")</f>
        <v>146</v>
      </c>
      <c r="AW167" s="117">
        <f t="array" aca="1" ref="AW167" ca="1">IFERROR(SMALL(IF(COUNTIF(Podcasts!$D$524:'Podcasts'!$D$532,ROW(INDIRECT("1:"&amp;K$2)))=0,ROW(INDIRECT("1:"&amp;K$2))),ROW($A124)),"")</f>
        <v>125</v>
      </c>
      <c r="AX167" s="117"/>
      <c r="AY167" s="117">
        <f t="array" aca="1" ref="AY167" ca="1">IFERROR(SMALL(IF(COUNTIF(Podcasts!$D$915:'Podcasts'!$D$981,ROW(INDIRECT("1:"&amp;K$2)))=0,ROW(INDIRECT("1:"&amp;K$2))),ROW($A124)),"")</f>
        <v>177</v>
      </c>
      <c r="AZ167" s="445"/>
      <c r="BA167" s="117">
        <f t="array" aca="1" ref="BA167" ca="1">IFERROR(SMALL(IF(COUNTIF(Podcasts!$D$1001:'Podcasts'!$D$1251,ROW(INDIRECT("1:"&amp;K$2)))=0,ROW(INDIRECT("1:"&amp;K$2))),ROW($A124)),"")</f>
        <v>173</v>
      </c>
      <c r="BB167" s="117">
        <f t="array" aca="1" ref="BB167" ca="1">IFERROR(SMALL(IF(COUNTIF(Podcasts!$D$1257:'Podcasts'!$D$1267,ROW(INDIRECT("1:"&amp;K$2)))=0,ROW(INDIRECT("1:"&amp;K$2))),ROW($A124)),"")</f>
        <v>129</v>
      </c>
      <c r="BC167" s="117">
        <f t="array" aca="1" ref="BC167" ca="1">IFERROR(SMALL(IF(COUNTIF(Podcasts!$D$1273:'Podcasts'!$D$1283,ROW(INDIRECT("1:"&amp;K$2)))=0,ROW(INDIRECT("1:"&amp;K$2))),ROW($A124)),"")</f>
        <v>128</v>
      </c>
      <c r="BD167" s="117">
        <f t="array" aca="1" ref="BD167" ca="1">IFERROR(SMALL(IF(COUNTIF(Podcasts!$D$1289:'Podcasts'!$D$1295,ROW(INDIRECT("1:"&amp;K$2)))=0,ROW(INDIRECT("1:"&amp;K$2))),ROW($A124)),"")</f>
        <v>129</v>
      </c>
      <c r="BE167" s="117">
        <f t="array" aca="1" ref="BE167" ca="1">IFERROR(SMALL(IF(COUNTIF(Podcasts!$D$1301:'Podcasts'!$D$1356,ROW(INDIRECT("1:"&amp;K$2)))=0,ROW(INDIRECT("1:"&amp;K$2))),ROW($A124)),"")</f>
        <v>171</v>
      </c>
      <c r="BF167" s="117">
        <f t="array" aca="1" ref="BF167" ca="1">IFERROR(SMALL(IF(COUNTIF(Podcasts!$D$1362:'Podcasts'!$D$1364,ROW(INDIRECT("1:"&amp;K$2)))=0,ROW(INDIRECT("1:"&amp;K$2))),ROW($A124)),"")</f>
        <v>127</v>
      </c>
      <c r="BG167" s="202">
        <f t="array" aca="1" ref="BG167" ca="1">IFERROR(SMALL(IF(COUNTIF(Podcasts!$D$1370:'Podcasts'!$D$1419,ROW(INDIRECT("1:"&amp;K$2)))=0,ROW(INDIRECT("1:"&amp;K$2))),ROW($A124)),"")</f>
        <v>156</v>
      </c>
      <c r="BH167" s="202">
        <f t="array" aca="1" ref="BH167" ca="1">IFERROR(SMALL(IF(COUNTIF(Podcasts!$D$1425:'Podcasts'!$D$1446,ROW(INDIRECT("1:"&amp;K$2)))=0,ROW(INDIRECT("1:"&amp;K$2))),ROW($A124)),"")</f>
        <v>134</v>
      </c>
      <c r="BI167" s="202">
        <f t="array" aca="1" ref="BI167" ca="1">IFERROR(SMALL(IF(COUNTIF(Podcasts!$D$1452:'Podcasts'!$D$1574,ROW(INDIRECT("1:"&amp;K$2)))=0,ROW(INDIRECT("1:"&amp;K$2))),ROW($A124)),"")</f>
        <v>198</v>
      </c>
      <c r="BJ167" s="202">
        <f t="array" aca="1" ref="BJ167" ca="1">IFERROR(SMALL(IF(COUNTIF(Podcasts!$D$1580:'Podcasts'!$D$1705,ROW(INDIRECT("1:"&amp;K$2)))=0,ROW(INDIRECT("1:"&amp;K$2))),ROW($A124)),"")</f>
        <v>200</v>
      </c>
      <c r="BK167" s="202">
        <f t="array" aca="1" ref="BK167" ca="1">IFERROR(SMALL(IF(COUNTIF(Podcasts!$D$1711:'Podcasts'!$D$1833,ROW(INDIRECT("1:"&amp;K$2)))=0,ROW(INDIRECT("1:"&amp;K$2))),ROW($A124)),"")</f>
        <v>193</v>
      </c>
      <c r="BL167" s="202">
        <f t="array" aca="1" ref="BL167" ca="1">IFERROR(SMALL(IF(COUNTIF(Podcasts!$D$1839:'Podcasts'!$D$1855,ROW(INDIRECT("1:"&amp;K$2)))=0,ROW(INDIRECT("1:"&amp;K$2))),ROW($A124)),"")</f>
        <v>133</v>
      </c>
      <c r="BM167" s="567">
        <f t="array" aca="1" ref="BM167" ca="1">IFERROR(SMALL(IF(COUNTIF(Podcasts!$D$1861:'Podcasts'!$D$1994,ROW(INDIRECT("1:"&amp;K$2)))=0,ROW(INDIRECT("1:"&amp;K$2))),ROW($A124)),"")</f>
        <v>169</v>
      </c>
      <c r="BN167" s="567">
        <f t="array" aca="1" ref="BN167" ca="1">IFERROR(SMALL(IF(COUNTIF(Podcasts!$D$2000:'Podcasts'!$D$2057,ROW(INDIRECT("1:"&amp;K$2)))=0,ROW(INDIRECT("1:"&amp;K$2))),ROW($A124)),"")</f>
        <v>179</v>
      </c>
      <c r="BO167" s="567">
        <f t="array" aca="1" ref="BO167" ca="1">IFERROR(SMALL(IF(COUNTIF(Podcasts!$D$2063:'Podcasts'!$D$2071,ROW(INDIRECT("1:"&amp;K$2)))=0,ROW(INDIRECT("1:"&amp;K$2))),ROW($A124)),"")</f>
        <v>131</v>
      </c>
      <c r="BP167" s="202">
        <f t="array" aca="1" ref="BP167" ca="1">IFERROR(SMALL(IF(COUNTIF(Podcasts!$D$2077:'Podcasts'!$D$2092,ROW(INDIRECT("1:"&amp;K$2)))=0,ROW(INDIRECT("1:"&amp;K$2))),ROW($A124)),"")</f>
        <v>135</v>
      </c>
      <c r="BQ167" s="741">
        <f t="array" aca="1" ref="BQ167" ca="1">IFERROR(SMALL(IF(COUNTIF(Podcasts!$D$2098:'Podcasts'!$D$2114,ROW(INDIRECT("1:"&amp;K$2)))=0,ROW(INDIRECT("1:"&amp;K$2))),ROW($A124)),"")</f>
        <v>135</v>
      </c>
      <c r="BR167" s="744">
        <f t="array" aca="1" ref="BR167" ca="1">IFERROR(SMALL(IF(COUNTIF(Podcasts!$D$2120:'Podcasts'!$D$2124,ROW(INDIRECT("1:"&amp;K$2)))=0,ROW(INDIRECT("1:"&amp;K$2))),ROW($A124)),"")</f>
        <v>126</v>
      </c>
      <c r="BS167" s="28"/>
    </row>
    <row r="168" spans="1:71" outlineLevel="1">
      <c r="A168" s="28"/>
      <c r="B168" s="161">
        <v>125</v>
      </c>
      <c r="C168" s="161">
        <f>COUNTIF(Podcasts!$D$10:'Podcasts'!$D$2535,B168)-2</f>
        <v>4</v>
      </c>
      <c r="D168" s="158" t="s">
        <v>1225</v>
      </c>
      <c r="E168" s="156" t="str">
        <f t="array" ref="E168">IF(F168="","",INDEX(Podcasts!$J$10:'Podcasts'!$J$2535,MATCH(F168&amp;$B168,Podcasts!$E$10:'Podcasts'!$E$2535&amp;Podcasts!$D$10:'Podcasts'!$D$2535,0)))</f>
        <v>Fürst</v>
      </c>
      <c r="F168" s="131">
        <f t="array" ref="F168">IF(COUNTIF(Podcasts!$D$10:'Podcasts'!$D$2535,$B168)&lt;COLUMN(A131),"",SMALL(IF(Podcasts!$D$10:'Podcasts'!$D$2535=$B168,Podcasts!$E$10:'Podcasts'!$E$2535),COLUMN(A131)))</f>
        <v>41811</v>
      </c>
      <c r="G168" s="132">
        <f t="array" ref="G168">IF(F168="","",INDEX(Podcasts!$F$10:'Podcasts'!$F$2535,MATCH(F168&amp;$B168,Podcasts!$E$10:'Podcasts'!$E$2535&amp;Podcasts!$D$10:'Podcasts'!$D$2535,0)))</f>
        <v>5.9027777777777742E-3</v>
      </c>
      <c r="H168" s="136" t="str">
        <f t="array" ref="H168">IF(I168="","",INDEX(Podcasts!$J$10:'Podcasts'!$J$2535,MATCH(I168&amp;$B168,Podcasts!$E$10:'Podcasts'!$E$2535&amp;Podcasts!$D$10:'Podcasts'!$D$2535,0)))</f>
        <v>Verstärker</v>
      </c>
      <c r="I168" s="133">
        <f t="array" ref="I168">IF(COUNTIF(Podcasts!$D$10:'Podcasts'!$D$2535,$B168)&lt;COLUMN(B131),"",SMALL(IF(Podcasts!$D$10:'Podcasts'!$D$2535=$B168,Podcasts!$E$10:'Podcasts'!$E$2535),COLUMN(B131)))</f>
        <v>44258</v>
      </c>
      <c r="J168" s="132">
        <f t="array" ref="J168">IF(I168="","",INDEX(Podcasts!$F$10:'Podcasts'!$F$2535,MATCH(I168&amp;$B168,Podcasts!$E$10:'Podcasts'!$E$2535&amp;Podcasts!$D$10:'Podcasts'!$D$2535,0)))</f>
        <v>1.3344907407407408E-2</v>
      </c>
      <c r="K168" s="136" t="str">
        <f t="array" ref="K168">IF(L168="","",INDEX(Podcasts!$J$10:'Podcasts'!$J$2535,MATCH(L168&amp;$B168,Podcasts!$E$10:'Podcasts'!$E$2535&amp;Podcasts!$D$10:'Podcasts'!$D$2535,0)))</f>
        <v>Kaffee</v>
      </c>
      <c r="L168" s="133">
        <f t="array" ref="L168">IF(COUNTIF(Podcasts!$D$10:'Podcasts'!$D$2535,$B168)&lt;COLUMN(C131),"",SMALL(IF(Podcasts!$D$10:'Podcasts'!$D$2535=$B168,Podcasts!$E$10:'Podcasts'!$E$2535),COLUMN(C131)))</f>
        <v>44505</v>
      </c>
      <c r="M168" s="132">
        <f t="array" ref="M168">IF(L168="","",INDEX(Podcasts!$F$10:'Podcasts'!$F$2535,MATCH(L168&amp;$B168,Podcasts!$E$10:'Podcasts'!$E$2535&amp;Podcasts!$D$10:'Podcasts'!$D$2535,0)))</f>
        <v>3.3888888888888885E-2</v>
      </c>
      <c r="N168" s="136" t="str">
        <f t="array" ref="N168">IF(O168="","",INDEX(Podcasts!$J$10:'Podcasts'!$J$2535,MATCH(O168&amp;$B168,Podcasts!$E$10:'Podcasts'!$E$2535&amp;Podcasts!$D$10:'Podcasts'!$D$2535,0)))</f>
        <v>Zentrale</v>
      </c>
      <c r="O168" s="133">
        <f t="array" ref="O168">IF(COUNTIF(Podcasts!$D$10:'Podcasts'!$D$2535,$B168)&lt;COLUMN(D131),"",SMALL(IF(Podcasts!$D$10:'Podcasts'!$D$2535=$B168,Podcasts!$E$10:'Podcasts'!$E$2535),COLUMN(D131)))</f>
        <v>44694.001388888886</v>
      </c>
      <c r="P168" s="132">
        <f t="array" ref="P168">IF(O168="","",INDEX(Podcasts!$F$10:'Podcasts'!$F$2535,MATCH(O168&amp;$B168,Podcasts!$E$10:'Podcasts'!$E$2535&amp;Podcasts!$D$10:'Podcasts'!$D$2535,0)))</f>
        <v>0.1637962962962963</v>
      </c>
      <c r="Q168" s="136" t="str">
        <f t="array" ref="Q168">IF(R168="","",INDEX(Podcasts!$J$10:'Podcasts'!$J$2535,MATCH(R168&amp;$B168,Podcasts!$E$10:'Podcasts'!$E$2535&amp;Podcasts!$D$10:'Podcasts'!$D$2535,0)))</f>
        <v>Zentrale</v>
      </c>
      <c r="R168" s="133">
        <f t="array" ref="R168">IF(COUNTIF(Podcasts!$D$10:'Podcasts'!$D$2535,$B168)&lt;COLUMN(E131),"",SMALL(IF(Podcasts!$D$10:'Podcasts'!$D$2535=$B168,Podcasts!$E$10:'Podcasts'!$E$2535),COLUMN(E131)))</f>
        <v>44701.001388888886</v>
      </c>
      <c r="S168" s="132">
        <f t="array" ref="S168">IF(R168="","",INDEX(Podcasts!$F$10:'Podcasts'!$F$2535,MATCH(R168&amp;$B168,Podcasts!$E$10:'Podcasts'!$E$2535&amp;Podcasts!$D$10:'Podcasts'!$D$2535,0)))</f>
        <v>8.7870370370370376E-2</v>
      </c>
      <c r="T168" s="136" t="str">
        <f t="array" ref="T168">IF(U168="","",INDEX(Podcasts!$J$10:'Podcasts'!$J$2535,MATCH(U168&amp;$B168,Podcasts!$E$10:'Podcasts'!$E$2535&amp;Podcasts!$D$10:'Podcasts'!$D$2535,0)))</f>
        <v>Zentrale</v>
      </c>
      <c r="U168" s="133">
        <f t="array" ref="U168">IF(COUNTIF(Podcasts!$D$10:'Podcasts'!$D$2535,$B168)&lt;COLUMN(F131),"",SMALL(IF(Podcasts!$D$10:'Podcasts'!$D$2535=$B168,Podcasts!$E$10:'Podcasts'!$E$2535),COLUMN(F131)))</f>
        <v>44708.001585648148</v>
      </c>
      <c r="V168" s="132">
        <f t="array" ref="V168">IF(U168="","",INDEX(Podcasts!$F$10:'Podcasts'!$F$2535,MATCH(U168&amp;$B168,Podcasts!$E$10:'Podcasts'!$E$2535&amp;Podcasts!$D$10:'Podcasts'!$D$2535,0)))</f>
        <v>0.10055555555555555</v>
      </c>
      <c r="W168" s="136" t="str">
        <f t="array" ref="W168">IF(X168="","",INDEX(Podcasts!$J$10:'Podcasts'!$J$2535,MATCH(X168&amp;$B168,Podcasts!$E$10:'Podcasts'!$E$2535&amp;Podcasts!$D$10:'Podcasts'!$D$2535,0)))</f>
        <v/>
      </c>
      <c r="X168" s="133" t="str">
        <f t="array" ref="X168">IF(COUNTIF(Podcasts!$D$10:'Podcasts'!$D$2535,$B168)&lt;COLUMN(G131),"",SMALL(IF(Podcasts!$D$10:'Podcasts'!$D$2535=$B168,Podcasts!$E$10:'Podcasts'!$E$2535),COLUMN(G131)))</f>
        <v/>
      </c>
      <c r="Y168" s="132" t="str">
        <f t="array" ref="Y168">IF(X168="","",INDEX(Podcasts!$F$10:'Podcasts'!$F$2535,MATCH(X168&amp;$B168,Podcasts!$E$10:'Podcasts'!$E$2535&amp;Podcasts!$D$10:'Podcasts'!$D$2535,0)))</f>
        <v/>
      </c>
      <c r="Z168" s="136" t="str">
        <f t="array" ref="Z168">IF(AA168="","",INDEX(Podcasts!$J$10:'Podcasts'!$J$2535,MATCH(AA168&amp;$B168,Podcasts!$E$10:'Podcasts'!$E$2535&amp;Podcasts!$D$10:'Podcasts'!$D$2535,0)))</f>
        <v/>
      </c>
      <c r="AA168" s="134" t="str">
        <f t="array" ref="AA168">IF(COUNTIF(Podcasts!$D$10:'Podcasts'!$D$2535,$B168)&lt;COLUMN(H131),"",SMALL(IF(Podcasts!$D$10:'Podcasts'!$D$2535=$B168,Podcasts!$E$10:'Podcasts'!$E$2535),COLUMN(H131)))</f>
        <v/>
      </c>
      <c r="AB168" s="404" t="str">
        <f t="array" ref="AB168">IF(AA168="","",INDEX(Podcasts!$F$10:'Podcasts'!$F$2535,MATCH(AA168&amp;$B168,Podcasts!$E$10:'Podcasts'!$E$2535&amp;Podcasts!$D$10:'Podcasts'!$D$2535,0)))</f>
        <v/>
      </c>
      <c r="AC168" s="406" t="str">
        <f t="array" ref="AC168">IF(AD168="","",INDEX(Podcasts!$J$10:'Podcasts'!$J$2535,MATCH(AD168&amp;$B168,Podcasts!$E$10:'Podcasts'!$E$2535&amp;Podcasts!$D$10:'Podcasts'!$D$2535,0)))</f>
        <v/>
      </c>
      <c r="AD168" s="400" t="str">
        <f t="array" ref="AD168">IF(COUNTIF(Podcasts!$D$10:'Podcasts'!$D$2535,$B168)&lt;COLUMN(I131),"",SMALL(IF(Podcasts!$D$10:'Podcasts'!$D$2535=$B168,Podcasts!$E$10:'Podcasts'!$E$2535),COLUMN(I131)))</f>
        <v/>
      </c>
      <c r="AE168" s="401" t="str">
        <f t="array" ref="AE168">IF(AD168="","",INDEX(Podcasts!$F$10:'Podcasts'!$F$2535,MATCH(AD168&amp;$B168,Podcasts!$E$10:'Podcasts'!$E$2535&amp;Podcasts!$D$10:'Podcasts'!$D$2535,0)))</f>
        <v/>
      </c>
      <c r="AF168" s="406" t="str">
        <f t="array" ref="AF168">IF(AG168="","",INDEX(Podcasts!$J$10:'Podcasts'!$J$2535,MATCH(AG168&amp;$B168,Podcasts!$E$10:'Podcasts'!$E$2535&amp;Podcasts!$D$10:'Podcasts'!$D$2535,0)))</f>
        <v/>
      </c>
      <c r="AG168" s="400" t="str">
        <f t="array" ref="AG168">IF(COUNTIF(Podcasts!$D$10:'Podcasts'!$D$2535,$B168)&lt;COLUMN(J131),"",SMALL(IF(Podcasts!$D$10:'Podcasts'!$D$2535=$B168,Podcasts!$E$10:'Podcasts'!$E$2535),COLUMN(J131)))</f>
        <v/>
      </c>
      <c r="AH168" s="401" t="str">
        <f t="array" ref="AH168">IF(AG168="","",INDEX(Podcasts!$F$10:'Podcasts'!$F$2535,MATCH(AG168&amp;$B168,Podcasts!$E$10:'Podcasts'!$E$2535&amp;Podcasts!$D$10:'Podcasts'!$D$2535,0)))</f>
        <v/>
      </c>
      <c r="AI168" s="406" t="str">
        <f t="array" ref="AI168">IF(AJ168="","",INDEX(Podcasts!$J$10:'Podcasts'!$J$2535,MATCH(AJ168&amp;$B168,Podcasts!$E$10:'Podcasts'!$E$2535&amp;Podcasts!$D$10:'Podcasts'!$D$2535,0)))</f>
        <v/>
      </c>
      <c r="AJ168" s="400" t="str">
        <f t="array" ref="AJ168">IF(COUNTIF(Podcasts!$D$10:'Podcasts'!$D$2535,$B168)&lt;COLUMN(K131),"",SMALL(IF(Podcasts!$D$10:'Podcasts'!$D$2535=$B168,Podcasts!$E$10:'Podcasts'!$E$2535),COLUMN(K131)))</f>
        <v/>
      </c>
      <c r="AK168" s="401" t="str">
        <f t="array" ref="AK168">IF(AJ168="","",INDEX(Podcasts!$F$10:'Podcasts'!$F$2535,MATCH(AJ168&amp;$B168,Podcasts!$E$10:'Podcasts'!$E$2535&amp;Podcasts!$D$10:'Podcasts'!$D$2535,0)))</f>
        <v/>
      </c>
      <c r="AL168" s="406" t="str">
        <f t="array" ref="AL168">IF(AM168="","",INDEX(Podcasts!$J$10:'Podcasts'!$J$2535,MATCH(AM168&amp;$B168,Podcasts!$E$10:'Podcasts'!$E$2535&amp;Podcasts!$D$10:'Podcasts'!$D$2535,0)))</f>
        <v/>
      </c>
      <c r="AM168" s="400" t="str">
        <f t="array" ref="AM168">IF(COUNTIF(Podcasts!$D$10:'Podcasts'!$D$2535,$B168)&lt;COLUMN(L131),"",SMALL(IF(Podcasts!$D$10:'Podcasts'!$D$2535=$B168,Podcasts!$E$10:'Podcasts'!$E$2535),COLUMN(L131)))</f>
        <v/>
      </c>
      <c r="AN168" s="401" t="str">
        <f t="array" ref="AN168">IF(AM168="","",INDEX(Podcasts!$F$10:'Podcasts'!$F$2535,MATCH(AM168&amp;$B168,Podcasts!$E$10:'Podcasts'!$E$2535&amp;Podcasts!$D$10:'Podcasts'!$D$2535,0)))</f>
        <v/>
      </c>
      <c r="AO168" s="402"/>
      <c r="AP168" s="119"/>
      <c r="AQ168" s="117">
        <f t="array" aca="1" ref="AQ168" ca="1">IFERROR(SMALL(IF(COUNTIF(Podcasts!$D$10:'Podcasts'!$D$107,ROW(INDIRECT("1:"&amp;K$2)))=0,ROW(INDIRECT("1:"&amp;K$2))),ROW($A125)),"")</f>
        <v>162</v>
      </c>
      <c r="AR168" s="117">
        <f t="array" aca="1" ref="AR168" ca="1">IFERROR(SMALL(IF(COUNTIF(Podcasts!$D$113:'Podcasts'!$D$238,ROW(INDIRECT("1:"&amp;K$2)))=0,ROW(INDIRECT("1:"&amp;K$2))),ROW($A125)),"")</f>
        <v>125</v>
      </c>
      <c r="AS168" s="117">
        <f t="array" aca="1" ref="AS168" ca="1">IFERROR(SMALL(IF(COUNTIF(Podcasts!$D$244:'Podcasts'!$D$299,ROW(INDIRECT("1:"&amp;K$2)))=0,ROW(INDIRECT("1:"&amp;K$2))),ROW($A125)),"")</f>
        <v>144</v>
      </c>
      <c r="AT168" s="117"/>
      <c r="AU168" s="117">
        <f t="array" aca="1" ref="AU168" ca="1">IFERROR(SMALL(IF(COUNTIF(Podcasts!$D$479:'Podcasts'!$D$488,ROW(INDIRECT("1:"&amp;K$2)))=0,ROW(INDIRECT("1:"&amp;K$2))),ROW($A125)),"")</f>
        <v>127</v>
      </c>
      <c r="AV168" s="117">
        <f t="array" aca="1" ref="AV168" ca="1">IFERROR(SMALL(IF(COUNTIF(Podcasts!$D$494:'Podcasts'!$D$518,ROW(INDIRECT("1:"&amp;K$2)))=0,ROW(INDIRECT("1:"&amp;K$2))),ROW($A125)),"")</f>
        <v>147</v>
      </c>
      <c r="AW168" s="117">
        <f t="array" aca="1" ref="AW168" ca="1">IFERROR(SMALL(IF(COUNTIF(Podcasts!$D$524:'Podcasts'!$D$532,ROW(INDIRECT("1:"&amp;K$2)))=0,ROW(INDIRECT("1:"&amp;K$2))),ROW($A125)),"")</f>
        <v>126</v>
      </c>
      <c r="AX168" s="117"/>
      <c r="AY168" s="117">
        <f t="array" aca="1" ref="AY168" ca="1">IFERROR(SMALL(IF(COUNTIF(Podcasts!$D$915:'Podcasts'!$D$981,ROW(INDIRECT("1:"&amp;K$2)))=0,ROW(INDIRECT("1:"&amp;K$2))),ROW($A125)),"")</f>
        <v>178</v>
      </c>
      <c r="AZ168" s="445"/>
      <c r="BA168" s="117">
        <f t="array" aca="1" ref="BA168" ca="1">IFERROR(SMALL(IF(COUNTIF(Podcasts!$D$1001:'Podcasts'!$D$1251,ROW(INDIRECT("1:"&amp;K$2)))=0,ROW(INDIRECT("1:"&amp;K$2))),ROW($A125)),"")</f>
        <v>174</v>
      </c>
      <c r="BB168" s="117">
        <f t="array" aca="1" ref="BB168" ca="1">IFERROR(SMALL(IF(COUNTIF(Podcasts!$D$1257:'Podcasts'!$D$1267,ROW(INDIRECT("1:"&amp;K$2)))=0,ROW(INDIRECT("1:"&amp;K$2))),ROW($A125)),"")</f>
        <v>130</v>
      </c>
      <c r="BC168" s="117">
        <f t="array" aca="1" ref="BC168" ca="1">IFERROR(SMALL(IF(COUNTIF(Podcasts!$D$1273:'Podcasts'!$D$1283,ROW(INDIRECT("1:"&amp;K$2)))=0,ROW(INDIRECT("1:"&amp;K$2))),ROW($A125)),"")</f>
        <v>129</v>
      </c>
      <c r="BD168" s="117">
        <f t="array" aca="1" ref="BD168" ca="1">IFERROR(SMALL(IF(COUNTIF(Podcasts!$D$1289:'Podcasts'!$D$1295,ROW(INDIRECT("1:"&amp;K$2)))=0,ROW(INDIRECT("1:"&amp;K$2))),ROW($A125)),"")</f>
        <v>130</v>
      </c>
      <c r="BE168" s="117">
        <f t="array" aca="1" ref="BE168" ca="1">IFERROR(SMALL(IF(COUNTIF(Podcasts!$D$1301:'Podcasts'!$D$1356,ROW(INDIRECT("1:"&amp;K$2)))=0,ROW(INDIRECT("1:"&amp;K$2))),ROW($A125)),"")</f>
        <v>172</v>
      </c>
      <c r="BF168" s="117">
        <f t="array" aca="1" ref="BF168" ca="1">IFERROR(SMALL(IF(COUNTIF(Podcasts!$D$1362:'Podcasts'!$D$1364,ROW(INDIRECT("1:"&amp;K$2)))=0,ROW(INDIRECT("1:"&amp;K$2))),ROW($A125)),"")</f>
        <v>128</v>
      </c>
      <c r="BG168" s="202">
        <f t="array" aca="1" ref="BG168" ca="1">IFERROR(SMALL(IF(COUNTIF(Podcasts!$D$1370:'Podcasts'!$D$1419,ROW(INDIRECT("1:"&amp;K$2)))=0,ROW(INDIRECT("1:"&amp;K$2))),ROW($A125)),"")</f>
        <v>157</v>
      </c>
      <c r="BH168" s="202">
        <f t="array" aca="1" ref="BH168" ca="1">IFERROR(SMALL(IF(COUNTIF(Podcasts!$D$1425:'Podcasts'!$D$1446,ROW(INDIRECT("1:"&amp;K$2)))=0,ROW(INDIRECT("1:"&amp;K$2))),ROW($A125)),"")</f>
        <v>135</v>
      </c>
      <c r="BI168" s="202">
        <f t="array" aca="1" ref="BI168" ca="1">IFERROR(SMALL(IF(COUNTIF(Podcasts!$D$1452:'Podcasts'!$D$1574,ROW(INDIRECT("1:"&amp;K$2)))=0,ROW(INDIRECT("1:"&amp;K$2))),ROW($A125)),"")</f>
        <v>200</v>
      </c>
      <c r="BJ168" s="202">
        <f t="array" aca="1" ref="BJ168" ca="1">IFERROR(SMALL(IF(COUNTIF(Podcasts!$D$1580:'Podcasts'!$D$1705,ROW(INDIRECT("1:"&amp;K$2)))=0,ROW(INDIRECT("1:"&amp;K$2))),ROW($A125)),"")</f>
        <v>202</v>
      </c>
      <c r="BK168" s="202">
        <f t="array" aca="1" ref="BK168" ca="1">IFERROR(SMALL(IF(COUNTIF(Podcasts!$D$1711:'Podcasts'!$D$1833,ROW(INDIRECT("1:"&amp;K$2)))=0,ROW(INDIRECT("1:"&amp;K$2))),ROW($A125)),"")</f>
        <v>194</v>
      </c>
      <c r="BL168" s="202">
        <f t="array" aca="1" ref="BL168" ca="1">IFERROR(SMALL(IF(COUNTIF(Podcasts!$D$1839:'Podcasts'!$D$1855,ROW(INDIRECT("1:"&amp;K$2)))=0,ROW(INDIRECT("1:"&amp;K$2))),ROW($A125)),"")</f>
        <v>134</v>
      </c>
      <c r="BM168" s="567">
        <f t="array" aca="1" ref="BM168" ca="1">IFERROR(SMALL(IF(COUNTIF(Podcasts!$D$1861:'Podcasts'!$D$1994,ROW(INDIRECT("1:"&amp;K$2)))=0,ROW(INDIRECT("1:"&amp;K$2))),ROW($A125)),"")</f>
        <v>170</v>
      </c>
      <c r="BN168" s="567">
        <f t="array" aca="1" ref="BN168" ca="1">IFERROR(SMALL(IF(COUNTIF(Podcasts!$D$2000:'Podcasts'!$D$2057,ROW(INDIRECT("1:"&amp;K$2)))=0,ROW(INDIRECT("1:"&amp;K$2))),ROW($A125)),"")</f>
        <v>180</v>
      </c>
      <c r="BO168" s="567">
        <f t="array" aca="1" ref="BO168" ca="1">IFERROR(SMALL(IF(COUNTIF(Podcasts!$D$2063:'Podcasts'!$D$2071,ROW(INDIRECT("1:"&amp;K$2)))=0,ROW(INDIRECT("1:"&amp;K$2))),ROW($A125)),"")</f>
        <v>132</v>
      </c>
      <c r="BP168" s="202">
        <f t="array" aca="1" ref="BP168" ca="1">IFERROR(SMALL(IF(COUNTIF(Podcasts!$D$2077:'Podcasts'!$D$2092,ROW(INDIRECT("1:"&amp;K$2)))=0,ROW(INDIRECT("1:"&amp;K$2))),ROW($A125)),"")</f>
        <v>136</v>
      </c>
      <c r="BQ168" s="741">
        <f t="array" aca="1" ref="BQ168" ca="1">IFERROR(SMALL(IF(COUNTIF(Podcasts!$D$2098:'Podcasts'!$D$2114,ROW(INDIRECT("1:"&amp;K$2)))=0,ROW(INDIRECT("1:"&amp;K$2))),ROW($A125)),"")</f>
        <v>136</v>
      </c>
      <c r="BR168" s="744">
        <f t="array" aca="1" ref="BR168" ca="1">IFERROR(SMALL(IF(COUNTIF(Podcasts!$D$2120:'Podcasts'!$D$2124,ROW(INDIRECT("1:"&amp;K$2)))=0,ROW(INDIRECT("1:"&amp;K$2))),ROW($A125)),"")</f>
        <v>127</v>
      </c>
      <c r="BS168" s="28"/>
    </row>
    <row r="169" spans="1:71" outlineLevel="1">
      <c r="A169" s="28"/>
      <c r="B169" s="161">
        <v>126</v>
      </c>
      <c r="C169" s="161">
        <f>COUNTIF(Podcasts!$D$10:'Podcasts'!$D$2535,B169)</f>
        <v>6</v>
      </c>
      <c r="D169" s="158" t="s">
        <v>1152</v>
      </c>
      <c r="E169" s="156" t="str">
        <f t="array" ref="E169">IF(F169="","",INDEX(Podcasts!$J$10:'Podcasts'!$J$2535,MATCH(F169&amp;$B169,Podcasts!$E$10:'Podcasts'!$E$2535&amp;Podcasts!$D$10:'Podcasts'!$D$2535,0)))</f>
        <v>Fürst</v>
      </c>
      <c r="F169" s="131">
        <f t="array" ref="F169">IF(COUNTIF(Podcasts!$D$10:'Podcasts'!$D$2535,$B169)&lt;COLUMN(A132),"",SMALL(IF(Podcasts!$D$10:'Podcasts'!$D$2535=$B169,Podcasts!$E$10:'Podcasts'!$E$2535),COLUMN(A132)))</f>
        <v>41731</v>
      </c>
      <c r="G169" s="132">
        <f t="array" ref="G169">IF(F169="","",INDEX(Podcasts!$F$10:'Podcasts'!$F$2535,MATCH(F169&amp;$B169,Podcasts!$E$10:'Podcasts'!$E$2535&amp;Podcasts!$D$10:'Podcasts'!$D$2535,0)))</f>
        <v>5.5555555555555566E-3</v>
      </c>
      <c r="H169" s="136" t="str">
        <f t="array" ref="H169">IF(I169="","",INDEX(Podcasts!$J$10:'Podcasts'!$J$2535,MATCH(I169&amp;$B169,Podcasts!$E$10:'Podcasts'!$E$2535&amp;Podcasts!$D$10:'Podcasts'!$D$2535,0)))</f>
        <v>Verstärker</v>
      </c>
      <c r="I169" s="133">
        <f t="array" ref="I169">IF(COUNTIF(Podcasts!$D$10:'Podcasts'!$D$2535,$B169)&lt;COLUMN(B132),"",SMALL(IF(Podcasts!$D$10:'Podcasts'!$D$2535=$B169,Podcasts!$E$10:'Podcasts'!$E$2535),COLUMN(B132)))</f>
        <v>44595</v>
      </c>
      <c r="J169" s="132">
        <f t="array" ref="J169">IF(I169="","",INDEX(Podcasts!$F$10:'Podcasts'!$F$2535,MATCH(I169&amp;$B169,Podcasts!$E$10:'Podcasts'!$E$2535&amp;Podcasts!$D$10:'Podcasts'!$D$2535,0)))</f>
        <v>2.2685185185185183E-2</v>
      </c>
      <c r="K169" s="136" t="str">
        <f t="array" ref="K169">IF(L169="","",INDEX(Podcasts!$J$10:'Podcasts'!$J$2535,MATCH(L169&amp;$B169,Podcasts!$E$10:'Podcasts'!$E$2535&amp;Podcasts!$D$10:'Podcasts'!$D$2535,0)))</f>
        <v>SSP</v>
      </c>
      <c r="L169" s="133">
        <f t="array" ref="L169">IF(COUNTIF(Podcasts!$D$10:'Podcasts'!$D$2535,$B169)&lt;COLUMN(C132),"",SMALL(IF(Podcasts!$D$10:'Podcasts'!$D$2535=$B169,Podcasts!$E$10:'Podcasts'!$E$2535),COLUMN(C132)))</f>
        <v>44602</v>
      </c>
      <c r="M169" s="132">
        <f t="array" ref="M169">IF(L169="","",INDEX(Podcasts!$F$10:'Podcasts'!$F$2535,MATCH(L169&amp;$B169,Podcasts!$E$10:'Podcasts'!$E$2535&amp;Podcasts!$D$10:'Podcasts'!$D$2535,0)))</f>
        <v>9.4467592592592589E-2</v>
      </c>
      <c r="N169" s="136" t="str">
        <f t="array" ref="N169">IF(O169="","",INDEX(Podcasts!$J$10:'Podcasts'!$J$2535,MATCH(O169&amp;$B169,Podcasts!$E$10:'Podcasts'!$E$2535&amp;Podcasts!$D$10:'Podcasts'!$D$2535,0)))</f>
        <v>Kaffee</v>
      </c>
      <c r="O169" s="133">
        <f t="array" ref="O169">IF(COUNTIF(Podcasts!$D$10:'Podcasts'!$D$2535,$B169)&lt;COLUMN(D132),"",SMALL(IF(Podcasts!$D$10:'Podcasts'!$D$2535=$B169,Podcasts!$E$10:'Podcasts'!$E$2535),COLUMN(D132)))</f>
        <v>44855</v>
      </c>
      <c r="P169" s="132">
        <f t="array" ref="P169">IF(O169="","",INDEX(Podcasts!$F$10:'Podcasts'!$F$2535,MATCH(O169&amp;$B169,Podcasts!$E$10:'Podcasts'!$E$2535&amp;Podcasts!$D$10:'Podcasts'!$D$2535,0)))</f>
        <v>3.5636574074074077E-2</v>
      </c>
      <c r="Q169" s="136" t="str">
        <f t="array" ref="Q169">IF(R169="","",INDEX(Podcasts!$J$10:'Podcasts'!$J$2535,MATCH(R169&amp;$B169,Podcasts!$E$10:'Podcasts'!$E$2535&amp;Podcasts!$D$10:'Podcasts'!$D$2535,0)))</f>
        <v>Zentrale</v>
      </c>
      <c r="R169" s="133">
        <f t="array" ref="R169">IF(COUNTIF(Podcasts!$D$10:'Podcasts'!$D$2535,$B169)&lt;COLUMN(E132),"",SMALL(IF(Podcasts!$D$10:'Podcasts'!$D$2535=$B169,Podcasts!$E$10:'Podcasts'!$E$2535),COLUMN(E132)))</f>
        <v>45212</v>
      </c>
      <c r="S169" s="132">
        <f t="array" ref="S169">IF(R169="","",INDEX(Podcasts!$F$10:'Podcasts'!$F$2535,MATCH(R169&amp;$B169,Podcasts!$E$10:'Podcasts'!$E$2535&amp;Podcasts!$D$10:'Podcasts'!$D$2535,0)))</f>
        <v>8.4780092592592601E-2</v>
      </c>
      <c r="T169" s="136" t="str">
        <f t="array" ref="T169">IF(U169="","",INDEX(Podcasts!$J$10:'Podcasts'!$J$2535,MATCH(U169&amp;$B169,Podcasts!$E$10:'Podcasts'!$E$2535&amp;Podcasts!$D$10:'Podcasts'!$D$2535,0)))</f>
        <v>Zw3i</v>
      </c>
      <c r="U169" s="133">
        <f t="array" ref="U169">IF(COUNTIF(Podcasts!$D$10:'Podcasts'!$D$2535,$B169)&lt;COLUMN(F132),"",SMALL(IF(Podcasts!$D$10:'Podcasts'!$D$2535=$B169,Podcasts!$E$10:'Podcasts'!$E$2535),COLUMN(F132)))</f>
        <v>45387</v>
      </c>
      <c r="V169" s="132">
        <f t="array" ref="V169">IF(U169="","",INDEX(Podcasts!$F$10:'Podcasts'!$F$2535,MATCH(U169&amp;$B169,Podcasts!$E$10:'Podcasts'!$E$2535&amp;Podcasts!$D$10:'Podcasts'!$D$2535,0)))</f>
        <v>0.11252314814814815</v>
      </c>
      <c r="W169" s="136" t="str">
        <f t="array" ref="W169">IF(X169="","",INDEX(Podcasts!$J$10:'Podcasts'!$J$2535,MATCH(X169&amp;$B169,Podcasts!$E$10:'Podcasts'!$E$2535&amp;Podcasts!$D$10:'Podcasts'!$D$2535,0)))</f>
        <v/>
      </c>
      <c r="X169" s="133" t="str">
        <f t="array" ref="X169">IF(COUNTIF(Podcasts!$D$10:'Podcasts'!$D$2535,$B169)&lt;COLUMN(G132),"",SMALL(IF(Podcasts!$D$10:'Podcasts'!$D$2535=$B169,Podcasts!$E$10:'Podcasts'!$E$2535),COLUMN(G132)))</f>
        <v/>
      </c>
      <c r="Y169" s="132" t="str">
        <f t="array" ref="Y169">IF(X169="","",INDEX(Podcasts!$F$10:'Podcasts'!$F$2535,MATCH(X169&amp;$B169,Podcasts!$E$10:'Podcasts'!$E$2535&amp;Podcasts!$D$10:'Podcasts'!$D$2535,0)))</f>
        <v/>
      </c>
      <c r="Z169" s="136" t="str">
        <f t="array" ref="Z169">IF(AA169="","",INDEX(Podcasts!$J$10:'Podcasts'!$J$2535,MATCH(AA169&amp;$B169,Podcasts!$E$10:'Podcasts'!$E$2535&amp;Podcasts!$D$10:'Podcasts'!$D$2535,0)))</f>
        <v/>
      </c>
      <c r="AA169" s="134" t="str">
        <f t="array" ref="AA169">IF(COUNTIF(Podcasts!$D$10:'Podcasts'!$D$2535,$B169)&lt;COLUMN(H132),"",SMALL(IF(Podcasts!$D$10:'Podcasts'!$D$2535=$B169,Podcasts!$E$10:'Podcasts'!$E$2535),COLUMN(H132)))</f>
        <v/>
      </c>
      <c r="AB169" s="404" t="str">
        <f t="array" ref="AB169">IF(AA169="","",INDEX(Podcasts!$F$10:'Podcasts'!$F$2535,MATCH(AA169&amp;$B169,Podcasts!$E$10:'Podcasts'!$E$2535&amp;Podcasts!$D$10:'Podcasts'!$D$2535,0)))</f>
        <v/>
      </c>
      <c r="AC169" s="406" t="str">
        <f t="array" ref="AC169">IF(AD169="","",INDEX(Podcasts!$J$10:'Podcasts'!$J$2535,MATCH(AD169&amp;$B169,Podcasts!$E$10:'Podcasts'!$E$2535&amp;Podcasts!$D$10:'Podcasts'!$D$2535,0)))</f>
        <v/>
      </c>
      <c r="AD169" s="400" t="str">
        <f t="array" ref="AD169">IF(COUNTIF(Podcasts!$D$10:'Podcasts'!$D$2535,$B169)&lt;COLUMN(I132),"",SMALL(IF(Podcasts!$D$10:'Podcasts'!$D$2535=$B169,Podcasts!$E$10:'Podcasts'!$E$2535),COLUMN(I132)))</f>
        <v/>
      </c>
      <c r="AE169" s="401" t="str">
        <f t="array" ref="AE169">IF(AD169="","",INDEX(Podcasts!$F$10:'Podcasts'!$F$2535,MATCH(AD169&amp;$B169,Podcasts!$E$10:'Podcasts'!$E$2535&amp;Podcasts!$D$10:'Podcasts'!$D$2535,0)))</f>
        <v/>
      </c>
      <c r="AF169" s="406" t="str">
        <f t="array" ref="AF169">IF(AG169="","",INDEX(Podcasts!$J$10:'Podcasts'!$J$2535,MATCH(AG169&amp;$B169,Podcasts!$E$10:'Podcasts'!$E$2535&amp;Podcasts!$D$10:'Podcasts'!$D$2535,0)))</f>
        <v/>
      </c>
      <c r="AG169" s="400" t="str">
        <f t="array" ref="AG169">IF(COUNTIF(Podcasts!$D$10:'Podcasts'!$D$2535,$B169)&lt;COLUMN(J132),"",SMALL(IF(Podcasts!$D$10:'Podcasts'!$D$2535=$B169,Podcasts!$E$10:'Podcasts'!$E$2535),COLUMN(J132)))</f>
        <v/>
      </c>
      <c r="AH169" s="401" t="str">
        <f t="array" ref="AH169">IF(AG169="","",INDEX(Podcasts!$F$10:'Podcasts'!$F$2535,MATCH(AG169&amp;$B169,Podcasts!$E$10:'Podcasts'!$E$2535&amp;Podcasts!$D$10:'Podcasts'!$D$2535,0)))</f>
        <v/>
      </c>
      <c r="AI169" s="406" t="str">
        <f t="array" ref="AI169">IF(AJ169="","",INDEX(Podcasts!$J$10:'Podcasts'!$J$2535,MATCH(AJ169&amp;$B169,Podcasts!$E$10:'Podcasts'!$E$2535&amp;Podcasts!$D$10:'Podcasts'!$D$2535,0)))</f>
        <v/>
      </c>
      <c r="AJ169" s="400" t="str">
        <f t="array" ref="AJ169">IF(COUNTIF(Podcasts!$D$10:'Podcasts'!$D$2535,$B169)&lt;COLUMN(K132),"",SMALL(IF(Podcasts!$D$10:'Podcasts'!$D$2535=$B169,Podcasts!$E$10:'Podcasts'!$E$2535),COLUMN(K132)))</f>
        <v/>
      </c>
      <c r="AK169" s="401" t="str">
        <f t="array" ref="AK169">IF(AJ169="","",INDEX(Podcasts!$F$10:'Podcasts'!$F$2535,MATCH(AJ169&amp;$B169,Podcasts!$E$10:'Podcasts'!$E$2535&amp;Podcasts!$D$10:'Podcasts'!$D$2535,0)))</f>
        <v/>
      </c>
      <c r="AL169" s="406" t="str">
        <f t="array" ref="AL169">IF(AM169="","",INDEX(Podcasts!$J$10:'Podcasts'!$J$2535,MATCH(AM169&amp;$B169,Podcasts!$E$10:'Podcasts'!$E$2535&amp;Podcasts!$D$10:'Podcasts'!$D$2535,0)))</f>
        <v/>
      </c>
      <c r="AM169" s="400" t="str">
        <f t="array" ref="AM169">IF(COUNTIF(Podcasts!$D$10:'Podcasts'!$D$2535,$B169)&lt;COLUMN(L132),"",SMALL(IF(Podcasts!$D$10:'Podcasts'!$D$2535=$B169,Podcasts!$E$10:'Podcasts'!$E$2535),COLUMN(L132)))</f>
        <v/>
      </c>
      <c r="AN169" s="401" t="str">
        <f t="array" ref="AN169">IF(AM169="","",INDEX(Podcasts!$F$10:'Podcasts'!$F$2535,MATCH(AM169&amp;$B169,Podcasts!$E$10:'Podcasts'!$E$2535&amp;Podcasts!$D$10:'Podcasts'!$D$2535,0)))</f>
        <v/>
      </c>
      <c r="AO169" s="402"/>
      <c r="AP169" s="119"/>
      <c r="AQ169" s="117">
        <f t="array" aca="1" ref="AQ169" ca="1">IFERROR(SMALL(IF(COUNTIF(Podcasts!$D$10:'Podcasts'!$D$107,ROW(INDIRECT("1:"&amp;K$2)))=0,ROW(INDIRECT("1:"&amp;K$2))),ROW($A126)),"")</f>
        <v>166</v>
      </c>
      <c r="AR169" s="117">
        <f t="array" aca="1" ref="AR169" ca="1">IFERROR(SMALL(IF(COUNTIF(Podcasts!$D$113:'Podcasts'!$D$238,ROW(INDIRECT("1:"&amp;K$2)))=0,ROW(INDIRECT("1:"&amp;K$2))),ROW($A126)),"")</f>
        <v>126</v>
      </c>
      <c r="AS169" s="117">
        <f t="array" aca="1" ref="AS169" ca="1">IFERROR(SMALL(IF(COUNTIF(Podcasts!$D$244:'Podcasts'!$D$299,ROW(INDIRECT("1:"&amp;K$2)))=0,ROW(INDIRECT("1:"&amp;K$2))),ROW($A126)),"")</f>
        <v>145</v>
      </c>
      <c r="AT169" s="117"/>
      <c r="AU169" s="117">
        <f t="array" aca="1" ref="AU169" ca="1">IFERROR(SMALL(IF(COUNTIF(Podcasts!$D$479:'Podcasts'!$D$488,ROW(INDIRECT("1:"&amp;K$2)))=0,ROW(INDIRECT("1:"&amp;K$2))),ROW($A126)),"")</f>
        <v>128</v>
      </c>
      <c r="AV169" s="117">
        <f t="array" aca="1" ref="AV169" ca="1">IFERROR(SMALL(IF(COUNTIF(Podcasts!$D$494:'Podcasts'!$D$518,ROW(INDIRECT("1:"&amp;K$2)))=0,ROW(INDIRECT("1:"&amp;K$2))),ROW($A126)),"")</f>
        <v>148</v>
      </c>
      <c r="AW169" s="117">
        <f t="array" aca="1" ref="AW169" ca="1">IFERROR(SMALL(IF(COUNTIF(Podcasts!$D$524:'Podcasts'!$D$532,ROW(INDIRECT("1:"&amp;K$2)))=0,ROW(INDIRECT("1:"&amp;K$2))),ROW($A126)),"")</f>
        <v>127</v>
      </c>
      <c r="AX169" s="117"/>
      <c r="AY169" s="117">
        <f t="array" aca="1" ref="AY169" ca="1">IFERROR(SMALL(IF(COUNTIF(Podcasts!$D$915:'Podcasts'!$D$981,ROW(INDIRECT("1:"&amp;K$2)))=0,ROW(INDIRECT("1:"&amp;K$2))),ROW($A126)),"")</f>
        <v>179</v>
      </c>
      <c r="AZ169" s="445"/>
      <c r="BA169" s="117">
        <f t="array" aca="1" ref="BA169" ca="1">IFERROR(SMALL(IF(COUNTIF(Podcasts!$D$1001:'Podcasts'!$D$1251,ROW(INDIRECT("1:"&amp;K$2)))=0,ROW(INDIRECT("1:"&amp;K$2))),ROW($A126)),"")</f>
        <v>175</v>
      </c>
      <c r="BB169" s="117">
        <f t="array" aca="1" ref="BB169" ca="1">IFERROR(SMALL(IF(COUNTIF(Podcasts!$D$1257:'Podcasts'!$D$1267,ROW(INDIRECT("1:"&amp;K$2)))=0,ROW(INDIRECT("1:"&amp;K$2))),ROW($A126)),"")</f>
        <v>131</v>
      </c>
      <c r="BC169" s="117">
        <f t="array" aca="1" ref="BC169" ca="1">IFERROR(SMALL(IF(COUNTIF(Podcasts!$D$1273:'Podcasts'!$D$1283,ROW(INDIRECT("1:"&amp;K$2)))=0,ROW(INDIRECT("1:"&amp;K$2))),ROW($A126)),"")</f>
        <v>130</v>
      </c>
      <c r="BD169" s="117">
        <f t="array" aca="1" ref="BD169" ca="1">IFERROR(SMALL(IF(COUNTIF(Podcasts!$D$1289:'Podcasts'!$D$1295,ROW(INDIRECT("1:"&amp;K$2)))=0,ROW(INDIRECT("1:"&amp;K$2))),ROW($A126)),"")</f>
        <v>131</v>
      </c>
      <c r="BE169" s="117">
        <f t="array" aca="1" ref="BE169" ca="1">IFERROR(SMALL(IF(COUNTIF(Podcasts!$D$1301:'Podcasts'!$D$1356,ROW(INDIRECT("1:"&amp;K$2)))=0,ROW(INDIRECT("1:"&amp;K$2))),ROW($A126)),"")</f>
        <v>173</v>
      </c>
      <c r="BF169" s="117">
        <f t="array" aca="1" ref="BF169" ca="1">IFERROR(SMALL(IF(COUNTIF(Podcasts!$D$1362:'Podcasts'!$D$1364,ROW(INDIRECT("1:"&amp;K$2)))=0,ROW(INDIRECT("1:"&amp;K$2))),ROW($A126)),"")</f>
        <v>129</v>
      </c>
      <c r="BG169" s="202">
        <f t="array" aca="1" ref="BG169" ca="1">IFERROR(SMALL(IF(COUNTIF(Podcasts!$D$1370:'Podcasts'!$D$1419,ROW(INDIRECT("1:"&amp;K$2)))=0,ROW(INDIRECT("1:"&amp;K$2))),ROW($A126)),"")</f>
        <v>158</v>
      </c>
      <c r="BH169" s="202">
        <f t="array" aca="1" ref="BH169" ca="1">IFERROR(SMALL(IF(COUNTIF(Podcasts!$D$1425:'Podcasts'!$D$1446,ROW(INDIRECT("1:"&amp;K$2)))=0,ROW(INDIRECT("1:"&amp;K$2))),ROW($A126)),"")</f>
        <v>136</v>
      </c>
      <c r="BI169" s="202">
        <f t="array" aca="1" ref="BI169" ca="1">IFERROR(SMALL(IF(COUNTIF(Podcasts!$D$1452:'Podcasts'!$D$1574,ROW(INDIRECT("1:"&amp;K$2)))=0,ROW(INDIRECT("1:"&amp;K$2))),ROW($A126)),"")</f>
        <v>201</v>
      </c>
      <c r="BJ169" s="202">
        <f t="array" aca="1" ref="BJ169" ca="1">IFERROR(SMALL(IF(COUNTIF(Podcasts!$D$1580:'Podcasts'!$D$1705,ROW(INDIRECT("1:"&amp;K$2)))=0,ROW(INDIRECT("1:"&amp;K$2))),ROW($A126)),"")</f>
        <v>203</v>
      </c>
      <c r="BK169" s="202">
        <f t="array" aca="1" ref="BK169" ca="1">IFERROR(SMALL(IF(COUNTIF(Podcasts!$D$1711:'Podcasts'!$D$1833,ROW(INDIRECT("1:"&amp;K$2)))=0,ROW(INDIRECT("1:"&amp;K$2))),ROW($A126)),"")</f>
        <v>195</v>
      </c>
      <c r="BL169" s="202">
        <f t="array" aca="1" ref="BL169" ca="1">IFERROR(SMALL(IF(COUNTIF(Podcasts!$D$1839:'Podcasts'!$D$1855,ROW(INDIRECT("1:"&amp;K$2)))=0,ROW(INDIRECT("1:"&amp;K$2))),ROW($A126)),"")</f>
        <v>135</v>
      </c>
      <c r="BM169" s="567">
        <f t="array" aca="1" ref="BM169" ca="1">IFERROR(SMALL(IF(COUNTIF(Podcasts!$D$1861:'Podcasts'!$D$1994,ROW(INDIRECT("1:"&amp;K$2)))=0,ROW(INDIRECT("1:"&amp;K$2))),ROW($A126)),"")</f>
        <v>171</v>
      </c>
      <c r="BN169" s="567">
        <f t="array" aca="1" ref="BN169" ca="1">IFERROR(SMALL(IF(COUNTIF(Podcasts!$D$2000:'Podcasts'!$D$2057,ROW(INDIRECT("1:"&amp;K$2)))=0,ROW(INDIRECT("1:"&amp;K$2))),ROW($A126)),"")</f>
        <v>181</v>
      </c>
      <c r="BO169" s="567">
        <f t="array" aca="1" ref="BO169" ca="1">IFERROR(SMALL(IF(COUNTIF(Podcasts!$D$2063:'Podcasts'!$D$2071,ROW(INDIRECT("1:"&amp;K$2)))=0,ROW(INDIRECT("1:"&amp;K$2))),ROW($A126)),"")</f>
        <v>133</v>
      </c>
      <c r="BP169" s="202">
        <f t="array" aca="1" ref="BP169" ca="1">IFERROR(SMALL(IF(COUNTIF(Podcasts!$D$2077:'Podcasts'!$D$2092,ROW(INDIRECT("1:"&amp;K$2)))=0,ROW(INDIRECT("1:"&amp;K$2))),ROW($A126)),"")</f>
        <v>137</v>
      </c>
      <c r="BQ169" s="741">
        <f t="array" aca="1" ref="BQ169" ca="1">IFERROR(SMALL(IF(COUNTIF(Podcasts!$D$2098:'Podcasts'!$D$2114,ROW(INDIRECT("1:"&amp;K$2)))=0,ROW(INDIRECT("1:"&amp;K$2))),ROW($A126)),"")</f>
        <v>137</v>
      </c>
      <c r="BR169" s="744">
        <f t="array" aca="1" ref="BR169" ca="1">IFERROR(SMALL(IF(COUNTIF(Podcasts!$D$2120:'Podcasts'!$D$2124,ROW(INDIRECT("1:"&amp;K$2)))=0,ROW(INDIRECT("1:"&amp;K$2))),ROW($A126)),"")</f>
        <v>128</v>
      </c>
      <c r="BS169" s="28"/>
    </row>
    <row r="170" spans="1:71" outlineLevel="1">
      <c r="A170" s="28"/>
      <c r="B170" s="161">
        <v>127</v>
      </c>
      <c r="C170" s="161">
        <f>COUNTIF(Podcasts!$D$10:'Podcasts'!$D$2535,B170)</f>
        <v>5</v>
      </c>
      <c r="D170" s="158" t="s">
        <v>1153</v>
      </c>
      <c r="E170" s="156" t="str">
        <f t="array" ref="E170">IF(F170="","",INDEX(Podcasts!$J$10:'Podcasts'!$J$2535,MATCH(F170&amp;$B170,Podcasts!$E$10:'Podcasts'!$E$2535&amp;Podcasts!$D$10:'Podcasts'!$D$2535,0)))</f>
        <v>Zw3i</v>
      </c>
      <c r="F170" s="131">
        <f t="array" ref="F170">IF(COUNTIF(Podcasts!$D$10:'Podcasts'!$D$2535,$B170)&lt;COLUMN(A133),"",SMALL(IF(Podcasts!$D$10:'Podcasts'!$D$2535=$B170,Podcasts!$E$10:'Podcasts'!$E$2535),COLUMN(A133)))</f>
        <v>44406</v>
      </c>
      <c r="G170" s="132">
        <f t="array" ref="G170">IF(F170="","",INDEX(Podcasts!$F$10:'Podcasts'!$F$2535,MATCH(F170&amp;$B170,Podcasts!$E$10:'Podcasts'!$E$2535&amp;Podcasts!$D$10:'Podcasts'!$D$2535,0)))</f>
        <v>7.2233796296296296E-2</v>
      </c>
      <c r="H170" s="136" t="str">
        <f t="array" ref="H170">IF(I170="","",INDEX(Podcasts!$J$10:'Podcasts'!$J$2535,MATCH(I170&amp;$B170,Podcasts!$E$10:'Podcasts'!$E$2535&amp;Podcasts!$D$10:'Podcasts'!$D$2535,0)))</f>
        <v>Kuchen</v>
      </c>
      <c r="I170" s="133">
        <f t="array" ref="I170">IF(COUNTIF(Podcasts!$D$10:'Podcasts'!$D$2535,$B170)&lt;COLUMN(B133),"",SMALL(IF(Podcasts!$D$10:'Podcasts'!$D$2535=$B170,Podcasts!$E$10:'Podcasts'!$E$2535),COLUMN(B133)))</f>
        <v>44850</v>
      </c>
      <c r="J170" s="132">
        <f t="array" ref="J170">IF(I170="","",INDEX(Podcasts!$F$10:'Podcasts'!$F$2535,MATCH(I170&amp;$B170,Podcasts!$E$10:'Podcasts'!$E$2535&amp;Podcasts!$D$10:'Podcasts'!$D$2535,0)))</f>
        <v>9.5902777777777781E-2</v>
      </c>
      <c r="K170" s="136" t="str">
        <f t="array" ref="K170">IF(L170="","",INDEX(Podcasts!$J$10:'Podcasts'!$J$2535,MATCH(L170&amp;$B170,Podcasts!$E$10:'Podcasts'!$E$2535&amp;Podcasts!$D$10:'Podcasts'!$D$2535,0)))</f>
        <v>Verstärker</v>
      </c>
      <c r="L170" s="133">
        <f t="array" ref="L170">IF(COUNTIF(Podcasts!$D$10:'Podcasts'!$D$2535,$B170)&lt;COLUMN(C133),"",SMALL(IF(Podcasts!$D$10:'Podcasts'!$D$2535=$B170,Podcasts!$E$10:'Podcasts'!$E$2535),COLUMN(C133)))</f>
        <v>44898</v>
      </c>
      <c r="M170" s="132">
        <f t="array" ref="M170">IF(L170="","",INDEX(Podcasts!$F$10:'Podcasts'!$F$2535,MATCH(L170&amp;$B170,Podcasts!$E$10:'Podcasts'!$E$2535&amp;Podcasts!$D$10:'Podcasts'!$D$2535,0)))</f>
        <v>2.3703703703703703E-2</v>
      </c>
      <c r="N170" s="136" t="str">
        <f t="array" ref="N170">IF(O170="","",INDEX(Podcasts!$J$10:'Podcasts'!$J$2535,MATCH(O170&amp;$B170,Podcasts!$E$10:'Podcasts'!$E$2535&amp;Podcasts!$D$10:'Podcasts'!$D$2535,0)))</f>
        <v>DGdB</v>
      </c>
      <c r="O170" s="133">
        <f t="array" ref="O170">IF(COUNTIF(Podcasts!$D$10:'Podcasts'!$D$2535,$B170)&lt;COLUMN(D133),"",SMALL(IF(Podcasts!$D$10:'Podcasts'!$D$2535=$B170,Podcasts!$E$10:'Podcasts'!$E$2535),COLUMN(D133)))</f>
        <v>44986.333333333336</v>
      </c>
      <c r="P170" s="132">
        <f t="array" ref="P170">IF(O170="","",INDEX(Podcasts!$F$10:'Podcasts'!$F$2535,MATCH(O170&amp;$B170,Podcasts!$E$10:'Podcasts'!$E$2535&amp;Podcasts!$D$10:'Podcasts'!$D$2535,0)))</f>
        <v>0.12762731481481482</v>
      </c>
      <c r="Q170" s="136" t="str">
        <f t="array" ref="Q170">IF(R170="","",INDEX(Podcasts!$J$10:'Podcasts'!$J$2535,MATCH(R170&amp;$B170,Podcasts!$E$10:'Podcasts'!$E$2535&amp;Podcasts!$D$10:'Podcasts'!$D$2535,0)))</f>
        <v>Kaffee</v>
      </c>
      <c r="R170" s="133">
        <f t="array" ref="R170">IF(COUNTIF(Podcasts!$D$10:'Podcasts'!$D$2535,$B170)&lt;COLUMN(E133),"",SMALL(IF(Podcasts!$D$10:'Podcasts'!$D$2535=$B170,Podcasts!$E$10:'Podcasts'!$E$2535),COLUMN(E133)))</f>
        <v>45079</v>
      </c>
      <c r="S170" s="132">
        <f t="array" ref="S170">IF(R170="","",INDEX(Podcasts!$F$10:'Podcasts'!$F$2535,MATCH(R170&amp;$B170,Podcasts!$E$10:'Podcasts'!$E$2535&amp;Podcasts!$D$10:'Podcasts'!$D$2535,0)))</f>
        <v>3.9467592592592596E-2</v>
      </c>
      <c r="T170" s="136" t="str">
        <f t="array" ref="T170">IF(U170="","",INDEX(Podcasts!$J$10:'Podcasts'!$J$2535,MATCH(U170&amp;$B170,Podcasts!$E$10:'Podcasts'!$E$2535&amp;Podcasts!$D$10:'Podcasts'!$D$2535,0)))</f>
        <v/>
      </c>
      <c r="U170" s="133" t="str">
        <f t="array" ref="U170">IF(COUNTIF(Podcasts!$D$10:'Podcasts'!$D$2535,$B170)&lt;COLUMN(F133),"",SMALL(IF(Podcasts!$D$10:'Podcasts'!$D$2535=$B170,Podcasts!$E$10:'Podcasts'!$E$2535),COLUMN(F133)))</f>
        <v/>
      </c>
      <c r="V170" s="132" t="str">
        <f t="array" ref="V170">IF(U170="","",INDEX(Podcasts!$F$10:'Podcasts'!$F$2535,MATCH(U170&amp;$B170,Podcasts!$E$10:'Podcasts'!$E$2535&amp;Podcasts!$D$10:'Podcasts'!$D$2535,0)))</f>
        <v/>
      </c>
      <c r="W170" s="136" t="str">
        <f t="array" ref="W170">IF(X170="","",INDEX(Podcasts!$J$10:'Podcasts'!$J$2535,MATCH(X170&amp;$B170,Podcasts!$E$10:'Podcasts'!$E$2535&amp;Podcasts!$D$10:'Podcasts'!$D$2535,0)))</f>
        <v/>
      </c>
      <c r="X170" s="133" t="str">
        <f t="array" ref="X170">IF(COUNTIF(Podcasts!$D$10:'Podcasts'!$D$2535,$B170)&lt;COLUMN(G133),"",SMALL(IF(Podcasts!$D$10:'Podcasts'!$D$2535=$B170,Podcasts!$E$10:'Podcasts'!$E$2535),COLUMN(G133)))</f>
        <v/>
      </c>
      <c r="Y170" s="132" t="str">
        <f t="array" ref="Y170">IF(X170="","",INDEX(Podcasts!$F$10:'Podcasts'!$F$2535,MATCH(X170&amp;$B170,Podcasts!$E$10:'Podcasts'!$E$2535&amp;Podcasts!$D$10:'Podcasts'!$D$2535,0)))</f>
        <v/>
      </c>
      <c r="Z170" s="136" t="str">
        <f t="array" ref="Z170">IF(AA170="","",INDEX(Podcasts!$J$10:'Podcasts'!$J$2535,MATCH(AA170&amp;$B170,Podcasts!$E$10:'Podcasts'!$E$2535&amp;Podcasts!$D$10:'Podcasts'!$D$2535,0)))</f>
        <v/>
      </c>
      <c r="AA170" s="134" t="str">
        <f t="array" ref="AA170">IF(COUNTIF(Podcasts!$D$10:'Podcasts'!$D$2535,$B170)&lt;COLUMN(H133),"",SMALL(IF(Podcasts!$D$10:'Podcasts'!$D$2535=$B170,Podcasts!$E$10:'Podcasts'!$E$2535),COLUMN(H133)))</f>
        <v/>
      </c>
      <c r="AB170" s="404" t="str">
        <f t="array" ref="AB170">IF(AA170="","",INDEX(Podcasts!$F$10:'Podcasts'!$F$2535,MATCH(AA170&amp;$B170,Podcasts!$E$10:'Podcasts'!$E$2535&amp;Podcasts!$D$10:'Podcasts'!$D$2535,0)))</f>
        <v/>
      </c>
      <c r="AC170" s="406" t="str">
        <f t="array" ref="AC170">IF(AD170="","",INDEX(Podcasts!$J$10:'Podcasts'!$J$2535,MATCH(AD170&amp;$B170,Podcasts!$E$10:'Podcasts'!$E$2535&amp;Podcasts!$D$10:'Podcasts'!$D$2535,0)))</f>
        <v/>
      </c>
      <c r="AD170" s="400" t="str">
        <f t="array" ref="AD170">IF(COUNTIF(Podcasts!$D$10:'Podcasts'!$D$2535,$B170)&lt;COLUMN(I133),"",SMALL(IF(Podcasts!$D$10:'Podcasts'!$D$2535=$B170,Podcasts!$E$10:'Podcasts'!$E$2535),COLUMN(I133)))</f>
        <v/>
      </c>
      <c r="AE170" s="401" t="str">
        <f t="array" ref="AE170">IF(AD170="","",INDEX(Podcasts!$F$10:'Podcasts'!$F$2535,MATCH(AD170&amp;$B170,Podcasts!$E$10:'Podcasts'!$E$2535&amp;Podcasts!$D$10:'Podcasts'!$D$2535,0)))</f>
        <v/>
      </c>
      <c r="AF170" s="406" t="str">
        <f t="array" ref="AF170">IF(AG170="","",INDEX(Podcasts!$J$10:'Podcasts'!$J$2535,MATCH(AG170&amp;$B170,Podcasts!$E$10:'Podcasts'!$E$2535&amp;Podcasts!$D$10:'Podcasts'!$D$2535,0)))</f>
        <v/>
      </c>
      <c r="AG170" s="400" t="str">
        <f t="array" ref="AG170">IF(COUNTIF(Podcasts!$D$10:'Podcasts'!$D$2535,$B170)&lt;COLUMN(J133),"",SMALL(IF(Podcasts!$D$10:'Podcasts'!$D$2535=$B170,Podcasts!$E$10:'Podcasts'!$E$2535),COLUMN(J133)))</f>
        <v/>
      </c>
      <c r="AH170" s="401" t="str">
        <f t="array" ref="AH170">IF(AG170="","",INDEX(Podcasts!$F$10:'Podcasts'!$F$2535,MATCH(AG170&amp;$B170,Podcasts!$E$10:'Podcasts'!$E$2535&amp;Podcasts!$D$10:'Podcasts'!$D$2535,0)))</f>
        <v/>
      </c>
      <c r="AI170" s="406" t="str">
        <f t="array" ref="AI170">IF(AJ170="","",INDEX(Podcasts!$J$10:'Podcasts'!$J$2535,MATCH(AJ170&amp;$B170,Podcasts!$E$10:'Podcasts'!$E$2535&amp;Podcasts!$D$10:'Podcasts'!$D$2535,0)))</f>
        <v/>
      </c>
      <c r="AJ170" s="400" t="str">
        <f t="array" ref="AJ170">IF(COUNTIF(Podcasts!$D$10:'Podcasts'!$D$2535,$B170)&lt;COLUMN(K133),"",SMALL(IF(Podcasts!$D$10:'Podcasts'!$D$2535=$B170,Podcasts!$E$10:'Podcasts'!$E$2535),COLUMN(K133)))</f>
        <v/>
      </c>
      <c r="AK170" s="401" t="str">
        <f t="array" ref="AK170">IF(AJ170="","",INDEX(Podcasts!$F$10:'Podcasts'!$F$2535,MATCH(AJ170&amp;$B170,Podcasts!$E$10:'Podcasts'!$E$2535&amp;Podcasts!$D$10:'Podcasts'!$D$2535,0)))</f>
        <v/>
      </c>
      <c r="AL170" s="406" t="str">
        <f t="array" ref="AL170">IF(AM170="","",INDEX(Podcasts!$J$10:'Podcasts'!$J$2535,MATCH(AM170&amp;$B170,Podcasts!$E$10:'Podcasts'!$E$2535&amp;Podcasts!$D$10:'Podcasts'!$D$2535,0)))</f>
        <v/>
      </c>
      <c r="AM170" s="400" t="str">
        <f t="array" ref="AM170">IF(COUNTIF(Podcasts!$D$10:'Podcasts'!$D$2535,$B170)&lt;COLUMN(L133),"",SMALL(IF(Podcasts!$D$10:'Podcasts'!$D$2535=$B170,Podcasts!$E$10:'Podcasts'!$E$2535),COLUMN(L133)))</f>
        <v/>
      </c>
      <c r="AN170" s="401" t="str">
        <f t="array" ref="AN170">IF(AM170="","",INDEX(Podcasts!$F$10:'Podcasts'!$F$2535,MATCH(AM170&amp;$B170,Podcasts!$E$10:'Podcasts'!$E$2535&amp;Podcasts!$D$10:'Podcasts'!$D$2535,0)))</f>
        <v/>
      </c>
      <c r="AO170" s="402"/>
      <c r="AP170" s="119"/>
      <c r="AQ170" s="117">
        <f t="array" aca="1" ref="AQ170" ca="1">IFERROR(SMALL(IF(COUNTIF(Podcasts!$D$10:'Podcasts'!$D$107,ROW(INDIRECT("1:"&amp;K$2)))=0,ROW(INDIRECT("1:"&amp;K$2))),ROW($A127)),"")</f>
        <v>167</v>
      </c>
      <c r="AR170" s="117">
        <f t="array" aca="1" ref="AR170" ca="1">IFERROR(SMALL(IF(COUNTIF(Podcasts!$D$113:'Podcasts'!$D$238,ROW(INDIRECT("1:"&amp;K$2)))=0,ROW(INDIRECT("1:"&amp;K$2))),ROW($A127)),"")</f>
        <v>127</v>
      </c>
      <c r="AS170" s="117">
        <f t="array" aca="1" ref="AS170" ca="1">IFERROR(SMALL(IF(COUNTIF(Podcasts!$D$244:'Podcasts'!$D$299,ROW(INDIRECT("1:"&amp;K$2)))=0,ROW(INDIRECT("1:"&amp;K$2))),ROW($A127)),"")</f>
        <v>146</v>
      </c>
      <c r="AT170" s="117"/>
      <c r="AU170" s="117">
        <f t="array" aca="1" ref="AU170" ca="1">IFERROR(SMALL(IF(COUNTIF(Podcasts!$D$479:'Podcasts'!$D$488,ROW(INDIRECT("1:"&amp;K$2)))=0,ROW(INDIRECT("1:"&amp;K$2))),ROW($A127)),"")</f>
        <v>129</v>
      </c>
      <c r="AV170" s="117">
        <f t="array" aca="1" ref="AV170" ca="1">IFERROR(SMALL(IF(COUNTIF(Podcasts!$D$494:'Podcasts'!$D$518,ROW(INDIRECT("1:"&amp;K$2)))=0,ROW(INDIRECT("1:"&amp;K$2))),ROW($A127)),"")</f>
        <v>149</v>
      </c>
      <c r="AW170" s="117">
        <f t="array" aca="1" ref="AW170" ca="1">IFERROR(SMALL(IF(COUNTIF(Podcasts!$D$524:'Podcasts'!$D$532,ROW(INDIRECT("1:"&amp;K$2)))=0,ROW(INDIRECT("1:"&amp;K$2))),ROW($A127)),"")</f>
        <v>128</v>
      </c>
      <c r="AX170" s="117"/>
      <c r="AY170" s="117">
        <f t="array" aca="1" ref="AY170" ca="1">IFERROR(SMALL(IF(COUNTIF(Podcasts!$D$915:'Podcasts'!$D$981,ROW(INDIRECT("1:"&amp;K$2)))=0,ROW(INDIRECT("1:"&amp;K$2))),ROW($A127)),"")</f>
        <v>180</v>
      </c>
      <c r="AZ170" s="445"/>
      <c r="BA170" s="117">
        <f t="array" aca="1" ref="BA170" ca="1">IFERROR(SMALL(IF(COUNTIF(Podcasts!$D$1001:'Podcasts'!$D$1251,ROW(INDIRECT("1:"&amp;K$2)))=0,ROW(INDIRECT("1:"&amp;K$2))),ROW($A127)),"")</f>
        <v>176</v>
      </c>
      <c r="BB170" s="117">
        <f t="array" aca="1" ref="BB170" ca="1">IFERROR(SMALL(IF(COUNTIF(Podcasts!$D$1257:'Podcasts'!$D$1267,ROW(INDIRECT("1:"&amp;K$2)))=0,ROW(INDIRECT("1:"&amp;K$2))),ROW($A127)),"")</f>
        <v>132</v>
      </c>
      <c r="BC170" s="117">
        <f t="array" aca="1" ref="BC170" ca="1">IFERROR(SMALL(IF(COUNTIF(Podcasts!$D$1273:'Podcasts'!$D$1283,ROW(INDIRECT("1:"&amp;K$2)))=0,ROW(INDIRECT("1:"&amp;K$2))),ROW($A127)),"")</f>
        <v>131</v>
      </c>
      <c r="BD170" s="117">
        <f t="array" aca="1" ref="BD170" ca="1">IFERROR(SMALL(IF(COUNTIF(Podcasts!$D$1289:'Podcasts'!$D$1295,ROW(INDIRECT("1:"&amp;K$2)))=0,ROW(INDIRECT("1:"&amp;K$2))),ROW($A127)),"")</f>
        <v>132</v>
      </c>
      <c r="BE170" s="117">
        <f t="array" aca="1" ref="BE170" ca="1">IFERROR(SMALL(IF(COUNTIF(Podcasts!$D$1301:'Podcasts'!$D$1356,ROW(INDIRECT("1:"&amp;K$2)))=0,ROW(INDIRECT("1:"&amp;K$2))),ROW($A127)),"")</f>
        <v>174</v>
      </c>
      <c r="BF170" s="117">
        <f t="array" aca="1" ref="BF170" ca="1">IFERROR(SMALL(IF(COUNTIF(Podcasts!$D$1362:'Podcasts'!$D$1364,ROW(INDIRECT("1:"&amp;K$2)))=0,ROW(INDIRECT("1:"&amp;K$2))),ROW($A127)),"")</f>
        <v>130</v>
      </c>
      <c r="BG170" s="202">
        <f t="array" aca="1" ref="BG170" ca="1">IFERROR(SMALL(IF(COUNTIF(Podcasts!$D$1370:'Podcasts'!$D$1419,ROW(INDIRECT("1:"&amp;K$2)))=0,ROW(INDIRECT("1:"&amp;K$2))),ROW($A127)),"")</f>
        <v>159</v>
      </c>
      <c r="BH170" s="202">
        <f t="array" aca="1" ref="BH170" ca="1">IFERROR(SMALL(IF(COUNTIF(Podcasts!$D$1425:'Podcasts'!$D$1446,ROW(INDIRECT("1:"&amp;K$2)))=0,ROW(INDIRECT("1:"&amp;K$2))),ROW($A127)),"")</f>
        <v>137</v>
      </c>
      <c r="BI170" s="202">
        <f t="array" aca="1" ref="BI170" ca="1">IFERROR(SMALL(IF(COUNTIF(Podcasts!$D$1452:'Podcasts'!$D$1574,ROW(INDIRECT("1:"&amp;K$2)))=0,ROW(INDIRECT("1:"&amp;K$2))),ROW($A127)),"")</f>
        <v>204</v>
      </c>
      <c r="BJ170" s="202">
        <f t="array" aca="1" ref="BJ170" ca="1">IFERROR(SMALL(IF(COUNTIF(Podcasts!$D$1580:'Podcasts'!$D$1705,ROW(INDIRECT("1:"&amp;K$2)))=0,ROW(INDIRECT("1:"&amp;K$2))),ROW($A127)),"")</f>
        <v>204</v>
      </c>
      <c r="BK170" s="202">
        <f t="array" aca="1" ref="BK170" ca="1">IFERROR(SMALL(IF(COUNTIF(Podcasts!$D$1711:'Podcasts'!$D$1833,ROW(INDIRECT("1:"&amp;K$2)))=0,ROW(INDIRECT("1:"&amp;K$2))),ROW($A127)),"")</f>
        <v>197</v>
      </c>
      <c r="BL170" s="202">
        <f t="array" aca="1" ref="BL170" ca="1">IFERROR(SMALL(IF(COUNTIF(Podcasts!$D$1839:'Podcasts'!$D$1855,ROW(INDIRECT("1:"&amp;K$2)))=0,ROW(INDIRECT("1:"&amp;K$2))),ROW($A127)),"")</f>
        <v>136</v>
      </c>
      <c r="BM170" s="567">
        <f t="array" aca="1" ref="BM170" ca="1">IFERROR(SMALL(IF(COUNTIF(Podcasts!$D$1861:'Podcasts'!$D$1994,ROW(INDIRECT("1:"&amp;K$2)))=0,ROW(INDIRECT("1:"&amp;K$2))),ROW($A127)),"")</f>
        <v>172</v>
      </c>
      <c r="BN170" s="567">
        <f t="array" aca="1" ref="BN170" ca="1">IFERROR(SMALL(IF(COUNTIF(Podcasts!$D$2000:'Podcasts'!$D$2057,ROW(INDIRECT("1:"&amp;K$2)))=0,ROW(INDIRECT("1:"&amp;K$2))),ROW($A127)),"")</f>
        <v>182</v>
      </c>
      <c r="BO170" s="567">
        <f t="array" aca="1" ref="BO170" ca="1">IFERROR(SMALL(IF(COUNTIF(Podcasts!$D$2063:'Podcasts'!$D$2071,ROW(INDIRECT("1:"&amp;K$2)))=0,ROW(INDIRECT("1:"&amp;K$2))),ROW($A127)),"")</f>
        <v>134</v>
      </c>
      <c r="BP170" s="202">
        <f t="array" aca="1" ref="BP170" ca="1">IFERROR(SMALL(IF(COUNTIF(Podcasts!$D$2077:'Podcasts'!$D$2092,ROW(INDIRECT("1:"&amp;K$2)))=0,ROW(INDIRECT("1:"&amp;K$2))),ROW($A127)),"")</f>
        <v>138</v>
      </c>
      <c r="BQ170" s="741">
        <f t="array" aca="1" ref="BQ170" ca="1">IFERROR(SMALL(IF(COUNTIF(Podcasts!$D$2098:'Podcasts'!$D$2114,ROW(INDIRECT("1:"&amp;K$2)))=0,ROW(INDIRECT("1:"&amp;K$2))),ROW($A127)),"")</f>
        <v>138</v>
      </c>
      <c r="BR170" s="744">
        <f t="array" aca="1" ref="BR170" ca="1">IFERROR(SMALL(IF(COUNTIF(Podcasts!$D$2120:'Podcasts'!$D$2124,ROW(INDIRECT("1:"&amp;K$2)))=0,ROW(INDIRECT("1:"&amp;K$2))),ROW($A127)),"")</f>
        <v>129</v>
      </c>
      <c r="BS170" s="28"/>
    </row>
    <row r="171" spans="1:71" outlineLevel="1">
      <c r="A171" s="28"/>
      <c r="B171" s="161">
        <v>128</v>
      </c>
      <c r="C171" s="161">
        <f>COUNTIF(Podcasts!$D$10:'Podcasts'!$D$2535,B171)</f>
        <v>3</v>
      </c>
      <c r="D171" s="158" t="s">
        <v>1154</v>
      </c>
      <c r="E171" s="156" t="str">
        <f t="array" ref="E171">IF(F171="","",INDEX(Podcasts!$J$10:'Podcasts'!$J$2535,MATCH(F171&amp;$B171,Podcasts!$E$10:'Podcasts'!$E$2535&amp;Podcasts!$D$10:'Podcasts'!$D$2535,0)))</f>
        <v>Schrott</v>
      </c>
      <c r="F171" s="131">
        <f t="array" ref="F171">IF(COUNTIF(Podcasts!$D$10:'Podcasts'!$D$2535,$B171)&lt;COLUMN(A134),"",SMALL(IF(Podcasts!$D$10:'Podcasts'!$D$2535=$B171,Podcasts!$E$10:'Podcasts'!$E$2535),COLUMN(A134)))</f>
        <v>44219</v>
      </c>
      <c r="G171" s="132">
        <f t="array" ref="G171">IF(F171="","",INDEX(Podcasts!$F$10:'Podcasts'!$F$2535,MATCH(F171&amp;$B171,Podcasts!$E$10:'Podcasts'!$E$2535&amp;Podcasts!$D$10:'Podcasts'!$D$2535,0)))</f>
        <v>6.8634259259259256E-2</v>
      </c>
      <c r="H171" s="136" t="str">
        <f t="array" ref="H171">IF(I171="","",INDEX(Podcasts!$J$10:'Podcasts'!$J$2535,MATCH(I171&amp;$B171,Podcasts!$E$10:'Podcasts'!$E$2535&amp;Podcasts!$D$10:'Podcasts'!$D$2535,0)))</f>
        <v>SSP</v>
      </c>
      <c r="I171" s="133">
        <f t="array" ref="I171">IF(COUNTIF(Podcasts!$D$10:'Podcasts'!$D$2535,$B171)&lt;COLUMN(B134),"",SMALL(IF(Podcasts!$D$10:'Podcasts'!$D$2535=$B171,Podcasts!$E$10:'Podcasts'!$E$2535),COLUMN(B134)))</f>
        <v>44620.909548611111</v>
      </c>
      <c r="J171" s="132">
        <f t="array" ref="J171">IF(I171="","",INDEX(Podcasts!$F$10:'Podcasts'!$F$2535,MATCH(I171&amp;$B171,Podcasts!$E$10:'Podcasts'!$E$2535&amp;Podcasts!$D$10:'Podcasts'!$D$2535,0)))</f>
        <v>0.10274305555555556</v>
      </c>
      <c r="K171" s="136" t="str">
        <f t="array" ref="K171">IF(L171="","",INDEX(Podcasts!$J$10:'Podcasts'!$J$2535,MATCH(L171&amp;$B171,Podcasts!$E$10:'Podcasts'!$E$2535&amp;Podcasts!$D$10:'Podcasts'!$D$2535,0)))</f>
        <v>Kaffee</v>
      </c>
      <c r="L171" s="133">
        <f t="array" ref="L171">IF(COUNTIF(Podcasts!$D$10:'Podcasts'!$D$2535,$B171)&lt;COLUMN(C134),"",SMALL(IF(Podcasts!$D$10:'Podcasts'!$D$2535=$B171,Podcasts!$E$10:'Podcasts'!$E$2535),COLUMN(C134)))</f>
        <v>44792</v>
      </c>
      <c r="M171" s="132">
        <f t="array" ref="M171">IF(L171="","",INDEX(Podcasts!$F$10:'Podcasts'!$F$2535,MATCH(L171&amp;$B171,Podcasts!$E$10:'Podcasts'!$E$2535&amp;Podcasts!$D$10:'Podcasts'!$D$2535,0)))</f>
        <v>2.6030092592592594E-2</v>
      </c>
      <c r="N171" s="136" t="str">
        <f t="array" ref="N171">IF(O171="","",INDEX(Podcasts!$J$10:'Podcasts'!$J$2535,MATCH(O171&amp;$B171,Podcasts!$E$10:'Podcasts'!$E$2535&amp;Podcasts!$D$10:'Podcasts'!$D$2535,0)))</f>
        <v/>
      </c>
      <c r="O171" s="133" t="str">
        <f t="array" ref="O171">IF(COUNTIF(Podcasts!$D$10:'Podcasts'!$D$2535,$B171)&lt;COLUMN(D134),"",SMALL(IF(Podcasts!$D$10:'Podcasts'!$D$2535=$B171,Podcasts!$E$10:'Podcasts'!$E$2535),COLUMN(D134)))</f>
        <v/>
      </c>
      <c r="P171" s="132" t="str">
        <f t="array" ref="P171">IF(O171="","",INDEX(Podcasts!$F$10:'Podcasts'!$F$2535,MATCH(O171&amp;$B171,Podcasts!$E$10:'Podcasts'!$E$2535&amp;Podcasts!$D$10:'Podcasts'!$D$2535,0)))</f>
        <v/>
      </c>
      <c r="Q171" s="136" t="str">
        <f t="array" ref="Q171">IF(R171="","",INDEX(Podcasts!$J$10:'Podcasts'!$J$2535,MATCH(R171&amp;$B171,Podcasts!$E$10:'Podcasts'!$E$2535&amp;Podcasts!$D$10:'Podcasts'!$D$2535,0)))</f>
        <v/>
      </c>
      <c r="R171" s="133" t="str">
        <f t="array" ref="R171">IF(COUNTIF(Podcasts!$D$10:'Podcasts'!$D$2535,$B171)&lt;COLUMN(E134),"",SMALL(IF(Podcasts!$D$10:'Podcasts'!$D$2535=$B171,Podcasts!$E$10:'Podcasts'!$E$2535),COLUMN(E134)))</f>
        <v/>
      </c>
      <c r="S171" s="132" t="str">
        <f t="array" ref="S171">IF(R171="","",INDEX(Podcasts!$F$10:'Podcasts'!$F$2535,MATCH(R171&amp;$B171,Podcasts!$E$10:'Podcasts'!$E$2535&amp;Podcasts!$D$10:'Podcasts'!$D$2535,0)))</f>
        <v/>
      </c>
      <c r="T171" s="136" t="str">
        <f t="array" ref="T171">IF(U171="","",INDEX(Podcasts!$J$10:'Podcasts'!$J$2535,MATCH(U171&amp;$B171,Podcasts!$E$10:'Podcasts'!$E$2535&amp;Podcasts!$D$10:'Podcasts'!$D$2535,0)))</f>
        <v/>
      </c>
      <c r="U171" s="133" t="str">
        <f t="array" ref="U171">IF(COUNTIF(Podcasts!$D$10:'Podcasts'!$D$2535,$B171)&lt;COLUMN(F134),"",SMALL(IF(Podcasts!$D$10:'Podcasts'!$D$2535=$B171,Podcasts!$E$10:'Podcasts'!$E$2535),COLUMN(F134)))</f>
        <v/>
      </c>
      <c r="V171" s="132" t="str">
        <f t="array" ref="V171">IF(U171="","",INDEX(Podcasts!$F$10:'Podcasts'!$F$2535,MATCH(U171&amp;$B171,Podcasts!$E$10:'Podcasts'!$E$2535&amp;Podcasts!$D$10:'Podcasts'!$D$2535,0)))</f>
        <v/>
      </c>
      <c r="W171" s="136" t="str">
        <f t="array" ref="W171">IF(X171="","",INDEX(Podcasts!$J$10:'Podcasts'!$J$2535,MATCH(X171&amp;$B171,Podcasts!$E$10:'Podcasts'!$E$2535&amp;Podcasts!$D$10:'Podcasts'!$D$2535,0)))</f>
        <v/>
      </c>
      <c r="X171" s="133" t="str">
        <f t="array" ref="X171">IF(COUNTIF(Podcasts!$D$10:'Podcasts'!$D$2535,$B171)&lt;COLUMN(G134),"",SMALL(IF(Podcasts!$D$10:'Podcasts'!$D$2535=$B171,Podcasts!$E$10:'Podcasts'!$E$2535),COLUMN(G134)))</f>
        <v/>
      </c>
      <c r="Y171" s="132" t="str">
        <f t="array" ref="Y171">IF(X171="","",INDEX(Podcasts!$F$10:'Podcasts'!$F$2535,MATCH(X171&amp;$B171,Podcasts!$E$10:'Podcasts'!$E$2535&amp;Podcasts!$D$10:'Podcasts'!$D$2535,0)))</f>
        <v/>
      </c>
      <c r="Z171" s="136" t="str">
        <f t="array" ref="Z171">IF(AA171="","",INDEX(Podcasts!$J$10:'Podcasts'!$J$2535,MATCH(AA171&amp;$B171,Podcasts!$E$10:'Podcasts'!$E$2535&amp;Podcasts!$D$10:'Podcasts'!$D$2535,0)))</f>
        <v/>
      </c>
      <c r="AA171" s="134" t="str">
        <f t="array" ref="AA171">IF(COUNTIF(Podcasts!$D$10:'Podcasts'!$D$2535,$B171)&lt;COLUMN(H134),"",SMALL(IF(Podcasts!$D$10:'Podcasts'!$D$2535=$B171,Podcasts!$E$10:'Podcasts'!$E$2535),COLUMN(H134)))</f>
        <v/>
      </c>
      <c r="AB171" s="404" t="str">
        <f t="array" ref="AB171">IF(AA171="","",INDEX(Podcasts!$F$10:'Podcasts'!$F$2535,MATCH(AA171&amp;$B171,Podcasts!$E$10:'Podcasts'!$E$2535&amp;Podcasts!$D$10:'Podcasts'!$D$2535,0)))</f>
        <v/>
      </c>
      <c r="AC171" s="406" t="str">
        <f t="array" ref="AC171">IF(AD171="","",INDEX(Podcasts!$J$10:'Podcasts'!$J$2535,MATCH(AD171&amp;$B171,Podcasts!$E$10:'Podcasts'!$E$2535&amp;Podcasts!$D$10:'Podcasts'!$D$2535,0)))</f>
        <v/>
      </c>
      <c r="AD171" s="400" t="str">
        <f t="array" ref="AD171">IF(COUNTIF(Podcasts!$D$10:'Podcasts'!$D$2535,$B171)&lt;COLUMN(I134),"",SMALL(IF(Podcasts!$D$10:'Podcasts'!$D$2535=$B171,Podcasts!$E$10:'Podcasts'!$E$2535),COLUMN(I134)))</f>
        <v/>
      </c>
      <c r="AE171" s="401" t="str">
        <f t="array" ref="AE171">IF(AD171="","",INDEX(Podcasts!$F$10:'Podcasts'!$F$2535,MATCH(AD171&amp;$B171,Podcasts!$E$10:'Podcasts'!$E$2535&amp;Podcasts!$D$10:'Podcasts'!$D$2535,0)))</f>
        <v/>
      </c>
      <c r="AF171" s="406" t="str">
        <f t="array" ref="AF171">IF(AG171="","",INDEX(Podcasts!$J$10:'Podcasts'!$J$2535,MATCH(AG171&amp;$B171,Podcasts!$E$10:'Podcasts'!$E$2535&amp;Podcasts!$D$10:'Podcasts'!$D$2535,0)))</f>
        <v/>
      </c>
      <c r="AG171" s="400" t="str">
        <f t="array" ref="AG171">IF(COUNTIF(Podcasts!$D$10:'Podcasts'!$D$2535,$B171)&lt;COLUMN(J134),"",SMALL(IF(Podcasts!$D$10:'Podcasts'!$D$2535=$B171,Podcasts!$E$10:'Podcasts'!$E$2535),COLUMN(J134)))</f>
        <v/>
      </c>
      <c r="AH171" s="401" t="str">
        <f t="array" ref="AH171">IF(AG171="","",INDEX(Podcasts!$F$10:'Podcasts'!$F$2535,MATCH(AG171&amp;$B171,Podcasts!$E$10:'Podcasts'!$E$2535&amp;Podcasts!$D$10:'Podcasts'!$D$2535,0)))</f>
        <v/>
      </c>
      <c r="AI171" s="406" t="str">
        <f t="array" ref="AI171">IF(AJ171="","",INDEX(Podcasts!$J$10:'Podcasts'!$J$2535,MATCH(AJ171&amp;$B171,Podcasts!$E$10:'Podcasts'!$E$2535&amp;Podcasts!$D$10:'Podcasts'!$D$2535,0)))</f>
        <v/>
      </c>
      <c r="AJ171" s="400" t="str">
        <f t="array" ref="AJ171">IF(COUNTIF(Podcasts!$D$10:'Podcasts'!$D$2535,$B171)&lt;COLUMN(K134),"",SMALL(IF(Podcasts!$D$10:'Podcasts'!$D$2535=$B171,Podcasts!$E$10:'Podcasts'!$E$2535),COLUMN(K134)))</f>
        <v/>
      </c>
      <c r="AK171" s="401" t="str">
        <f t="array" ref="AK171">IF(AJ171="","",INDEX(Podcasts!$F$10:'Podcasts'!$F$2535,MATCH(AJ171&amp;$B171,Podcasts!$E$10:'Podcasts'!$E$2535&amp;Podcasts!$D$10:'Podcasts'!$D$2535,0)))</f>
        <v/>
      </c>
      <c r="AL171" s="406" t="str">
        <f t="array" ref="AL171">IF(AM171="","",INDEX(Podcasts!$J$10:'Podcasts'!$J$2535,MATCH(AM171&amp;$B171,Podcasts!$E$10:'Podcasts'!$E$2535&amp;Podcasts!$D$10:'Podcasts'!$D$2535,0)))</f>
        <v/>
      </c>
      <c r="AM171" s="400" t="str">
        <f t="array" ref="AM171">IF(COUNTIF(Podcasts!$D$10:'Podcasts'!$D$2535,$B171)&lt;COLUMN(L134),"",SMALL(IF(Podcasts!$D$10:'Podcasts'!$D$2535=$B171,Podcasts!$E$10:'Podcasts'!$E$2535),COLUMN(L134)))</f>
        <v/>
      </c>
      <c r="AN171" s="401" t="str">
        <f t="array" ref="AN171">IF(AM171="","",INDEX(Podcasts!$F$10:'Podcasts'!$F$2535,MATCH(AM171&amp;$B171,Podcasts!$E$10:'Podcasts'!$E$2535&amp;Podcasts!$D$10:'Podcasts'!$D$2535,0)))</f>
        <v/>
      </c>
      <c r="AO171" s="402"/>
      <c r="AP171" s="119"/>
      <c r="AQ171" s="117">
        <f t="array" aca="1" ref="AQ171" ca="1">IFERROR(SMALL(IF(COUNTIF(Podcasts!$D$10:'Podcasts'!$D$107,ROW(INDIRECT("1:"&amp;K$2)))=0,ROW(INDIRECT("1:"&amp;K$2))),ROW($A128)),"")</f>
        <v>168</v>
      </c>
      <c r="AR171" s="117">
        <f t="array" aca="1" ref="AR171" ca="1">IFERROR(SMALL(IF(COUNTIF(Podcasts!$D$113:'Podcasts'!$D$238,ROW(INDIRECT("1:"&amp;K$2)))=0,ROW(INDIRECT("1:"&amp;K$2))),ROW($A128)),"")</f>
        <v>128</v>
      </c>
      <c r="AS171" s="117">
        <f t="array" aca="1" ref="AS171" ca="1">IFERROR(SMALL(IF(COUNTIF(Podcasts!$D$244:'Podcasts'!$D$299,ROW(INDIRECT("1:"&amp;K$2)))=0,ROW(INDIRECT("1:"&amp;K$2))),ROW($A128)),"")</f>
        <v>147</v>
      </c>
      <c r="AT171" s="117"/>
      <c r="AU171" s="117">
        <f t="array" aca="1" ref="AU171" ca="1">IFERROR(SMALL(IF(COUNTIF(Podcasts!$D$479:'Podcasts'!$D$488,ROW(INDIRECT("1:"&amp;K$2)))=0,ROW(INDIRECT("1:"&amp;K$2))),ROW($A128)),"")</f>
        <v>131</v>
      </c>
      <c r="AV171" s="117">
        <f t="array" aca="1" ref="AV171" ca="1">IFERROR(SMALL(IF(COUNTIF(Podcasts!$D$494:'Podcasts'!$D$518,ROW(INDIRECT("1:"&amp;K$2)))=0,ROW(INDIRECT("1:"&amp;K$2))),ROW($A128)),"")</f>
        <v>150</v>
      </c>
      <c r="AW171" s="117">
        <f t="array" aca="1" ref="AW171" ca="1">IFERROR(SMALL(IF(COUNTIF(Podcasts!$D$524:'Podcasts'!$D$532,ROW(INDIRECT("1:"&amp;K$2)))=0,ROW(INDIRECT("1:"&amp;K$2))),ROW($A128)),"")</f>
        <v>129</v>
      </c>
      <c r="AX171" s="117"/>
      <c r="AY171" s="117">
        <f t="array" aca="1" ref="AY171" ca="1">IFERROR(SMALL(IF(COUNTIF(Podcasts!$D$915:'Podcasts'!$D$981,ROW(INDIRECT("1:"&amp;K$2)))=0,ROW(INDIRECT("1:"&amp;K$2))),ROW($A128)),"")</f>
        <v>181</v>
      </c>
      <c r="AZ171" s="445"/>
      <c r="BA171" s="117">
        <f t="array" aca="1" ref="BA171" ca="1">IFERROR(SMALL(IF(COUNTIF(Podcasts!$D$1001:'Podcasts'!$D$1251,ROW(INDIRECT("1:"&amp;K$2)))=0,ROW(INDIRECT("1:"&amp;K$2))),ROW($A128)),"")</f>
        <v>177</v>
      </c>
      <c r="BB171" s="117">
        <f t="array" aca="1" ref="BB171" ca="1">IFERROR(SMALL(IF(COUNTIF(Podcasts!$D$1257:'Podcasts'!$D$1267,ROW(INDIRECT("1:"&amp;K$2)))=0,ROW(INDIRECT("1:"&amp;K$2))),ROW($A128)),"")</f>
        <v>133</v>
      </c>
      <c r="BC171" s="117">
        <f t="array" aca="1" ref="BC171" ca="1">IFERROR(SMALL(IF(COUNTIF(Podcasts!$D$1273:'Podcasts'!$D$1283,ROW(INDIRECT("1:"&amp;K$2)))=0,ROW(INDIRECT("1:"&amp;K$2))),ROW($A128)),"")</f>
        <v>132</v>
      </c>
      <c r="BD171" s="117">
        <f t="array" aca="1" ref="BD171" ca="1">IFERROR(SMALL(IF(COUNTIF(Podcasts!$D$1289:'Podcasts'!$D$1295,ROW(INDIRECT("1:"&amp;K$2)))=0,ROW(INDIRECT("1:"&amp;K$2))),ROW($A128)),"")</f>
        <v>133</v>
      </c>
      <c r="BE171" s="117">
        <f t="array" aca="1" ref="BE171" ca="1">IFERROR(SMALL(IF(COUNTIF(Podcasts!$D$1301:'Podcasts'!$D$1356,ROW(INDIRECT("1:"&amp;K$2)))=0,ROW(INDIRECT("1:"&amp;K$2))),ROW($A128)),"")</f>
        <v>175</v>
      </c>
      <c r="BF171" s="117">
        <f t="array" aca="1" ref="BF171" ca="1">IFERROR(SMALL(IF(COUNTIF(Podcasts!$D$1362:'Podcasts'!$D$1364,ROW(INDIRECT("1:"&amp;K$2)))=0,ROW(INDIRECT("1:"&amp;K$2))),ROW($A128)),"")</f>
        <v>131</v>
      </c>
      <c r="BG171" s="202">
        <f t="array" aca="1" ref="BG171" ca="1">IFERROR(SMALL(IF(COUNTIF(Podcasts!$D$1370:'Podcasts'!$D$1419,ROW(INDIRECT("1:"&amp;K$2)))=0,ROW(INDIRECT("1:"&amp;K$2))),ROW($A128)),"")</f>
        <v>160</v>
      </c>
      <c r="BH171" s="202">
        <f t="array" aca="1" ref="BH171" ca="1">IFERROR(SMALL(IF(COUNTIF(Podcasts!$D$1425:'Podcasts'!$D$1446,ROW(INDIRECT("1:"&amp;K$2)))=0,ROW(INDIRECT("1:"&amp;K$2))),ROW($A128)),"")</f>
        <v>138</v>
      </c>
      <c r="BI171" s="202">
        <f t="array" aca="1" ref="BI171" ca="1">IFERROR(SMALL(IF(COUNTIF(Podcasts!$D$1452:'Podcasts'!$D$1574,ROW(INDIRECT("1:"&amp;K$2)))=0,ROW(INDIRECT("1:"&amp;K$2))),ROW($A128)),"")</f>
        <v>205</v>
      </c>
      <c r="BJ171" s="202">
        <f t="array" aca="1" ref="BJ171" ca="1">IFERROR(SMALL(IF(COUNTIF(Podcasts!$D$1580:'Podcasts'!$D$1705,ROW(INDIRECT("1:"&amp;K$2)))=0,ROW(INDIRECT("1:"&amp;K$2))),ROW($A128)),"")</f>
        <v>205</v>
      </c>
      <c r="BK171" s="202">
        <f t="array" aca="1" ref="BK171" ca="1">IFERROR(SMALL(IF(COUNTIF(Podcasts!$D$1711:'Podcasts'!$D$1833,ROW(INDIRECT("1:"&amp;K$2)))=0,ROW(INDIRECT("1:"&amp;K$2))),ROW($A128)),"")</f>
        <v>199</v>
      </c>
      <c r="BL171" s="202">
        <f t="array" aca="1" ref="BL171" ca="1">IFERROR(SMALL(IF(COUNTIF(Podcasts!$D$1839:'Podcasts'!$D$1855,ROW(INDIRECT("1:"&amp;K$2)))=0,ROW(INDIRECT("1:"&amp;K$2))),ROW($A128)),"")</f>
        <v>137</v>
      </c>
      <c r="BM171" s="567">
        <f t="array" aca="1" ref="BM171" ca="1">IFERROR(SMALL(IF(COUNTIF(Podcasts!$D$1861:'Podcasts'!$D$1994,ROW(INDIRECT("1:"&amp;K$2)))=0,ROW(INDIRECT("1:"&amp;K$2))),ROW($A128)),"")</f>
        <v>173</v>
      </c>
      <c r="BN171" s="567">
        <f t="array" aca="1" ref="BN171" ca="1">IFERROR(SMALL(IF(COUNTIF(Podcasts!$D$2000:'Podcasts'!$D$2057,ROW(INDIRECT("1:"&amp;K$2)))=0,ROW(INDIRECT("1:"&amp;K$2))),ROW($A128)),"")</f>
        <v>183</v>
      </c>
      <c r="BO171" s="567">
        <f t="array" aca="1" ref="BO171" ca="1">IFERROR(SMALL(IF(COUNTIF(Podcasts!$D$2063:'Podcasts'!$D$2071,ROW(INDIRECT("1:"&amp;K$2)))=0,ROW(INDIRECT("1:"&amp;K$2))),ROW($A128)),"")</f>
        <v>135</v>
      </c>
      <c r="BP171" s="202">
        <f t="array" aca="1" ref="BP171" ca="1">IFERROR(SMALL(IF(COUNTIF(Podcasts!$D$2077:'Podcasts'!$D$2092,ROW(INDIRECT("1:"&amp;K$2)))=0,ROW(INDIRECT("1:"&amp;K$2))),ROW($A128)),"")</f>
        <v>139</v>
      </c>
      <c r="BQ171" s="741">
        <f t="array" aca="1" ref="BQ171" ca="1">IFERROR(SMALL(IF(COUNTIF(Podcasts!$D$2098:'Podcasts'!$D$2114,ROW(INDIRECT("1:"&amp;K$2)))=0,ROW(INDIRECT("1:"&amp;K$2))),ROW($A128)),"")</f>
        <v>139</v>
      </c>
      <c r="BR171" s="744">
        <f t="array" aca="1" ref="BR171" ca="1">IFERROR(SMALL(IF(COUNTIF(Podcasts!$D$2120:'Podcasts'!$D$2124,ROW(INDIRECT("1:"&amp;K$2)))=0,ROW(INDIRECT("1:"&amp;K$2))),ROW($A128)),"")</f>
        <v>130</v>
      </c>
      <c r="BS171" s="28"/>
    </row>
    <row r="172" spans="1:71" outlineLevel="1">
      <c r="A172" s="28"/>
      <c r="B172" s="161">
        <v>129</v>
      </c>
      <c r="C172" s="161">
        <f>COUNTIF(Podcasts!$D$10:'Podcasts'!$D$2535,B172)</f>
        <v>5</v>
      </c>
      <c r="D172" s="158" t="s">
        <v>1155</v>
      </c>
      <c r="E172" s="156" t="str">
        <f t="array" ref="E172">IF(F172="","",INDEX(Podcasts!$J$10:'Podcasts'!$J$2535,MATCH(F172&amp;$B172,Podcasts!$E$10:'Podcasts'!$E$2535&amp;Podcasts!$D$10:'Podcasts'!$D$2535,0)))</f>
        <v>Fürst</v>
      </c>
      <c r="F172" s="131">
        <f t="array" ref="F172">IF(COUNTIF(Podcasts!$D$10:'Podcasts'!$D$2535,$B172)&lt;COLUMN(A135),"",SMALL(IF(Podcasts!$D$10:'Podcasts'!$D$2535=$B172,Podcasts!$E$10:'Podcasts'!$E$2535),COLUMN(A135)))</f>
        <v>41745</v>
      </c>
      <c r="G172" s="132">
        <f t="array" ref="G172">IF(F172="","",INDEX(Podcasts!$F$10:'Podcasts'!$F$2535,MATCH(F172&amp;$B172,Podcasts!$E$10:'Podcasts'!$E$2535&amp;Podcasts!$D$10:'Podcasts'!$D$2535,0)))</f>
        <v>3.8194444444444517E-3</v>
      </c>
      <c r="H172" s="136" t="str">
        <f t="array" ref="H172">IF(I172="","",INDEX(Podcasts!$J$10:'Podcasts'!$J$2535,MATCH(I172&amp;$B172,Podcasts!$E$10:'Podcasts'!$E$2535&amp;Podcasts!$D$10:'Podcasts'!$D$2535,0)))</f>
        <v>Zentrale</v>
      </c>
      <c r="I172" s="133">
        <f t="array" ref="I172">IF(COUNTIF(Podcasts!$D$10:'Podcasts'!$D$2535,$B172)&lt;COLUMN(B135),"",SMALL(IF(Podcasts!$D$10:'Podcasts'!$D$2535=$B172,Podcasts!$E$10:'Podcasts'!$E$2535),COLUMN(B135)))</f>
        <v>43668</v>
      </c>
      <c r="J172" s="132">
        <f t="array" ref="J172">IF(I172="","",INDEX(Podcasts!$F$10:'Podcasts'!$F$2535,MATCH(I172&amp;$B172,Podcasts!$E$10:'Podcasts'!$E$2535&amp;Podcasts!$D$10:'Podcasts'!$D$2535,0)))</f>
        <v>0.10309027777777778</v>
      </c>
      <c r="K172" s="136" t="str">
        <f t="array" ref="K172">IF(L172="","",INDEX(Podcasts!$J$10:'Podcasts'!$J$2535,MATCH(L172&amp;$B172,Podcasts!$E$10:'Podcasts'!$E$2535&amp;Podcasts!$D$10:'Podcasts'!$D$2535,0)))</f>
        <v>SSP</v>
      </c>
      <c r="L172" s="133">
        <f t="array" ref="L172">IF(COUNTIF(Podcasts!$D$10:'Podcasts'!$D$2535,$B172)&lt;COLUMN(C135),"",SMALL(IF(Podcasts!$D$10:'Podcasts'!$D$2535=$B172,Podcasts!$E$10:'Podcasts'!$E$2535),COLUMN(C135)))</f>
        <v>43693</v>
      </c>
      <c r="M172" s="132">
        <f t="array" ref="M172">IF(L172="","",INDEX(Podcasts!$F$10:'Podcasts'!$F$2535,MATCH(L172&amp;$B172,Podcasts!$E$10:'Podcasts'!$E$2535&amp;Podcasts!$D$10:'Podcasts'!$D$2535,0)))</f>
        <v>8.1782407407407401E-2</v>
      </c>
      <c r="N172" s="136" t="str">
        <f t="array" ref="N172">IF(O172="","",INDEX(Podcasts!$J$10:'Podcasts'!$J$2535,MATCH(O172&amp;$B172,Podcasts!$E$10:'Podcasts'!$E$2535&amp;Podcasts!$D$10:'Podcasts'!$D$2535,0)))</f>
        <v>Verstärker</v>
      </c>
      <c r="O172" s="133">
        <f t="array" ref="O172">IF(COUNTIF(Podcasts!$D$10:'Podcasts'!$D$2535,$B172)&lt;COLUMN(D135),"",SMALL(IF(Podcasts!$D$10:'Podcasts'!$D$2535=$B172,Podcasts!$E$10:'Podcasts'!$E$2535),COLUMN(D135)))</f>
        <v>44533</v>
      </c>
      <c r="P172" s="132">
        <f t="array" ref="P172">IF(O172="","",INDEX(Podcasts!$F$10:'Podcasts'!$F$2535,MATCH(O172&amp;$B172,Podcasts!$E$10:'Podcasts'!$E$2535&amp;Podcasts!$D$10:'Podcasts'!$D$2535,0)))</f>
        <v>1.9745370370370371E-2</v>
      </c>
      <c r="Q172" s="136" t="str">
        <f t="array" ref="Q172">IF(R172="","",INDEX(Podcasts!$J$10:'Podcasts'!$J$2535,MATCH(R172&amp;$B172,Podcasts!$E$10:'Podcasts'!$E$2535&amp;Podcasts!$D$10:'Podcasts'!$D$2535,0)))</f>
        <v>Zeichen</v>
      </c>
      <c r="R172" s="133">
        <f t="array" ref="R172">IF(COUNTIF(Podcasts!$D$10:'Podcasts'!$D$2535,$B172)&lt;COLUMN(E135),"",SMALL(IF(Podcasts!$D$10:'Podcasts'!$D$2535=$B172,Podcasts!$E$10:'Podcasts'!$E$2535),COLUMN(E135)))</f>
        <v>45070</v>
      </c>
      <c r="S172" s="132">
        <f t="array" ref="S172">IF(R172="","",INDEX(Podcasts!$F$10:'Podcasts'!$F$2535,MATCH(R172&amp;$B172,Podcasts!$E$10:'Podcasts'!$E$2535&amp;Podcasts!$D$10:'Podcasts'!$D$2535,0)))</f>
        <v>7.9398148148148148E-2</v>
      </c>
      <c r="T172" s="136" t="str">
        <f t="array" ref="T172">IF(U172="","",INDEX(Podcasts!$J$10:'Podcasts'!$J$2535,MATCH(U172&amp;$B172,Podcasts!$E$10:'Podcasts'!$E$2535&amp;Podcasts!$D$10:'Podcasts'!$D$2535,0)))</f>
        <v/>
      </c>
      <c r="U172" s="133" t="str">
        <f t="array" ref="U172">IF(COUNTIF(Podcasts!$D$10:'Podcasts'!$D$2535,$B172)&lt;COLUMN(F135),"",SMALL(IF(Podcasts!$D$10:'Podcasts'!$D$2535=$B172,Podcasts!$E$10:'Podcasts'!$E$2535),COLUMN(F135)))</f>
        <v/>
      </c>
      <c r="V172" s="132" t="str">
        <f t="array" ref="V172">IF(U172="","",INDEX(Podcasts!$F$10:'Podcasts'!$F$2535,MATCH(U172&amp;$B172,Podcasts!$E$10:'Podcasts'!$E$2535&amp;Podcasts!$D$10:'Podcasts'!$D$2535,0)))</f>
        <v/>
      </c>
      <c r="W172" s="136" t="str">
        <f t="array" ref="W172">IF(X172="","",INDEX(Podcasts!$J$10:'Podcasts'!$J$2535,MATCH(X172&amp;$B172,Podcasts!$E$10:'Podcasts'!$E$2535&amp;Podcasts!$D$10:'Podcasts'!$D$2535,0)))</f>
        <v/>
      </c>
      <c r="X172" s="133" t="str">
        <f t="array" ref="X172">IF(COUNTIF(Podcasts!$D$10:'Podcasts'!$D$2535,$B172)&lt;COLUMN(G135),"",SMALL(IF(Podcasts!$D$10:'Podcasts'!$D$2535=$B172,Podcasts!$E$10:'Podcasts'!$E$2535),COLUMN(G135)))</f>
        <v/>
      </c>
      <c r="Y172" s="132" t="str">
        <f t="array" ref="Y172">IF(X172="","",INDEX(Podcasts!$F$10:'Podcasts'!$F$2535,MATCH(X172&amp;$B172,Podcasts!$E$10:'Podcasts'!$E$2535&amp;Podcasts!$D$10:'Podcasts'!$D$2535,0)))</f>
        <v/>
      </c>
      <c r="Z172" s="136" t="str">
        <f t="array" ref="Z172">IF(AA172="","",INDEX(Podcasts!$J$10:'Podcasts'!$J$2535,MATCH(AA172&amp;$B172,Podcasts!$E$10:'Podcasts'!$E$2535&amp;Podcasts!$D$10:'Podcasts'!$D$2535,0)))</f>
        <v/>
      </c>
      <c r="AA172" s="134" t="str">
        <f t="array" ref="AA172">IF(COUNTIF(Podcasts!$D$10:'Podcasts'!$D$2535,$B172)&lt;COLUMN(H135),"",SMALL(IF(Podcasts!$D$10:'Podcasts'!$D$2535=$B172,Podcasts!$E$10:'Podcasts'!$E$2535),COLUMN(H135)))</f>
        <v/>
      </c>
      <c r="AB172" s="404" t="str">
        <f t="array" ref="AB172">IF(AA172="","",INDEX(Podcasts!$F$10:'Podcasts'!$F$2535,MATCH(AA172&amp;$B172,Podcasts!$E$10:'Podcasts'!$E$2535&amp;Podcasts!$D$10:'Podcasts'!$D$2535,0)))</f>
        <v/>
      </c>
      <c r="AC172" s="406" t="str">
        <f t="array" ref="AC172">IF(AD172="","",INDEX(Podcasts!$J$10:'Podcasts'!$J$2535,MATCH(AD172&amp;$B172,Podcasts!$E$10:'Podcasts'!$E$2535&amp;Podcasts!$D$10:'Podcasts'!$D$2535,0)))</f>
        <v/>
      </c>
      <c r="AD172" s="400" t="str">
        <f t="array" ref="AD172">IF(COUNTIF(Podcasts!$D$10:'Podcasts'!$D$2535,$B172)&lt;COLUMN(I135),"",SMALL(IF(Podcasts!$D$10:'Podcasts'!$D$2535=$B172,Podcasts!$E$10:'Podcasts'!$E$2535),COLUMN(I135)))</f>
        <v/>
      </c>
      <c r="AE172" s="401" t="str">
        <f t="array" ref="AE172">IF(AD172="","",INDEX(Podcasts!$F$10:'Podcasts'!$F$2535,MATCH(AD172&amp;$B172,Podcasts!$E$10:'Podcasts'!$E$2535&amp;Podcasts!$D$10:'Podcasts'!$D$2535,0)))</f>
        <v/>
      </c>
      <c r="AF172" s="406" t="str">
        <f t="array" ref="AF172">IF(AG172="","",INDEX(Podcasts!$J$10:'Podcasts'!$J$2535,MATCH(AG172&amp;$B172,Podcasts!$E$10:'Podcasts'!$E$2535&amp;Podcasts!$D$10:'Podcasts'!$D$2535,0)))</f>
        <v/>
      </c>
      <c r="AG172" s="400" t="str">
        <f t="array" ref="AG172">IF(COUNTIF(Podcasts!$D$10:'Podcasts'!$D$2535,$B172)&lt;COLUMN(J135),"",SMALL(IF(Podcasts!$D$10:'Podcasts'!$D$2535=$B172,Podcasts!$E$10:'Podcasts'!$E$2535),COLUMN(J135)))</f>
        <v/>
      </c>
      <c r="AH172" s="401" t="str">
        <f t="array" ref="AH172">IF(AG172="","",INDEX(Podcasts!$F$10:'Podcasts'!$F$2535,MATCH(AG172&amp;$B172,Podcasts!$E$10:'Podcasts'!$E$2535&amp;Podcasts!$D$10:'Podcasts'!$D$2535,0)))</f>
        <v/>
      </c>
      <c r="AI172" s="406" t="str">
        <f t="array" ref="AI172">IF(AJ172="","",INDEX(Podcasts!$J$10:'Podcasts'!$J$2535,MATCH(AJ172&amp;$B172,Podcasts!$E$10:'Podcasts'!$E$2535&amp;Podcasts!$D$10:'Podcasts'!$D$2535,0)))</f>
        <v/>
      </c>
      <c r="AJ172" s="400" t="str">
        <f t="array" ref="AJ172">IF(COUNTIF(Podcasts!$D$10:'Podcasts'!$D$2535,$B172)&lt;COLUMN(K135),"",SMALL(IF(Podcasts!$D$10:'Podcasts'!$D$2535=$B172,Podcasts!$E$10:'Podcasts'!$E$2535),COLUMN(K135)))</f>
        <v/>
      </c>
      <c r="AK172" s="401" t="str">
        <f t="array" ref="AK172">IF(AJ172="","",INDEX(Podcasts!$F$10:'Podcasts'!$F$2535,MATCH(AJ172&amp;$B172,Podcasts!$E$10:'Podcasts'!$E$2535&amp;Podcasts!$D$10:'Podcasts'!$D$2535,0)))</f>
        <v/>
      </c>
      <c r="AL172" s="406" t="str">
        <f t="array" ref="AL172">IF(AM172="","",INDEX(Podcasts!$J$10:'Podcasts'!$J$2535,MATCH(AM172&amp;$B172,Podcasts!$E$10:'Podcasts'!$E$2535&amp;Podcasts!$D$10:'Podcasts'!$D$2535,0)))</f>
        <v/>
      </c>
      <c r="AM172" s="400" t="str">
        <f t="array" ref="AM172">IF(COUNTIF(Podcasts!$D$10:'Podcasts'!$D$2535,$B172)&lt;COLUMN(L135),"",SMALL(IF(Podcasts!$D$10:'Podcasts'!$D$2535=$B172,Podcasts!$E$10:'Podcasts'!$E$2535),COLUMN(L135)))</f>
        <v/>
      </c>
      <c r="AN172" s="401" t="str">
        <f t="array" ref="AN172">IF(AM172="","",INDEX(Podcasts!$F$10:'Podcasts'!$F$2535,MATCH(AM172&amp;$B172,Podcasts!$E$10:'Podcasts'!$E$2535&amp;Podcasts!$D$10:'Podcasts'!$D$2535,0)))</f>
        <v/>
      </c>
      <c r="AO172" s="402"/>
      <c r="AP172" s="119"/>
      <c r="AQ172" s="117">
        <f t="array" aca="1" ref="AQ172" ca="1">IFERROR(SMALL(IF(COUNTIF(Podcasts!$D$10:'Podcasts'!$D$107,ROW(INDIRECT("1:"&amp;K$2)))=0,ROW(INDIRECT("1:"&amp;K$2))),ROW($A129)),"")</f>
        <v>169</v>
      </c>
      <c r="AR172" s="117">
        <f t="array" aca="1" ref="AR172" ca="1">IFERROR(SMALL(IF(COUNTIF(Podcasts!$D$113:'Podcasts'!$D$238,ROW(INDIRECT("1:"&amp;K$2)))=0,ROW(INDIRECT("1:"&amp;K$2))),ROW($A129)),"")</f>
        <v>129</v>
      </c>
      <c r="AS172" s="117">
        <f t="array" aca="1" ref="AS172" ca="1">IFERROR(SMALL(IF(COUNTIF(Podcasts!$D$244:'Podcasts'!$D$299,ROW(INDIRECT("1:"&amp;K$2)))=0,ROW(INDIRECT("1:"&amp;K$2))),ROW($A129)),"")</f>
        <v>148</v>
      </c>
      <c r="AT172" s="117"/>
      <c r="AU172" s="117">
        <f t="array" aca="1" ref="AU172" ca="1">IFERROR(SMALL(IF(COUNTIF(Podcasts!$D$479:'Podcasts'!$D$488,ROW(INDIRECT("1:"&amp;K$2)))=0,ROW(INDIRECT("1:"&amp;K$2))),ROW($A129)),"")</f>
        <v>132</v>
      </c>
      <c r="AV172" s="117">
        <f t="array" aca="1" ref="AV172" ca="1">IFERROR(SMALL(IF(COUNTIF(Podcasts!$D$494:'Podcasts'!$D$518,ROW(INDIRECT("1:"&amp;K$2)))=0,ROW(INDIRECT("1:"&amp;K$2))),ROW($A129)),"")</f>
        <v>151</v>
      </c>
      <c r="AW172" s="117">
        <f t="array" aca="1" ref="AW172" ca="1">IFERROR(SMALL(IF(COUNTIF(Podcasts!$D$524:'Podcasts'!$D$532,ROW(INDIRECT("1:"&amp;K$2)))=0,ROW(INDIRECT("1:"&amp;K$2))),ROW($A129)),"")</f>
        <v>130</v>
      </c>
      <c r="AX172" s="117"/>
      <c r="AY172" s="117">
        <f t="array" aca="1" ref="AY172" ca="1">IFERROR(SMALL(IF(COUNTIF(Podcasts!$D$915:'Podcasts'!$D$981,ROW(INDIRECT("1:"&amp;K$2)))=0,ROW(INDIRECT("1:"&amp;K$2))),ROW($A129)),"")</f>
        <v>182</v>
      </c>
      <c r="AZ172" s="445"/>
      <c r="BA172" s="117">
        <f t="array" aca="1" ref="BA172" ca="1">IFERROR(SMALL(IF(COUNTIF(Podcasts!$D$1001:'Podcasts'!$D$1251,ROW(INDIRECT("1:"&amp;K$2)))=0,ROW(INDIRECT("1:"&amp;K$2))),ROW($A129)),"")</f>
        <v>178</v>
      </c>
      <c r="BB172" s="117">
        <f t="array" aca="1" ref="BB172" ca="1">IFERROR(SMALL(IF(COUNTIF(Podcasts!$D$1257:'Podcasts'!$D$1267,ROW(INDIRECT("1:"&amp;K$2)))=0,ROW(INDIRECT("1:"&amp;K$2))),ROW($A129)),"")</f>
        <v>134</v>
      </c>
      <c r="BC172" s="117">
        <f t="array" aca="1" ref="BC172" ca="1">IFERROR(SMALL(IF(COUNTIF(Podcasts!$D$1273:'Podcasts'!$D$1283,ROW(INDIRECT("1:"&amp;K$2)))=0,ROW(INDIRECT("1:"&amp;K$2))),ROW($A129)),"")</f>
        <v>133</v>
      </c>
      <c r="BD172" s="117">
        <f t="array" aca="1" ref="BD172" ca="1">IFERROR(SMALL(IF(COUNTIF(Podcasts!$D$1289:'Podcasts'!$D$1295,ROW(INDIRECT("1:"&amp;K$2)))=0,ROW(INDIRECT("1:"&amp;K$2))),ROW($A129)),"")</f>
        <v>134</v>
      </c>
      <c r="BE172" s="117">
        <f t="array" aca="1" ref="BE172" ca="1">IFERROR(SMALL(IF(COUNTIF(Podcasts!$D$1301:'Podcasts'!$D$1356,ROW(INDIRECT("1:"&amp;K$2)))=0,ROW(INDIRECT("1:"&amp;K$2))),ROW($A129)),"")</f>
        <v>176</v>
      </c>
      <c r="BF172" s="117">
        <f t="array" aca="1" ref="BF172" ca="1">IFERROR(SMALL(IF(COUNTIF(Podcasts!$D$1362:'Podcasts'!$D$1364,ROW(INDIRECT("1:"&amp;K$2)))=0,ROW(INDIRECT("1:"&amp;K$2))),ROW($A129)),"")</f>
        <v>132</v>
      </c>
      <c r="BG172" s="202">
        <f t="array" aca="1" ref="BG172" ca="1">IFERROR(SMALL(IF(COUNTIF(Podcasts!$D$1370:'Podcasts'!$D$1419,ROW(INDIRECT("1:"&amp;K$2)))=0,ROW(INDIRECT("1:"&amp;K$2))),ROW($A129)),"")</f>
        <v>162</v>
      </c>
      <c r="BH172" s="202">
        <f t="array" aca="1" ref="BH172" ca="1">IFERROR(SMALL(IF(COUNTIF(Podcasts!$D$1425:'Podcasts'!$D$1446,ROW(INDIRECT("1:"&amp;K$2)))=0,ROW(INDIRECT("1:"&amp;K$2))),ROW($A129)),"")</f>
        <v>139</v>
      </c>
      <c r="BI172" s="202">
        <f t="array" aca="1" ref="BI172" ca="1">IFERROR(SMALL(IF(COUNTIF(Podcasts!$D$1452:'Podcasts'!$D$1574,ROW(INDIRECT("1:"&amp;K$2)))=0,ROW(INDIRECT("1:"&amp;K$2))),ROW($A129)),"")</f>
        <v>206</v>
      </c>
      <c r="BJ172" s="202">
        <f t="array" aca="1" ref="BJ172" ca="1">IFERROR(SMALL(IF(COUNTIF(Podcasts!$D$1580:'Podcasts'!$D$1705,ROW(INDIRECT("1:"&amp;K$2)))=0,ROW(INDIRECT("1:"&amp;K$2))),ROW($A129)),"")</f>
        <v>207</v>
      </c>
      <c r="BK172" s="202">
        <f t="array" aca="1" ref="BK172" ca="1">IFERROR(SMALL(IF(COUNTIF(Podcasts!$D$1711:'Podcasts'!$D$1833,ROW(INDIRECT("1:"&amp;K$2)))=0,ROW(INDIRECT("1:"&amp;K$2))),ROW($A129)),"")</f>
        <v>201</v>
      </c>
      <c r="BL172" s="202">
        <f t="array" aca="1" ref="BL172" ca="1">IFERROR(SMALL(IF(COUNTIF(Podcasts!$D$1839:'Podcasts'!$D$1855,ROW(INDIRECT("1:"&amp;K$2)))=0,ROW(INDIRECT("1:"&amp;K$2))),ROW($A129)),"")</f>
        <v>138</v>
      </c>
      <c r="BM172" s="567">
        <f t="array" aca="1" ref="BM172" ca="1">IFERROR(SMALL(IF(COUNTIF(Podcasts!$D$1861:'Podcasts'!$D$1994,ROW(INDIRECT("1:"&amp;K$2)))=0,ROW(INDIRECT("1:"&amp;K$2))),ROW($A129)),"")</f>
        <v>174</v>
      </c>
      <c r="BN172" s="567">
        <f t="array" aca="1" ref="BN172" ca="1">IFERROR(SMALL(IF(COUNTIF(Podcasts!$D$2000:'Podcasts'!$D$2057,ROW(INDIRECT("1:"&amp;K$2)))=0,ROW(INDIRECT("1:"&amp;K$2))),ROW($A129)),"")</f>
        <v>184</v>
      </c>
      <c r="BO172" s="567">
        <f t="array" aca="1" ref="BO172" ca="1">IFERROR(SMALL(IF(COUNTIF(Podcasts!$D$2063:'Podcasts'!$D$2071,ROW(INDIRECT("1:"&amp;K$2)))=0,ROW(INDIRECT("1:"&amp;K$2))),ROW($A129)),"")</f>
        <v>136</v>
      </c>
      <c r="BP172" s="202">
        <f t="array" aca="1" ref="BP172" ca="1">IFERROR(SMALL(IF(COUNTIF(Podcasts!$D$2077:'Podcasts'!$D$2092,ROW(INDIRECT("1:"&amp;K$2)))=0,ROW(INDIRECT("1:"&amp;K$2))),ROW($A129)),"")</f>
        <v>140</v>
      </c>
      <c r="BQ172" s="741">
        <f t="array" aca="1" ref="BQ172" ca="1">IFERROR(SMALL(IF(COUNTIF(Podcasts!$D$2098:'Podcasts'!$D$2114,ROW(INDIRECT("1:"&amp;K$2)))=0,ROW(INDIRECT("1:"&amp;K$2))),ROW($A129)),"")</f>
        <v>140</v>
      </c>
      <c r="BR172" s="744">
        <f t="array" aca="1" ref="BR172" ca="1">IFERROR(SMALL(IF(COUNTIF(Podcasts!$D$2120:'Podcasts'!$D$2124,ROW(INDIRECT("1:"&amp;K$2)))=0,ROW(INDIRECT("1:"&amp;K$2))),ROW($A129)),"")</f>
        <v>131</v>
      </c>
      <c r="BS172" s="28"/>
    </row>
    <row r="173" spans="1:71" outlineLevel="1">
      <c r="A173" s="28"/>
      <c r="B173" s="161">
        <v>130</v>
      </c>
      <c r="C173" s="161">
        <f>COUNTIF(Podcasts!$D$10:'Podcasts'!$D$2535,B173)</f>
        <v>5</v>
      </c>
      <c r="D173" s="158" t="s">
        <v>1156</v>
      </c>
      <c r="E173" s="156" t="str">
        <f t="array" ref="E173">IF(F173="","",INDEX(Podcasts!$J$10:'Podcasts'!$J$2535,MATCH(F173&amp;$B173,Podcasts!$E$10:'Podcasts'!$E$2535&amp;Podcasts!$D$10:'Podcasts'!$D$2535,0)))</f>
        <v>???od</v>
      </c>
      <c r="F173" s="131">
        <f t="array" ref="F173">IF(COUNTIF(Podcasts!$D$10:'Podcasts'!$D$2535,$B173)&lt;COLUMN(A136),"",SMALL(IF(Podcasts!$D$10:'Podcasts'!$D$2535=$B173,Podcasts!$E$10:'Podcasts'!$E$2535),COLUMN(A136)))</f>
        <v>42526</v>
      </c>
      <c r="G173" s="132">
        <f t="array" ref="G173">IF(F173="","",INDEX(Podcasts!$F$10:'Podcasts'!$F$2535,MATCH(F173&amp;$B173,Podcasts!$E$10:'Podcasts'!$E$2535&amp;Podcasts!$D$10:'Podcasts'!$D$2535,0)))</f>
        <v>5.5208333333333333E-3</v>
      </c>
      <c r="H173" s="136" t="str">
        <f t="array" ref="H173">IF(I173="","",INDEX(Podcasts!$J$10:'Podcasts'!$J$2535,MATCH(I173&amp;$B173,Podcasts!$E$10:'Podcasts'!$E$2535&amp;Podcasts!$D$10:'Podcasts'!$D$2535,0)))</f>
        <v>Verstärker</v>
      </c>
      <c r="I173" s="133">
        <f t="array" ref="I173">IF(COUNTIF(Podcasts!$D$10:'Podcasts'!$D$2535,$B173)&lt;COLUMN(B136),"",SMALL(IF(Podcasts!$D$10:'Podcasts'!$D$2535=$B173,Podcasts!$E$10:'Podcasts'!$E$2535),COLUMN(B136)))</f>
        <v>44442</v>
      </c>
      <c r="J173" s="132">
        <f t="array" ref="J173">IF(I173="","",INDEX(Podcasts!$F$10:'Podcasts'!$F$2535,MATCH(I173&amp;$B173,Podcasts!$E$10:'Podcasts'!$E$2535&amp;Podcasts!$D$10:'Podcasts'!$D$2535,0)))</f>
        <v>1.8159722222222219E-2</v>
      </c>
      <c r="K173" s="136" t="str">
        <f t="array" ref="K173">IF(L173="","",INDEX(Podcasts!$J$10:'Podcasts'!$J$2535,MATCH(L173&amp;$B173,Podcasts!$E$10:'Podcasts'!$E$2535&amp;Podcasts!$D$10:'Podcasts'!$D$2535,0)))</f>
        <v>SSP</v>
      </c>
      <c r="L173" s="133">
        <f t="array" ref="L173">IF(COUNTIF(Podcasts!$D$10:'Podcasts'!$D$2535,$B173)&lt;COLUMN(C136),"",SMALL(IF(Podcasts!$D$10:'Podcasts'!$D$2535=$B173,Podcasts!$E$10:'Podcasts'!$E$2535),COLUMN(C136)))</f>
        <v>44484</v>
      </c>
      <c r="M173" s="132">
        <f t="array" ref="M173">IF(L173="","",INDEX(Podcasts!$F$10:'Podcasts'!$F$2535,MATCH(L173&amp;$B173,Podcasts!$E$10:'Podcasts'!$E$2535&amp;Podcasts!$D$10:'Podcasts'!$D$2535,0)))</f>
        <v>7.2916666666666671E-2</v>
      </c>
      <c r="N173" s="136" t="str">
        <f t="array" ref="N173">IF(O173="","",INDEX(Podcasts!$J$10:'Podcasts'!$J$2535,MATCH(O173&amp;$B173,Podcasts!$E$10:'Podcasts'!$E$2535&amp;Podcasts!$D$10:'Podcasts'!$D$2535,0)))</f>
        <v>Zw3i</v>
      </c>
      <c r="O173" s="133">
        <f t="array" ref="O173">IF(COUNTIF(Podcasts!$D$10:'Podcasts'!$D$2535,$B173)&lt;COLUMN(D136),"",SMALL(IF(Podcasts!$D$10:'Podcasts'!$D$2535=$B173,Podcasts!$E$10:'Podcasts'!$E$2535),COLUMN(D136)))</f>
        <v>45002</v>
      </c>
      <c r="P173" s="132">
        <f t="array" ref="P173">IF(O173="","",INDEX(Podcasts!$F$10:'Podcasts'!$F$2535,MATCH(O173&amp;$B173,Podcasts!$E$10:'Podcasts'!$E$2535&amp;Podcasts!$D$10:'Podcasts'!$D$2535,0)))</f>
        <v>0.10008101851851851</v>
      </c>
      <c r="Q173" s="136" t="str">
        <f t="array" ref="Q173">IF(R173="","",INDEX(Podcasts!$J$10:'Podcasts'!$J$2535,MATCH(R173&amp;$B173,Podcasts!$E$10:'Podcasts'!$E$2535&amp;Podcasts!$D$10:'Podcasts'!$D$2535,0)))</f>
        <v>Hoerst</v>
      </c>
      <c r="R173" s="133">
        <f t="array" ref="R173">IF(COUNTIF(Podcasts!$D$10:'Podcasts'!$D$2535,$B173)&lt;COLUMN(E136),"",SMALL(IF(Podcasts!$D$10:'Podcasts'!$D$2535=$B173,Podcasts!$E$10:'Podcasts'!$E$2535),COLUMN(E136)))</f>
        <v>45131</v>
      </c>
      <c r="S173" s="132">
        <f t="array" ref="S173">IF(R173="","",INDEX(Podcasts!$F$10:'Podcasts'!$F$2535,MATCH(R173&amp;$B173,Podcasts!$E$10:'Podcasts'!$E$2535&amp;Podcasts!$D$10:'Podcasts'!$D$2535,0)))</f>
        <v>4.282407407407407E-2</v>
      </c>
      <c r="T173" s="136" t="str">
        <f t="array" ref="T173">IF(U173="","",INDEX(Podcasts!$J$10:'Podcasts'!$J$2535,MATCH(U173&amp;$B173,Podcasts!$E$10:'Podcasts'!$E$2535&amp;Podcasts!$D$10:'Podcasts'!$D$2535,0)))</f>
        <v/>
      </c>
      <c r="U173" s="133" t="str">
        <f t="array" ref="U173">IF(COUNTIF(Podcasts!$D$10:'Podcasts'!$D$2535,$B173)&lt;COLUMN(F136),"",SMALL(IF(Podcasts!$D$10:'Podcasts'!$D$2535=$B173,Podcasts!$E$10:'Podcasts'!$E$2535),COLUMN(F136)))</f>
        <v/>
      </c>
      <c r="V173" s="132" t="str">
        <f t="array" ref="V173">IF(U173="","",INDEX(Podcasts!$F$10:'Podcasts'!$F$2535,MATCH(U173&amp;$B173,Podcasts!$E$10:'Podcasts'!$E$2535&amp;Podcasts!$D$10:'Podcasts'!$D$2535,0)))</f>
        <v/>
      </c>
      <c r="W173" s="136" t="str">
        <f t="array" ref="W173">IF(X173="","",INDEX(Podcasts!$J$10:'Podcasts'!$J$2535,MATCH(X173&amp;$B173,Podcasts!$E$10:'Podcasts'!$E$2535&amp;Podcasts!$D$10:'Podcasts'!$D$2535,0)))</f>
        <v/>
      </c>
      <c r="X173" s="133" t="str">
        <f t="array" ref="X173">IF(COUNTIF(Podcasts!$D$10:'Podcasts'!$D$2535,$B173)&lt;COLUMN(G136),"",SMALL(IF(Podcasts!$D$10:'Podcasts'!$D$2535=$B173,Podcasts!$E$10:'Podcasts'!$E$2535),COLUMN(G136)))</f>
        <v/>
      </c>
      <c r="Y173" s="132" t="str">
        <f t="array" ref="Y173">IF(X173="","",INDEX(Podcasts!$F$10:'Podcasts'!$F$2535,MATCH(X173&amp;$B173,Podcasts!$E$10:'Podcasts'!$E$2535&amp;Podcasts!$D$10:'Podcasts'!$D$2535,0)))</f>
        <v/>
      </c>
      <c r="Z173" s="136" t="str">
        <f t="array" ref="Z173">IF(AA173="","",INDEX(Podcasts!$J$10:'Podcasts'!$J$2535,MATCH(AA173&amp;$B173,Podcasts!$E$10:'Podcasts'!$E$2535&amp;Podcasts!$D$10:'Podcasts'!$D$2535,0)))</f>
        <v/>
      </c>
      <c r="AA173" s="134" t="str">
        <f t="array" ref="AA173">IF(COUNTIF(Podcasts!$D$10:'Podcasts'!$D$2535,$B173)&lt;COLUMN(H136),"",SMALL(IF(Podcasts!$D$10:'Podcasts'!$D$2535=$B173,Podcasts!$E$10:'Podcasts'!$E$2535),COLUMN(H136)))</f>
        <v/>
      </c>
      <c r="AB173" s="404" t="str">
        <f t="array" ref="AB173">IF(AA173="","",INDEX(Podcasts!$F$10:'Podcasts'!$F$2535,MATCH(AA173&amp;$B173,Podcasts!$E$10:'Podcasts'!$E$2535&amp;Podcasts!$D$10:'Podcasts'!$D$2535,0)))</f>
        <v/>
      </c>
      <c r="AC173" s="406" t="str">
        <f t="array" ref="AC173">IF(AD173="","",INDEX(Podcasts!$J$10:'Podcasts'!$J$2535,MATCH(AD173&amp;$B173,Podcasts!$E$10:'Podcasts'!$E$2535&amp;Podcasts!$D$10:'Podcasts'!$D$2535,0)))</f>
        <v/>
      </c>
      <c r="AD173" s="400" t="str">
        <f t="array" ref="AD173">IF(COUNTIF(Podcasts!$D$10:'Podcasts'!$D$2535,$B173)&lt;COLUMN(I136),"",SMALL(IF(Podcasts!$D$10:'Podcasts'!$D$2535=$B173,Podcasts!$E$10:'Podcasts'!$E$2535),COLUMN(I136)))</f>
        <v/>
      </c>
      <c r="AE173" s="401" t="str">
        <f t="array" ref="AE173">IF(AD173="","",INDEX(Podcasts!$F$10:'Podcasts'!$F$2535,MATCH(AD173&amp;$B173,Podcasts!$E$10:'Podcasts'!$E$2535&amp;Podcasts!$D$10:'Podcasts'!$D$2535,0)))</f>
        <v/>
      </c>
      <c r="AF173" s="406" t="str">
        <f t="array" ref="AF173">IF(AG173="","",INDEX(Podcasts!$J$10:'Podcasts'!$J$2535,MATCH(AG173&amp;$B173,Podcasts!$E$10:'Podcasts'!$E$2535&amp;Podcasts!$D$10:'Podcasts'!$D$2535,0)))</f>
        <v/>
      </c>
      <c r="AG173" s="400" t="str">
        <f t="array" ref="AG173">IF(COUNTIF(Podcasts!$D$10:'Podcasts'!$D$2535,$B173)&lt;COLUMN(J136),"",SMALL(IF(Podcasts!$D$10:'Podcasts'!$D$2535=$B173,Podcasts!$E$10:'Podcasts'!$E$2535),COLUMN(J136)))</f>
        <v/>
      </c>
      <c r="AH173" s="401" t="str">
        <f t="array" ref="AH173">IF(AG173="","",INDEX(Podcasts!$F$10:'Podcasts'!$F$2535,MATCH(AG173&amp;$B173,Podcasts!$E$10:'Podcasts'!$E$2535&amp;Podcasts!$D$10:'Podcasts'!$D$2535,0)))</f>
        <v/>
      </c>
      <c r="AI173" s="406" t="str">
        <f t="array" ref="AI173">IF(AJ173="","",INDEX(Podcasts!$J$10:'Podcasts'!$J$2535,MATCH(AJ173&amp;$B173,Podcasts!$E$10:'Podcasts'!$E$2535&amp;Podcasts!$D$10:'Podcasts'!$D$2535,0)))</f>
        <v/>
      </c>
      <c r="AJ173" s="400" t="str">
        <f t="array" ref="AJ173">IF(COUNTIF(Podcasts!$D$10:'Podcasts'!$D$2535,$B173)&lt;COLUMN(K136),"",SMALL(IF(Podcasts!$D$10:'Podcasts'!$D$2535=$B173,Podcasts!$E$10:'Podcasts'!$E$2535),COLUMN(K136)))</f>
        <v/>
      </c>
      <c r="AK173" s="401" t="str">
        <f t="array" ref="AK173">IF(AJ173="","",INDEX(Podcasts!$F$10:'Podcasts'!$F$2535,MATCH(AJ173&amp;$B173,Podcasts!$E$10:'Podcasts'!$E$2535&amp;Podcasts!$D$10:'Podcasts'!$D$2535,0)))</f>
        <v/>
      </c>
      <c r="AL173" s="406" t="str">
        <f t="array" ref="AL173">IF(AM173="","",INDEX(Podcasts!$J$10:'Podcasts'!$J$2535,MATCH(AM173&amp;$B173,Podcasts!$E$10:'Podcasts'!$E$2535&amp;Podcasts!$D$10:'Podcasts'!$D$2535,0)))</f>
        <v/>
      </c>
      <c r="AM173" s="400" t="str">
        <f t="array" ref="AM173">IF(COUNTIF(Podcasts!$D$10:'Podcasts'!$D$2535,$B173)&lt;COLUMN(L136),"",SMALL(IF(Podcasts!$D$10:'Podcasts'!$D$2535=$B173,Podcasts!$E$10:'Podcasts'!$E$2535),COLUMN(L136)))</f>
        <v/>
      </c>
      <c r="AN173" s="401" t="str">
        <f t="array" ref="AN173">IF(AM173="","",INDEX(Podcasts!$F$10:'Podcasts'!$F$2535,MATCH(AM173&amp;$B173,Podcasts!$E$10:'Podcasts'!$E$2535&amp;Podcasts!$D$10:'Podcasts'!$D$2535,0)))</f>
        <v/>
      </c>
      <c r="AO173" s="402"/>
      <c r="AP173" s="119"/>
      <c r="AQ173" s="117">
        <f t="array" aca="1" ref="AQ173" ca="1">IFERROR(SMALL(IF(COUNTIF(Podcasts!$D$10:'Podcasts'!$D$107,ROW(INDIRECT("1:"&amp;K$2)))=0,ROW(INDIRECT("1:"&amp;K$2))),ROW($A130)),"")</f>
        <v>170</v>
      </c>
      <c r="AR173" s="117">
        <f t="array" aca="1" ref="AR173" ca="1">IFERROR(SMALL(IF(COUNTIF(Podcasts!$D$113:'Podcasts'!$D$238,ROW(INDIRECT("1:"&amp;K$2)))=0,ROW(INDIRECT("1:"&amp;K$2))),ROW($A130)),"")</f>
        <v>130</v>
      </c>
      <c r="AS173" s="117">
        <f t="array" aca="1" ref="AS173" ca="1">IFERROR(SMALL(IF(COUNTIF(Podcasts!$D$244:'Podcasts'!$D$299,ROW(INDIRECT("1:"&amp;K$2)))=0,ROW(INDIRECT("1:"&amp;K$2))),ROW($A130)),"")</f>
        <v>149</v>
      </c>
      <c r="AT173" s="117"/>
      <c r="AU173" s="117">
        <f t="array" aca="1" ref="AU173" ca="1">IFERROR(SMALL(IF(COUNTIF(Podcasts!$D$479:'Podcasts'!$D$488,ROW(INDIRECT("1:"&amp;K$2)))=0,ROW(INDIRECT("1:"&amp;K$2))),ROW($A130)),"")</f>
        <v>133</v>
      </c>
      <c r="AV173" s="117">
        <f t="array" aca="1" ref="AV173" ca="1">IFERROR(SMALL(IF(COUNTIF(Podcasts!$D$494:'Podcasts'!$D$518,ROW(INDIRECT("1:"&amp;K$2)))=0,ROW(INDIRECT("1:"&amp;K$2))),ROW($A130)),"")</f>
        <v>152</v>
      </c>
      <c r="AW173" s="117">
        <f t="array" aca="1" ref="AW173" ca="1">IFERROR(SMALL(IF(COUNTIF(Podcasts!$D$524:'Podcasts'!$D$532,ROW(INDIRECT("1:"&amp;K$2)))=0,ROW(INDIRECT("1:"&amp;K$2))),ROW($A130)),"")</f>
        <v>131</v>
      </c>
      <c r="AX173" s="117"/>
      <c r="AY173" s="117">
        <f t="array" aca="1" ref="AY173" ca="1">IFERROR(SMALL(IF(COUNTIF(Podcasts!$D$915:'Podcasts'!$D$981,ROW(INDIRECT("1:"&amp;K$2)))=0,ROW(INDIRECT("1:"&amp;K$2))),ROW($A130)),"")</f>
        <v>183</v>
      </c>
      <c r="AZ173" s="445"/>
      <c r="BA173" s="117">
        <f t="array" aca="1" ref="BA173" ca="1">IFERROR(SMALL(IF(COUNTIF(Podcasts!$D$1001:'Podcasts'!$D$1251,ROW(INDIRECT("1:"&amp;K$2)))=0,ROW(INDIRECT("1:"&amp;K$2))),ROW($A130)),"")</f>
        <v>179</v>
      </c>
      <c r="BB173" s="117">
        <f t="array" aca="1" ref="BB173" ca="1">IFERROR(SMALL(IF(COUNTIF(Podcasts!$D$1257:'Podcasts'!$D$1267,ROW(INDIRECT("1:"&amp;K$2)))=0,ROW(INDIRECT("1:"&amp;K$2))),ROW($A130)),"")</f>
        <v>135</v>
      </c>
      <c r="BC173" s="117">
        <f t="array" aca="1" ref="BC173" ca="1">IFERROR(SMALL(IF(COUNTIF(Podcasts!$D$1273:'Podcasts'!$D$1283,ROW(INDIRECT("1:"&amp;K$2)))=0,ROW(INDIRECT("1:"&amp;K$2))),ROW($A130)),"")</f>
        <v>134</v>
      </c>
      <c r="BD173" s="117">
        <f t="array" aca="1" ref="BD173" ca="1">IFERROR(SMALL(IF(COUNTIF(Podcasts!$D$1289:'Podcasts'!$D$1295,ROW(INDIRECT("1:"&amp;K$2)))=0,ROW(INDIRECT("1:"&amp;K$2))),ROW($A130)),"")</f>
        <v>135</v>
      </c>
      <c r="BE173" s="117">
        <f t="array" aca="1" ref="BE173" ca="1">IFERROR(SMALL(IF(COUNTIF(Podcasts!$D$1301:'Podcasts'!$D$1356,ROW(INDIRECT("1:"&amp;K$2)))=0,ROW(INDIRECT("1:"&amp;K$2))),ROW($A130)),"")</f>
        <v>177</v>
      </c>
      <c r="BF173" s="117">
        <f t="array" aca="1" ref="BF173" ca="1">IFERROR(SMALL(IF(COUNTIF(Podcasts!$D$1362:'Podcasts'!$D$1364,ROW(INDIRECT("1:"&amp;K$2)))=0,ROW(INDIRECT("1:"&amp;K$2))),ROW($A130)),"")</f>
        <v>133</v>
      </c>
      <c r="BG173" s="202">
        <f t="array" aca="1" ref="BG173" ca="1">IFERROR(SMALL(IF(COUNTIF(Podcasts!$D$1370:'Podcasts'!$D$1419,ROW(INDIRECT("1:"&amp;K$2)))=0,ROW(INDIRECT("1:"&amp;K$2))),ROW($A130)),"")</f>
        <v>163</v>
      </c>
      <c r="BH173" s="202">
        <f t="array" aca="1" ref="BH173" ca="1">IFERROR(SMALL(IF(COUNTIF(Podcasts!$D$1425:'Podcasts'!$D$1446,ROW(INDIRECT("1:"&amp;K$2)))=0,ROW(INDIRECT("1:"&amp;K$2))),ROW($A130)),"")</f>
        <v>140</v>
      </c>
      <c r="BI173" s="202">
        <f t="array" aca="1" ref="BI173" ca="1">IFERROR(SMALL(IF(COUNTIF(Podcasts!$D$1452:'Podcasts'!$D$1574,ROW(INDIRECT("1:"&amp;K$2)))=0,ROW(INDIRECT("1:"&amp;K$2))),ROW($A130)),"")</f>
        <v>207</v>
      </c>
      <c r="BJ173" s="202">
        <f t="array" aca="1" ref="BJ173" ca="1">IFERROR(SMALL(IF(COUNTIF(Podcasts!$D$1580:'Podcasts'!$D$1705,ROW(INDIRECT("1:"&amp;K$2)))=0,ROW(INDIRECT("1:"&amp;K$2))),ROW($A130)),"")</f>
        <v>208</v>
      </c>
      <c r="BK173" s="202">
        <f t="array" aca="1" ref="BK173" ca="1">IFERROR(SMALL(IF(COUNTIF(Podcasts!$D$1711:'Podcasts'!$D$1833,ROW(INDIRECT("1:"&amp;K$2)))=0,ROW(INDIRECT("1:"&amp;K$2))),ROW($A130)),"")</f>
        <v>202</v>
      </c>
      <c r="BL173" s="202">
        <f t="array" aca="1" ref="BL173" ca="1">IFERROR(SMALL(IF(COUNTIF(Podcasts!$D$1839:'Podcasts'!$D$1855,ROW(INDIRECT("1:"&amp;K$2)))=0,ROW(INDIRECT("1:"&amp;K$2))),ROW($A130)),"")</f>
        <v>139</v>
      </c>
      <c r="BM173" s="567">
        <f t="array" aca="1" ref="BM173" ca="1">IFERROR(SMALL(IF(COUNTIF(Podcasts!$D$1861:'Podcasts'!$D$1994,ROW(INDIRECT("1:"&amp;K$2)))=0,ROW(INDIRECT("1:"&amp;K$2))),ROW($A130)),"")</f>
        <v>175</v>
      </c>
      <c r="BN173" s="567">
        <f t="array" aca="1" ref="BN173" ca="1">IFERROR(SMALL(IF(COUNTIF(Podcasts!$D$2000:'Podcasts'!$D$2057,ROW(INDIRECT("1:"&amp;K$2)))=0,ROW(INDIRECT("1:"&amp;K$2))),ROW($A130)),"")</f>
        <v>185</v>
      </c>
      <c r="BO173" s="567">
        <f t="array" aca="1" ref="BO173" ca="1">IFERROR(SMALL(IF(COUNTIF(Podcasts!$D$2063:'Podcasts'!$D$2071,ROW(INDIRECT("1:"&amp;K$2)))=0,ROW(INDIRECT("1:"&amp;K$2))),ROW($A130)),"")</f>
        <v>137</v>
      </c>
      <c r="BP173" s="202">
        <f t="array" aca="1" ref="BP173" ca="1">IFERROR(SMALL(IF(COUNTIF(Podcasts!$D$2077:'Podcasts'!$D$2092,ROW(INDIRECT("1:"&amp;K$2)))=0,ROW(INDIRECT("1:"&amp;K$2))),ROW($A130)),"")</f>
        <v>141</v>
      </c>
      <c r="BQ173" s="741">
        <f t="array" aca="1" ref="BQ173" ca="1">IFERROR(SMALL(IF(COUNTIF(Podcasts!$D$2098:'Podcasts'!$D$2114,ROW(INDIRECT("1:"&amp;K$2)))=0,ROW(INDIRECT("1:"&amp;K$2))),ROW($A130)),"")</f>
        <v>142</v>
      </c>
      <c r="BR173" s="744">
        <f t="array" aca="1" ref="BR173" ca="1">IFERROR(SMALL(IF(COUNTIF(Podcasts!$D$2120:'Podcasts'!$D$2124,ROW(INDIRECT("1:"&amp;K$2)))=0,ROW(INDIRECT("1:"&amp;K$2))),ROW($A130)),"")</f>
        <v>132</v>
      </c>
      <c r="BS173" s="28"/>
    </row>
    <row r="174" spans="1:71" outlineLevel="1">
      <c r="A174" s="28"/>
      <c r="B174" s="161">
        <v>131</v>
      </c>
      <c r="C174" s="161">
        <f>COUNTIF(Podcasts!$D$10:'Podcasts'!$D$2535,B174)</f>
        <v>5</v>
      </c>
      <c r="D174" s="158" t="s">
        <v>1157</v>
      </c>
      <c r="E174" s="156" t="str">
        <f t="array" ref="E174">IF(F174="","",INDEX(Podcasts!$J$10:'Podcasts'!$J$2535,MATCH(F174&amp;$B174,Podcasts!$E$10:'Podcasts'!$E$2535&amp;Podcasts!$D$10:'Podcasts'!$D$2535,0)))</f>
        <v>Fürst</v>
      </c>
      <c r="F174" s="131">
        <f t="array" ref="F174">IF(COUNTIF(Podcasts!$D$10:'Podcasts'!$D$2535,$B174)&lt;COLUMN(A137),"",SMALL(IF(Podcasts!$D$10:'Podcasts'!$D$2535=$B174,Podcasts!$E$10:'Podcasts'!$E$2535),COLUMN(A137)))</f>
        <v>41745</v>
      </c>
      <c r="G174" s="132">
        <f t="array" ref="G174">IF(F174="","",INDEX(Podcasts!$F$10:'Podcasts'!$F$2535,MATCH(F174&amp;$B174,Podcasts!$E$10:'Podcasts'!$E$2535&amp;Podcasts!$D$10:'Podcasts'!$D$2535,0)))</f>
        <v>2.2569444444444468E-3</v>
      </c>
      <c r="H174" s="136" t="str">
        <f t="array" ref="H174">IF(I174="","",INDEX(Podcasts!$J$10:'Podcasts'!$J$2535,MATCH(I174&amp;$B174,Podcasts!$E$10:'Podcasts'!$E$2535&amp;Podcasts!$D$10:'Podcasts'!$D$2535,0)))</f>
        <v>SSP</v>
      </c>
      <c r="I174" s="133">
        <f t="array" ref="I174">IF(COUNTIF(Podcasts!$D$10:'Podcasts'!$D$2535,$B174)&lt;COLUMN(B137),"",SMALL(IF(Podcasts!$D$10:'Podcasts'!$D$2535=$B174,Podcasts!$E$10:'Podcasts'!$E$2535),COLUMN(B137)))</f>
        <v>43206</v>
      </c>
      <c r="J174" s="132">
        <f t="array" ref="J174">IF(I174="","",INDEX(Podcasts!$F$10:'Podcasts'!$F$2535,MATCH(I174&amp;$B174,Podcasts!$E$10:'Podcasts'!$E$2535&amp;Podcasts!$D$10:'Podcasts'!$D$2535,0)))</f>
        <v>7.856481481481481E-2</v>
      </c>
      <c r="K174" s="136" t="str">
        <f t="array" ref="K174">IF(L174="","",INDEX(Podcasts!$J$10:'Podcasts'!$J$2535,MATCH(L174&amp;$B174,Podcasts!$E$10:'Podcasts'!$E$2535&amp;Podcasts!$D$10:'Podcasts'!$D$2535,0)))</f>
        <v>Verstärker</v>
      </c>
      <c r="L174" s="133">
        <f t="array" ref="L174">IF(COUNTIF(Podcasts!$D$10:'Podcasts'!$D$2535,$B174)&lt;COLUMN(C137),"",SMALL(IF(Podcasts!$D$10:'Podcasts'!$D$2535=$B174,Podcasts!$E$10:'Podcasts'!$E$2535),COLUMN(C137)))</f>
        <v>44472</v>
      </c>
      <c r="M174" s="132">
        <f t="array" ref="M174">IF(L174="","",INDEX(Podcasts!$F$10:'Podcasts'!$F$2535,MATCH(L174&amp;$B174,Podcasts!$E$10:'Podcasts'!$E$2535&amp;Podcasts!$D$10:'Podcasts'!$D$2535,0)))</f>
        <v>1.9849537037037037E-2</v>
      </c>
      <c r="N174" s="136" t="str">
        <f t="array" ref="N174">IF(O174="","",INDEX(Podcasts!$J$10:'Podcasts'!$J$2535,MATCH(O174&amp;$B174,Podcasts!$E$10:'Podcasts'!$E$2535&amp;Podcasts!$D$10:'Podcasts'!$D$2535,0)))</f>
        <v>Zw3i</v>
      </c>
      <c r="O174" s="133">
        <f t="array" ref="O174">IF(COUNTIF(Podcasts!$D$10:'Podcasts'!$D$2535,$B174)&lt;COLUMN(D137),"",SMALL(IF(Podcasts!$D$10:'Podcasts'!$D$2535=$B174,Podcasts!$E$10:'Podcasts'!$E$2535),COLUMN(D137)))</f>
        <v>44491</v>
      </c>
      <c r="P174" s="132">
        <f t="array" ref="P174">IF(O174="","",INDEX(Podcasts!$F$10:'Podcasts'!$F$2535,MATCH(O174&amp;$B174,Podcasts!$E$10:'Podcasts'!$E$2535&amp;Podcasts!$D$10:'Podcasts'!$D$2535,0)))</f>
        <v>5.7372685185185186E-2</v>
      </c>
      <c r="Q174" s="136" t="str">
        <f t="array" ref="Q174">IF(R174="","",INDEX(Podcasts!$J$10:'Podcasts'!$J$2535,MATCH(R174&amp;$B174,Podcasts!$E$10:'Podcasts'!$E$2535&amp;Podcasts!$D$10:'Podcasts'!$D$2535,0)))</f>
        <v>DGdB</v>
      </c>
      <c r="R174" s="133">
        <f t="array" ref="R174">IF(COUNTIF(Podcasts!$D$10:'Podcasts'!$D$2535,$B174)&lt;COLUMN(E137),"",SMALL(IF(Podcasts!$D$10:'Podcasts'!$D$2535=$B174,Podcasts!$E$10:'Podcasts'!$E$2535),COLUMN(E137)))</f>
        <v>45078</v>
      </c>
      <c r="S174" s="132">
        <f t="array" ref="S174">IF(R174="","",INDEX(Podcasts!$F$10:'Podcasts'!$F$2535,MATCH(R174&amp;$B174,Podcasts!$E$10:'Podcasts'!$E$2535&amp;Podcasts!$D$10:'Podcasts'!$D$2535,0)))</f>
        <v>0.11936342592592593</v>
      </c>
      <c r="T174" s="136" t="str">
        <f t="array" ref="T174">IF(U174="","",INDEX(Podcasts!$J$10:'Podcasts'!$J$2535,MATCH(U174&amp;$B174,Podcasts!$E$10:'Podcasts'!$E$2535&amp;Podcasts!$D$10:'Podcasts'!$D$2535,0)))</f>
        <v/>
      </c>
      <c r="U174" s="133" t="str">
        <f t="array" ref="U174">IF(COUNTIF(Podcasts!$D$10:'Podcasts'!$D$2535,$B174)&lt;COLUMN(F137),"",SMALL(IF(Podcasts!$D$10:'Podcasts'!$D$2535=$B174,Podcasts!$E$10:'Podcasts'!$E$2535),COLUMN(F137)))</f>
        <v/>
      </c>
      <c r="V174" s="132" t="str">
        <f t="array" ref="V174">IF(U174="","",INDEX(Podcasts!$F$10:'Podcasts'!$F$2535,MATCH(U174&amp;$B174,Podcasts!$E$10:'Podcasts'!$E$2535&amp;Podcasts!$D$10:'Podcasts'!$D$2535,0)))</f>
        <v/>
      </c>
      <c r="W174" s="136" t="str">
        <f t="array" ref="W174">IF(X174="","",INDEX(Podcasts!$J$10:'Podcasts'!$J$2535,MATCH(X174&amp;$B174,Podcasts!$E$10:'Podcasts'!$E$2535&amp;Podcasts!$D$10:'Podcasts'!$D$2535,0)))</f>
        <v/>
      </c>
      <c r="X174" s="133" t="str">
        <f t="array" ref="X174">IF(COUNTIF(Podcasts!$D$10:'Podcasts'!$D$2535,$B174)&lt;COLUMN(G137),"",SMALL(IF(Podcasts!$D$10:'Podcasts'!$D$2535=$B174,Podcasts!$E$10:'Podcasts'!$E$2535),COLUMN(G137)))</f>
        <v/>
      </c>
      <c r="Y174" s="132" t="str">
        <f t="array" ref="Y174">IF(X174="","",INDEX(Podcasts!$F$10:'Podcasts'!$F$2535,MATCH(X174&amp;$B174,Podcasts!$E$10:'Podcasts'!$E$2535&amp;Podcasts!$D$10:'Podcasts'!$D$2535,0)))</f>
        <v/>
      </c>
      <c r="Z174" s="136" t="str">
        <f t="array" ref="Z174">IF(AA174="","",INDEX(Podcasts!$J$10:'Podcasts'!$J$2535,MATCH(AA174&amp;$B174,Podcasts!$E$10:'Podcasts'!$E$2535&amp;Podcasts!$D$10:'Podcasts'!$D$2535,0)))</f>
        <v/>
      </c>
      <c r="AA174" s="134" t="str">
        <f t="array" ref="AA174">IF(COUNTIF(Podcasts!$D$10:'Podcasts'!$D$2535,$B174)&lt;COLUMN(H137),"",SMALL(IF(Podcasts!$D$10:'Podcasts'!$D$2535=$B174,Podcasts!$E$10:'Podcasts'!$E$2535),COLUMN(H137)))</f>
        <v/>
      </c>
      <c r="AB174" s="404" t="str">
        <f t="array" ref="AB174">IF(AA174="","",INDEX(Podcasts!$F$10:'Podcasts'!$F$2535,MATCH(AA174&amp;$B174,Podcasts!$E$10:'Podcasts'!$E$2535&amp;Podcasts!$D$10:'Podcasts'!$D$2535,0)))</f>
        <v/>
      </c>
      <c r="AC174" s="406" t="str">
        <f t="array" ref="AC174">IF(AD174="","",INDEX(Podcasts!$J$10:'Podcasts'!$J$2535,MATCH(AD174&amp;$B174,Podcasts!$E$10:'Podcasts'!$E$2535&amp;Podcasts!$D$10:'Podcasts'!$D$2535,0)))</f>
        <v/>
      </c>
      <c r="AD174" s="400" t="str">
        <f t="array" ref="AD174">IF(COUNTIF(Podcasts!$D$10:'Podcasts'!$D$2535,$B174)&lt;COLUMN(I137),"",SMALL(IF(Podcasts!$D$10:'Podcasts'!$D$2535=$B174,Podcasts!$E$10:'Podcasts'!$E$2535),COLUMN(I137)))</f>
        <v/>
      </c>
      <c r="AE174" s="401" t="str">
        <f t="array" ref="AE174">IF(AD174="","",INDEX(Podcasts!$F$10:'Podcasts'!$F$2535,MATCH(AD174&amp;$B174,Podcasts!$E$10:'Podcasts'!$E$2535&amp;Podcasts!$D$10:'Podcasts'!$D$2535,0)))</f>
        <v/>
      </c>
      <c r="AF174" s="406" t="str">
        <f t="array" ref="AF174">IF(AG174="","",INDEX(Podcasts!$J$10:'Podcasts'!$J$2535,MATCH(AG174&amp;$B174,Podcasts!$E$10:'Podcasts'!$E$2535&amp;Podcasts!$D$10:'Podcasts'!$D$2535,0)))</f>
        <v/>
      </c>
      <c r="AG174" s="400" t="str">
        <f t="array" ref="AG174">IF(COUNTIF(Podcasts!$D$10:'Podcasts'!$D$2535,$B174)&lt;COLUMN(J137),"",SMALL(IF(Podcasts!$D$10:'Podcasts'!$D$2535=$B174,Podcasts!$E$10:'Podcasts'!$E$2535),COLUMN(J137)))</f>
        <v/>
      </c>
      <c r="AH174" s="401" t="str">
        <f t="array" ref="AH174">IF(AG174="","",INDEX(Podcasts!$F$10:'Podcasts'!$F$2535,MATCH(AG174&amp;$B174,Podcasts!$E$10:'Podcasts'!$E$2535&amp;Podcasts!$D$10:'Podcasts'!$D$2535,0)))</f>
        <v/>
      </c>
      <c r="AI174" s="406" t="str">
        <f t="array" ref="AI174">IF(AJ174="","",INDEX(Podcasts!$J$10:'Podcasts'!$J$2535,MATCH(AJ174&amp;$B174,Podcasts!$E$10:'Podcasts'!$E$2535&amp;Podcasts!$D$10:'Podcasts'!$D$2535,0)))</f>
        <v/>
      </c>
      <c r="AJ174" s="400" t="str">
        <f t="array" ref="AJ174">IF(COUNTIF(Podcasts!$D$10:'Podcasts'!$D$2535,$B174)&lt;COLUMN(K137),"",SMALL(IF(Podcasts!$D$10:'Podcasts'!$D$2535=$B174,Podcasts!$E$10:'Podcasts'!$E$2535),COLUMN(K137)))</f>
        <v/>
      </c>
      <c r="AK174" s="401" t="str">
        <f t="array" ref="AK174">IF(AJ174="","",INDEX(Podcasts!$F$10:'Podcasts'!$F$2535,MATCH(AJ174&amp;$B174,Podcasts!$E$10:'Podcasts'!$E$2535&amp;Podcasts!$D$10:'Podcasts'!$D$2535,0)))</f>
        <v/>
      </c>
      <c r="AL174" s="406" t="str">
        <f t="array" ref="AL174">IF(AM174="","",INDEX(Podcasts!$J$10:'Podcasts'!$J$2535,MATCH(AM174&amp;$B174,Podcasts!$E$10:'Podcasts'!$E$2535&amp;Podcasts!$D$10:'Podcasts'!$D$2535,0)))</f>
        <v/>
      </c>
      <c r="AM174" s="400" t="str">
        <f t="array" ref="AM174">IF(COUNTIF(Podcasts!$D$10:'Podcasts'!$D$2535,$B174)&lt;COLUMN(L137),"",SMALL(IF(Podcasts!$D$10:'Podcasts'!$D$2535=$B174,Podcasts!$E$10:'Podcasts'!$E$2535),COLUMN(L137)))</f>
        <v/>
      </c>
      <c r="AN174" s="401" t="str">
        <f t="array" ref="AN174">IF(AM174="","",INDEX(Podcasts!$F$10:'Podcasts'!$F$2535,MATCH(AM174&amp;$B174,Podcasts!$E$10:'Podcasts'!$E$2535&amp;Podcasts!$D$10:'Podcasts'!$D$2535,0)))</f>
        <v/>
      </c>
      <c r="AO174" s="402"/>
      <c r="AP174" s="119"/>
      <c r="AQ174" s="117">
        <f t="array" aca="1" ref="AQ174" ca="1">IFERROR(SMALL(IF(COUNTIF(Podcasts!$D$10:'Podcasts'!$D$107,ROW(INDIRECT("1:"&amp;K$2)))=0,ROW(INDIRECT("1:"&amp;K$2))),ROW($A131)),"")</f>
        <v>171</v>
      </c>
      <c r="AR174" s="117">
        <f t="array" aca="1" ref="AR174" ca="1">IFERROR(SMALL(IF(COUNTIF(Podcasts!$D$113:'Podcasts'!$D$238,ROW(INDIRECT("1:"&amp;K$2)))=0,ROW(INDIRECT("1:"&amp;K$2))),ROW($A131)),"")</f>
        <v>131</v>
      </c>
      <c r="AS174" s="117">
        <f t="array" aca="1" ref="AS174" ca="1">IFERROR(SMALL(IF(COUNTIF(Podcasts!$D$244:'Podcasts'!$D$299,ROW(INDIRECT("1:"&amp;K$2)))=0,ROW(INDIRECT("1:"&amp;K$2))),ROW($A131)),"")</f>
        <v>150</v>
      </c>
      <c r="AT174" s="117"/>
      <c r="AU174" s="117">
        <f t="array" aca="1" ref="AU174" ca="1">IFERROR(SMALL(IF(COUNTIF(Podcasts!$D$479:'Podcasts'!$D$488,ROW(INDIRECT("1:"&amp;K$2)))=0,ROW(INDIRECT("1:"&amp;K$2))),ROW($A131)),"")</f>
        <v>134</v>
      </c>
      <c r="AV174" s="117">
        <f t="array" aca="1" ref="AV174" ca="1">IFERROR(SMALL(IF(COUNTIF(Podcasts!$D$494:'Podcasts'!$D$518,ROW(INDIRECT("1:"&amp;K$2)))=0,ROW(INDIRECT("1:"&amp;K$2))),ROW($A131)),"")</f>
        <v>153</v>
      </c>
      <c r="AW174" s="117">
        <f t="array" aca="1" ref="AW174" ca="1">IFERROR(SMALL(IF(COUNTIF(Podcasts!$D$524:'Podcasts'!$D$532,ROW(INDIRECT("1:"&amp;K$2)))=0,ROW(INDIRECT("1:"&amp;K$2))),ROW($A131)),"")</f>
        <v>132</v>
      </c>
      <c r="AX174" s="117"/>
      <c r="AY174" s="117">
        <f t="array" aca="1" ref="AY174" ca="1">IFERROR(SMALL(IF(COUNTIF(Podcasts!$D$915:'Podcasts'!$D$981,ROW(INDIRECT("1:"&amp;K$2)))=0,ROW(INDIRECT("1:"&amp;K$2))),ROW($A131)),"")</f>
        <v>184</v>
      </c>
      <c r="AZ174" s="445"/>
      <c r="BA174" s="117">
        <f t="array" aca="1" ref="BA174" ca="1">IFERROR(SMALL(IF(COUNTIF(Podcasts!$D$1001:'Podcasts'!$D$1251,ROW(INDIRECT("1:"&amp;K$2)))=0,ROW(INDIRECT("1:"&amp;K$2))),ROW($A131)),"")</f>
        <v>181</v>
      </c>
      <c r="BB174" s="117">
        <f t="array" aca="1" ref="BB174" ca="1">IFERROR(SMALL(IF(COUNTIF(Podcasts!$D$1257:'Podcasts'!$D$1267,ROW(INDIRECT("1:"&amp;K$2)))=0,ROW(INDIRECT("1:"&amp;K$2))),ROW($A131)),"")</f>
        <v>136</v>
      </c>
      <c r="BC174" s="117">
        <f t="array" aca="1" ref="BC174" ca="1">IFERROR(SMALL(IF(COUNTIF(Podcasts!$D$1273:'Podcasts'!$D$1283,ROW(INDIRECT("1:"&amp;K$2)))=0,ROW(INDIRECT("1:"&amp;K$2))),ROW($A131)),"")</f>
        <v>135</v>
      </c>
      <c r="BD174" s="117">
        <f t="array" aca="1" ref="BD174" ca="1">IFERROR(SMALL(IF(COUNTIF(Podcasts!$D$1289:'Podcasts'!$D$1295,ROW(INDIRECT("1:"&amp;K$2)))=0,ROW(INDIRECT("1:"&amp;K$2))),ROW($A131)),"")</f>
        <v>136</v>
      </c>
      <c r="BE174" s="117">
        <f t="array" aca="1" ref="BE174" ca="1">IFERROR(SMALL(IF(COUNTIF(Podcasts!$D$1301:'Podcasts'!$D$1356,ROW(INDIRECT("1:"&amp;K$2)))=0,ROW(INDIRECT("1:"&amp;K$2))),ROW($A131)),"")</f>
        <v>178</v>
      </c>
      <c r="BF174" s="117">
        <f t="array" aca="1" ref="BF174" ca="1">IFERROR(SMALL(IF(COUNTIF(Podcasts!$D$1362:'Podcasts'!$D$1364,ROW(INDIRECT("1:"&amp;K$2)))=0,ROW(INDIRECT("1:"&amp;K$2))),ROW($A131)),"")</f>
        <v>134</v>
      </c>
      <c r="BG174" s="202">
        <f t="array" aca="1" ref="BG174" ca="1">IFERROR(SMALL(IF(COUNTIF(Podcasts!$D$1370:'Podcasts'!$D$1419,ROW(INDIRECT("1:"&amp;K$2)))=0,ROW(INDIRECT("1:"&amp;K$2))),ROW($A131)),"")</f>
        <v>164</v>
      </c>
      <c r="BH174" s="202">
        <f t="array" aca="1" ref="BH174" ca="1">IFERROR(SMALL(IF(COUNTIF(Podcasts!$D$1425:'Podcasts'!$D$1446,ROW(INDIRECT("1:"&amp;K$2)))=0,ROW(INDIRECT("1:"&amp;K$2))),ROW($A131)),"")</f>
        <v>141</v>
      </c>
      <c r="BI174" s="202">
        <f t="array" aca="1" ref="BI174" ca="1">IFERROR(SMALL(IF(COUNTIF(Podcasts!$D$1452:'Podcasts'!$D$1574,ROW(INDIRECT("1:"&amp;K$2)))=0,ROW(INDIRECT("1:"&amp;K$2))),ROW($A131)),"")</f>
        <v>208</v>
      </c>
      <c r="BJ174" s="202">
        <f t="array" aca="1" ref="BJ174" ca="1">IFERROR(SMALL(IF(COUNTIF(Podcasts!$D$1580:'Podcasts'!$D$1705,ROW(INDIRECT("1:"&amp;K$2)))=0,ROW(INDIRECT("1:"&amp;K$2))),ROW($A131)),"")</f>
        <v>210</v>
      </c>
      <c r="BK174" s="202">
        <f t="array" aca="1" ref="BK174" ca="1">IFERROR(SMALL(IF(COUNTIF(Podcasts!$D$1711:'Podcasts'!$D$1833,ROW(INDIRECT("1:"&amp;K$2)))=0,ROW(INDIRECT("1:"&amp;K$2))),ROW($A131)),"")</f>
        <v>204</v>
      </c>
      <c r="BL174" s="202">
        <f t="array" aca="1" ref="BL174" ca="1">IFERROR(SMALL(IF(COUNTIF(Podcasts!$D$1839:'Podcasts'!$D$1855,ROW(INDIRECT("1:"&amp;K$2)))=0,ROW(INDIRECT("1:"&amp;K$2))),ROW($A131)),"")</f>
        <v>140</v>
      </c>
      <c r="BM174" s="567">
        <f t="array" aca="1" ref="BM174" ca="1">IFERROR(SMALL(IF(COUNTIF(Podcasts!$D$1861:'Podcasts'!$D$1994,ROW(INDIRECT("1:"&amp;K$2)))=0,ROW(INDIRECT("1:"&amp;K$2))),ROW($A131)),"")</f>
        <v>176</v>
      </c>
      <c r="BN174" s="567">
        <f t="array" aca="1" ref="BN174" ca="1">IFERROR(SMALL(IF(COUNTIF(Podcasts!$D$2000:'Podcasts'!$D$2057,ROW(INDIRECT("1:"&amp;K$2)))=0,ROW(INDIRECT("1:"&amp;K$2))),ROW($A131)),"")</f>
        <v>186</v>
      </c>
      <c r="BO174" s="567">
        <f t="array" aca="1" ref="BO174" ca="1">IFERROR(SMALL(IF(COUNTIF(Podcasts!$D$2063:'Podcasts'!$D$2071,ROW(INDIRECT("1:"&amp;K$2)))=0,ROW(INDIRECT("1:"&amp;K$2))),ROW($A131)),"")</f>
        <v>138</v>
      </c>
      <c r="BP174" s="202">
        <f t="array" aca="1" ref="BP174" ca="1">IFERROR(SMALL(IF(COUNTIF(Podcasts!$D$2077:'Podcasts'!$D$2092,ROW(INDIRECT("1:"&amp;K$2)))=0,ROW(INDIRECT("1:"&amp;K$2))),ROW($A131)),"")</f>
        <v>142</v>
      </c>
      <c r="BQ174" s="741">
        <f t="array" aca="1" ref="BQ174" ca="1">IFERROR(SMALL(IF(COUNTIF(Podcasts!$D$2098:'Podcasts'!$D$2114,ROW(INDIRECT("1:"&amp;K$2)))=0,ROW(INDIRECT("1:"&amp;K$2))),ROW($A131)),"")</f>
        <v>143</v>
      </c>
      <c r="BR174" s="744">
        <f t="array" aca="1" ref="BR174" ca="1">IFERROR(SMALL(IF(COUNTIF(Podcasts!$D$2120:'Podcasts'!$D$2124,ROW(INDIRECT("1:"&amp;K$2)))=0,ROW(INDIRECT("1:"&amp;K$2))),ROW($A131)),"")</f>
        <v>133</v>
      </c>
      <c r="BS174" s="28"/>
    </row>
    <row r="175" spans="1:71" outlineLevel="1">
      <c r="A175" s="28"/>
      <c r="B175" s="161">
        <v>132</v>
      </c>
      <c r="C175" s="161">
        <f>COUNTIF(Podcasts!$D$10:'Podcasts'!$D$2535,B175)</f>
        <v>2</v>
      </c>
      <c r="D175" s="158" t="s">
        <v>1158</v>
      </c>
      <c r="E175" s="156" t="str">
        <f t="array" ref="E175">IF(F175="","",INDEX(Podcasts!$J$10:'Podcasts'!$J$2535,MATCH(F175&amp;$B175,Podcasts!$E$10:'Podcasts'!$E$2535&amp;Podcasts!$D$10:'Podcasts'!$D$2535,0)))</f>
        <v>SSP</v>
      </c>
      <c r="F175" s="131">
        <f t="array" ref="F175">IF(COUNTIF(Podcasts!$D$10:'Podcasts'!$D$2535,$B175)&lt;COLUMN(A138),"",SMALL(IF(Podcasts!$D$10:'Podcasts'!$D$2535=$B175,Podcasts!$E$10:'Podcasts'!$E$2535),COLUMN(A138)))</f>
        <v>43767</v>
      </c>
      <c r="G175" s="132">
        <f t="array" ref="G175">IF(F175="","",INDEX(Podcasts!$F$10:'Podcasts'!$F$2535,MATCH(F175&amp;$B175,Podcasts!$E$10:'Podcasts'!$E$2535&amp;Podcasts!$D$10:'Podcasts'!$D$2535,0)))</f>
        <v>7.9050925925925927E-2</v>
      </c>
      <c r="H175" s="136" t="str">
        <f t="array" ref="H175">IF(I175="","",INDEX(Podcasts!$J$10:'Podcasts'!$J$2535,MATCH(I175&amp;$B175,Podcasts!$E$10:'Podcasts'!$E$2535&amp;Podcasts!$D$10:'Podcasts'!$D$2535,0)))</f>
        <v>Zeichen</v>
      </c>
      <c r="I175" s="133">
        <f t="array" ref="I175">IF(COUNTIF(Podcasts!$D$10:'Podcasts'!$D$2535,$B175)&lt;COLUMN(B138),"",SMALL(IF(Podcasts!$D$10:'Podcasts'!$D$2535=$B175,Podcasts!$E$10:'Podcasts'!$E$2535),COLUMN(B138)))</f>
        <v>45348</v>
      </c>
      <c r="J175" s="132">
        <f t="array" ref="J175">IF(I175="","",INDEX(Podcasts!$F$10:'Podcasts'!$F$2535,MATCH(I175&amp;$B175,Podcasts!$E$10:'Podcasts'!$E$2535&amp;Podcasts!$D$10:'Podcasts'!$D$2535,0)))</f>
        <v>7.8981481481481486E-2</v>
      </c>
      <c r="K175" s="136" t="str">
        <f t="array" ref="K175">IF(L175="","",INDEX(Podcasts!$J$10:'Podcasts'!$J$2535,MATCH(L175&amp;$B175,Podcasts!$E$10:'Podcasts'!$E$2535&amp;Podcasts!$D$10:'Podcasts'!$D$2535,0)))</f>
        <v/>
      </c>
      <c r="L175" s="133" t="str">
        <f t="array" ref="L175">IF(COUNTIF(Podcasts!$D$10:'Podcasts'!$D$2535,$B175)&lt;COLUMN(C138),"",SMALL(IF(Podcasts!$D$10:'Podcasts'!$D$2535=$B175,Podcasts!$E$10:'Podcasts'!$E$2535),COLUMN(C138)))</f>
        <v/>
      </c>
      <c r="M175" s="132" t="str">
        <f t="array" ref="M175">IF(L175="","",INDEX(Podcasts!$F$10:'Podcasts'!$F$2535,MATCH(L175&amp;$B175,Podcasts!$E$10:'Podcasts'!$E$2535&amp;Podcasts!$D$10:'Podcasts'!$D$2535,0)))</f>
        <v/>
      </c>
      <c r="N175" s="136" t="str">
        <f t="array" ref="N175">IF(O175="","",INDEX(Podcasts!$J$10:'Podcasts'!$J$2535,MATCH(O175&amp;$B175,Podcasts!$E$10:'Podcasts'!$E$2535&amp;Podcasts!$D$10:'Podcasts'!$D$2535,0)))</f>
        <v/>
      </c>
      <c r="O175" s="133" t="str">
        <f t="array" ref="O175">IF(COUNTIF(Podcasts!$D$10:'Podcasts'!$D$2535,$B175)&lt;COLUMN(D138),"",SMALL(IF(Podcasts!$D$10:'Podcasts'!$D$2535=$B175,Podcasts!$E$10:'Podcasts'!$E$2535),COLUMN(D138)))</f>
        <v/>
      </c>
      <c r="P175" s="132" t="str">
        <f t="array" ref="P175">IF(O175="","",INDEX(Podcasts!$F$10:'Podcasts'!$F$2535,MATCH(O175&amp;$B175,Podcasts!$E$10:'Podcasts'!$E$2535&amp;Podcasts!$D$10:'Podcasts'!$D$2535,0)))</f>
        <v/>
      </c>
      <c r="Q175" s="136" t="str">
        <f t="array" ref="Q175">IF(R175="","",INDEX(Podcasts!$J$10:'Podcasts'!$J$2535,MATCH(R175&amp;$B175,Podcasts!$E$10:'Podcasts'!$E$2535&amp;Podcasts!$D$10:'Podcasts'!$D$2535,0)))</f>
        <v/>
      </c>
      <c r="R175" s="133" t="str">
        <f t="array" ref="R175">IF(COUNTIF(Podcasts!$D$10:'Podcasts'!$D$2535,$B175)&lt;COLUMN(E138),"",SMALL(IF(Podcasts!$D$10:'Podcasts'!$D$2535=$B175,Podcasts!$E$10:'Podcasts'!$E$2535),COLUMN(E138)))</f>
        <v/>
      </c>
      <c r="S175" s="132" t="str">
        <f t="array" ref="S175">IF(R175="","",INDEX(Podcasts!$F$10:'Podcasts'!$F$2535,MATCH(R175&amp;$B175,Podcasts!$E$10:'Podcasts'!$E$2535&amp;Podcasts!$D$10:'Podcasts'!$D$2535,0)))</f>
        <v/>
      </c>
      <c r="T175" s="136" t="str">
        <f t="array" ref="T175">IF(U175="","",INDEX(Podcasts!$J$10:'Podcasts'!$J$2535,MATCH(U175&amp;$B175,Podcasts!$E$10:'Podcasts'!$E$2535&amp;Podcasts!$D$10:'Podcasts'!$D$2535,0)))</f>
        <v/>
      </c>
      <c r="U175" s="133" t="str">
        <f t="array" ref="U175">IF(COUNTIF(Podcasts!$D$10:'Podcasts'!$D$2535,$B175)&lt;COLUMN(F138),"",SMALL(IF(Podcasts!$D$10:'Podcasts'!$D$2535=$B175,Podcasts!$E$10:'Podcasts'!$E$2535),COLUMN(F138)))</f>
        <v/>
      </c>
      <c r="V175" s="132" t="str">
        <f t="array" ref="V175">IF(U175="","",INDEX(Podcasts!$F$10:'Podcasts'!$F$2535,MATCH(U175&amp;$B175,Podcasts!$E$10:'Podcasts'!$E$2535&amp;Podcasts!$D$10:'Podcasts'!$D$2535,0)))</f>
        <v/>
      </c>
      <c r="W175" s="136" t="str">
        <f t="array" ref="W175">IF(X175="","",INDEX(Podcasts!$J$10:'Podcasts'!$J$2535,MATCH(X175&amp;$B175,Podcasts!$E$10:'Podcasts'!$E$2535&amp;Podcasts!$D$10:'Podcasts'!$D$2535,0)))</f>
        <v/>
      </c>
      <c r="X175" s="133" t="str">
        <f t="array" ref="X175">IF(COUNTIF(Podcasts!$D$10:'Podcasts'!$D$2535,$B175)&lt;COLUMN(G138),"",SMALL(IF(Podcasts!$D$10:'Podcasts'!$D$2535=$B175,Podcasts!$E$10:'Podcasts'!$E$2535),COLUMN(G138)))</f>
        <v/>
      </c>
      <c r="Y175" s="132" t="str">
        <f t="array" ref="Y175">IF(X175="","",INDEX(Podcasts!$F$10:'Podcasts'!$F$2535,MATCH(X175&amp;$B175,Podcasts!$E$10:'Podcasts'!$E$2535&amp;Podcasts!$D$10:'Podcasts'!$D$2535,0)))</f>
        <v/>
      </c>
      <c r="Z175" s="136" t="str">
        <f t="array" ref="Z175">IF(AA175="","",INDEX(Podcasts!$J$10:'Podcasts'!$J$2535,MATCH(AA175&amp;$B175,Podcasts!$E$10:'Podcasts'!$E$2535&amp;Podcasts!$D$10:'Podcasts'!$D$2535,0)))</f>
        <v/>
      </c>
      <c r="AA175" s="134" t="str">
        <f t="array" ref="AA175">IF(COUNTIF(Podcasts!$D$10:'Podcasts'!$D$2535,$B175)&lt;COLUMN(H138),"",SMALL(IF(Podcasts!$D$10:'Podcasts'!$D$2535=$B175,Podcasts!$E$10:'Podcasts'!$E$2535),COLUMN(H138)))</f>
        <v/>
      </c>
      <c r="AB175" s="404" t="str">
        <f t="array" ref="AB175">IF(AA175="","",INDEX(Podcasts!$F$10:'Podcasts'!$F$2535,MATCH(AA175&amp;$B175,Podcasts!$E$10:'Podcasts'!$E$2535&amp;Podcasts!$D$10:'Podcasts'!$D$2535,0)))</f>
        <v/>
      </c>
      <c r="AC175" s="406" t="str">
        <f t="array" ref="AC175">IF(AD175="","",INDEX(Podcasts!$J$10:'Podcasts'!$J$2535,MATCH(AD175&amp;$B175,Podcasts!$E$10:'Podcasts'!$E$2535&amp;Podcasts!$D$10:'Podcasts'!$D$2535,0)))</f>
        <v/>
      </c>
      <c r="AD175" s="400" t="str">
        <f t="array" ref="AD175">IF(COUNTIF(Podcasts!$D$10:'Podcasts'!$D$2535,$B175)&lt;COLUMN(I138),"",SMALL(IF(Podcasts!$D$10:'Podcasts'!$D$2535=$B175,Podcasts!$E$10:'Podcasts'!$E$2535),COLUMN(I138)))</f>
        <v/>
      </c>
      <c r="AE175" s="401" t="str">
        <f t="array" ref="AE175">IF(AD175="","",INDEX(Podcasts!$F$10:'Podcasts'!$F$2535,MATCH(AD175&amp;$B175,Podcasts!$E$10:'Podcasts'!$E$2535&amp;Podcasts!$D$10:'Podcasts'!$D$2535,0)))</f>
        <v/>
      </c>
      <c r="AF175" s="406" t="str">
        <f t="array" ref="AF175">IF(AG175="","",INDEX(Podcasts!$J$10:'Podcasts'!$J$2535,MATCH(AG175&amp;$B175,Podcasts!$E$10:'Podcasts'!$E$2535&amp;Podcasts!$D$10:'Podcasts'!$D$2535,0)))</f>
        <v/>
      </c>
      <c r="AG175" s="400" t="str">
        <f t="array" ref="AG175">IF(COUNTIF(Podcasts!$D$10:'Podcasts'!$D$2535,$B175)&lt;COLUMN(J138),"",SMALL(IF(Podcasts!$D$10:'Podcasts'!$D$2535=$B175,Podcasts!$E$10:'Podcasts'!$E$2535),COLUMN(J138)))</f>
        <v/>
      </c>
      <c r="AH175" s="401" t="str">
        <f t="array" ref="AH175">IF(AG175="","",INDEX(Podcasts!$F$10:'Podcasts'!$F$2535,MATCH(AG175&amp;$B175,Podcasts!$E$10:'Podcasts'!$E$2535&amp;Podcasts!$D$10:'Podcasts'!$D$2535,0)))</f>
        <v/>
      </c>
      <c r="AI175" s="406" t="str">
        <f t="array" ref="AI175">IF(AJ175="","",INDEX(Podcasts!$J$10:'Podcasts'!$J$2535,MATCH(AJ175&amp;$B175,Podcasts!$E$10:'Podcasts'!$E$2535&amp;Podcasts!$D$10:'Podcasts'!$D$2535,0)))</f>
        <v/>
      </c>
      <c r="AJ175" s="400" t="str">
        <f t="array" ref="AJ175">IF(COUNTIF(Podcasts!$D$10:'Podcasts'!$D$2535,$B175)&lt;COLUMN(K138),"",SMALL(IF(Podcasts!$D$10:'Podcasts'!$D$2535=$B175,Podcasts!$E$10:'Podcasts'!$E$2535),COLUMN(K138)))</f>
        <v/>
      </c>
      <c r="AK175" s="401" t="str">
        <f t="array" ref="AK175">IF(AJ175="","",INDEX(Podcasts!$F$10:'Podcasts'!$F$2535,MATCH(AJ175&amp;$B175,Podcasts!$E$10:'Podcasts'!$E$2535&amp;Podcasts!$D$10:'Podcasts'!$D$2535,0)))</f>
        <v/>
      </c>
      <c r="AL175" s="406" t="str">
        <f t="array" ref="AL175">IF(AM175="","",INDEX(Podcasts!$J$10:'Podcasts'!$J$2535,MATCH(AM175&amp;$B175,Podcasts!$E$10:'Podcasts'!$E$2535&amp;Podcasts!$D$10:'Podcasts'!$D$2535,0)))</f>
        <v/>
      </c>
      <c r="AM175" s="400" t="str">
        <f t="array" ref="AM175">IF(COUNTIF(Podcasts!$D$10:'Podcasts'!$D$2535,$B175)&lt;COLUMN(L138),"",SMALL(IF(Podcasts!$D$10:'Podcasts'!$D$2535=$B175,Podcasts!$E$10:'Podcasts'!$E$2535),COLUMN(L138)))</f>
        <v/>
      </c>
      <c r="AN175" s="401" t="str">
        <f t="array" ref="AN175">IF(AM175="","",INDEX(Podcasts!$F$10:'Podcasts'!$F$2535,MATCH(AM175&amp;$B175,Podcasts!$E$10:'Podcasts'!$E$2535&amp;Podcasts!$D$10:'Podcasts'!$D$2535,0)))</f>
        <v/>
      </c>
      <c r="AO175" s="402"/>
      <c r="AP175" s="119"/>
      <c r="AQ175" s="117">
        <f t="array" aca="1" ref="AQ175" ca="1">IFERROR(SMALL(IF(COUNTIF(Podcasts!$D$10:'Podcasts'!$D$107,ROW(INDIRECT("1:"&amp;K$2)))=0,ROW(INDIRECT("1:"&amp;K$2))),ROW($A132)),"")</f>
        <v>172</v>
      </c>
      <c r="AR175" s="117">
        <f t="array" aca="1" ref="AR175" ca="1">IFERROR(SMALL(IF(COUNTIF(Podcasts!$D$113:'Podcasts'!$D$238,ROW(INDIRECT("1:"&amp;K$2)))=0,ROW(INDIRECT("1:"&amp;K$2))),ROW($A132)),"")</f>
        <v>132</v>
      </c>
      <c r="AS175" s="117">
        <f t="array" aca="1" ref="AS175" ca="1">IFERROR(SMALL(IF(COUNTIF(Podcasts!$D$244:'Podcasts'!$D$299,ROW(INDIRECT("1:"&amp;K$2)))=0,ROW(INDIRECT("1:"&amp;K$2))),ROW($A132)),"")</f>
        <v>159</v>
      </c>
      <c r="AT175" s="117"/>
      <c r="AU175" s="117">
        <f t="array" aca="1" ref="AU175" ca="1">IFERROR(SMALL(IF(COUNTIF(Podcasts!$D$479:'Podcasts'!$D$488,ROW(INDIRECT("1:"&amp;K$2)))=0,ROW(INDIRECT("1:"&amp;K$2))),ROW($A132)),"")</f>
        <v>135</v>
      </c>
      <c r="AV175" s="117">
        <f t="array" aca="1" ref="AV175" ca="1">IFERROR(SMALL(IF(COUNTIF(Podcasts!$D$494:'Podcasts'!$D$518,ROW(INDIRECT("1:"&amp;K$2)))=0,ROW(INDIRECT("1:"&amp;K$2))),ROW($A132)),"")</f>
        <v>154</v>
      </c>
      <c r="AW175" s="117">
        <f t="array" aca="1" ref="AW175" ca="1">IFERROR(SMALL(IF(COUNTIF(Podcasts!$D$524:'Podcasts'!$D$532,ROW(INDIRECT("1:"&amp;K$2)))=0,ROW(INDIRECT("1:"&amp;K$2))),ROW($A132)),"")</f>
        <v>133</v>
      </c>
      <c r="AX175" s="117"/>
      <c r="AY175" s="117">
        <f t="array" aca="1" ref="AY175" ca="1">IFERROR(SMALL(IF(COUNTIF(Podcasts!$D$915:'Podcasts'!$D$981,ROW(INDIRECT("1:"&amp;K$2)))=0,ROW(INDIRECT("1:"&amp;K$2))),ROW($A132)),"")</f>
        <v>185</v>
      </c>
      <c r="AZ175" s="445"/>
      <c r="BA175" s="117">
        <f t="array" aca="1" ref="BA175" ca="1">IFERROR(SMALL(IF(COUNTIF(Podcasts!$D$1001:'Podcasts'!$D$1251,ROW(INDIRECT("1:"&amp;K$2)))=0,ROW(INDIRECT("1:"&amp;K$2))),ROW($A132)),"")</f>
        <v>182</v>
      </c>
      <c r="BB175" s="117">
        <f t="array" aca="1" ref="BB175" ca="1">IFERROR(SMALL(IF(COUNTIF(Podcasts!$D$1257:'Podcasts'!$D$1267,ROW(INDIRECT("1:"&amp;K$2)))=0,ROW(INDIRECT("1:"&amp;K$2))),ROW($A132)),"")</f>
        <v>137</v>
      </c>
      <c r="BC175" s="117">
        <f t="array" aca="1" ref="BC175" ca="1">IFERROR(SMALL(IF(COUNTIF(Podcasts!$D$1273:'Podcasts'!$D$1283,ROW(INDIRECT("1:"&amp;K$2)))=0,ROW(INDIRECT("1:"&amp;K$2))),ROW($A132)),"")</f>
        <v>136</v>
      </c>
      <c r="BD175" s="117">
        <f t="array" aca="1" ref="BD175" ca="1">IFERROR(SMALL(IF(COUNTIF(Podcasts!$D$1289:'Podcasts'!$D$1295,ROW(INDIRECT("1:"&amp;K$2)))=0,ROW(INDIRECT("1:"&amp;K$2))),ROW($A132)),"")</f>
        <v>137</v>
      </c>
      <c r="BE175" s="117">
        <f t="array" aca="1" ref="BE175" ca="1">IFERROR(SMALL(IF(COUNTIF(Podcasts!$D$1301:'Podcasts'!$D$1356,ROW(INDIRECT("1:"&amp;K$2)))=0,ROW(INDIRECT("1:"&amp;K$2))),ROW($A132)),"")</f>
        <v>179</v>
      </c>
      <c r="BF175" s="117">
        <f t="array" aca="1" ref="BF175" ca="1">IFERROR(SMALL(IF(COUNTIF(Podcasts!$D$1362:'Podcasts'!$D$1364,ROW(INDIRECT("1:"&amp;K$2)))=0,ROW(INDIRECT("1:"&amp;K$2))),ROW($A132)),"")</f>
        <v>135</v>
      </c>
      <c r="BG175" s="202">
        <f t="array" aca="1" ref="BG175" ca="1">IFERROR(SMALL(IF(COUNTIF(Podcasts!$D$1370:'Podcasts'!$D$1419,ROW(INDIRECT("1:"&amp;K$2)))=0,ROW(INDIRECT("1:"&amp;K$2))),ROW($A132)),"")</f>
        <v>165</v>
      </c>
      <c r="BH175" s="202">
        <f t="array" aca="1" ref="BH175" ca="1">IFERROR(SMALL(IF(COUNTIF(Podcasts!$D$1425:'Podcasts'!$D$1446,ROW(INDIRECT("1:"&amp;K$2)))=0,ROW(INDIRECT("1:"&amp;K$2))),ROW($A132)),"")</f>
        <v>142</v>
      </c>
      <c r="BI175" s="202">
        <f t="array" aca="1" ref="BI175" ca="1">IFERROR(SMALL(IF(COUNTIF(Podcasts!$D$1452:'Podcasts'!$D$1574,ROW(INDIRECT("1:"&amp;K$2)))=0,ROW(INDIRECT("1:"&amp;K$2))),ROW($A132)),"")</f>
        <v>210</v>
      </c>
      <c r="BJ175" s="202">
        <f t="array" aca="1" ref="BJ175" ca="1">IFERROR(SMALL(IF(COUNTIF(Podcasts!$D$1580:'Podcasts'!$D$1705,ROW(INDIRECT("1:"&amp;K$2)))=0,ROW(INDIRECT("1:"&amp;K$2))),ROW($A132)),"")</f>
        <v>212</v>
      </c>
      <c r="BK175" s="202">
        <f t="array" aca="1" ref="BK175" ca="1">IFERROR(SMALL(IF(COUNTIF(Podcasts!$D$1711:'Podcasts'!$D$1833,ROW(INDIRECT("1:"&amp;K$2)))=0,ROW(INDIRECT("1:"&amp;K$2))),ROW($A132)),"")</f>
        <v>205</v>
      </c>
      <c r="BL175" s="202">
        <f t="array" aca="1" ref="BL175" ca="1">IFERROR(SMALL(IF(COUNTIF(Podcasts!$D$1839:'Podcasts'!$D$1855,ROW(INDIRECT("1:"&amp;K$2)))=0,ROW(INDIRECT("1:"&amp;K$2))),ROW($A132)),"")</f>
        <v>141</v>
      </c>
      <c r="BM175" s="567">
        <f t="array" aca="1" ref="BM175" ca="1">IFERROR(SMALL(IF(COUNTIF(Podcasts!$D$1861:'Podcasts'!$D$1994,ROW(INDIRECT("1:"&amp;K$2)))=0,ROW(INDIRECT("1:"&amp;K$2))),ROW($A132)),"")</f>
        <v>178</v>
      </c>
      <c r="BN175" s="567">
        <f t="array" aca="1" ref="BN175" ca="1">IFERROR(SMALL(IF(COUNTIF(Podcasts!$D$2000:'Podcasts'!$D$2057,ROW(INDIRECT("1:"&amp;K$2)))=0,ROW(INDIRECT("1:"&amp;K$2))),ROW($A132)),"")</f>
        <v>187</v>
      </c>
      <c r="BO175" s="567">
        <f t="array" aca="1" ref="BO175" ca="1">IFERROR(SMALL(IF(COUNTIF(Podcasts!$D$2063:'Podcasts'!$D$2071,ROW(INDIRECT("1:"&amp;K$2)))=0,ROW(INDIRECT("1:"&amp;K$2))),ROW($A132)),"")</f>
        <v>139</v>
      </c>
      <c r="BP175" s="202">
        <f t="array" aca="1" ref="BP175" ca="1">IFERROR(SMALL(IF(COUNTIF(Podcasts!$D$2077:'Podcasts'!$D$2092,ROW(INDIRECT("1:"&amp;K$2)))=0,ROW(INDIRECT("1:"&amp;K$2))),ROW($A132)),"")</f>
        <v>143</v>
      </c>
      <c r="BQ175" s="741">
        <f t="array" aca="1" ref="BQ175" ca="1">IFERROR(SMALL(IF(COUNTIF(Podcasts!$D$2098:'Podcasts'!$D$2114,ROW(INDIRECT("1:"&amp;K$2)))=0,ROW(INDIRECT("1:"&amp;K$2))),ROW($A132)),"")</f>
        <v>144</v>
      </c>
      <c r="BR175" s="744">
        <f t="array" aca="1" ref="BR175" ca="1">IFERROR(SMALL(IF(COUNTIF(Podcasts!$D$2120:'Podcasts'!$D$2124,ROW(INDIRECT("1:"&amp;K$2)))=0,ROW(INDIRECT("1:"&amp;K$2))),ROW($A132)),"")</f>
        <v>134</v>
      </c>
      <c r="BS175" s="28"/>
    </row>
    <row r="176" spans="1:71" outlineLevel="1">
      <c r="A176" s="28"/>
      <c r="B176" s="161">
        <v>133</v>
      </c>
      <c r="C176" s="161">
        <f>COUNTIF(Podcasts!$D$10:'Podcasts'!$D$2535,B176)</f>
        <v>3</v>
      </c>
      <c r="D176" s="158" t="s">
        <v>1159</v>
      </c>
      <c r="E176" s="156" t="str">
        <f t="array" ref="E176">IF(F176="","",INDEX(Podcasts!$J$10:'Podcasts'!$J$2535,MATCH(F176&amp;$B176,Podcasts!$E$10:'Podcasts'!$E$2535&amp;Podcasts!$D$10:'Podcasts'!$D$2535,0)))</f>
        <v>Kuchen</v>
      </c>
      <c r="F176" s="131">
        <f t="array" ref="F176">IF(COUNTIF(Podcasts!$D$10:'Podcasts'!$D$2535,$B176)&lt;COLUMN(A139),"",SMALL(IF(Podcasts!$D$10:'Podcasts'!$D$2535=$B176,Podcasts!$E$10:'Podcasts'!$E$2535),COLUMN(A139)))</f>
        <v>44906</v>
      </c>
      <c r="G176" s="132">
        <f t="array" ref="G176">IF(F176="","",INDEX(Podcasts!$F$10:'Podcasts'!$F$2535,MATCH(F176&amp;$B176,Podcasts!$E$10:'Podcasts'!$E$2535&amp;Podcasts!$D$10:'Podcasts'!$D$2535,0)))</f>
        <v>3.8726851851851853E-2</v>
      </c>
      <c r="H176" s="136" t="str">
        <f t="array" ref="H176">IF(I176="","",INDEX(Podcasts!$J$10:'Podcasts'!$J$2535,MATCH(I176&amp;$B176,Podcasts!$E$10:'Podcasts'!$E$2535&amp;Podcasts!$D$10:'Podcasts'!$D$2535,0)))</f>
        <v>Kaffee</v>
      </c>
      <c r="I176" s="133">
        <f t="array" ref="I176">IF(COUNTIF(Podcasts!$D$10:'Podcasts'!$D$2535,$B176)&lt;COLUMN(B139),"",SMALL(IF(Podcasts!$D$10:'Podcasts'!$D$2535=$B176,Podcasts!$E$10:'Podcasts'!$E$2535),COLUMN(B139)))</f>
        <v>45009</v>
      </c>
      <c r="J176" s="132">
        <f t="array" ref="J176">IF(I176="","",INDEX(Podcasts!$F$10:'Podcasts'!$F$2535,MATCH(I176&amp;$B176,Podcasts!$E$10:'Podcasts'!$E$2535&amp;Podcasts!$D$10:'Podcasts'!$D$2535,0)))</f>
        <v>3.8576388888888889E-2</v>
      </c>
      <c r="K176" s="136" t="str">
        <f t="array" ref="K176">IF(L176="","",INDEX(Podcasts!$J$10:'Podcasts'!$J$2535,MATCH(L176&amp;$B176,Podcasts!$E$10:'Podcasts'!$E$2535&amp;Podcasts!$D$10:'Podcasts'!$D$2535,0)))</f>
        <v>Verstärker</v>
      </c>
      <c r="L176" s="133">
        <f t="array" ref="L176">IF(COUNTIF(Podcasts!$D$10:'Podcasts'!$D$2535,$B176)&lt;COLUMN(C139),"",SMALL(IF(Podcasts!$D$10:'Podcasts'!$D$2535=$B176,Podcasts!$E$10:'Podcasts'!$E$2535),COLUMN(C139)))</f>
        <v>45110</v>
      </c>
      <c r="M176" s="132">
        <f t="array" ref="M176">IF(L176="","",INDEX(Podcasts!$F$10:'Podcasts'!$F$2535,MATCH(L176&amp;$B176,Podcasts!$E$10:'Podcasts'!$E$2535&amp;Podcasts!$D$10:'Podcasts'!$D$2535,0)))</f>
        <v>2.1851851851851848E-2</v>
      </c>
      <c r="N176" s="136" t="str">
        <f t="array" ref="N176">IF(O176="","",INDEX(Podcasts!$J$10:'Podcasts'!$J$2535,MATCH(O176&amp;$B176,Podcasts!$E$10:'Podcasts'!$E$2535&amp;Podcasts!$D$10:'Podcasts'!$D$2535,0)))</f>
        <v/>
      </c>
      <c r="O176" s="133" t="str">
        <f t="array" ref="O176">IF(COUNTIF(Podcasts!$D$10:'Podcasts'!$D$2535,$B176)&lt;COLUMN(D139),"",SMALL(IF(Podcasts!$D$10:'Podcasts'!$D$2535=$B176,Podcasts!$E$10:'Podcasts'!$E$2535),COLUMN(D139)))</f>
        <v/>
      </c>
      <c r="P176" s="132" t="str">
        <f t="array" ref="P176">IF(O176="","",INDEX(Podcasts!$F$10:'Podcasts'!$F$2535,MATCH(O176&amp;$B176,Podcasts!$E$10:'Podcasts'!$E$2535&amp;Podcasts!$D$10:'Podcasts'!$D$2535,0)))</f>
        <v/>
      </c>
      <c r="Q176" s="136" t="str">
        <f t="array" ref="Q176">IF(R176="","",INDEX(Podcasts!$J$10:'Podcasts'!$J$2535,MATCH(R176&amp;$B176,Podcasts!$E$10:'Podcasts'!$E$2535&amp;Podcasts!$D$10:'Podcasts'!$D$2535,0)))</f>
        <v/>
      </c>
      <c r="R176" s="133" t="str">
        <f t="array" ref="R176">IF(COUNTIF(Podcasts!$D$10:'Podcasts'!$D$2535,$B176)&lt;COLUMN(E139),"",SMALL(IF(Podcasts!$D$10:'Podcasts'!$D$2535=$B176,Podcasts!$E$10:'Podcasts'!$E$2535),COLUMN(E139)))</f>
        <v/>
      </c>
      <c r="S176" s="132" t="str">
        <f t="array" ref="S176">IF(R176="","",INDEX(Podcasts!$F$10:'Podcasts'!$F$2535,MATCH(R176&amp;$B176,Podcasts!$E$10:'Podcasts'!$E$2535&amp;Podcasts!$D$10:'Podcasts'!$D$2535,0)))</f>
        <v/>
      </c>
      <c r="T176" s="136" t="str">
        <f t="array" ref="T176">IF(U176="","",INDEX(Podcasts!$J$10:'Podcasts'!$J$2535,MATCH(U176&amp;$B176,Podcasts!$E$10:'Podcasts'!$E$2535&amp;Podcasts!$D$10:'Podcasts'!$D$2535,0)))</f>
        <v/>
      </c>
      <c r="U176" s="133" t="str">
        <f t="array" ref="U176">IF(COUNTIF(Podcasts!$D$10:'Podcasts'!$D$2535,$B176)&lt;COLUMN(F139),"",SMALL(IF(Podcasts!$D$10:'Podcasts'!$D$2535=$B176,Podcasts!$E$10:'Podcasts'!$E$2535),COLUMN(F139)))</f>
        <v/>
      </c>
      <c r="V176" s="132" t="str">
        <f t="array" ref="V176">IF(U176="","",INDEX(Podcasts!$F$10:'Podcasts'!$F$2535,MATCH(U176&amp;$B176,Podcasts!$E$10:'Podcasts'!$E$2535&amp;Podcasts!$D$10:'Podcasts'!$D$2535,0)))</f>
        <v/>
      </c>
      <c r="W176" s="136" t="str">
        <f t="array" ref="W176">IF(X176="","",INDEX(Podcasts!$J$10:'Podcasts'!$J$2535,MATCH(X176&amp;$B176,Podcasts!$E$10:'Podcasts'!$E$2535&amp;Podcasts!$D$10:'Podcasts'!$D$2535,0)))</f>
        <v/>
      </c>
      <c r="X176" s="133" t="str">
        <f t="array" ref="X176">IF(COUNTIF(Podcasts!$D$10:'Podcasts'!$D$2535,$B176)&lt;COLUMN(G139),"",SMALL(IF(Podcasts!$D$10:'Podcasts'!$D$2535=$B176,Podcasts!$E$10:'Podcasts'!$E$2535),COLUMN(G139)))</f>
        <v/>
      </c>
      <c r="Y176" s="132" t="str">
        <f t="array" ref="Y176">IF(X176="","",INDEX(Podcasts!$F$10:'Podcasts'!$F$2535,MATCH(X176&amp;$B176,Podcasts!$E$10:'Podcasts'!$E$2535&amp;Podcasts!$D$10:'Podcasts'!$D$2535,0)))</f>
        <v/>
      </c>
      <c r="Z176" s="136" t="str">
        <f t="array" ref="Z176">IF(AA176="","",INDEX(Podcasts!$J$10:'Podcasts'!$J$2535,MATCH(AA176&amp;$B176,Podcasts!$E$10:'Podcasts'!$E$2535&amp;Podcasts!$D$10:'Podcasts'!$D$2535,0)))</f>
        <v/>
      </c>
      <c r="AA176" s="134" t="str">
        <f t="array" ref="AA176">IF(COUNTIF(Podcasts!$D$10:'Podcasts'!$D$2535,$B176)&lt;COLUMN(H139),"",SMALL(IF(Podcasts!$D$10:'Podcasts'!$D$2535=$B176,Podcasts!$E$10:'Podcasts'!$E$2535),COLUMN(H139)))</f>
        <v/>
      </c>
      <c r="AB176" s="404" t="str">
        <f t="array" ref="AB176">IF(AA176="","",INDEX(Podcasts!$F$10:'Podcasts'!$F$2535,MATCH(AA176&amp;$B176,Podcasts!$E$10:'Podcasts'!$E$2535&amp;Podcasts!$D$10:'Podcasts'!$D$2535,0)))</f>
        <v/>
      </c>
      <c r="AC176" s="406" t="str">
        <f t="array" ref="AC176">IF(AD176="","",INDEX(Podcasts!$J$10:'Podcasts'!$J$2535,MATCH(AD176&amp;$B176,Podcasts!$E$10:'Podcasts'!$E$2535&amp;Podcasts!$D$10:'Podcasts'!$D$2535,0)))</f>
        <v/>
      </c>
      <c r="AD176" s="400" t="str">
        <f t="array" ref="AD176">IF(COUNTIF(Podcasts!$D$10:'Podcasts'!$D$2535,$B176)&lt;COLUMN(I139),"",SMALL(IF(Podcasts!$D$10:'Podcasts'!$D$2535=$B176,Podcasts!$E$10:'Podcasts'!$E$2535),COLUMN(I139)))</f>
        <v/>
      </c>
      <c r="AE176" s="401" t="str">
        <f t="array" ref="AE176">IF(AD176="","",INDEX(Podcasts!$F$10:'Podcasts'!$F$2535,MATCH(AD176&amp;$B176,Podcasts!$E$10:'Podcasts'!$E$2535&amp;Podcasts!$D$10:'Podcasts'!$D$2535,0)))</f>
        <v/>
      </c>
      <c r="AF176" s="406" t="str">
        <f t="array" ref="AF176">IF(AG176="","",INDEX(Podcasts!$J$10:'Podcasts'!$J$2535,MATCH(AG176&amp;$B176,Podcasts!$E$10:'Podcasts'!$E$2535&amp;Podcasts!$D$10:'Podcasts'!$D$2535,0)))</f>
        <v/>
      </c>
      <c r="AG176" s="400" t="str">
        <f t="array" ref="AG176">IF(COUNTIF(Podcasts!$D$10:'Podcasts'!$D$2535,$B176)&lt;COLUMN(J139),"",SMALL(IF(Podcasts!$D$10:'Podcasts'!$D$2535=$B176,Podcasts!$E$10:'Podcasts'!$E$2535),COLUMN(J139)))</f>
        <v/>
      </c>
      <c r="AH176" s="401" t="str">
        <f t="array" ref="AH176">IF(AG176="","",INDEX(Podcasts!$F$10:'Podcasts'!$F$2535,MATCH(AG176&amp;$B176,Podcasts!$E$10:'Podcasts'!$E$2535&amp;Podcasts!$D$10:'Podcasts'!$D$2535,0)))</f>
        <v/>
      </c>
      <c r="AI176" s="406" t="str">
        <f t="array" ref="AI176">IF(AJ176="","",INDEX(Podcasts!$J$10:'Podcasts'!$J$2535,MATCH(AJ176&amp;$B176,Podcasts!$E$10:'Podcasts'!$E$2535&amp;Podcasts!$D$10:'Podcasts'!$D$2535,0)))</f>
        <v/>
      </c>
      <c r="AJ176" s="400" t="str">
        <f t="array" ref="AJ176">IF(COUNTIF(Podcasts!$D$10:'Podcasts'!$D$2535,$B176)&lt;COLUMN(K139),"",SMALL(IF(Podcasts!$D$10:'Podcasts'!$D$2535=$B176,Podcasts!$E$10:'Podcasts'!$E$2535),COLUMN(K139)))</f>
        <v/>
      </c>
      <c r="AK176" s="401" t="str">
        <f t="array" ref="AK176">IF(AJ176="","",INDEX(Podcasts!$F$10:'Podcasts'!$F$2535,MATCH(AJ176&amp;$B176,Podcasts!$E$10:'Podcasts'!$E$2535&amp;Podcasts!$D$10:'Podcasts'!$D$2535,0)))</f>
        <v/>
      </c>
      <c r="AL176" s="406" t="str">
        <f t="array" ref="AL176">IF(AM176="","",INDEX(Podcasts!$J$10:'Podcasts'!$J$2535,MATCH(AM176&amp;$B176,Podcasts!$E$10:'Podcasts'!$E$2535&amp;Podcasts!$D$10:'Podcasts'!$D$2535,0)))</f>
        <v/>
      </c>
      <c r="AM176" s="400" t="str">
        <f t="array" ref="AM176">IF(COUNTIF(Podcasts!$D$10:'Podcasts'!$D$2535,$B176)&lt;COLUMN(L139),"",SMALL(IF(Podcasts!$D$10:'Podcasts'!$D$2535=$B176,Podcasts!$E$10:'Podcasts'!$E$2535),COLUMN(L139)))</f>
        <v/>
      </c>
      <c r="AN176" s="401" t="str">
        <f t="array" ref="AN176">IF(AM176="","",INDEX(Podcasts!$F$10:'Podcasts'!$F$2535,MATCH(AM176&amp;$B176,Podcasts!$E$10:'Podcasts'!$E$2535&amp;Podcasts!$D$10:'Podcasts'!$D$2535,0)))</f>
        <v/>
      </c>
      <c r="AO176" s="402"/>
      <c r="AP176" s="119"/>
      <c r="AQ176" s="117">
        <f t="array" aca="1" ref="AQ176" ca="1">IFERROR(SMALL(IF(COUNTIF(Podcasts!$D$10:'Podcasts'!$D$107,ROW(INDIRECT("1:"&amp;K$2)))=0,ROW(INDIRECT("1:"&amp;K$2))),ROW($A133)),"")</f>
        <v>173</v>
      </c>
      <c r="AR176" s="117">
        <f t="array" aca="1" ref="AR176" ca="1">IFERROR(SMALL(IF(COUNTIF(Podcasts!$D$113:'Podcasts'!$D$238,ROW(INDIRECT("1:"&amp;K$2)))=0,ROW(INDIRECT("1:"&amp;K$2))),ROW($A133)),"")</f>
        <v>133</v>
      </c>
      <c r="AS176" s="117">
        <f t="array" aca="1" ref="AS176" ca="1">IFERROR(SMALL(IF(COUNTIF(Podcasts!$D$244:'Podcasts'!$D$299,ROW(INDIRECT("1:"&amp;K$2)))=0,ROW(INDIRECT("1:"&amp;K$2))),ROW($A133)),"")</f>
        <v>160</v>
      </c>
      <c r="AT176" s="117"/>
      <c r="AU176" s="117">
        <f t="array" aca="1" ref="AU176" ca="1">IFERROR(SMALL(IF(COUNTIF(Podcasts!$D$479:'Podcasts'!$D$488,ROW(INDIRECT("1:"&amp;K$2)))=0,ROW(INDIRECT("1:"&amp;K$2))),ROW($A133)),"")</f>
        <v>136</v>
      </c>
      <c r="AV176" s="117">
        <f t="array" aca="1" ref="AV176" ca="1">IFERROR(SMALL(IF(COUNTIF(Podcasts!$D$494:'Podcasts'!$D$518,ROW(INDIRECT("1:"&amp;K$2)))=0,ROW(INDIRECT("1:"&amp;K$2))),ROW($A133)),"")</f>
        <v>155</v>
      </c>
      <c r="AW176" s="117">
        <f t="array" aca="1" ref="AW176" ca="1">IFERROR(SMALL(IF(COUNTIF(Podcasts!$D$524:'Podcasts'!$D$532,ROW(INDIRECT("1:"&amp;K$2)))=0,ROW(INDIRECT("1:"&amp;K$2))),ROW($A133)),"")</f>
        <v>134</v>
      </c>
      <c r="AX176" s="117"/>
      <c r="AY176" s="117">
        <f t="array" aca="1" ref="AY176" ca="1">IFERROR(SMALL(IF(COUNTIF(Podcasts!$D$915:'Podcasts'!$D$981,ROW(INDIRECT("1:"&amp;K$2)))=0,ROW(INDIRECT("1:"&amp;K$2))),ROW($A133)),"")</f>
        <v>187</v>
      </c>
      <c r="AZ176" s="445"/>
      <c r="BA176" s="117">
        <f t="array" aca="1" ref="BA176" ca="1">IFERROR(SMALL(IF(COUNTIF(Podcasts!$D$1001:'Podcasts'!$D$1251,ROW(INDIRECT("1:"&amp;K$2)))=0,ROW(INDIRECT("1:"&amp;K$2))),ROW($A133)),"")</f>
        <v>183</v>
      </c>
      <c r="BB176" s="117">
        <f t="array" aca="1" ref="BB176" ca="1">IFERROR(SMALL(IF(COUNTIF(Podcasts!$D$1257:'Podcasts'!$D$1267,ROW(INDIRECT("1:"&amp;K$2)))=0,ROW(INDIRECT("1:"&amp;K$2))),ROW($A133)),"")</f>
        <v>138</v>
      </c>
      <c r="BC176" s="117">
        <f t="array" aca="1" ref="BC176" ca="1">IFERROR(SMALL(IF(COUNTIF(Podcasts!$D$1273:'Podcasts'!$D$1283,ROW(INDIRECT("1:"&amp;K$2)))=0,ROW(INDIRECT("1:"&amp;K$2))),ROW($A133)),"")</f>
        <v>137</v>
      </c>
      <c r="BD176" s="117">
        <f t="array" aca="1" ref="BD176" ca="1">IFERROR(SMALL(IF(COUNTIF(Podcasts!$D$1289:'Podcasts'!$D$1295,ROW(INDIRECT("1:"&amp;K$2)))=0,ROW(INDIRECT("1:"&amp;K$2))),ROW($A133)),"")</f>
        <v>138</v>
      </c>
      <c r="BE176" s="117">
        <f t="array" aca="1" ref="BE176" ca="1">IFERROR(SMALL(IF(COUNTIF(Podcasts!$D$1301:'Podcasts'!$D$1356,ROW(INDIRECT("1:"&amp;K$2)))=0,ROW(INDIRECT("1:"&amp;K$2))),ROW($A133)),"")</f>
        <v>180</v>
      </c>
      <c r="BF176" s="117">
        <f t="array" aca="1" ref="BF176" ca="1">IFERROR(SMALL(IF(COUNTIF(Podcasts!$D$1362:'Podcasts'!$D$1364,ROW(INDIRECT("1:"&amp;K$2)))=0,ROW(INDIRECT("1:"&amp;K$2))),ROW($A133)),"")</f>
        <v>136</v>
      </c>
      <c r="BG176" s="202">
        <f t="array" aca="1" ref="BG176" ca="1">IFERROR(SMALL(IF(COUNTIF(Podcasts!$D$1370:'Podcasts'!$D$1419,ROW(INDIRECT("1:"&amp;K$2)))=0,ROW(INDIRECT("1:"&amp;K$2))),ROW($A133)),"")</f>
        <v>166</v>
      </c>
      <c r="BH176" s="202">
        <f t="array" aca="1" ref="BH176" ca="1">IFERROR(SMALL(IF(COUNTIF(Podcasts!$D$1425:'Podcasts'!$D$1446,ROW(INDIRECT("1:"&amp;K$2)))=0,ROW(INDIRECT("1:"&amp;K$2))),ROW($A133)),"")</f>
        <v>143</v>
      </c>
      <c r="BI176" s="202">
        <f t="array" aca="1" ref="BI176" ca="1">IFERROR(SMALL(IF(COUNTIF(Podcasts!$D$1452:'Podcasts'!$D$1574,ROW(INDIRECT("1:"&amp;K$2)))=0,ROW(INDIRECT("1:"&amp;K$2))),ROW($A133)),"")</f>
        <v>211</v>
      </c>
      <c r="BJ176" s="202">
        <f t="array" aca="1" ref="BJ176" ca="1">IFERROR(SMALL(IF(COUNTIF(Podcasts!$D$1580:'Podcasts'!$D$1705,ROW(INDIRECT("1:"&amp;K$2)))=0,ROW(INDIRECT("1:"&amp;K$2))),ROW($A133)),"")</f>
        <v>215</v>
      </c>
      <c r="BK176" s="202">
        <f t="array" aca="1" ref="BK176" ca="1">IFERROR(SMALL(IF(COUNTIF(Podcasts!$D$1711:'Podcasts'!$D$1833,ROW(INDIRECT("1:"&amp;K$2)))=0,ROW(INDIRECT("1:"&amp;K$2))),ROW($A133)),"")</f>
        <v>206</v>
      </c>
      <c r="BL176" s="202">
        <f t="array" aca="1" ref="BL176" ca="1">IFERROR(SMALL(IF(COUNTIF(Podcasts!$D$1839:'Podcasts'!$D$1855,ROW(INDIRECT("1:"&amp;K$2)))=0,ROW(INDIRECT("1:"&amp;K$2))),ROW($A133)),"")</f>
        <v>142</v>
      </c>
      <c r="BM176" s="567">
        <f t="array" aca="1" ref="BM176" ca="1">IFERROR(SMALL(IF(COUNTIF(Podcasts!$D$1861:'Podcasts'!$D$1994,ROW(INDIRECT("1:"&amp;K$2)))=0,ROW(INDIRECT("1:"&amp;K$2))),ROW($A133)),"")</f>
        <v>179</v>
      </c>
      <c r="BN176" s="567">
        <f t="array" aca="1" ref="BN176" ca="1">IFERROR(SMALL(IF(COUNTIF(Podcasts!$D$2000:'Podcasts'!$D$2057,ROW(INDIRECT("1:"&amp;K$2)))=0,ROW(INDIRECT("1:"&amp;K$2))),ROW($A133)),"")</f>
        <v>188</v>
      </c>
      <c r="BO176" s="567">
        <f t="array" aca="1" ref="BO176" ca="1">IFERROR(SMALL(IF(COUNTIF(Podcasts!$D$2063:'Podcasts'!$D$2071,ROW(INDIRECT("1:"&amp;K$2)))=0,ROW(INDIRECT("1:"&amp;K$2))),ROW($A133)),"")</f>
        <v>140</v>
      </c>
      <c r="BP176" s="202">
        <f t="array" aca="1" ref="BP176" ca="1">IFERROR(SMALL(IF(COUNTIF(Podcasts!$D$2077:'Podcasts'!$D$2092,ROW(INDIRECT("1:"&amp;K$2)))=0,ROW(INDIRECT("1:"&amp;K$2))),ROW($A133)),"")</f>
        <v>144</v>
      </c>
      <c r="BQ176" s="741">
        <f t="array" aca="1" ref="BQ176" ca="1">IFERROR(SMALL(IF(COUNTIF(Podcasts!$D$2098:'Podcasts'!$D$2114,ROW(INDIRECT("1:"&amp;K$2)))=0,ROW(INDIRECT("1:"&amp;K$2))),ROW($A133)),"")</f>
        <v>145</v>
      </c>
      <c r="BR176" s="744">
        <f t="array" aca="1" ref="BR176" ca="1">IFERROR(SMALL(IF(COUNTIF(Podcasts!$D$2120:'Podcasts'!$D$2124,ROW(INDIRECT("1:"&amp;K$2)))=0,ROW(INDIRECT("1:"&amp;K$2))),ROW($A133)),"")</f>
        <v>135</v>
      </c>
      <c r="BS176" s="28"/>
    </row>
    <row r="177" spans="1:71" outlineLevel="1">
      <c r="A177" s="28"/>
      <c r="B177" s="161">
        <v>134</v>
      </c>
      <c r="C177" s="161">
        <f>COUNTIF(Podcasts!$D$10:'Podcasts'!$D$2535,B177)</f>
        <v>0</v>
      </c>
      <c r="D177" s="158" t="s">
        <v>1160</v>
      </c>
      <c r="E177" s="156" t="str">
        <f t="array" ref="E177">IF(F177="","",INDEX(Podcasts!$J$10:'Podcasts'!$J$2535,MATCH(F177&amp;$B177,Podcasts!$E$10:'Podcasts'!$E$2535&amp;Podcasts!$D$10:'Podcasts'!$D$2535,0)))</f>
        <v/>
      </c>
      <c r="F177" s="131" t="str">
        <f t="array" ref="F177">IF(COUNTIF(Podcasts!$D$10:'Podcasts'!$D$2535,$B177)&lt;COLUMN(A140),"",SMALL(IF(Podcasts!$D$10:'Podcasts'!$D$2535=$B177,Podcasts!$E$10:'Podcasts'!$E$2535),COLUMN(A140)))</f>
        <v/>
      </c>
      <c r="G177" s="132" t="str">
        <f t="array" ref="G177">IF(F177="","",INDEX(Podcasts!$F$10:'Podcasts'!$F$2535,MATCH(F177&amp;$B177,Podcasts!$E$10:'Podcasts'!$E$2535&amp;Podcasts!$D$10:'Podcasts'!$D$2535,0)))</f>
        <v/>
      </c>
      <c r="H177" s="136" t="str">
        <f t="array" ref="H177">IF(I177="","",INDEX(Podcasts!$J$10:'Podcasts'!$J$2535,MATCH(I177&amp;$B177,Podcasts!$E$10:'Podcasts'!$E$2535&amp;Podcasts!$D$10:'Podcasts'!$D$2535,0)))</f>
        <v/>
      </c>
      <c r="I177" s="133" t="str">
        <f t="array" ref="I177">IF(COUNTIF(Podcasts!$D$10:'Podcasts'!$D$2535,$B177)&lt;COLUMN(B140),"",SMALL(IF(Podcasts!$D$10:'Podcasts'!$D$2535=$B177,Podcasts!$E$10:'Podcasts'!$E$2535),COLUMN(B140)))</f>
        <v/>
      </c>
      <c r="J177" s="132" t="str">
        <f t="array" ref="J177">IF(I177="","",INDEX(Podcasts!$F$10:'Podcasts'!$F$2535,MATCH(I177&amp;$B177,Podcasts!$E$10:'Podcasts'!$E$2535&amp;Podcasts!$D$10:'Podcasts'!$D$2535,0)))</f>
        <v/>
      </c>
      <c r="K177" s="136" t="str">
        <f t="array" ref="K177">IF(L177="","",INDEX(Podcasts!$J$10:'Podcasts'!$J$2535,MATCH(L177&amp;$B177,Podcasts!$E$10:'Podcasts'!$E$2535&amp;Podcasts!$D$10:'Podcasts'!$D$2535,0)))</f>
        <v/>
      </c>
      <c r="L177" s="133" t="str">
        <f t="array" ref="L177">IF(COUNTIF(Podcasts!$D$10:'Podcasts'!$D$2535,$B177)&lt;COLUMN(C140),"",SMALL(IF(Podcasts!$D$10:'Podcasts'!$D$2535=$B177,Podcasts!$E$10:'Podcasts'!$E$2535),COLUMN(C140)))</f>
        <v/>
      </c>
      <c r="M177" s="132" t="str">
        <f t="array" ref="M177">IF(L177="","",INDEX(Podcasts!$F$10:'Podcasts'!$F$2535,MATCH(L177&amp;$B177,Podcasts!$E$10:'Podcasts'!$E$2535&amp;Podcasts!$D$10:'Podcasts'!$D$2535,0)))</f>
        <v/>
      </c>
      <c r="N177" s="136" t="str">
        <f t="array" ref="N177">IF(O177="","",INDEX(Podcasts!$J$10:'Podcasts'!$J$2535,MATCH(O177&amp;$B177,Podcasts!$E$10:'Podcasts'!$E$2535&amp;Podcasts!$D$10:'Podcasts'!$D$2535,0)))</f>
        <v/>
      </c>
      <c r="O177" s="133" t="str">
        <f t="array" ref="O177">IF(COUNTIF(Podcasts!$D$10:'Podcasts'!$D$2535,$B177)&lt;COLUMN(D140),"",SMALL(IF(Podcasts!$D$10:'Podcasts'!$D$2535=$B177,Podcasts!$E$10:'Podcasts'!$E$2535),COLUMN(D140)))</f>
        <v/>
      </c>
      <c r="P177" s="132" t="str">
        <f t="array" ref="P177">IF(O177="","",INDEX(Podcasts!$F$10:'Podcasts'!$F$2535,MATCH(O177&amp;$B177,Podcasts!$E$10:'Podcasts'!$E$2535&amp;Podcasts!$D$10:'Podcasts'!$D$2535,0)))</f>
        <v/>
      </c>
      <c r="Q177" s="136" t="str">
        <f t="array" ref="Q177">IF(R177="","",INDEX(Podcasts!$J$10:'Podcasts'!$J$2535,MATCH(R177&amp;$B177,Podcasts!$E$10:'Podcasts'!$E$2535&amp;Podcasts!$D$10:'Podcasts'!$D$2535,0)))</f>
        <v/>
      </c>
      <c r="R177" s="133" t="str">
        <f t="array" ref="R177">IF(COUNTIF(Podcasts!$D$10:'Podcasts'!$D$2535,$B177)&lt;COLUMN(E140),"",SMALL(IF(Podcasts!$D$10:'Podcasts'!$D$2535=$B177,Podcasts!$E$10:'Podcasts'!$E$2535),COLUMN(E140)))</f>
        <v/>
      </c>
      <c r="S177" s="132" t="str">
        <f t="array" ref="S177">IF(R177="","",INDEX(Podcasts!$F$10:'Podcasts'!$F$2535,MATCH(R177&amp;$B177,Podcasts!$E$10:'Podcasts'!$E$2535&amp;Podcasts!$D$10:'Podcasts'!$D$2535,0)))</f>
        <v/>
      </c>
      <c r="T177" s="136" t="str">
        <f t="array" ref="T177">IF(U177="","",INDEX(Podcasts!$J$10:'Podcasts'!$J$2535,MATCH(U177&amp;$B177,Podcasts!$E$10:'Podcasts'!$E$2535&amp;Podcasts!$D$10:'Podcasts'!$D$2535,0)))</f>
        <v/>
      </c>
      <c r="U177" s="133" t="str">
        <f t="array" ref="U177">IF(COUNTIF(Podcasts!$D$10:'Podcasts'!$D$2535,$B177)&lt;COLUMN(F140),"",SMALL(IF(Podcasts!$D$10:'Podcasts'!$D$2535=$B177,Podcasts!$E$10:'Podcasts'!$E$2535),COLUMN(F140)))</f>
        <v/>
      </c>
      <c r="V177" s="132" t="str">
        <f t="array" ref="V177">IF(U177="","",INDEX(Podcasts!$F$10:'Podcasts'!$F$2535,MATCH(U177&amp;$B177,Podcasts!$E$10:'Podcasts'!$E$2535&amp;Podcasts!$D$10:'Podcasts'!$D$2535,0)))</f>
        <v/>
      </c>
      <c r="W177" s="136" t="str">
        <f t="array" ref="W177">IF(X177="","",INDEX(Podcasts!$J$10:'Podcasts'!$J$2535,MATCH(X177&amp;$B177,Podcasts!$E$10:'Podcasts'!$E$2535&amp;Podcasts!$D$10:'Podcasts'!$D$2535,0)))</f>
        <v/>
      </c>
      <c r="X177" s="133" t="str">
        <f t="array" ref="X177">IF(COUNTIF(Podcasts!$D$10:'Podcasts'!$D$2535,$B177)&lt;COLUMN(G140),"",SMALL(IF(Podcasts!$D$10:'Podcasts'!$D$2535=$B177,Podcasts!$E$10:'Podcasts'!$E$2535),COLUMN(G140)))</f>
        <v/>
      </c>
      <c r="Y177" s="132" t="str">
        <f t="array" ref="Y177">IF(X177="","",INDEX(Podcasts!$F$10:'Podcasts'!$F$2535,MATCH(X177&amp;$B177,Podcasts!$E$10:'Podcasts'!$E$2535&amp;Podcasts!$D$10:'Podcasts'!$D$2535,0)))</f>
        <v/>
      </c>
      <c r="Z177" s="136" t="str">
        <f t="array" ref="Z177">IF(AA177="","",INDEX(Podcasts!$J$10:'Podcasts'!$J$2535,MATCH(AA177&amp;$B177,Podcasts!$E$10:'Podcasts'!$E$2535&amp;Podcasts!$D$10:'Podcasts'!$D$2535,0)))</f>
        <v/>
      </c>
      <c r="AA177" s="134" t="str">
        <f t="array" ref="AA177">IF(COUNTIF(Podcasts!$D$10:'Podcasts'!$D$2535,$B177)&lt;COLUMN(H140),"",SMALL(IF(Podcasts!$D$10:'Podcasts'!$D$2535=$B177,Podcasts!$E$10:'Podcasts'!$E$2535),COLUMN(H140)))</f>
        <v/>
      </c>
      <c r="AB177" s="404" t="str">
        <f t="array" ref="AB177">IF(AA177="","",INDEX(Podcasts!$F$10:'Podcasts'!$F$2535,MATCH(AA177&amp;$B177,Podcasts!$E$10:'Podcasts'!$E$2535&amp;Podcasts!$D$10:'Podcasts'!$D$2535,0)))</f>
        <v/>
      </c>
      <c r="AC177" s="406" t="str">
        <f t="array" ref="AC177">IF(AD177="","",INDEX(Podcasts!$J$10:'Podcasts'!$J$2535,MATCH(AD177&amp;$B177,Podcasts!$E$10:'Podcasts'!$E$2535&amp;Podcasts!$D$10:'Podcasts'!$D$2535,0)))</f>
        <v/>
      </c>
      <c r="AD177" s="400" t="str">
        <f t="array" ref="AD177">IF(COUNTIF(Podcasts!$D$10:'Podcasts'!$D$2535,$B177)&lt;COLUMN(I140),"",SMALL(IF(Podcasts!$D$10:'Podcasts'!$D$2535=$B177,Podcasts!$E$10:'Podcasts'!$E$2535),COLUMN(I140)))</f>
        <v/>
      </c>
      <c r="AE177" s="401" t="str">
        <f t="array" ref="AE177">IF(AD177="","",INDEX(Podcasts!$F$10:'Podcasts'!$F$2535,MATCH(AD177&amp;$B177,Podcasts!$E$10:'Podcasts'!$E$2535&amp;Podcasts!$D$10:'Podcasts'!$D$2535,0)))</f>
        <v/>
      </c>
      <c r="AF177" s="406" t="str">
        <f t="array" ref="AF177">IF(AG177="","",INDEX(Podcasts!$J$10:'Podcasts'!$J$2535,MATCH(AG177&amp;$B177,Podcasts!$E$10:'Podcasts'!$E$2535&amp;Podcasts!$D$10:'Podcasts'!$D$2535,0)))</f>
        <v/>
      </c>
      <c r="AG177" s="400" t="str">
        <f t="array" ref="AG177">IF(COUNTIF(Podcasts!$D$10:'Podcasts'!$D$2535,$B177)&lt;COLUMN(J140),"",SMALL(IF(Podcasts!$D$10:'Podcasts'!$D$2535=$B177,Podcasts!$E$10:'Podcasts'!$E$2535),COLUMN(J140)))</f>
        <v/>
      </c>
      <c r="AH177" s="401" t="str">
        <f t="array" ref="AH177">IF(AG177="","",INDEX(Podcasts!$F$10:'Podcasts'!$F$2535,MATCH(AG177&amp;$B177,Podcasts!$E$10:'Podcasts'!$E$2535&amp;Podcasts!$D$10:'Podcasts'!$D$2535,0)))</f>
        <v/>
      </c>
      <c r="AI177" s="406" t="str">
        <f t="array" ref="AI177">IF(AJ177="","",INDEX(Podcasts!$J$10:'Podcasts'!$J$2535,MATCH(AJ177&amp;$B177,Podcasts!$E$10:'Podcasts'!$E$2535&amp;Podcasts!$D$10:'Podcasts'!$D$2535,0)))</f>
        <v/>
      </c>
      <c r="AJ177" s="400" t="str">
        <f t="array" ref="AJ177">IF(COUNTIF(Podcasts!$D$10:'Podcasts'!$D$2535,$B177)&lt;COLUMN(K140),"",SMALL(IF(Podcasts!$D$10:'Podcasts'!$D$2535=$B177,Podcasts!$E$10:'Podcasts'!$E$2535),COLUMN(K140)))</f>
        <v/>
      </c>
      <c r="AK177" s="401" t="str">
        <f t="array" ref="AK177">IF(AJ177="","",INDEX(Podcasts!$F$10:'Podcasts'!$F$2535,MATCH(AJ177&amp;$B177,Podcasts!$E$10:'Podcasts'!$E$2535&amp;Podcasts!$D$10:'Podcasts'!$D$2535,0)))</f>
        <v/>
      </c>
      <c r="AL177" s="406" t="str">
        <f t="array" ref="AL177">IF(AM177="","",INDEX(Podcasts!$J$10:'Podcasts'!$J$2535,MATCH(AM177&amp;$B177,Podcasts!$E$10:'Podcasts'!$E$2535&amp;Podcasts!$D$10:'Podcasts'!$D$2535,0)))</f>
        <v/>
      </c>
      <c r="AM177" s="400" t="str">
        <f t="array" ref="AM177">IF(COUNTIF(Podcasts!$D$10:'Podcasts'!$D$2535,$B177)&lt;COLUMN(L140),"",SMALL(IF(Podcasts!$D$10:'Podcasts'!$D$2535=$B177,Podcasts!$E$10:'Podcasts'!$E$2535),COLUMN(L140)))</f>
        <v/>
      </c>
      <c r="AN177" s="401" t="str">
        <f t="array" ref="AN177">IF(AM177="","",INDEX(Podcasts!$F$10:'Podcasts'!$F$2535,MATCH(AM177&amp;$B177,Podcasts!$E$10:'Podcasts'!$E$2535&amp;Podcasts!$D$10:'Podcasts'!$D$2535,0)))</f>
        <v/>
      </c>
      <c r="AO177" s="402"/>
      <c r="AP177" s="119"/>
      <c r="AQ177" s="117">
        <f t="array" aca="1" ref="AQ177" ca="1">IFERROR(SMALL(IF(COUNTIF(Podcasts!$D$10:'Podcasts'!$D$107,ROW(INDIRECT("1:"&amp;K$2)))=0,ROW(INDIRECT("1:"&amp;K$2))),ROW($A134)),"")</f>
        <v>174</v>
      </c>
      <c r="AR177" s="117">
        <f t="array" aca="1" ref="AR177" ca="1">IFERROR(SMALL(IF(COUNTIF(Podcasts!$D$113:'Podcasts'!$D$238,ROW(INDIRECT("1:"&amp;K$2)))=0,ROW(INDIRECT("1:"&amp;K$2))),ROW($A134)),"")</f>
        <v>134</v>
      </c>
      <c r="AS177" s="117">
        <f t="array" aca="1" ref="AS177" ca="1">IFERROR(SMALL(IF(COUNTIF(Podcasts!$D$244:'Podcasts'!$D$299,ROW(INDIRECT("1:"&amp;K$2)))=0,ROW(INDIRECT("1:"&amp;K$2))),ROW($A134)),"")</f>
        <v>161</v>
      </c>
      <c r="AT177" s="117"/>
      <c r="AU177" s="117">
        <f t="array" aca="1" ref="AU177" ca="1">IFERROR(SMALL(IF(COUNTIF(Podcasts!$D$479:'Podcasts'!$D$488,ROW(INDIRECT("1:"&amp;K$2)))=0,ROW(INDIRECT("1:"&amp;K$2))),ROW($A134)),"")</f>
        <v>137</v>
      </c>
      <c r="AV177" s="117">
        <f t="array" aca="1" ref="AV177" ca="1">IFERROR(SMALL(IF(COUNTIF(Podcasts!$D$494:'Podcasts'!$D$518,ROW(INDIRECT("1:"&amp;K$2)))=0,ROW(INDIRECT("1:"&amp;K$2))),ROW($A134)),"")</f>
        <v>156</v>
      </c>
      <c r="AW177" s="117">
        <f t="array" aca="1" ref="AW177" ca="1">IFERROR(SMALL(IF(COUNTIF(Podcasts!$D$524:'Podcasts'!$D$532,ROW(INDIRECT("1:"&amp;K$2)))=0,ROW(INDIRECT("1:"&amp;K$2))),ROW($A134)),"")</f>
        <v>135</v>
      </c>
      <c r="AX177" s="117"/>
      <c r="AY177" s="117">
        <f t="array" aca="1" ref="AY177" ca="1">IFERROR(SMALL(IF(COUNTIF(Podcasts!$D$915:'Podcasts'!$D$981,ROW(INDIRECT("1:"&amp;K$2)))=0,ROW(INDIRECT("1:"&amp;K$2))),ROW($A134)),"")</f>
        <v>189</v>
      </c>
      <c r="AZ177" s="445"/>
      <c r="BA177" s="117">
        <f t="array" aca="1" ref="BA177" ca="1">IFERROR(SMALL(IF(COUNTIF(Podcasts!$D$1001:'Podcasts'!$D$1251,ROW(INDIRECT("1:"&amp;K$2)))=0,ROW(INDIRECT("1:"&amp;K$2))),ROW($A134)),"")</f>
        <v>185</v>
      </c>
      <c r="BB177" s="117">
        <f t="array" aca="1" ref="BB177" ca="1">IFERROR(SMALL(IF(COUNTIF(Podcasts!$D$1257:'Podcasts'!$D$1267,ROW(INDIRECT("1:"&amp;K$2)))=0,ROW(INDIRECT("1:"&amp;K$2))),ROW($A134)),"")</f>
        <v>139</v>
      </c>
      <c r="BC177" s="117">
        <f t="array" aca="1" ref="BC177" ca="1">IFERROR(SMALL(IF(COUNTIF(Podcasts!$D$1273:'Podcasts'!$D$1283,ROW(INDIRECT("1:"&amp;K$2)))=0,ROW(INDIRECT("1:"&amp;K$2))),ROW($A134)),"")</f>
        <v>138</v>
      </c>
      <c r="BD177" s="117">
        <f t="array" aca="1" ref="BD177" ca="1">IFERROR(SMALL(IF(COUNTIF(Podcasts!$D$1289:'Podcasts'!$D$1295,ROW(INDIRECT("1:"&amp;K$2)))=0,ROW(INDIRECT("1:"&amp;K$2))),ROW($A134)),"")</f>
        <v>139</v>
      </c>
      <c r="BE177" s="117">
        <f t="array" aca="1" ref="BE177" ca="1">IFERROR(SMALL(IF(COUNTIF(Podcasts!$D$1301:'Podcasts'!$D$1356,ROW(INDIRECT("1:"&amp;K$2)))=0,ROW(INDIRECT("1:"&amp;K$2))),ROW($A134)),"")</f>
        <v>181</v>
      </c>
      <c r="BF177" s="117">
        <f t="array" aca="1" ref="BF177" ca="1">IFERROR(SMALL(IF(COUNTIF(Podcasts!$D$1362:'Podcasts'!$D$1364,ROW(INDIRECT("1:"&amp;K$2)))=0,ROW(INDIRECT("1:"&amp;K$2))),ROW($A134)),"")</f>
        <v>137</v>
      </c>
      <c r="BG177" s="202">
        <f t="array" aca="1" ref="BG177" ca="1">IFERROR(SMALL(IF(COUNTIF(Podcasts!$D$1370:'Podcasts'!$D$1419,ROW(INDIRECT("1:"&amp;K$2)))=0,ROW(INDIRECT("1:"&amp;K$2))),ROW($A134)),"")</f>
        <v>167</v>
      </c>
      <c r="BH177" s="202">
        <f t="array" aca="1" ref="BH177" ca="1">IFERROR(SMALL(IF(COUNTIF(Podcasts!$D$1425:'Podcasts'!$D$1446,ROW(INDIRECT("1:"&amp;K$2)))=0,ROW(INDIRECT("1:"&amp;K$2))),ROW($A134)),"")</f>
        <v>144</v>
      </c>
      <c r="BI177" s="202">
        <f t="array" aca="1" ref="BI177" ca="1">IFERROR(SMALL(IF(COUNTIF(Podcasts!$D$1452:'Podcasts'!$D$1574,ROW(INDIRECT("1:"&amp;K$2)))=0,ROW(INDIRECT("1:"&amp;K$2))),ROW($A134)),"")</f>
        <v>212</v>
      </c>
      <c r="BJ177" s="202">
        <f t="array" aca="1" ref="BJ177" ca="1">IFERROR(SMALL(IF(COUNTIF(Podcasts!$D$1580:'Podcasts'!$D$1705,ROW(INDIRECT("1:"&amp;K$2)))=0,ROW(INDIRECT("1:"&amp;K$2))),ROW($A134)),"")</f>
        <v>218</v>
      </c>
      <c r="BK177" s="202">
        <f t="array" aca="1" ref="BK177" ca="1">IFERROR(SMALL(IF(COUNTIF(Podcasts!$D$1711:'Podcasts'!$D$1833,ROW(INDIRECT("1:"&amp;K$2)))=0,ROW(INDIRECT("1:"&amp;K$2))),ROW($A134)),"")</f>
        <v>207</v>
      </c>
      <c r="BL177" s="202">
        <f t="array" aca="1" ref="BL177" ca="1">IFERROR(SMALL(IF(COUNTIF(Podcasts!$D$1839:'Podcasts'!$D$1855,ROW(INDIRECT("1:"&amp;K$2)))=0,ROW(INDIRECT("1:"&amp;K$2))),ROW($A134)),"")</f>
        <v>143</v>
      </c>
      <c r="BM177" s="567">
        <f t="array" aca="1" ref="BM177" ca="1">IFERROR(SMALL(IF(COUNTIF(Podcasts!$D$1861:'Podcasts'!$D$1994,ROW(INDIRECT("1:"&amp;K$2)))=0,ROW(INDIRECT("1:"&amp;K$2))),ROW($A134)),"")</f>
        <v>180</v>
      </c>
      <c r="BN177" s="567">
        <f t="array" aca="1" ref="BN177" ca="1">IFERROR(SMALL(IF(COUNTIF(Podcasts!$D$2000:'Podcasts'!$D$2057,ROW(INDIRECT("1:"&amp;K$2)))=0,ROW(INDIRECT("1:"&amp;K$2))),ROW($A134)),"")</f>
        <v>189</v>
      </c>
      <c r="BO177" s="567">
        <f t="array" aca="1" ref="BO177" ca="1">IFERROR(SMALL(IF(COUNTIF(Podcasts!$D$2063:'Podcasts'!$D$2071,ROW(INDIRECT("1:"&amp;K$2)))=0,ROW(INDIRECT("1:"&amp;K$2))),ROW($A134)),"")</f>
        <v>141</v>
      </c>
      <c r="BP177" s="202">
        <f t="array" aca="1" ref="BP177" ca="1">IFERROR(SMALL(IF(COUNTIF(Podcasts!$D$2077:'Podcasts'!$D$2092,ROW(INDIRECT("1:"&amp;K$2)))=0,ROW(INDIRECT("1:"&amp;K$2))),ROW($A134)),"")</f>
        <v>145</v>
      </c>
      <c r="BQ177" s="741">
        <f t="array" aca="1" ref="BQ177" ca="1">IFERROR(SMALL(IF(COUNTIF(Podcasts!$D$2098:'Podcasts'!$D$2114,ROW(INDIRECT("1:"&amp;K$2)))=0,ROW(INDIRECT("1:"&amp;K$2))),ROW($A134)),"")</f>
        <v>147</v>
      </c>
      <c r="BR177" s="744">
        <f t="array" aca="1" ref="BR177" ca="1">IFERROR(SMALL(IF(COUNTIF(Podcasts!$D$2120:'Podcasts'!$D$2124,ROW(INDIRECT("1:"&amp;K$2)))=0,ROW(INDIRECT("1:"&amp;K$2))),ROW($A134)),"")</f>
        <v>136</v>
      </c>
      <c r="BS177" s="28"/>
    </row>
    <row r="178" spans="1:71" outlineLevel="1">
      <c r="A178" s="28"/>
      <c r="B178" s="161">
        <v>135</v>
      </c>
      <c r="C178" s="161">
        <f>COUNTIF(Podcasts!$D$10:'Podcasts'!$D$2535,B178)</f>
        <v>0</v>
      </c>
      <c r="D178" s="158" t="s">
        <v>1161</v>
      </c>
      <c r="E178" s="156" t="str">
        <f t="array" ref="E178">IF(F178="","",INDEX(Podcasts!$J$10:'Podcasts'!$J$2535,MATCH(F178&amp;$B178,Podcasts!$E$10:'Podcasts'!$E$2535&amp;Podcasts!$D$10:'Podcasts'!$D$2535,0)))</f>
        <v/>
      </c>
      <c r="F178" s="131" t="str">
        <f t="array" ref="F178">IF(COUNTIF(Podcasts!$D$10:'Podcasts'!$D$2535,$B178)&lt;COLUMN(A141),"",SMALL(IF(Podcasts!$D$10:'Podcasts'!$D$2535=$B178,Podcasts!$E$10:'Podcasts'!$E$2535),COLUMN(A141)))</f>
        <v/>
      </c>
      <c r="G178" s="132" t="str">
        <f t="array" ref="G178">IF(F178="","",INDEX(Podcasts!$F$10:'Podcasts'!$F$2535,MATCH(F178&amp;$B178,Podcasts!$E$10:'Podcasts'!$E$2535&amp;Podcasts!$D$10:'Podcasts'!$D$2535,0)))</f>
        <v/>
      </c>
      <c r="H178" s="136" t="str">
        <f t="array" ref="H178">IF(I178="","",INDEX(Podcasts!$J$10:'Podcasts'!$J$2535,MATCH(I178&amp;$B178,Podcasts!$E$10:'Podcasts'!$E$2535&amp;Podcasts!$D$10:'Podcasts'!$D$2535,0)))</f>
        <v/>
      </c>
      <c r="I178" s="133" t="str">
        <f t="array" ref="I178">IF(COUNTIF(Podcasts!$D$10:'Podcasts'!$D$2535,$B178)&lt;COLUMN(B141),"",SMALL(IF(Podcasts!$D$10:'Podcasts'!$D$2535=$B178,Podcasts!$E$10:'Podcasts'!$E$2535),COLUMN(B141)))</f>
        <v/>
      </c>
      <c r="J178" s="132" t="str">
        <f t="array" ref="J178">IF(I178="","",INDEX(Podcasts!$F$10:'Podcasts'!$F$2535,MATCH(I178&amp;$B178,Podcasts!$E$10:'Podcasts'!$E$2535&amp;Podcasts!$D$10:'Podcasts'!$D$2535,0)))</f>
        <v/>
      </c>
      <c r="K178" s="136" t="str">
        <f t="array" ref="K178">IF(L178="","",INDEX(Podcasts!$J$10:'Podcasts'!$J$2535,MATCH(L178&amp;$B178,Podcasts!$E$10:'Podcasts'!$E$2535&amp;Podcasts!$D$10:'Podcasts'!$D$2535,0)))</f>
        <v/>
      </c>
      <c r="L178" s="133" t="str">
        <f t="array" ref="L178">IF(COUNTIF(Podcasts!$D$10:'Podcasts'!$D$2535,$B178)&lt;COLUMN(C141),"",SMALL(IF(Podcasts!$D$10:'Podcasts'!$D$2535=$B178,Podcasts!$E$10:'Podcasts'!$E$2535),COLUMN(C141)))</f>
        <v/>
      </c>
      <c r="M178" s="132" t="str">
        <f t="array" ref="M178">IF(L178="","",INDEX(Podcasts!$F$10:'Podcasts'!$F$2535,MATCH(L178&amp;$B178,Podcasts!$E$10:'Podcasts'!$E$2535&amp;Podcasts!$D$10:'Podcasts'!$D$2535,0)))</f>
        <v/>
      </c>
      <c r="N178" s="136" t="str">
        <f t="array" ref="N178">IF(O178="","",INDEX(Podcasts!$J$10:'Podcasts'!$J$2535,MATCH(O178&amp;$B178,Podcasts!$E$10:'Podcasts'!$E$2535&amp;Podcasts!$D$10:'Podcasts'!$D$2535,0)))</f>
        <v/>
      </c>
      <c r="O178" s="133" t="str">
        <f t="array" ref="O178">IF(COUNTIF(Podcasts!$D$10:'Podcasts'!$D$2535,$B178)&lt;COLUMN(D141),"",SMALL(IF(Podcasts!$D$10:'Podcasts'!$D$2535=$B178,Podcasts!$E$10:'Podcasts'!$E$2535),COLUMN(D141)))</f>
        <v/>
      </c>
      <c r="P178" s="132" t="str">
        <f t="array" ref="P178">IF(O178="","",INDEX(Podcasts!$F$10:'Podcasts'!$F$2535,MATCH(O178&amp;$B178,Podcasts!$E$10:'Podcasts'!$E$2535&amp;Podcasts!$D$10:'Podcasts'!$D$2535,0)))</f>
        <v/>
      </c>
      <c r="Q178" s="136" t="str">
        <f t="array" ref="Q178">IF(R178="","",INDEX(Podcasts!$J$10:'Podcasts'!$J$2535,MATCH(R178&amp;$B178,Podcasts!$E$10:'Podcasts'!$E$2535&amp;Podcasts!$D$10:'Podcasts'!$D$2535,0)))</f>
        <v/>
      </c>
      <c r="R178" s="133" t="str">
        <f t="array" ref="R178">IF(COUNTIF(Podcasts!$D$10:'Podcasts'!$D$2535,$B178)&lt;COLUMN(E141),"",SMALL(IF(Podcasts!$D$10:'Podcasts'!$D$2535=$B178,Podcasts!$E$10:'Podcasts'!$E$2535),COLUMN(E141)))</f>
        <v/>
      </c>
      <c r="S178" s="132" t="str">
        <f t="array" ref="S178">IF(R178="","",INDEX(Podcasts!$F$10:'Podcasts'!$F$2535,MATCH(R178&amp;$B178,Podcasts!$E$10:'Podcasts'!$E$2535&amp;Podcasts!$D$10:'Podcasts'!$D$2535,0)))</f>
        <v/>
      </c>
      <c r="T178" s="136" t="str">
        <f t="array" ref="T178">IF(U178="","",INDEX(Podcasts!$J$10:'Podcasts'!$J$2535,MATCH(U178&amp;$B178,Podcasts!$E$10:'Podcasts'!$E$2535&amp;Podcasts!$D$10:'Podcasts'!$D$2535,0)))</f>
        <v/>
      </c>
      <c r="U178" s="133" t="str">
        <f t="array" ref="U178">IF(COUNTIF(Podcasts!$D$10:'Podcasts'!$D$2535,$B178)&lt;COLUMN(F141),"",SMALL(IF(Podcasts!$D$10:'Podcasts'!$D$2535=$B178,Podcasts!$E$10:'Podcasts'!$E$2535),COLUMN(F141)))</f>
        <v/>
      </c>
      <c r="V178" s="132" t="str">
        <f t="array" ref="V178">IF(U178="","",INDEX(Podcasts!$F$10:'Podcasts'!$F$2535,MATCH(U178&amp;$B178,Podcasts!$E$10:'Podcasts'!$E$2535&amp;Podcasts!$D$10:'Podcasts'!$D$2535,0)))</f>
        <v/>
      </c>
      <c r="W178" s="136" t="str">
        <f t="array" ref="W178">IF(X178="","",INDEX(Podcasts!$J$10:'Podcasts'!$J$2535,MATCH(X178&amp;$B178,Podcasts!$E$10:'Podcasts'!$E$2535&amp;Podcasts!$D$10:'Podcasts'!$D$2535,0)))</f>
        <v/>
      </c>
      <c r="X178" s="133" t="str">
        <f t="array" ref="X178">IF(COUNTIF(Podcasts!$D$10:'Podcasts'!$D$2535,$B178)&lt;COLUMN(G141),"",SMALL(IF(Podcasts!$D$10:'Podcasts'!$D$2535=$B178,Podcasts!$E$10:'Podcasts'!$E$2535),COLUMN(G141)))</f>
        <v/>
      </c>
      <c r="Y178" s="132" t="str">
        <f t="array" ref="Y178">IF(X178="","",INDEX(Podcasts!$F$10:'Podcasts'!$F$2535,MATCH(X178&amp;$B178,Podcasts!$E$10:'Podcasts'!$E$2535&amp;Podcasts!$D$10:'Podcasts'!$D$2535,0)))</f>
        <v/>
      </c>
      <c r="Z178" s="136" t="str">
        <f t="array" ref="Z178">IF(AA178="","",INDEX(Podcasts!$J$10:'Podcasts'!$J$2535,MATCH(AA178&amp;$B178,Podcasts!$E$10:'Podcasts'!$E$2535&amp;Podcasts!$D$10:'Podcasts'!$D$2535,0)))</f>
        <v/>
      </c>
      <c r="AA178" s="134" t="str">
        <f t="array" ref="AA178">IF(COUNTIF(Podcasts!$D$10:'Podcasts'!$D$2535,$B178)&lt;COLUMN(H141),"",SMALL(IF(Podcasts!$D$10:'Podcasts'!$D$2535=$B178,Podcasts!$E$10:'Podcasts'!$E$2535),COLUMN(H141)))</f>
        <v/>
      </c>
      <c r="AB178" s="404" t="str">
        <f t="array" ref="AB178">IF(AA178="","",INDEX(Podcasts!$F$10:'Podcasts'!$F$2535,MATCH(AA178&amp;$B178,Podcasts!$E$10:'Podcasts'!$E$2535&amp;Podcasts!$D$10:'Podcasts'!$D$2535,0)))</f>
        <v/>
      </c>
      <c r="AC178" s="406" t="str">
        <f t="array" ref="AC178">IF(AD178="","",INDEX(Podcasts!$J$10:'Podcasts'!$J$2535,MATCH(AD178&amp;$B178,Podcasts!$E$10:'Podcasts'!$E$2535&amp;Podcasts!$D$10:'Podcasts'!$D$2535,0)))</f>
        <v/>
      </c>
      <c r="AD178" s="400" t="str">
        <f t="array" ref="AD178">IF(COUNTIF(Podcasts!$D$10:'Podcasts'!$D$2535,$B178)&lt;COLUMN(I141),"",SMALL(IF(Podcasts!$D$10:'Podcasts'!$D$2535=$B178,Podcasts!$E$10:'Podcasts'!$E$2535),COLUMN(I141)))</f>
        <v/>
      </c>
      <c r="AE178" s="401" t="str">
        <f t="array" ref="AE178">IF(AD178="","",INDEX(Podcasts!$F$10:'Podcasts'!$F$2535,MATCH(AD178&amp;$B178,Podcasts!$E$10:'Podcasts'!$E$2535&amp;Podcasts!$D$10:'Podcasts'!$D$2535,0)))</f>
        <v/>
      </c>
      <c r="AF178" s="406" t="str">
        <f t="array" ref="AF178">IF(AG178="","",INDEX(Podcasts!$J$10:'Podcasts'!$J$2535,MATCH(AG178&amp;$B178,Podcasts!$E$10:'Podcasts'!$E$2535&amp;Podcasts!$D$10:'Podcasts'!$D$2535,0)))</f>
        <v/>
      </c>
      <c r="AG178" s="400" t="str">
        <f t="array" ref="AG178">IF(COUNTIF(Podcasts!$D$10:'Podcasts'!$D$2535,$B178)&lt;COLUMN(J141),"",SMALL(IF(Podcasts!$D$10:'Podcasts'!$D$2535=$B178,Podcasts!$E$10:'Podcasts'!$E$2535),COLUMN(J141)))</f>
        <v/>
      </c>
      <c r="AH178" s="401" t="str">
        <f t="array" ref="AH178">IF(AG178="","",INDEX(Podcasts!$F$10:'Podcasts'!$F$2535,MATCH(AG178&amp;$B178,Podcasts!$E$10:'Podcasts'!$E$2535&amp;Podcasts!$D$10:'Podcasts'!$D$2535,0)))</f>
        <v/>
      </c>
      <c r="AI178" s="406" t="str">
        <f t="array" ref="AI178">IF(AJ178="","",INDEX(Podcasts!$J$10:'Podcasts'!$J$2535,MATCH(AJ178&amp;$B178,Podcasts!$E$10:'Podcasts'!$E$2535&amp;Podcasts!$D$10:'Podcasts'!$D$2535,0)))</f>
        <v/>
      </c>
      <c r="AJ178" s="400" t="str">
        <f t="array" ref="AJ178">IF(COUNTIF(Podcasts!$D$10:'Podcasts'!$D$2535,$B178)&lt;COLUMN(K141),"",SMALL(IF(Podcasts!$D$10:'Podcasts'!$D$2535=$B178,Podcasts!$E$10:'Podcasts'!$E$2535),COLUMN(K141)))</f>
        <v/>
      </c>
      <c r="AK178" s="401" t="str">
        <f t="array" ref="AK178">IF(AJ178="","",INDEX(Podcasts!$F$10:'Podcasts'!$F$2535,MATCH(AJ178&amp;$B178,Podcasts!$E$10:'Podcasts'!$E$2535&amp;Podcasts!$D$10:'Podcasts'!$D$2535,0)))</f>
        <v/>
      </c>
      <c r="AL178" s="406" t="str">
        <f t="array" ref="AL178">IF(AM178="","",INDEX(Podcasts!$J$10:'Podcasts'!$J$2535,MATCH(AM178&amp;$B178,Podcasts!$E$10:'Podcasts'!$E$2535&amp;Podcasts!$D$10:'Podcasts'!$D$2535,0)))</f>
        <v/>
      </c>
      <c r="AM178" s="400" t="str">
        <f t="array" ref="AM178">IF(COUNTIF(Podcasts!$D$10:'Podcasts'!$D$2535,$B178)&lt;COLUMN(L141),"",SMALL(IF(Podcasts!$D$10:'Podcasts'!$D$2535=$B178,Podcasts!$E$10:'Podcasts'!$E$2535),COLUMN(L141)))</f>
        <v/>
      </c>
      <c r="AN178" s="401" t="str">
        <f t="array" ref="AN178">IF(AM178="","",INDEX(Podcasts!$F$10:'Podcasts'!$F$2535,MATCH(AM178&amp;$B178,Podcasts!$E$10:'Podcasts'!$E$2535&amp;Podcasts!$D$10:'Podcasts'!$D$2535,0)))</f>
        <v/>
      </c>
      <c r="AO178" s="402"/>
      <c r="AP178" s="119"/>
      <c r="AQ178" s="117">
        <f t="array" aca="1" ref="AQ178" ca="1">IFERROR(SMALL(IF(COUNTIF(Podcasts!$D$10:'Podcasts'!$D$107,ROW(INDIRECT("1:"&amp;K$2)))=0,ROW(INDIRECT("1:"&amp;K$2))),ROW($A135)),"")</f>
        <v>175</v>
      </c>
      <c r="AR178" s="117">
        <f t="array" aca="1" ref="AR178" ca="1">IFERROR(SMALL(IF(COUNTIF(Podcasts!$D$113:'Podcasts'!$D$238,ROW(INDIRECT("1:"&amp;K$2)))=0,ROW(INDIRECT("1:"&amp;K$2))),ROW($A135)),"")</f>
        <v>135</v>
      </c>
      <c r="AS178" s="117">
        <f t="array" aca="1" ref="AS178" ca="1">IFERROR(SMALL(IF(COUNTIF(Podcasts!$D$244:'Podcasts'!$D$299,ROW(INDIRECT("1:"&amp;K$2)))=0,ROW(INDIRECT("1:"&amp;K$2))),ROW($A135)),"")</f>
        <v>165</v>
      </c>
      <c r="AT178" s="117"/>
      <c r="AU178" s="117">
        <f t="array" aca="1" ref="AU178" ca="1">IFERROR(SMALL(IF(COUNTIF(Podcasts!$D$479:'Podcasts'!$D$488,ROW(INDIRECT("1:"&amp;K$2)))=0,ROW(INDIRECT("1:"&amp;K$2))),ROW($A135)),"")</f>
        <v>138</v>
      </c>
      <c r="AV178" s="117">
        <f t="array" aca="1" ref="AV178" ca="1">IFERROR(SMALL(IF(COUNTIF(Podcasts!$D$494:'Podcasts'!$D$518,ROW(INDIRECT("1:"&amp;K$2)))=0,ROW(INDIRECT("1:"&amp;K$2))),ROW($A135)),"")</f>
        <v>157</v>
      </c>
      <c r="AW178" s="117">
        <f t="array" aca="1" ref="AW178" ca="1">IFERROR(SMALL(IF(COUNTIF(Podcasts!$D$524:'Podcasts'!$D$532,ROW(INDIRECT("1:"&amp;K$2)))=0,ROW(INDIRECT("1:"&amp;K$2))),ROW($A135)),"")</f>
        <v>136</v>
      </c>
      <c r="AX178" s="117"/>
      <c r="AY178" s="117">
        <f t="array" aca="1" ref="AY178" ca="1">IFERROR(SMALL(IF(COUNTIF(Podcasts!$D$915:'Podcasts'!$D$981,ROW(INDIRECT("1:"&amp;K$2)))=0,ROW(INDIRECT("1:"&amp;K$2))),ROW($A135)),"")</f>
        <v>190</v>
      </c>
      <c r="AZ178" s="445"/>
      <c r="BA178" s="117">
        <f t="array" aca="1" ref="BA178" ca="1">IFERROR(SMALL(IF(COUNTIF(Podcasts!$D$1001:'Podcasts'!$D$1251,ROW(INDIRECT("1:"&amp;K$2)))=0,ROW(INDIRECT("1:"&amp;K$2))),ROW($A135)),"")</f>
        <v>186</v>
      </c>
      <c r="BB178" s="117">
        <f t="array" aca="1" ref="BB178" ca="1">IFERROR(SMALL(IF(COUNTIF(Podcasts!$D$1257:'Podcasts'!$D$1267,ROW(INDIRECT("1:"&amp;K$2)))=0,ROW(INDIRECT("1:"&amp;K$2))),ROW($A135)),"")</f>
        <v>140</v>
      </c>
      <c r="BC178" s="117">
        <f t="array" aca="1" ref="BC178" ca="1">IFERROR(SMALL(IF(COUNTIF(Podcasts!$D$1273:'Podcasts'!$D$1283,ROW(INDIRECT("1:"&amp;K$2)))=0,ROW(INDIRECT("1:"&amp;K$2))),ROW($A135)),"")</f>
        <v>139</v>
      </c>
      <c r="BD178" s="117">
        <f t="array" aca="1" ref="BD178" ca="1">IFERROR(SMALL(IF(COUNTIF(Podcasts!$D$1289:'Podcasts'!$D$1295,ROW(INDIRECT("1:"&amp;K$2)))=0,ROW(INDIRECT("1:"&amp;K$2))),ROW($A135)),"")</f>
        <v>140</v>
      </c>
      <c r="BE178" s="117">
        <f t="array" aca="1" ref="BE178" ca="1">IFERROR(SMALL(IF(COUNTIF(Podcasts!$D$1301:'Podcasts'!$D$1356,ROW(INDIRECT("1:"&amp;K$2)))=0,ROW(INDIRECT("1:"&amp;K$2))),ROW($A135)),"")</f>
        <v>182</v>
      </c>
      <c r="BF178" s="117">
        <f t="array" aca="1" ref="BF178" ca="1">IFERROR(SMALL(IF(COUNTIF(Podcasts!$D$1362:'Podcasts'!$D$1364,ROW(INDIRECT("1:"&amp;K$2)))=0,ROW(INDIRECT("1:"&amp;K$2))),ROW($A135)),"")</f>
        <v>138</v>
      </c>
      <c r="BG178" s="202">
        <f t="array" aca="1" ref="BG178" ca="1">IFERROR(SMALL(IF(COUNTIF(Podcasts!$D$1370:'Podcasts'!$D$1419,ROW(INDIRECT("1:"&amp;K$2)))=0,ROW(INDIRECT("1:"&amp;K$2))),ROW($A135)),"")</f>
        <v>168</v>
      </c>
      <c r="BH178" s="202">
        <f t="array" aca="1" ref="BH178" ca="1">IFERROR(SMALL(IF(COUNTIF(Podcasts!$D$1425:'Podcasts'!$D$1446,ROW(INDIRECT("1:"&amp;K$2)))=0,ROW(INDIRECT("1:"&amp;K$2))),ROW($A135)),"")</f>
        <v>145</v>
      </c>
      <c r="BI178" s="202">
        <f t="array" aca="1" ref="BI178" ca="1">IFERROR(SMALL(IF(COUNTIF(Podcasts!$D$1452:'Podcasts'!$D$1574,ROW(INDIRECT("1:"&amp;K$2)))=0,ROW(INDIRECT("1:"&amp;K$2))),ROW($A135)),"")</f>
        <v>214</v>
      </c>
      <c r="BJ178" s="202">
        <f t="array" aca="1" ref="BJ178" ca="1">IFERROR(SMALL(IF(COUNTIF(Podcasts!$D$1580:'Podcasts'!$D$1705,ROW(INDIRECT("1:"&amp;K$2)))=0,ROW(INDIRECT("1:"&amp;K$2))),ROW($A135)),"")</f>
        <v>219</v>
      </c>
      <c r="BK178" s="202">
        <f t="array" aca="1" ref="BK178" ca="1">IFERROR(SMALL(IF(COUNTIF(Podcasts!$D$1711:'Podcasts'!$D$1833,ROW(INDIRECT("1:"&amp;K$2)))=0,ROW(INDIRECT("1:"&amp;K$2))),ROW($A135)),"")</f>
        <v>208</v>
      </c>
      <c r="BL178" s="202">
        <f t="array" aca="1" ref="BL178" ca="1">IFERROR(SMALL(IF(COUNTIF(Podcasts!$D$1839:'Podcasts'!$D$1855,ROW(INDIRECT("1:"&amp;K$2)))=0,ROW(INDIRECT("1:"&amp;K$2))),ROW($A135)),"")</f>
        <v>144</v>
      </c>
      <c r="BM178" s="567">
        <f t="array" aca="1" ref="BM178" ca="1">IFERROR(SMALL(IF(COUNTIF(Podcasts!$D$1861:'Podcasts'!$D$1994,ROW(INDIRECT("1:"&amp;K$2)))=0,ROW(INDIRECT("1:"&amp;K$2))),ROW($A135)),"")</f>
        <v>182</v>
      </c>
      <c r="BN178" s="567">
        <f t="array" aca="1" ref="BN178" ca="1">IFERROR(SMALL(IF(COUNTIF(Podcasts!$D$2000:'Podcasts'!$D$2057,ROW(INDIRECT("1:"&amp;K$2)))=0,ROW(INDIRECT("1:"&amp;K$2))),ROW($A135)),"")</f>
        <v>190</v>
      </c>
      <c r="BO178" s="567">
        <f t="array" aca="1" ref="BO178" ca="1">IFERROR(SMALL(IF(COUNTIF(Podcasts!$D$2063:'Podcasts'!$D$2071,ROW(INDIRECT("1:"&amp;K$2)))=0,ROW(INDIRECT("1:"&amp;K$2))),ROW($A135)),"")</f>
        <v>142</v>
      </c>
      <c r="BP178" s="202">
        <f t="array" aca="1" ref="BP178" ca="1">IFERROR(SMALL(IF(COUNTIF(Podcasts!$D$2077:'Podcasts'!$D$2092,ROW(INDIRECT("1:"&amp;K$2)))=0,ROW(INDIRECT("1:"&amp;K$2))),ROW($A135)),"")</f>
        <v>146</v>
      </c>
      <c r="BQ178" s="741">
        <f t="array" aca="1" ref="BQ178" ca="1">IFERROR(SMALL(IF(COUNTIF(Podcasts!$D$2098:'Podcasts'!$D$2114,ROW(INDIRECT("1:"&amp;K$2)))=0,ROW(INDIRECT("1:"&amp;K$2))),ROW($A135)),"")</f>
        <v>148</v>
      </c>
      <c r="BR178" s="744">
        <f t="array" aca="1" ref="BR178" ca="1">IFERROR(SMALL(IF(COUNTIF(Podcasts!$D$2120:'Podcasts'!$D$2124,ROW(INDIRECT("1:"&amp;K$2)))=0,ROW(INDIRECT("1:"&amp;K$2))),ROW($A135)),"")</f>
        <v>137</v>
      </c>
      <c r="BS178" s="28"/>
    </row>
    <row r="179" spans="1:71" outlineLevel="1">
      <c r="A179" s="28"/>
      <c r="B179" s="161">
        <v>136</v>
      </c>
      <c r="C179" s="161">
        <f>COUNTIF(Podcasts!$D$10:'Podcasts'!$D$2535,B179)</f>
        <v>7</v>
      </c>
      <c r="D179" s="158" t="s">
        <v>1162</v>
      </c>
      <c r="E179" s="156" t="str">
        <f t="array" ref="E179">IF(F179="","",INDEX(Podcasts!$J$10:'Podcasts'!$J$2535,MATCH(F179&amp;$B179,Podcasts!$E$10:'Podcasts'!$E$2535&amp;Podcasts!$D$10:'Podcasts'!$D$2535,0)))</f>
        <v>Fürst</v>
      </c>
      <c r="F179" s="131">
        <f t="array" ref="F179">IF(COUNTIF(Podcasts!$D$10:'Podcasts'!$D$2535,$B179)&lt;COLUMN(A142),"",SMALL(IF(Podcasts!$D$10:'Podcasts'!$D$2535=$B179,Podcasts!$E$10:'Podcasts'!$E$2535),COLUMN(A142)))</f>
        <v>41959</v>
      </c>
      <c r="G179" s="132">
        <f t="array" ref="G179">IF(F179="","",INDEX(Podcasts!$F$10:'Podcasts'!$F$2535,MATCH(F179&amp;$B179,Podcasts!$E$10:'Podcasts'!$E$2535&amp;Podcasts!$D$10:'Podcasts'!$D$2535,0)))</f>
        <v>6.076388888888889E-3</v>
      </c>
      <c r="H179" s="136" t="str">
        <f t="array" ref="H179">IF(I179="","",INDEX(Podcasts!$J$10:'Podcasts'!$J$2535,MATCH(I179&amp;$B179,Podcasts!$E$10:'Podcasts'!$E$2535&amp;Podcasts!$D$10:'Podcasts'!$D$2535,0)))</f>
        <v>SSP</v>
      </c>
      <c r="I179" s="133">
        <f t="array" ref="I179">IF(COUNTIF(Podcasts!$D$10:'Podcasts'!$D$2535,$B179)&lt;COLUMN(B142),"",SMALL(IF(Podcasts!$D$10:'Podcasts'!$D$2535=$B179,Podcasts!$E$10:'Podcasts'!$E$2535),COLUMN(B142)))</f>
        <v>43574</v>
      </c>
      <c r="J179" s="132">
        <f t="array" ref="J179">IF(I179="","",INDEX(Podcasts!$F$10:'Podcasts'!$F$2535,MATCH(I179&amp;$B179,Podcasts!$E$10:'Podcasts'!$E$2535&amp;Podcasts!$D$10:'Podcasts'!$D$2535,0)))</f>
        <v>7.4490740740740746E-2</v>
      </c>
      <c r="K179" s="136" t="str">
        <f t="array" ref="K179">IF(L179="","",INDEX(Podcasts!$J$10:'Podcasts'!$J$2535,MATCH(L179&amp;$B179,Podcasts!$E$10:'Podcasts'!$E$2535&amp;Podcasts!$D$10:'Podcasts'!$D$2535,0)))</f>
        <v>Zentrale</v>
      </c>
      <c r="L179" s="133">
        <f t="array" ref="L179">IF(COUNTIF(Podcasts!$D$10:'Podcasts'!$D$2535,$B179)&lt;COLUMN(C142),"",SMALL(IF(Podcasts!$D$10:'Podcasts'!$D$2535=$B179,Podcasts!$E$10:'Podcasts'!$E$2535),COLUMN(C142)))</f>
        <v>43747</v>
      </c>
      <c r="M179" s="132">
        <f t="array" ref="M179">IF(L179="","",INDEX(Podcasts!$F$10:'Podcasts'!$F$2535,MATCH(L179&amp;$B179,Podcasts!$E$10:'Podcasts'!$E$2535&amp;Podcasts!$D$10:'Podcasts'!$D$2535,0)))</f>
        <v>0.11388888888888889</v>
      </c>
      <c r="N179" s="136" t="str">
        <f t="array" ref="N179">IF(O179="","",INDEX(Podcasts!$J$10:'Podcasts'!$J$2535,MATCH(O179&amp;$B179,Podcasts!$E$10:'Podcasts'!$E$2535&amp;Podcasts!$D$10:'Podcasts'!$D$2535,0)))</f>
        <v>Verstärker</v>
      </c>
      <c r="O179" s="133">
        <f t="array" ref="O179">IF(COUNTIF(Podcasts!$D$10:'Podcasts'!$D$2535,$B179)&lt;COLUMN(D142),"",SMALL(IF(Podcasts!$D$10:'Podcasts'!$D$2535=$B179,Podcasts!$E$10:'Podcasts'!$E$2535),COLUMN(D142)))</f>
        <v>44319</v>
      </c>
      <c r="P179" s="132">
        <f t="array" ref="P179">IF(O179="","",INDEX(Podcasts!$F$10:'Podcasts'!$F$2535,MATCH(O179&amp;$B179,Podcasts!$E$10:'Podcasts'!$E$2535&amp;Podcasts!$D$10:'Podcasts'!$D$2535,0)))</f>
        <v>2.1770833333333336E-2</v>
      </c>
      <c r="Q179" s="136" t="str">
        <f t="array" ref="Q179">IF(R179="","",INDEX(Podcasts!$J$10:'Podcasts'!$J$2535,MATCH(R179&amp;$B179,Podcasts!$E$10:'Podcasts'!$E$2535&amp;Podcasts!$D$10:'Podcasts'!$D$2535,0)))</f>
        <v>Kuchen</v>
      </c>
      <c r="R179" s="133">
        <f t="array" ref="R179">IF(COUNTIF(Podcasts!$D$10:'Podcasts'!$D$2535,$B179)&lt;COLUMN(E142),"",SMALL(IF(Podcasts!$D$10:'Podcasts'!$D$2535=$B179,Podcasts!$E$10:'Podcasts'!$E$2535),COLUMN(E142)))</f>
        <v>44451</v>
      </c>
      <c r="S179" s="132">
        <f t="array" ref="S179">IF(R179="","",INDEX(Podcasts!$F$10:'Podcasts'!$F$2535,MATCH(R179&amp;$B179,Podcasts!$E$10:'Podcasts'!$E$2535&amp;Podcasts!$D$10:'Podcasts'!$D$2535,0)))</f>
        <v>7.075231481481481E-2</v>
      </c>
      <c r="T179" s="136" t="str">
        <f t="array" ref="T179">IF(U179="","",INDEX(Podcasts!$J$10:'Podcasts'!$J$2535,MATCH(U179&amp;$B179,Podcasts!$E$10:'Podcasts'!$E$2535&amp;Podcasts!$D$10:'Podcasts'!$D$2535,0)))</f>
        <v>R&amp;A</v>
      </c>
      <c r="U179" s="133">
        <f t="array" ref="U179">IF(COUNTIF(Podcasts!$D$10:'Podcasts'!$D$2535,$B179)&lt;COLUMN(F142),"",SMALL(IF(Podcasts!$D$10:'Podcasts'!$D$2535=$B179,Podcasts!$E$10:'Podcasts'!$E$2535),COLUMN(F142)))</f>
        <v>44681.25</v>
      </c>
      <c r="V179" s="132">
        <f t="array" ref="V179">IF(U179="","",INDEX(Podcasts!$F$10:'Podcasts'!$F$2535,MATCH(U179&amp;$B179,Podcasts!$E$10:'Podcasts'!$E$2535&amp;Podcasts!$D$10:'Podcasts'!$D$2535,0)))</f>
        <v>9.3738425925925919E-2</v>
      </c>
      <c r="W179" s="136" t="str">
        <f t="array" ref="W179">IF(X179="","",INDEX(Podcasts!$J$10:'Podcasts'!$J$2535,MATCH(X179&amp;$B179,Podcasts!$E$10:'Podcasts'!$E$2535&amp;Podcasts!$D$10:'Podcasts'!$D$2535,0)))</f>
        <v>Kaffee</v>
      </c>
      <c r="X179" s="133">
        <f t="array" ref="X179">IF(COUNTIF(Podcasts!$D$10:'Podcasts'!$D$2535,$B179)&lt;COLUMN(G142),"",SMALL(IF(Podcasts!$D$10:'Podcasts'!$D$2535=$B179,Podcasts!$E$10:'Podcasts'!$E$2535),COLUMN(G142)))</f>
        <v>45323</v>
      </c>
      <c r="Y179" s="132">
        <f t="array" ref="Y179">IF(X179="","",INDEX(Podcasts!$F$10:'Podcasts'!$F$2535,MATCH(X179&amp;$B179,Podcasts!$E$10:'Podcasts'!$E$2535&amp;Podcasts!$D$10:'Podcasts'!$D$2535,0)))</f>
        <v>3.7731481481481484E-2</v>
      </c>
      <c r="Z179" s="136" t="str">
        <f t="array" ref="Z179">IF(AA179="","",INDEX(Podcasts!$J$10:'Podcasts'!$J$2535,MATCH(AA179&amp;$B179,Podcasts!$E$10:'Podcasts'!$E$2535&amp;Podcasts!$D$10:'Podcasts'!$D$2535,0)))</f>
        <v/>
      </c>
      <c r="AA179" s="134" t="str">
        <f t="array" ref="AA179">IF(COUNTIF(Podcasts!$D$10:'Podcasts'!$D$2535,$B179)&lt;COLUMN(H142),"",SMALL(IF(Podcasts!$D$10:'Podcasts'!$D$2535=$B179,Podcasts!$E$10:'Podcasts'!$E$2535),COLUMN(H142)))</f>
        <v/>
      </c>
      <c r="AB179" s="404" t="str">
        <f t="array" ref="AB179">IF(AA179="","",INDEX(Podcasts!$F$10:'Podcasts'!$F$2535,MATCH(AA179&amp;$B179,Podcasts!$E$10:'Podcasts'!$E$2535&amp;Podcasts!$D$10:'Podcasts'!$D$2535,0)))</f>
        <v/>
      </c>
      <c r="AC179" s="406" t="str">
        <f t="array" ref="AC179">IF(AD179="","",INDEX(Podcasts!$J$10:'Podcasts'!$J$2535,MATCH(AD179&amp;$B179,Podcasts!$E$10:'Podcasts'!$E$2535&amp;Podcasts!$D$10:'Podcasts'!$D$2535,0)))</f>
        <v/>
      </c>
      <c r="AD179" s="400" t="str">
        <f t="array" ref="AD179">IF(COUNTIF(Podcasts!$D$10:'Podcasts'!$D$2535,$B179)&lt;COLUMN(I142),"",SMALL(IF(Podcasts!$D$10:'Podcasts'!$D$2535=$B179,Podcasts!$E$10:'Podcasts'!$E$2535),COLUMN(I142)))</f>
        <v/>
      </c>
      <c r="AE179" s="401" t="str">
        <f t="array" ref="AE179">IF(AD179="","",INDEX(Podcasts!$F$10:'Podcasts'!$F$2535,MATCH(AD179&amp;$B179,Podcasts!$E$10:'Podcasts'!$E$2535&amp;Podcasts!$D$10:'Podcasts'!$D$2535,0)))</f>
        <v/>
      </c>
      <c r="AF179" s="406" t="str">
        <f t="array" ref="AF179">IF(AG179="","",INDEX(Podcasts!$J$10:'Podcasts'!$J$2535,MATCH(AG179&amp;$B179,Podcasts!$E$10:'Podcasts'!$E$2535&amp;Podcasts!$D$10:'Podcasts'!$D$2535,0)))</f>
        <v/>
      </c>
      <c r="AG179" s="400" t="str">
        <f t="array" ref="AG179">IF(COUNTIF(Podcasts!$D$10:'Podcasts'!$D$2535,$B179)&lt;COLUMN(J142),"",SMALL(IF(Podcasts!$D$10:'Podcasts'!$D$2535=$B179,Podcasts!$E$10:'Podcasts'!$E$2535),COLUMN(J142)))</f>
        <v/>
      </c>
      <c r="AH179" s="401" t="str">
        <f t="array" ref="AH179">IF(AG179="","",INDEX(Podcasts!$F$10:'Podcasts'!$F$2535,MATCH(AG179&amp;$B179,Podcasts!$E$10:'Podcasts'!$E$2535&amp;Podcasts!$D$10:'Podcasts'!$D$2535,0)))</f>
        <v/>
      </c>
      <c r="AI179" s="406" t="str">
        <f t="array" ref="AI179">IF(AJ179="","",INDEX(Podcasts!$J$10:'Podcasts'!$J$2535,MATCH(AJ179&amp;$B179,Podcasts!$E$10:'Podcasts'!$E$2535&amp;Podcasts!$D$10:'Podcasts'!$D$2535,0)))</f>
        <v/>
      </c>
      <c r="AJ179" s="400" t="str">
        <f t="array" ref="AJ179">IF(COUNTIF(Podcasts!$D$10:'Podcasts'!$D$2535,$B179)&lt;COLUMN(K142),"",SMALL(IF(Podcasts!$D$10:'Podcasts'!$D$2535=$B179,Podcasts!$E$10:'Podcasts'!$E$2535),COLUMN(K142)))</f>
        <v/>
      </c>
      <c r="AK179" s="401" t="str">
        <f t="array" ref="AK179">IF(AJ179="","",INDEX(Podcasts!$F$10:'Podcasts'!$F$2535,MATCH(AJ179&amp;$B179,Podcasts!$E$10:'Podcasts'!$E$2535&amp;Podcasts!$D$10:'Podcasts'!$D$2535,0)))</f>
        <v/>
      </c>
      <c r="AL179" s="406" t="str">
        <f t="array" ref="AL179">IF(AM179="","",INDEX(Podcasts!$J$10:'Podcasts'!$J$2535,MATCH(AM179&amp;$B179,Podcasts!$E$10:'Podcasts'!$E$2535&amp;Podcasts!$D$10:'Podcasts'!$D$2535,0)))</f>
        <v/>
      </c>
      <c r="AM179" s="400" t="str">
        <f t="array" ref="AM179">IF(COUNTIF(Podcasts!$D$10:'Podcasts'!$D$2535,$B179)&lt;COLUMN(L142),"",SMALL(IF(Podcasts!$D$10:'Podcasts'!$D$2535=$B179,Podcasts!$E$10:'Podcasts'!$E$2535),COLUMN(L142)))</f>
        <v/>
      </c>
      <c r="AN179" s="401" t="str">
        <f t="array" ref="AN179">IF(AM179="","",INDEX(Podcasts!$F$10:'Podcasts'!$F$2535,MATCH(AM179&amp;$B179,Podcasts!$E$10:'Podcasts'!$E$2535&amp;Podcasts!$D$10:'Podcasts'!$D$2535,0)))</f>
        <v/>
      </c>
      <c r="AO179" s="402"/>
      <c r="AP179" s="119"/>
      <c r="AQ179" s="117">
        <f t="array" aca="1" ref="AQ179" ca="1">IFERROR(SMALL(IF(COUNTIF(Podcasts!$D$10:'Podcasts'!$D$107,ROW(INDIRECT("1:"&amp;K$2)))=0,ROW(INDIRECT("1:"&amp;K$2))),ROW($A136)),"")</f>
        <v>177</v>
      </c>
      <c r="AR179" s="117">
        <f t="array" aca="1" ref="AR179" ca="1">IFERROR(SMALL(IF(COUNTIF(Podcasts!$D$113:'Podcasts'!$D$238,ROW(INDIRECT("1:"&amp;K$2)))=0,ROW(INDIRECT("1:"&amp;K$2))),ROW($A136)),"")</f>
        <v>136</v>
      </c>
      <c r="AS179" s="117">
        <f t="array" aca="1" ref="AS179" ca="1">IFERROR(SMALL(IF(COUNTIF(Podcasts!$D$244:'Podcasts'!$D$299,ROW(INDIRECT("1:"&amp;K$2)))=0,ROW(INDIRECT("1:"&amp;K$2))),ROW($A136)),"")</f>
        <v>167</v>
      </c>
      <c r="AT179" s="117"/>
      <c r="AU179" s="117">
        <f t="array" aca="1" ref="AU179" ca="1">IFERROR(SMALL(IF(COUNTIF(Podcasts!$D$479:'Podcasts'!$D$488,ROW(INDIRECT("1:"&amp;K$2)))=0,ROW(INDIRECT("1:"&amp;K$2))),ROW($A136)),"")</f>
        <v>139</v>
      </c>
      <c r="AV179" s="117">
        <f t="array" aca="1" ref="AV179" ca="1">IFERROR(SMALL(IF(COUNTIF(Podcasts!$D$494:'Podcasts'!$D$518,ROW(INDIRECT("1:"&amp;K$2)))=0,ROW(INDIRECT("1:"&amp;K$2))),ROW($A136)),"")</f>
        <v>158</v>
      </c>
      <c r="AW179" s="117">
        <f t="array" aca="1" ref="AW179" ca="1">IFERROR(SMALL(IF(COUNTIF(Podcasts!$D$524:'Podcasts'!$D$532,ROW(INDIRECT("1:"&amp;K$2)))=0,ROW(INDIRECT("1:"&amp;K$2))),ROW($A136)),"")</f>
        <v>137</v>
      </c>
      <c r="AX179" s="117"/>
      <c r="AY179" s="117">
        <f t="array" aca="1" ref="AY179" ca="1">IFERROR(SMALL(IF(COUNTIF(Podcasts!$D$915:'Podcasts'!$D$981,ROW(INDIRECT("1:"&amp;K$2)))=0,ROW(INDIRECT("1:"&amp;K$2))),ROW($A136)),"")</f>
        <v>191</v>
      </c>
      <c r="AZ179" s="445"/>
      <c r="BA179" s="117">
        <f t="array" aca="1" ref="BA179" ca="1">IFERROR(SMALL(IF(COUNTIF(Podcasts!$D$1001:'Podcasts'!$D$1251,ROW(INDIRECT("1:"&amp;K$2)))=0,ROW(INDIRECT("1:"&amp;K$2))),ROW($A136)),"")</f>
        <v>187</v>
      </c>
      <c r="BB179" s="117">
        <f t="array" aca="1" ref="BB179" ca="1">IFERROR(SMALL(IF(COUNTIF(Podcasts!$D$1257:'Podcasts'!$D$1267,ROW(INDIRECT("1:"&amp;K$2)))=0,ROW(INDIRECT("1:"&amp;K$2))),ROW($A136)),"")</f>
        <v>141</v>
      </c>
      <c r="BC179" s="117">
        <f t="array" aca="1" ref="BC179" ca="1">IFERROR(SMALL(IF(COUNTIF(Podcasts!$D$1273:'Podcasts'!$D$1283,ROW(INDIRECT("1:"&amp;K$2)))=0,ROW(INDIRECT("1:"&amp;K$2))),ROW($A136)),"")</f>
        <v>140</v>
      </c>
      <c r="BD179" s="117">
        <f t="array" aca="1" ref="BD179" ca="1">IFERROR(SMALL(IF(COUNTIF(Podcasts!$D$1289:'Podcasts'!$D$1295,ROW(INDIRECT("1:"&amp;K$2)))=0,ROW(INDIRECT("1:"&amp;K$2))),ROW($A136)),"")</f>
        <v>141</v>
      </c>
      <c r="BE179" s="117">
        <f t="array" aca="1" ref="BE179" ca="1">IFERROR(SMALL(IF(COUNTIF(Podcasts!$D$1301:'Podcasts'!$D$1356,ROW(INDIRECT("1:"&amp;K$2)))=0,ROW(INDIRECT("1:"&amp;K$2))),ROW($A136)),"")</f>
        <v>183</v>
      </c>
      <c r="BF179" s="117">
        <f t="array" aca="1" ref="BF179" ca="1">IFERROR(SMALL(IF(COUNTIF(Podcasts!$D$1362:'Podcasts'!$D$1364,ROW(INDIRECT("1:"&amp;K$2)))=0,ROW(INDIRECT("1:"&amp;K$2))),ROW($A136)),"")</f>
        <v>139</v>
      </c>
      <c r="BG179" s="202">
        <f t="array" aca="1" ref="BG179" ca="1">IFERROR(SMALL(IF(COUNTIF(Podcasts!$D$1370:'Podcasts'!$D$1419,ROW(INDIRECT("1:"&amp;K$2)))=0,ROW(INDIRECT("1:"&amp;K$2))),ROW($A136)),"")</f>
        <v>169</v>
      </c>
      <c r="BH179" s="202">
        <f t="array" aca="1" ref="BH179" ca="1">IFERROR(SMALL(IF(COUNTIF(Podcasts!$D$1425:'Podcasts'!$D$1446,ROW(INDIRECT("1:"&amp;K$2)))=0,ROW(INDIRECT("1:"&amp;K$2))),ROW($A136)),"")</f>
        <v>146</v>
      </c>
      <c r="BI179" s="202">
        <f t="array" aca="1" ref="BI179" ca="1">IFERROR(SMALL(IF(COUNTIF(Podcasts!$D$1452:'Podcasts'!$D$1574,ROW(INDIRECT("1:"&amp;K$2)))=0,ROW(INDIRECT("1:"&amp;K$2))),ROW($A136)),"")</f>
        <v>215</v>
      </c>
      <c r="BJ179" s="202">
        <f t="array" aca="1" ref="BJ179" ca="1">IFERROR(SMALL(IF(COUNTIF(Podcasts!$D$1580:'Podcasts'!$D$1705,ROW(INDIRECT("1:"&amp;K$2)))=0,ROW(INDIRECT("1:"&amp;K$2))),ROW($A136)),"")</f>
        <v>220</v>
      </c>
      <c r="BK179" s="202">
        <f t="array" aca="1" ref="BK179" ca="1">IFERROR(SMALL(IF(COUNTIF(Podcasts!$D$1711:'Podcasts'!$D$1833,ROW(INDIRECT("1:"&amp;K$2)))=0,ROW(INDIRECT("1:"&amp;K$2))),ROW($A136)),"")</f>
        <v>209</v>
      </c>
      <c r="BL179" s="202">
        <f t="array" aca="1" ref="BL179" ca="1">IFERROR(SMALL(IF(COUNTIF(Podcasts!$D$1839:'Podcasts'!$D$1855,ROW(INDIRECT("1:"&amp;K$2)))=0,ROW(INDIRECT("1:"&amp;K$2))),ROW($A136)),"")</f>
        <v>145</v>
      </c>
      <c r="BM179" s="567">
        <f t="array" aca="1" ref="BM179" ca="1">IFERROR(SMALL(IF(COUNTIF(Podcasts!$D$1861:'Podcasts'!$D$1994,ROW(INDIRECT("1:"&amp;K$2)))=0,ROW(INDIRECT("1:"&amp;K$2))),ROW($A136)),"")</f>
        <v>184</v>
      </c>
      <c r="BN179" s="567">
        <f t="array" aca="1" ref="BN179" ca="1">IFERROR(SMALL(IF(COUNTIF(Podcasts!$D$2000:'Podcasts'!$D$2057,ROW(INDIRECT("1:"&amp;K$2)))=0,ROW(INDIRECT("1:"&amp;K$2))),ROW($A136)),"")</f>
        <v>191</v>
      </c>
      <c r="BO179" s="567">
        <f t="array" aca="1" ref="BO179" ca="1">IFERROR(SMALL(IF(COUNTIF(Podcasts!$D$2063:'Podcasts'!$D$2071,ROW(INDIRECT("1:"&amp;K$2)))=0,ROW(INDIRECT("1:"&amp;K$2))),ROW($A136)),"")</f>
        <v>143</v>
      </c>
      <c r="BP179" s="202">
        <f t="array" aca="1" ref="BP179" ca="1">IFERROR(SMALL(IF(COUNTIF(Podcasts!$D$2077:'Podcasts'!$D$2092,ROW(INDIRECT("1:"&amp;K$2)))=0,ROW(INDIRECT("1:"&amp;K$2))),ROW($A136)),"")</f>
        <v>147</v>
      </c>
      <c r="BQ179" s="741">
        <f t="array" aca="1" ref="BQ179" ca="1">IFERROR(SMALL(IF(COUNTIF(Podcasts!$D$2098:'Podcasts'!$D$2114,ROW(INDIRECT("1:"&amp;K$2)))=0,ROW(INDIRECT("1:"&amp;K$2))),ROW($A136)),"")</f>
        <v>149</v>
      </c>
      <c r="BR179" s="744">
        <f t="array" aca="1" ref="BR179" ca="1">IFERROR(SMALL(IF(COUNTIF(Podcasts!$D$2120:'Podcasts'!$D$2124,ROW(INDIRECT("1:"&amp;K$2)))=0,ROW(INDIRECT("1:"&amp;K$2))),ROW($A136)),"")</f>
        <v>138</v>
      </c>
      <c r="BS179" s="28"/>
    </row>
    <row r="180" spans="1:71" outlineLevel="1">
      <c r="A180" s="28"/>
      <c r="B180" s="161">
        <v>137</v>
      </c>
      <c r="C180" s="161">
        <f>COUNTIF(Podcasts!$D$10:'Podcasts'!$D$2535,B180)</f>
        <v>1</v>
      </c>
      <c r="D180" s="158" t="s">
        <v>1163</v>
      </c>
      <c r="E180" s="156" t="str">
        <f t="array" ref="E180">IF(F180="","",INDEX(Podcasts!$J$10:'Podcasts'!$J$2535,MATCH(F180&amp;$B180,Podcasts!$E$10:'Podcasts'!$E$2535&amp;Podcasts!$D$10:'Podcasts'!$D$2535,0)))</f>
        <v>Fürst</v>
      </c>
      <c r="F180" s="131">
        <f t="array" ref="F180">IF(COUNTIF(Podcasts!$D$10:'Podcasts'!$D$2535,$B180)&lt;COLUMN(A143),"",SMALL(IF(Podcasts!$D$10:'Podcasts'!$D$2535=$B180,Podcasts!$E$10:'Podcasts'!$E$2535),COLUMN(A143)))</f>
        <v>41803</v>
      </c>
      <c r="G180" s="132">
        <f t="array" ref="G180">IF(F180="","",INDEX(Podcasts!$F$10:'Podcasts'!$F$2535,MATCH(F180&amp;$B180,Podcasts!$E$10:'Podcasts'!$E$2535&amp;Podcasts!$D$10:'Podcasts'!$D$2535,0)))</f>
        <v>4.918981481481479E-3</v>
      </c>
      <c r="H180" s="136" t="str">
        <f t="array" ref="H180">IF(I180="","",INDEX(Podcasts!$J$10:'Podcasts'!$J$2535,MATCH(I180&amp;$B180,Podcasts!$E$10:'Podcasts'!$E$2535&amp;Podcasts!$D$10:'Podcasts'!$D$2535,0)))</f>
        <v/>
      </c>
      <c r="I180" s="133" t="str">
        <f t="array" ref="I180">IF(COUNTIF(Podcasts!$D$10:'Podcasts'!$D$2535,$B180)&lt;COLUMN(B143),"",SMALL(IF(Podcasts!$D$10:'Podcasts'!$D$2535=$B180,Podcasts!$E$10:'Podcasts'!$E$2535),COLUMN(B143)))</f>
        <v/>
      </c>
      <c r="J180" s="132" t="str">
        <f t="array" ref="J180">IF(I180="","",INDEX(Podcasts!$F$10:'Podcasts'!$F$2535,MATCH(I180&amp;$B180,Podcasts!$E$10:'Podcasts'!$E$2535&amp;Podcasts!$D$10:'Podcasts'!$D$2535,0)))</f>
        <v/>
      </c>
      <c r="K180" s="136" t="str">
        <f t="array" ref="K180">IF(L180="","",INDEX(Podcasts!$J$10:'Podcasts'!$J$2535,MATCH(L180&amp;$B180,Podcasts!$E$10:'Podcasts'!$E$2535&amp;Podcasts!$D$10:'Podcasts'!$D$2535,0)))</f>
        <v/>
      </c>
      <c r="L180" s="133" t="str">
        <f t="array" ref="L180">IF(COUNTIF(Podcasts!$D$10:'Podcasts'!$D$2535,$B180)&lt;COLUMN(C143),"",SMALL(IF(Podcasts!$D$10:'Podcasts'!$D$2535=$B180,Podcasts!$E$10:'Podcasts'!$E$2535),COLUMN(C143)))</f>
        <v/>
      </c>
      <c r="M180" s="132" t="str">
        <f t="array" ref="M180">IF(L180="","",INDEX(Podcasts!$F$10:'Podcasts'!$F$2535,MATCH(L180&amp;$B180,Podcasts!$E$10:'Podcasts'!$E$2535&amp;Podcasts!$D$10:'Podcasts'!$D$2535,0)))</f>
        <v/>
      </c>
      <c r="N180" s="136" t="str">
        <f t="array" ref="N180">IF(O180="","",INDEX(Podcasts!$J$10:'Podcasts'!$J$2535,MATCH(O180&amp;$B180,Podcasts!$E$10:'Podcasts'!$E$2535&amp;Podcasts!$D$10:'Podcasts'!$D$2535,0)))</f>
        <v/>
      </c>
      <c r="O180" s="133" t="str">
        <f t="array" ref="O180">IF(COUNTIF(Podcasts!$D$10:'Podcasts'!$D$2535,$B180)&lt;COLUMN(D143),"",SMALL(IF(Podcasts!$D$10:'Podcasts'!$D$2535=$B180,Podcasts!$E$10:'Podcasts'!$E$2535),COLUMN(D143)))</f>
        <v/>
      </c>
      <c r="P180" s="132" t="str">
        <f t="array" ref="P180">IF(O180="","",INDEX(Podcasts!$F$10:'Podcasts'!$F$2535,MATCH(O180&amp;$B180,Podcasts!$E$10:'Podcasts'!$E$2535&amp;Podcasts!$D$10:'Podcasts'!$D$2535,0)))</f>
        <v/>
      </c>
      <c r="Q180" s="136" t="str">
        <f t="array" ref="Q180">IF(R180="","",INDEX(Podcasts!$J$10:'Podcasts'!$J$2535,MATCH(R180&amp;$B180,Podcasts!$E$10:'Podcasts'!$E$2535&amp;Podcasts!$D$10:'Podcasts'!$D$2535,0)))</f>
        <v/>
      </c>
      <c r="R180" s="133" t="str">
        <f t="array" ref="R180">IF(COUNTIF(Podcasts!$D$10:'Podcasts'!$D$2535,$B180)&lt;COLUMN(E143),"",SMALL(IF(Podcasts!$D$10:'Podcasts'!$D$2535=$B180,Podcasts!$E$10:'Podcasts'!$E$2535),COLUMN(E143)))</f>
        <v/>
      </c>
      <c r="S180" s="132" t="str">
        <f t="array" ref="S180">IF(R180="","",INDEX(Podcasts!$F$10:'Podcasts'!$F$2535,MATCH(R180&amp;$B180,Podcasts!$E$10:'Podcasts'!$E$2535&amp;Podcasts!$D$10:'Podcasts'!$D$2535,0)))</f>
        <v/>
      </c>
      <c r="T180" s="136" t="str">
        <f t="array" ref="T180">IF(U180="","",INDEX(Podcasts!$J$10:'Podcasts'!$J$2535,MATCH(U180&amp;$B180,Podcasts!$E$10:'Podcasts'!$E$2535&amp;Podcasts!$D$10:'Podcasts'!$D$2535,0)))</f>
        <v/>
      </c>
      <c r="U180" s="133" t="str">
        <f t="array" ref="U180">IF(COUNTIF(Podcasts!$D$10:'Podcasts'!$D$2535,$B180)&lt;COLUMN(F143),"",SMALL(IF(Podcasts!$D$10:'Podcasts'!$D$2535=$B180,Podcasts!$E$10:'Podcasts'!$E$2535),COLUMN(F143)))</f>
        <v/>
      </c>
      <c r="V180" s="132" t="str">
        <f t="array" ref="V180">IF(U180="","",INDEX(Podcasts!$F$10:'Podcasts'!$F$2535,MATCH(U180&amp;$B180,Podcasts!$E$10:'Podcasts'!$E$2535&amp;Podcasts!$D$10:'Podcasts'!$D$2535,0)))</f>
        <v/>
      </c>
      <c r="W180" s="136" t="str">
        <f t="array" ref="W180">IF(X180="","",INDEX(Podcasts!$J$10:'Podcasts'!$J$2535,MATCH(X180&amp;$B180,Podcasts!$E$10:'Podcasts'!$E$2535&amp;Podcasts!$D$10:'Podcasts'!$D$2535,0)))</f>
        <v/>
      </c>
      <c r="X180" s="133" t="str">
        <f t="array" ref="X180">IF(COUNTIF(Podcasts!$D$10:'Podcasts'!$D$2535,$B180)&lt;COLUMN(G143),"",SMALL(IF(Podcasts!$D$10:'Podcasts'!$D$2535=$B180,Podcasts!$E$10:'Podcasts'!$E$2535),COLUMN(G143)))</f>
        <v/>
      </c>
      <c r="Y180" s="132" t="str">
        <f t="array" ref="Y180">IF(X180="","",INDEX(Podcasts!$F$10:'Podcasts'!$F$2535,MATCH(X180&amp;$B180,Podcasts!$E$10:'Podcasts'!$E$2535&amp;Podcasts!$D$10:'Podcasts'!$D$2535,0)))</f>
        <v/>
      </c>
      <c r="Z180" s="136" t="str">
        <f t="array" ref="Z180">IF(AA180="","",INDEX(Podcasts!$J$10:'Podcasts'!$J$2535,MATCH(AA180&amp;$B180,Podcasts!$E$10:'Podcasts'!$E$2535&amp;Podcasts!$D$10:'Podcasts'!$D$2535,0)))</f>
        <v/>
      </c>
      <c r="AA180" s="134" t="str">
        <f t="array" ref="AA180">IF(COUNTIF(Podcasts!$D$10:'Podcasts'!$D$2535,$B180)&lt;COLUMN(H143),"",SMALL(IF(Podcasts!$D$10:'Podcasts'!$D$2535=$B180,Podcasts!$E$10:'Podcasts'!$E$2535),COLUMN(H143)))</f>
        <v/>
      </c>
      <c r="AB180" s="404" t="str">
        <f t="array" ref="AB180">IF(AA180="","",INDEX(Podcasts!$F$10:'Podcasts'!$F$2535,MATCH(AA180&amp;$B180,Podcasts!$E$10:'Podcasts'!$E$2535&amp;Podcasts!$D$10:'Podcasts'!$D$2535,0)))</f>
        <v/>
      </c>
      <c r="AC180" s="406" t="str">
        <f t="array" ref="AC180">IF(AD180="","",INDEX(Podcasts!$J$10:'Podcasts'!$J$2535,MATCH(AD180&amp;$B180,Podcasts!$E$10:'Podcasts'!$E$2535&amp;Podcasts!$D$10:'Podcasts'!$D$2535,0)))</f>
        <v/>
      </c>
      <c r="AD180" s="400" t="str">
        <f t="array" ref="AD180">IF(COUNTIF(Podcasts!$D$10:'Podcasts'!$D$2535,$B180)&lt;COLUMN(I143),"",SMALL(IF(Podcasts!$D$10:'Podcasts'!$D$2535=$B180,Podcasts!$E$10:'Podcasts'!$E$2535),COLUMN(I143)))</f>
        <v/>
      </c>
      <c r="AE180" s="401" t="str">
        <f t="array" ref="AE180">IF(AD180="","",INDEX(Podcasts!$F$10:'Podcasts'!$F$2535,MATCH(AD180&amp;$B180,Podcasts!$E$10:'Podcasts'!$E$2535&amp;Podcasts!$D$10:'Podcasts'!$D$2535,0)))</f>
        <v/>
      </c>
      <c r="AF180" s="406" t="str">
        <f t="array" ref="AF180">IF(AG180="","",INDEX(Podcasts!$J$10:'Podcasts'!$J$2535,MATCH(AG180&amp;$B180,Podcasts!$E$10:'Podcasts'!$E$2535&amp;Podcasts!$D$10:'Podcasts'!$D$2535,0)))</f>
        <v/>
      </c>
      <c r="AG180" s="400" t="str">
        <f t="array" ref="AG180">IF(COUNTIF(Podcasts!$D$10:'Podcasts'!$D$2535,$B180)&lt;COLUMN(J143),"",SMALL(IF(Podcasts!$D$10:'Podcasts'!$D$2535=$B180,Podcasts!$E$10:'Podcasts'!$E$2535),COLUMN(J143)))</f>
        <v/>
      </c>
      <c r="AH180" s="401" t="str">
        <f t="array" ref="AH180">IF(AG180="","",INDEX(Podcasts!$F$10:'Podcasts'!$F$2535,MATCH(AG180&amp;$B180,Podcasts!$E$10:'Podcasts'!$E$2535&amp;Podcasts!$D$10:'Podcasts'!$D$2535,0)))</f>
        <v/>
      </c>
      <c r="AI180" s="406" t="str">
        <f t="array" ref="AI180">IF(AJ180="","",INDEX(Podcasts!$J$10:'Podcasts'!$J$2535,MATCH(AJ180&amp;$B180,Podcasts!$E$10:'Podcasts'!$E$2535&amp;Podcasts!$D$10:'Podcasts'!$D$2535,0)))</f>
        <v/>
      </c>
      <c r="AJ180" s="400" t="str">
        <f t="array" ref="AJ180">IF(COUNTIF(Podcasts!$D$10:'Podcasts'!$D$2535,$B180)&lt;COLUMN(K143),"",SMALL(IF(Podcasts!$D$10:'Podcasts'!$D$2535=$B180,Podcasts!$E$10:'Podcasts'!$E$2535),COLUMN(K143)))</f>
        <v/>
      </c>
      <c r="AK180" s="401" t="str">
        <f t="array" ref="AK180">IF(AJ180="","",INDEX(Podcasts!$F$10:'Podcasts'!$F$2535,MATCH(AJ180&amp;$B180,Podcasts!$E$10:'Podcasts'!$E$2535&amp;Podcasts!$D$10:'Podcasts'!$D$2535,0)))</f>
        <v/>
      </c>
      <c r="AL180" s="406" t="str">
        <f t="array" ref="AL180">IF(AM180="","",INDEX(Podcasts!$J$10:'Podcasts'!$J$2535,MATCH(AM180&amp;$B180,Podcasts!$E$10:'Podcasts'!$E$2535&amp;Podcasts!$D$10:'Podcasts'!$D$2535,0)))</f>
        <v/>
      </c>
      <c r="AM180" s="400" t="str">
        <f t="array" ref="AM180">IF(COUNTIF(Podcasts!$D$10:'Podcasts'!$D$2535,$B180)&lt;COLUMN(L143),"",SMALL(IF(Podcasts!$D$10:'Podcasts'!$D$2535=$B180,Podcasts!$E$10:'Podcasts'!$E$2535),COLUMN(L143)))</f>
        <v/>
      </c>
      <c r="AN180" s="401" t="str">
        <f t="array" ref="AN180">IF(AM180="","",INDEX(Podcasts!$F$10:'Podcasts'!$F$2535,MATCH(AM180&amp;$B180,Podcasts!$E$10:'Podcasts'!$E$2535&amp;Podcasts!$D$10:'Podcasts'!$D$2535,0)))</f>
        <v/>
      </c>
      <c r="AO180" s="402"/>
      <c r="AP180" s="119"/>
      <c r="AQ180" s="117">
        <f t="array" aca="1" ref="AQ180" ca="1">IFERROR(SMALL(IF(COUNTIF(Podcasts!$D$10:'Podcasts'!$D$107,ROW(INDIRECT("1:"&amp;K$2)))=0,ROW(INDIRECT("1:"&amp;K$2))),ROW($A137)),"")</f>
        <v>178</v>
      </c>
      <c r="AR180" s="117">
        <f t="array" aca="1" ref="AR180" ca="1">IFERROR(SMALL(IF(COUNTIF(Podcasts!$D$113:'Podcasts'!$D$238,ROW(INDIRECT("1:"&amp;K$2)))=0,ROW(INDIRECT("1:"&amp;K$2))),ROW($A137)),"")</f>
        <v>137</v>
      </c>
      <c r="AS180" s="117">
        <f t="array" aca="1" ref="AS180" ca="1">IFERROR(SMALL(IF(COUNTIF(Podcasts!$D$244:'Podcasts'!$D$299,ROW(INDIRECT("1:"&amp;K$2)))=0,ROW(INDIRECT("1:"&amp;K$2))),ROW($A137)),"")</f>
        <v>168</v>
      </c>
      <c r="AT180" s="117"/>
      <c r="AU180" s="117">
        <f t="array" aca="1" ref="AU180" ca="1">IFERROR(SMALL(IF(COUNTIF(Podcasts!$D$479:'Podcasts'!$D$488,ROW(INDIRECT("1:"&amp;K$2)))=0,ROW(INDIRECT("1:"&amp;K$2))),ROW($A137)),"")</f>
        <v>141</v>
      </c>
      <c r="AV180" s="117">
        <f t="array" aca="1" ref="AV180" ca="1">IFERROR(SMALL(IF(COUNTIF(Podcasts!$D$494:'Podcasts'!$D$518,ROW(INDIRECT("1:"&amp;K$2)))=0,ROW(INDIRECT("1:"&amp;K$2))),ROW($A137)),"")</f>
        <v>159</v>
      </c>
      <c r="AW180" s="117">
        <f t="array" aca="1" ref="AW180" ca="1">IFERROR(SMALL(IF(COUNTIF(Podcasts!$D$524:'Podcasts'!$D$532,ROW(INDIRECT("1:"&amp;K$2)))=0,ROW(INDIRECT("1:"&amp;K$2))),ROW($A137)),"")</f>
        <v>138</v>
      </c>
      <c r="AX180" s="117"/>
      <c r="AY180" s="117">
        <f t="array" aca="1" ref="AY180" ca="1">IFERROR(SMALL(IF(COUNTIF(Podcasts!$D$915:'Podcasts'!$D$981,ROW(INDIRECT("1:"&amp;K$2)))=0,ROW(INDIRECT("1:"&amp;K$2))),ROW($A137)),"")</f>
        <v>192</v>
      </c>
      <c r="AZ180" s="445"/>
      <c r="BA180" s="117">
        <f t="array" aca="1" ref="BA180" ca="1">IFERROR(SMALL(IF(COUNTIF(Podcasts!$D$1001:'Podcasts'!$D$1251,ROW(INDIRECT("1:"&amp;K$2)))=0,ROW(INDIRECT("1:"&amp;K$2))),ROW($A137)),"")</f>
        <v>189</v>
      </c>
      <c r="BB180" s="117">
        <f t="array" aca="1" ref="BB180" ca="1">IFERROR(SMALL(IF(COUNTIF(Podcasts!$D$1257:'Podcasts'!$D$1267,ROW(INDIRECT("1:"&amp;K$2)))=0,ROW(INDIRECT("1:"&amp;K$2))),ROW($A137)),"")</f>
        <v>142</v>
      </c>
      <c r="BC180" s="117">
        <f t="array" aca="1" ref="BC180" ca="1">IFERROR(SMALL(IF(COUNTIF(Podcasts!$D$1273:'Podcasts'!$D$1283,ROW(INDIRECT("1:"&amp;K$2)))=0,ROW(INDIRECT("1:"&amp;K$2))),ROW($A137)),"")</f>
        <v>141</v>
      </c>
      <c r="BD180" s="117">
        <f t="array" aca="1" ref="BD180" ca="1">IFERROR(SMALL(IF(COUNTIF(Podcasts!$D$1289:'Podcasts'!$D$1295,ROW(INDIRECT("1:"&amp;K$2)))=0,ROW(INDIRECT("1:"&amp;K$2))),ROW($A137)),"")</f>
        <v>142</v>
      </c>
      <c r="BE180" s="117">
        <f t="array" aca="1" ref="BE180" ca="1">IFERROR(SMALL(IF(COUNTIF(Podcasts!$D$1301:'Podcasts'!$D$1356,ROW(INDIRECT("1:"&amp;K$2)))=0,ROW(INDIRECT("1:"&amp;K$2))),ROW($A137)),"")</f>
        <v>184</v>
      </c>
      <c r="BF180" s="117">
        <f t="array" aca="1" ref="BF180" ca="1">IFERROR(SMALL(IF(COUNTIF(Podcasts!$D$1362:'Podcasts'!$D$1364,ROW(INDIRECT("1:"&amp;K$2)))=0,ROW(INDIRECT("1:"&amp;K$2))),ROW($A137)),"")</f>
        <v>140</v>
      </c>
      <c r="BG180" s="202">
        <f t="array" aca="1" ref="BG180" ca="1">IFERROR(SMALL(IF(COUNTIF(Podcasts!$D$1370:'Podcasts'!$D$1419,ROW(INDIRECT("1:"&amp;K$2)))=0,ROW(INDIRECT("1:"&amp;K$2))),ROW($A137)),"")</f>
        <v>170</v>
      </c>
      <c r="BH180" s="202">
        <f t="array" aca="1" ref="BH180" ca="1">IFERROR(SMALL(IF(COUNTIF(Podcasts!$D$1425:'Podcasts'!$D$1446,ROW(INDIRECT("1:"&amp;K$2)))=0,ROW(INDIRECT("1:"&amp;K$2))),ROW($A137)),"")</f>
        <v>147</v>
      </c>
      <c r="BI180" s="202">
        <f t="array" aca="1" ref="BI180" ca="1">IFERROR(SMALL(IF(COUNTIF(Podcasts!$D$1452:'Podcasts'!$D$1574,ROW(INDIRECT("1:"&amp;K$2)))=0,ROW(INDIRECT("1:"&amp;K$2))),ROW($A137)),"")</f>
        <v>217</v>
      </c>
      <c r="BJ180" s="202">
        <f t="array" aca="1" ref="BJ180" ca="1">IFERROR(SMALL(IF(COUNTIF(Podcasts!$D$1580:'Podcasts'!$D$1705,ROW(INDIRECT("1:"&amp;K$2)))=0,ROW(INDIRECT("1:"&amp;K$2))),ROW($A137)),"")</f>
        <v>222</v>
      </c>
      <c r="BK180" s="202">
        <f t="array" aca="1" ref="BK180" ca="1">IFERROR(SMALL(IF(COUNTIF(Podcasts!$D$1711:'Podcasts'!$D$1833,ROW(INDIRECT("1:"&amp;K$2)))=0,ROW(INDIRECT("1:"&amp;K$2))),ROW($A137)),"")</f>
        <v>210</v>
      </c>
      <c r="BL180" s="202">
        <f t="array" aca="1" ref="BL180" ca="1">IFERROR(SMALL(IF(COUNTIF(Podcasts!$D$1839:'Podcasts'!$D$1855,ROW(INDIRECT("1:"&amp;K$2)))=0,ROW(INDIRECT("1:"&amp;K$2))),ROW($A137)),"")</f>
        <v>146</v>
      </c>
      <c r="BM180" s="567">
        <f t="array" aca="1" ref="BM180" ca="1">IFERROR(SMALL(IF(COUNTIF(Podcasts!$D$1861:'Podcasts'!$D$1994,ROW(INDIRECT("1:"&amp;K$2)))=0,ROW(INDIRECT("1:"&amp;K$2))),ROW($A137)),"")</f>
        <v>185</v>
      </c>
      <c r="BN180" s="567">
        <f t="array" aca="1" ref="BN180" ca="1">IFERROR(SMALL(IF(COUNTIF(Podcasts!$D$2000:'Podcasts'!$D$2057,ROW(INDIRECT("1:"&amp;K$2)))=0,ROW(INDIRECT("1:"&amp;K$2))),ROW($A137)),"")</f>
        <v>192</v>
      </c>
      <c r="BO180" s="567">
        <f t="array" aca="1" ref="BO180" ca="1">IFERROR(SMALL(IF(COUNTIF(Podcasts!$D$2063:'Podcasts'!$D$2071,ROW(INDIRECT("1:"&amp;K$2)))=0,ROW(INDIRECT("1:"&amp;K$2))),ROW($A137)),"")</f>
        <v>144</v>
      </c>
      <c r="BP180" s="202">
        <f t="array" aca="1" ref="BP180" ca="1">IFERROR(SMALL(IF(COUNTIF(Podcasts!$D$2077:'Podcasts'!$D$2092,ROW(INDIRECT("1:"&amp;K$2)))=0,ROW(INDIRECT("1:"&amp;K$2))),ROW($A137)),"")</f>
        <v>148</v>
      </c>
      <c r="BQ180" s="741">
        <f t="array" aca="1" ref="BQ180" ca="1">IFERROR(SMALL(IF(COUNTIF(Podcasts!$D$2098:'Podcasts'!$D$2114,ROW(INDIRECT("1:"&amp;K$2)))=0,ROW(INDIRECT("1:"&amp;K$2))),ROW($A137)),"")</f>
        <v>150</v>
      </c>
      <c r="BR180" s="744">
        <f t="array" aca="1" ref="BR180" ca="1">IFERROR(SMALL(IF(COUNTIF(Podcasts!$D$2120:'Podcasts'!$D$2124,ROW(INDIRECT("1:"&amp;K$2)))=0,ROW(INDIRECT("1:"&amp;K$2))),ROW($A137)),"")</f>
        <v>139</v>
      </c>
      <c r="BS180" s="28"/>
    </row>
    <row r="181" spans="1:71" outlineLevel="1">
      <c r="A181" s="28"/>
      <c r="B181" s="161">
        <v>138</v>
      </c>
      <c r="C181" s="161">
        <f>COUNTIF(Podcasts!$D$10:'Podcasts'!$D$2535,B181)</f>
        <v>3</v>
      </c>
      <c r="D181" s="158" t="s">
        <v>1164</v>
      </c>
      <c r="E181" s="156" t="str">
        <f t="array" ref="E181">IF(F181="","",INDEX(Podcasts!$J$10:'Podcasts'!$J$2535,MATCH(F181&amp;$B181,Podcasts!$E$10:'Podcasts'!$E$2535&amp;Podcasts!$D$10:'Podcasts'!$D$2535,0)))</f>
        <v>Fürst</v>
      </c>
      <c r="F181" s="131">
        <f t="array" ref="F181">IF(COUNTIF(Podcasts!$D$10:'Podcasts'!$D$2535,$B181)&lt;COLUMN(A144),"",SMALL(IF(Podcasts!$D$10:'Podcasts'!$D$2535=$B181,Podcasts!$E$10:'Podcasts'!$E$2535),COLUMN(A144)))</f>
        <v>41811</v>
      </c>
      <c r="G181" s="132">
        <f t="array" ref="G181">IF(F181="","",INDEX(Podcasts!$F$10:'Podcasts'!$F$2535,MATCH(F181&amp;$B181,Podcasts!$E$10:'Podcasts'!$E$2535&amp;Podcasts!$D$10:'Podcasts'!$D$2535,0)))</f>
        <v>5.0925925925925895E-3</v>
      </c>
      <c r="H181" s="136" t="str">
        <f t="array" ref="H181">IF(I181="","",INDEX(Podcasts!$J$10:'Podcasts'!$J$2535,MATCH(I181&amp;$B181,Podcasts!$E$10:'Podcasts'!$E$2535&amp;Podcasts!$D$10:'Podcasts'!$D$2535,0)))</f>
        <v>Zeichen</v>
      </c>
      <c r="I181" s="133">
        <f t="array" ref="I181">IF(COUNTIF(Podcasts!$D$10:'Podcasts'!$D$2535,$B181)&lt;COLUMN(B144),"",SMALL(IF(Podcasts!$D$10:'Podcasts'!$D$2535=$B181,Podcasts!$E$10:'Podcasts'!$E$2535),COLUMN(B144)))</f>
        <v>44158</v>
      </c>
      <c r="J181" s="132">
        <f t="array" ref="J181">IF(I181="","",INDEX(Podcasts!$F$10:'Podcasts'!$F$2535,MATCH(I181&amp;$B181,Podcasts!$E$10:'Podcasts'!$E$2535&amp;Podcasts!$D$10:'Podcasts'!$D$2535,0)))</f>
        <v>8.0451388888888892E-2</v>
      </c>
      <c r="K181" s="136" t="str">
        <f t="array" ref="K181">IF(L181="","",INDEX(Podcasts!$J$10:'Podcasts'!$J$2535,MATCH(L181&amp;$B181,Podcasts!$E$10:'Podcasts'!$E$2535&amp;Podcasts!$D$10:'Podcasts'!$D$2535,0)))</f>
        <v>SSP</v>
      </c>
      <c r="L181" s="133">
        <f t="array" ref="L181">IF(COUNTIF(Podcasts!$D$10:'Podcasts'!$D$2535,$B181)&lt;COLUMN(C144),"",SMALL(IF(Podcasts!$D$10:'Podcasts'!$D$2535=$B181,Podcasts!$E$10:'Podcasts'!$E$2535),COLUMN(C144)))</f>
        <v>44536</v>
      </c>
      <c r="M181" s="132">
        <f t="array" ref="M181">IF(L181="","",INDEX(Podcasts!$F$10:'Podcasts'!$F$2535,MATCH(L181&amp;$B181,Podcasts!$E$10:'Podcasts'!$E$2535&amp;Podcasts!$D$10:'Podcasts'!$D$2535,0)))</f>
        <v>6.0729166666666667E-2</v>
      </c>
      <c r="N181" s="136" t="str">
        <f t="array" ref="N181">IF(O181="","",INDEX(Podcasts!$J$10:'Podcasts'!$J$2535,MATCH(O181&amp;$B181,Podcasts!$E$10:'Podcasts'!$E$2535&amp;Podcasts!$D$10:'Podcasts'!$D$2535,0)))</f>
        <v/>
      </c>
      <c r="O181" s="133" t="str">
        <f t="array" ref="O181">IF(COUNTIF(Podcasts!$D$10:'Podcasts'!$D$2535,$B181)&lt;COLUMN(D144),"",SMALL(IF(Podcasts!$D$10:'Podcasts'!$D$2535=$B181,Podcasts!$E$10:'Podcasts'!$E$2535),COLUMN(D144)))</f>
        <v/>
      </c>
      <c r="P181" s="132" t="str">
        <f t="array" ref="P181">IF(O181="","",INDEX(Podcasts!$F$10:'Podcasts'!$F$2535,MATCH(O181&amp;$B181,Podcasts!$E$10:'Podcasts'!$E$2535&amp;Podcasts!$D$10:'Podcasts'!$D$2535,0)))</f>
        <v/>
      </c>
      <c r="Q181" s="136" t="str">
        <f t="array" ref="Q181">IF(R181="","",INDEX(Podcasts!$J$10:'Podcasts'!$J$2535,MATCH(R181&amp;$B181,Podcasts!$E$10:'Podcasts'!$E$2535&amp;Podcasts!$D$10:'Podcasts'!$D$2535,0)))</f>
        <v/>
      </c>
      <c r="R181" s="133" t="str">
        <f t="array" ref="R181">IF(COUNTIF(Podcasts!$D$10:'Podcasts'!$D$2535,$B181)&lt;COLUMN(E144),"",SMALL(IF(Podcasts!$D$10:'Podcasts'!$D$2535=$B181,Podcasts!$E$10:'Podcasts'!$E$2535),COLUMN(E144)))</f>
        <v/>
      </c>
      <c r="S181" s="132" t="str">
        <f t="array" ref="S181">IF(R181="","",INDEX(Podcasts!$F$10:'Podcasts'!$F$2535,MATCH(R181&amp;$B181,Podcasts!$E$10:'Podcasts'!$E$2535&amp;Podcasts!$D$10:'Podcasts'!$D$2535,0)))</f>
        <v/>
      </c>
      <c r="T181" s="136" t="str">
        <f t="array" ref="T181">IF(U181="","",INDEX(Podcasts!$J$10:'Podcasts'!$J$2535,MATCH(U181&amp;$B181,Podcasts!$E$10:'Podcasts'!$E$2535&amp;Podcasts!$D$10:'Podcasts'!$D$2535,0)))</f>
        <v/>
      </c>
      <c r="U181" s="133" t="str">
        <f t="array" ref="U181">IF(COUNTIF(Podcasts!$D$10:'Podcasts'!$D$2535,$B181)&lt;COLUMN(F144),"",SMALL(IF(Podcasts!$D$10:'Podcasts'!$D$2535=$B181,Podcasts!$E$10:'Podcasts'!$E$2535),COLUMN(F144)))</f>
        <v/>
      </c>
      <c r="V181" s="132" t="str">
        <f t="array" ref="V181">IF(U181="","",INDEX(Podcasts!$F$10:'Podcasts'!$F$2535,MATCH(U181&amp;$B181,Podcasts!$E$10:'Podcasts'!$E$2535&amp;Podcasts!$D$10:'Podcasts'!$D$2535,0)))</f>
        <v/>
      </c>
      <c r="W181" s="136" t="str">
        <f t="array" ref="W181">IF(X181="","",INDEX(Podcasts!$J$10:'Podcasts'!$J$2535,MATCH(X181&amp;$B181,Podcasts!$E$10:'Podcasts'!$E$2535&amp;Podcasts!$D$10:'Podcasts'!$D$2535,0)))</f>
        <v/>
      </c>
      <c r="X181" s="133" t="str">
        <f t="array" ref="X181">IF(COUNTIF(Podcasts!$D$10:'Podcasts'!$D$2535,$B181)&lt;COLUMN(G144),"",SMALL(IF(Podcasts!$D$10:'Podcasts'!$D$2535=$B181,Podcasts!$E$10:'Podcasts'!$E$2535),COLUMN(G144)))</f>
        <v/>
      </c>
      <c r="Y181" s="132" t="str">
        <f t="array" ref="Y181">IF(X181="","",INDEX(Podcasts!$F$10:'Podcasts'!$F$2535,MATCH(X181&amp;$B181,Podcasts!$E$10:'Podcasts'!$E$2535&amp;Podcasts!$D$10:'Podcasts'!$D$2535,0)))</f>
        <v/>
      </c>
      <c r="Z181" s="136" t="str">
        <f t="array" ref="Z181">IF(AA181="","",INDEX(Podcasts!$J$10:'Podcasts'!$J$2535,MATCH(AA181&amp;$B181,Podcasts!$E$10:'Podcasts'!$E$2535&amp;Podcasts!$D$10:'Podcasts'!$D$2535,0)))</f>
        <v/>
      </c>
      <c r="AA181" s="134" t="str">
        <f t="array" ref="AA181">IF(COUNTIF(Podcasts!$D$10:'Podcasts'!$D$2535,$B181)&lt;COLUMN(H144),"",SMALL(IF(Podcasts!$D$10:'Podcasts'!$D$2535=$B181,Podcasts!$E$10:'Podcasts'!$E$2535),COLUMN(H144)))</f>
        <v/>
      </c>
      <c r="AB181" s="404" t="str">
        <f t="array" ref="AB181">IF(AA181="","",INDEX(Podcasts!$F$10:'Podcasts'!$F$2535,MATCH(AA181&amp;$B181,Podcasts!$E$10:'Podcasts'!$E$2535&amp;Podcasts!$D$10:'Podcasts'!$D$2535,0)))</f>
        <v/>
      </c>
      <c r="AC181" s="406" t="str">
        <f t="array" ref="AC181">IF(AD181="","",INDEX(Podcasts!$J$10:'Podcasts'!$J$2535,MATCH(AD181&amp;$B181,Podcasts!$E$10:'Podcasts'!$E$2535&amp;Podcasts!$D$10:'Podcasts'!$D$2535,0)))</f>
        <v/>
      </c>
      <c r="AD181" s="400" t="str">
        <f t="array" ref="AD181">IF(COUNTIF(Podcasts!$D$10:'Podcasts'!$D$2535,$B181)&lt;COLUMN(I144),"",SMALL(IF(Podcasts!$D$10:'Podcasts'!$D$2535=$B181,Podcasts!$E$10:'Podcasts'!$E$2535),COLUMN(I144)))</f>
        <v/>
      </c>
      <c r="AE181" s="401" t="str">
        <f t="array" ref="AE181">IF(AD181="","",INDEX(Podcasts!$F$10:'Podcasts'!$F$2535,MATCH(AD181&amp;$B181,Podcasts!$E$10:'Podcasts'!$E$2535&amp;Podcasts!$D$10:'Podcasts'!$D$2535,0)))</f>
        <v/>
      </c>
      <c r="AF181" s="406" t="str">
        <f t="array" ref="AF181">IF(AG181="","",INDEX(Podcasts!$J$10:'Podcasts'!$J$2535,MATCH(AG181&amp;$B181,Podcasts!$E$10:'Podcasts'!$E$2535&amp;Podcasts!$D$10:'Podcasts'!$D$2535,0)))</f>
        <v/>
      </c>
      <c r="AG181" s="400" t="str">
        <f t="array" ref="AG181">IF(COUNTIF(Podcasts!$D$10:'Podcasts'!$D$2535,$B181)&lt;COLUMN(J144),"",SMALL(IF(Podcasts!$D$10:'Podcasts'!$D$2535=$B181,Podcasts!$E$10:'Podcasts'!$E$2535),COLUMN(J144)))</f>
        <v/>
      </c>
      <c r="AH181" s="401" t="str">
        <f t="array" ref="AH181">IF(AG181="","",INDEX(Podcasts!$F$10:'Podcasts'!$F$2535,MATCH(AG181&amp;$B181,Podcasts!$E$10:'Podcasts'!$E$2535&amp;Podcasts!$D$10:'Podcasts'!$D$2535,0)))</f>
        <v/>
      </c>
      <c r="AI181" s="406" t="str">
        <f t="array" ref="AI181">IF(AJ181="","",INDEX(Podcasts!$J$10:'Podcasts'!$J$2535,MATCH(AJ181&amp;$B181,Podcasts!$E$10:'Podcasts'!$E$2535&amp;Podcasts!$D$10:'Podcasts'!$D$2535,0)))</f>
        <v/>
      </c>
      <c r="AJ181" s="400" t="str">
        <f t="array" ref="AJ181">IF(COUNTIF(Podcasts!$D$10:'Podcasts'!$D$2535,$B181)&lt;COLUMN(K144),"",SMALL(IF(Podcasts!$D$10:'Podcasts'!$D$2535=$B181,Podcasts!$E$10:'Podcasts'!$E$2535),COLUMN(K144)))</f>
        <v/>
      </c>
      <c r="AK181" s="401" t="str">
        <f t="array" ref="AK181">IF(AJ181="","",INDEX(Podcasts!$F$10:'Podcasts'!$F$2535,MATCH(AJ181&amp;$B181,Podcasts!$E$10:'Podcasts'!$E$2535&amp;Podcasts!$D$10:'Podcasts'!$D$2535,0)))</f>
        <v/>
      </c>
      <c r="AL181" s="406" t="str">
        <f t="array" ref="AL181">IF(AM181="","",INDEX(Podcasts!$J$10:'Podcasts'!$J$2535,MATCH(AM181&amp;$B181,Podcasts!$E$10:'Podcasts'!$E$2535&amp;Podcasts!$D$10:'Podcasts'!$D$2535,0)))</f>
        <v/>
      </c>
      <c r="AM181" s="400" t="str">
        <f t="array" ref="AM181">IF(COUNTIF(Podcasts!$D$10:'Podcasts'!$D$2535,$B181)&lt;COLUMN(L144),"",SMALL(IF(Podcasts!$D$10:'Podcasts'!$D$2535=$B181,Podcasts!$E$10:'Podcasts'!$E$2535),COLUMN(L144)))</f>
        <v/>
      </c>
      <c r="AN181" s="401" t="str">
        <f t="array" ref="AN181">IF(AM181="","",INDEX(Podcasts!$F$10:'Podcasts'!$F$2535,MATCH(AM181&amp;$B181,Podcasts!$E$10:'Podcasts'!$E$2535&amp;Podcasts!$D$10:'Podcasts'!$D$2535,0)))</f>
        <v/>
      </c>
      <c r="AO181" s="402"/>
      <c r="AP181" s="119"/>
      <c r="AQ181" s="117">
        <f t="array" aca="1" ref="AQ181" ca="1">IFERROR(SMALL(IF(COUNTIF(Podcasts!$D$10:'Podcasts'!$D$107,ROW(INDIRECT("1:"&amp;K$2)))=0,ROW(INDIRECT("1:"&amp;K$2))),ROW($A138)),"")</f>
        <v>180</v>
      </c>
      <c r="AR181" s="117">
        <f t="array" aca="1" ref="AR181" ca="1">IFERROR(SMALL(IF(COUNTIF(Podcasts!$D$113:'Podcasts'!$D$238,ROW(INDIRECT("1:"&amp;K$2)))=0,ROW(INDIRECT("1:"&amp;K$2))),ROW($A138)),"")</f>
        <v>138</v>
      </c>
      <c r="AS181" s="117">
        <f t="array" aca="1" ref="AS181" ca="1">IFERROR(SMALL(IF(COUNTIF(Podcasts!$D$244:'Podcasts'!$D$299,ROW(INDIRECT("1:"&amp;K$2)))=0,ROW(INDIRECT("1:"&amp;K$2))),ROW($A138)),"")</f>
        <v>171</v>
      </c>
      <c r="AT181" s="117"/>
      <c r="AU181" s="117">
        <f t="array" aca="1" ref="AU181" ca="1">IFERROR(SMALL(IF(COUNTIF(Podcasts!$D$479:'Podcasts'!$D$488,ROW(INDIRECT("1:"&amp;K$2)))=0,ROW(INDIRECT("1:"&amp;K$2))),ROW($A138)),"")</f>
        <v>142</v>
      </c>
      <c r="AV181" s="117">
        <f t="array" aca="1" ref="AV181" ca="1">IFERROR(SMALL(IF(COUNTIF(Podcasts!$D$494:'Podcasts'!$D$518,ROW(INDIRECT("1:"&amp;K$2)))=0,ROW(INDIRECT("1:"&amp;K$2))),ROW($A138)),"")</f>
        <v>161</v>
      </c>
      <c r="AW181" s="117">
        <f t="array" aca="1" ref="AW181" ca="1">IFERROR(SMALL(IF(COUNTIF(Podcasts!$D$524:'Podcasts'!$D$532,ROW(INDIRECT("1:"&amp;K$2)))=0,ROW(INDIRECT("1:"&amp;K$2))),ROW($A138)),"")</f>
        <v>139</v>
      </c>
      <c r="AX181" s="117"/>
      <c r="AY181" s="117">
        <f t="array" aca="1" ref="AY181" ca="1">IFERROR(SMALL(IF(COUNTIF(Podcasts!$D$915:'Podcasts'!$D$981,ROW(INDIRECT("1:"&amp;K$2)))=0,ROW(INDIRECT("1:"&amp;K$2))),ROW($A138)),"")</f>
        <v>193</v>
      </c>
      <c r="AZ181" s="445"/>
      <c r="BA181" s="117">
        <f t="array" aca="1" ref="BA181" ca="1">IFERROR(SMALL(IF(COUNTIF(Podcasts!$D$1001:'Podcasts'!$D$1251,ROW(INDIRECT("1:"&amp;K$2)))=0,ROW(INDIRECT("1:"&amp;K$2))),ROW($A138)),"")</f>
        <v>190</v>
      </c>
      <c r="BB181" s="117">
        <f t="array" aca="1" ref="BB181" ca="1">IFERROR(SMALL(IF(COUNTIF(Podcasts!$D$1257:'Podcasts'!$D$1267,ROW(INDIRECT("1:"&amp;K$2)))=0,ROW(INDIRECT("1:"&amp;K$2))),ROW($A138)),"")</f>
        <v>143</v>
      </c>
      <c r="BC181" s="117">
        <f t="array" aca="1" ref="BC181" ca="1">IFERROR(SMALL(IF(COUNTIF(Podcasts!$D$1273:'Podcasts'!$D$1283,ROW(INDIRECT("1:"&amp;K$2)))=0,ROW(INDIRECT("1:"&amp;K$2))),ROW($A138)),"")</f>
        <v>142</v>
      </c>
      <c r="BD181" s="117">
        <f t="array" aca="1" ref="BD181" ca="1">IFERROR(SMALL(IF(COUNTIF(Podcasts!$D$1289:'Podcasts'!$D$1295,ROW(INDIRECT("1:"&amp;K$2)))=0,ROW(INDIRECT("1:"&amp;K$2))),ROW($A138)),"")</f>
        <v>143</v>
      </c>
      <c r="BE181" s="117">
        <f t="array" aca="1" ref="BE181" ca="1">IFERROR(SMALL(IF(COUNTIF(Podcasts!$D$1301:'Podcasts'!$D$1356,ROW(INDIRECT("1:"&amp;K$2)))=0,ROW(INDIRECT("1:"&amp;K$2))),ROW($A138)),"")</f>
        <v>185</v>
      </c>
      <c r="BF181" s="117">
        <f t="array" aca="1" ref="BF181" ca="1">IFERROR(SMALL(IF(COUNTIF(Podcasts!$D$1362:'Podcasts'!$D$1364,ROW(INDIRECT("1:"&amp;K$2)))=0,ROW(INDIRECT("1:"&amp;K$2))),ROW($A138)),"")</f>
        <v>141</v>
      </c>
      <c r="BG181" s="202">
        <f t="array" aca="1" ref="BG181" ca="1">IFERROR(SMALL(IF(COUNTIF(Podcasts!$D$1370:'Podcasts'!$D$1419,ROW(INDIRECT("1:"&amp;K$2)))=0,ROW(INDIRECT("1:"&amp;K$2))),ROW($A138)),"")</f>
        <v>173</v>
      </c>
      <c r="BH181" s="202">
        <f t="array" aca="1" ref="BH181" ca="1">IFERROR(SMALL(IF(COUNTIF(Podcasts!$D$1425:'Podcasts'!$D$1446,ROW(INDIRECT("1:"&amp;K$2)))=0,ROW(INDIRECT("1:"&amp;K$2))),ROW($A138)),"")</f>
        <v>148</v>
      </c>
      <c r="BI181" s="202">
        <f t="array" aca="1" ref="BI181" ca="1">IFERROR(SMALL(IF(COUNTIF(Podcasts!$D$1452:'Podcasts'!$D$1574,ROW(INDIRECT("1:"&amp;K$2)))=0,ROW(INDIRECT("1:"&amp;K$2))),ROW($A138)),"")</f>
        <v>218</v>
      </c>
      <c r="BJ181" s="202">
        <f t="array" aca="1" ref="BJ181" ca="1">IFERROR(SMALL(IF(COUNTIF(Podcasts!$D$1580:'Podcasts'!$D$1705,ROW(INDIRECT("1:"&amp;K$2)))=0,ROW(INDIRECT("1:"&amp;K$2))),ROW($A138)),"")</f>
        <v>223</v>
      </c>
      <c r="BK181" s="202">
        <f t="array" aca="1" ref="BK181" ca="1">IFERROR(SMALL(IF(COUNTIF(Podcasts!$D$1711:'Podcasts'!$D$1833,ROW(INDIRECT("1:"&amp;K$2)))=0,ROW(INDIRECT("1:"&amp;K$2))),ROW($A138)),"")</f>
        <v>213</v>
      </c>
      <c r="BL181" s="202">
        <f t="array" aca="1" ref="BL181" ca="1">IFERROR(SMALL(IF(COUNTIF(Podcasts!$D$1839:'Podcasts'!$D$1855,ROW(INDIRECT("1:"&amp;K$2)))=0,ROW(INDIRECT("1:"&amp;K$2))),ROW($A138)),"")</f>
        <v>147</v>
      </c>
      <c r="BM181" s="567">
        <f t="array" aca="1" ref="BM181" ca="1">IFERROR(SMALL(IF(COUNTIF(Podcasts!$D$1861:'Podcasts'!$D$1994,ROW(INDIRECT("1:"&amp;K$2)))=0,ROW(INDIRECT("1:"&amp;K$2))),ROW($A138)),"")</f>
        <v>186</v>
      </c>
      <c r="BN181" s="567">
        <f t="array" aca="1" ref="BN181" ca="1">IFERROR(SMALL(IF(COUNTIF(Podcasts!$D$2000:'Podcasts'!$D$2057,ROW(INDIRECT("1:"&amp;K$2)))=0,ROW(INDIRECT("1:"&amp;K$2))),ROW($A138)),"")</f>
        <v>193</v>
      </c>
      <c r="BO181" s="567">
        <f t="array" aca="1" ref="BO181" ca="1">IFERROR(SMALL(IF(COUNTIF(Podcasts!$D$2063:'Podcasts'!$D$2071,ROW(INDIRECT("1:"&amp;K$2)))=0,ROW(INDIRECT("1:"&amp;K$2))),ROW($A138)),"")</f>
        <v>145</v>
      </c>
      <c r="BP181" s="202">
        <f t="array" aca="1" ref="BP181" ca="1">IFERROR(SMALL(IF(COUNTIF(Podcasts!$D$2077:'Podcasts'!$D$2092,ROW(INDIRECT("1:"&amp;K$2)))=0,ROW(INDIRECT("1:"&amp;K$2))),ROW($A138)),"")</f>
        <v>149</v>
      </c>
      <c r="BQ181" s="741">
        <f t="array" aca="1" ref="BQ181" ca="1">IFERROR(SMALL(IF(COUNTIF(Podcasts!$D$2098:'Podcasts'!$D$2114,ROW(INDIRECT("1:"&amp;K$2)))=0,ROW(INDIRECT("1:"&amp;K$2))),ROW($A138)),"")</f>
        <v>151</v>
      </c>
      <c r="BR181" s="744">
        <f t="array" aca="1" ref="BR181" ca="1">IFERROR(SMALL(IF(COUNTIF(Podcasts!$D$2120:'Podcasts'!$D$2124,ROW(INDIRECT("1:"&amp;K$2)))=0,ROW(INDIRECT("1:"&amp;K$2))),ROW($A138)),"")</f>
        <v>140</v>
      </c>
      <c r="BS181" s="28"/>
    </row>
    <row r="182" spans="1:71" outlineLevel="1">
      <c r="A182" s="28"/>
      <c r="B182" s="161">
        <v>139</v>
      </c>
      <c r="C182" s="161">
        <f>COUNTIF(Podcasts!$D$10:'Podcasts'!$D$2535,B182)</f>
        <v>1</v>
      </c>
      <c r="D182" s="158" t="s">
        <v>1165</v>
      </c>
      <c r="E182" s="156" t="str">
        <f t="array" ref="E182">IF(F182="","",INDEX(Podcasts!$J$10:'Podcasts'!$J$2535,MATCH(F182&amp;$B182,Podcasts!$E$10:'Podcasts'!$E$2535&amp;Podcasts!$D$10:'Podcasts'!$D$2535,0)))</f>
        <v>Verstärker</v>
      </c>
      <c r="F182" s="131">
        <f t="array" ref="F182">IF(COUNTIF(Podcasts!$D$10:'Podcasts'!$D$2535,$B182)&lt;COLUMN(A145),"",SMALL(IF(Podcasts!$D$10:'Podcasts'!$D$2535=$B182,Podcasts!$E$10:'Podcasts'!$E$2535),COLUMN(A145)))</f>
        <v>44868</v>
      </c>
      <c r="G182" s="132">
        <f t="array" ref="G182">IF(F182="","",INDEX(Podcasts!$F$10:'Podcasts'!$F$2535,MATCH(F182&amp;$B182,Podcasts!$E$10:'Podcasts'!$E$2535&amp;Podcasts!$D$10:'Podcasts'!$D$2535,0)))</f>
        <v>2.3483796296296298E-2</v>
      </c>
      <c r="H182" s="136" t="str">
        <f t="array" ref="H182">IF(I182="","",INDEX(Podcasts!$J$10:'Podcasts'!$J$2535,MATCH(I182&amp;$B182,Podcasts!$E$10:'Podcasts'!$E$2535&amp;Podcasts!$D$10:'Podcasts'!$D$2535,0)))</f>
        <v/>
      </c>
      <c r="I182" s="133" t="str">
        <f t="array" ref="I182">IF(COUNTIF(Podcasts!$D$10:'Podcasts'!$D$2535,$B182)&lt;COLUMN(B145),"",SMALL(IF(Podcasts!$D$10:'Podcasts'!$D$2535=$B182,Podcasts!$E$10:'Podcasts'!$E$2535),COLUMN(B145)))</f>
        <v/>
      </c>
      <c r="J182" s="132" t="str">
        <f t="array" ref="J182">IF(I182="","",INDEX(Podcasts!$F$10:'Podcasts'!$F$2535,MATCH(I182&amp;$B182,Podcasts!$E$10:'Podcasts'!$E$2535&amp;Podcasts!$D$10:'Podcasts'!$D$2535,0)))</f>
        <v/>
      </c>
      <c r="K182" s="136" t="str">
        <f t="array" ref="K182">IF(L182="","",INDEX(Podcasts!$J$10:'Podcasts'!$J$2535,MATCH(L182&amp;$B182,Podcasts!$E$10:'Podcasts'!$E$2535&amp;Podcasts!$D$10:'Podcasts'!$D$2535,0)))</f>
        <v/>
      </c>
      <c r="L182" s="133" t="str">
        <f t="array" ref="L182">IF(COUNTIF(Podcasts!$D$10:'Podcasts'!$D$2535,$B182)&lt;COLUMN(C145),"",SMALL(IF(Podcasts!$D$10:'Podcasts'!$D$2535=$B182,Podcasts!$E$10:'Podcasts'!$E$2535),COLUMN(C145)))</f>
        <v/>
      </c>
      <c r="M182" s="132" t="str">
        <f t="array" ref="M182">IF(L182="","",INDEX(Podcasts!$F$10:'Podcasts'!$F$2535,MATCH(L182&amp;$B182,Podcasts!$E$10:'Podcasts'!$E$2535&amp;Podcasts!$D$10:'Podcasts'!$D$2535,0)))</f>
        <v/>
      </c>
      <c r="N182" s="136" t="str">
        <f t="array" ref="N182">IF(O182="","",INDEX(Podcasts!$J$10:'Podcasts'!$J$2535,MATCH(O182&amp;$B182,Podcasts!$E$10:'Podcasts'!$E$2535&amp;Podcasts!$D$10:'Podcasts'!$D$2535,0)))</f>
        <v/>
      </c>
      <c r="O182" s="133" t="str">
        <f t="array" ref="O182">IF(COUNTIF(Podcasts!$D$10:'Podcasts'!$D$2535,$B182)&lt;COLUMN(D145),"",SMALL(IF(Podcasts!$D$10:'Podcasts'!$D$2535=$B182,Podcasts!$E$10:'Podcasts'!$E$2535),COLUMN(D145)))</f>
        <v/>
      </c>
      <c r="P182" s="132" t="str">
        <f t="array" ref="P182">IF(O182="","",INDEX(Podcasts!$F$10:'Podcasts'!$F$2535,MATCH(O182&amp;$B182,Podcasts!$E$10:'Podcasts'!$E$2535&amp;Podcasts!$D$10:'Podcasts'!$D$2535,0)))</f>
        <v/>
      </c>
      <c r="Q182" s="136" t="str">
        <f t="array" ref="Q182">IF(R182="","",INDEX(Podcasts!$J$10:'Podcasts'!$J$2535,MATCH(R182&amp;$B182,Podcasts!$E$10:'Podcasts'!$E$2535&amp;Podcasts!$D$10:'Podcasts'!$D$2535,0)))</f>
        <v/>
      </c>
      <c r="R182" s="133" t="str">
        <f t="array" ref="R182">IF(COUNTIF(Podcasts!$D$10:'Podcasts'!$D$2535,$B182)&lt;COLUMN(E145),"",SMALL(IF(Podcasts!$D$10:'Podcasts'!$D$2535=$B182,Podcasts!$E$10:'Podcasts'!$E$2535),COLUMN(E145)))</f>
        <v/>
      </c>
      <c r="S182" s="132" t="str">
        <f t="array" ref="S182">IF(R182="","",INDEX(Podcasts!$F$10:'Podcasts'!$F$2535,MATCH(R182&amp;$B182,Podcasts!$E$10:'Podcasts'!$E$2535&amp;Podcasts!$D$10:'Podcasts'!$D$2535,0)))</f>
        <v/>
      </c>
      <c r="T182" s="136" t="str">
        <f t="array" ref="T182">IF(U182="","",INDEX(Podcasts!$J$10:'Podcasts'!$J$2535,MATCH(U182&amp;$B182,Podcasts!$E$10:'Podcasts'!$E$2535&amp;Podcasts!$D$10:'Podcasts'!$D$2535,0)))</f>
        <v/>
      </c>
      <c r="U182" s="133" t="str">
        <f t="array" ref="U182">IF(COUNTIF(Podcasts!$D$10:'Podcasts'!$D$2535,$B182)&lt;COLUMN(F145),"",SMALL(IF(Podcasts!$D$10:'Podcasts'!$D$2535=$B182,Podcasts!$E$10:'Podcasts'!$E$2535),COLUMN(F145)))</f>
        <v/>
      </c>
      <c r="V182" s="132" t="str">
        <f t="array" ref="V182">IF(U182="","",INDEX(Podcasts!$F$10:'Podcasts'!$F$2535,MATCH(U182&amp;$B182,Podcasts!$E$10:'Podcasts'!$E$2535&amp;Podcasts!$D$10:'Podcasts'!$D$2535,0)))</f>
        <v/>
      </c>
      <c r="W182" s="136" t="str">
        <f t="array" ref="W182">IF(X182="","",INDEX(Podcasts!$J$10:'Podcasts'!$J$2535,MATCH(X182&amp;$B182,Podcasts!$E$10:'Podcasts'!$E$2535&amp;Podcasts!$D$10:'Podcasts'!$D$2535,0)))</f>
        <v/>
      </c>
      <c r="X182" s="133" t="str">
        <f t="array" ref="X182">IF(COUNTIF(Podcasts!$D$10:'Podcasts'!$D$2535,$B182)&lt;COLUMN(G145),"",SMALL(IF(Podcasts!$D$10:'Podcasts'!$D$2535=$B182,Podcasts!$E$10:'Podcasts'!$E$2535),COLUMN(G145)))</f>
        <v/>
      </c>
      <c r="Y182" s="132" t="str">
        <f t="array" ref="Y182">IF(X182="","",INDEX(Podcasts!$F$10:'Podcasts'!$F$2535,MATCH(X182&amp;$B182,Podcasts!$E$10:'Podcasts'!$E$2535&amp;Podcasts!$D$10:'Podcasts'!$D$2535,0)))</f>
        <v/>
      </c>
      <c r="Z182" s="136" t="str">
        <f t="array" ref="Z182">IF(AA182="","",INDEX(Podcasts!$J$10:'Podcasts'!$J$2535,MATCH(AA182&amp;$B182,Podcasts!$E$10:'Podcasts'!$E$2535&amp;Podcasts!$D$10:'Podcasts'!$D$2535,0)))</f>
        <v/>
      </c>
      <c r="AA182" s="134" t="str">
        <f t="array" ref="AA182">IF(COUNTIF(Podcasts!$D$10:'Podcasts'!$D$2535,$B182)&lt;COLUMN(H145),"",SMALL(IF(Podcasts!$D$10:'Podcasts'!$D$2535=$B182,Podcasts!$E$10:'Podcasts'!$E$2535),COLUMN(H145)))</f>
        <v/>
      </c>
      <c r="AB182" s="404" t="str">
        <f t="array" ref="AB182">IF(AA182="","",INDEX(Podcasts!$F$10:'Podcasts'!$F$2535,MATCH(AA182&amp;$B182,Podcasts!$E$10:'Podcasts'!$E$2535&amp;Podcasts!$D$10:'Podcasts'!$D$2535,0)))</f>
        <v/>
      </c>
      <c r="AC182" s="406" t="str">
        <f t="array" ref="AC182">IF(AD182="","",INDEX(Podcasts!$J$10:'Podcasts'!$J$2535,MATCH(AD182&amp;$B182,Podcasts!$E$10:'Podcasts'!$E$2535&amp;Podcasts!$D$10:'Podcasts'!$D$2535,0)))</f>
        <v/>
      </c>
      <c r="AD182" s="400" t="str">
        <f t="array" ref="AD182">IF(COUNTIF(Podcasts!$D$10:'Podcasts'!$D$2535,$B182)&lt;COLUMN(I145),"",SMALL(IF(Podcasts!$D$10:'Podcasts'!$D$2535=$B182,Podcasts!$E$10:'Podcasts'!$E$2535),COLUMN(I145)))</f>
        <v/>
      </c>
      <c r="AE182" s="401" t="str">
        <f t="array" ref="AE182">IF(AD182="","",INDEX(Podcasts!$F$10:'Podcasts'!$F$2535,MATCH(AD182&amp;$B182,Podcasts!$E$10:'Podcasts'!$E$2535&amp;Podcasts!$D$10:'Podcasts'!$D$2535,0)))</f>
        <v/>
      </c>
      <c r="AF182" s="406" t="str">
        <f t="array" ref="AF182">IF(AG182="","",INDEX(Podcasts!$J$10:'Podcasts'!$J$2535,MATCH(AG182&amp;$B182,Podcasts!$E$10:'Podcasts'!$E$2535&amp;Podcasts!$D$10:'Podcasts'!$D$2535,0)))</f>
        <v/>
      </c>
      <c r="AG182" s="400" t="str">
        <f t="array" ref="AG182">IF(COUNTIF(Podcasts!$D$10:'Podcasts'!$D$2535,$B182)&lt;COLUMN(J145),"",SMALL(IF(Podcasts!$D$10:'Podcasts'!$D$2535=$B182,Podcasts!$E$10:'Podcasts'!$E$2535),COLUMN(J145)))</f>
        <v/>
      </c>
      <c r="AH182" s="401" t="str">
        <f t="array" ref="AH182">IF(AG182="","",INDEX(Podcasts!$F$10:'Podcasts'!$F$2535,MATCH(AG182&amp;$B182,Podcasts!$E$10:'Podcasts'!$E$2535&amp;Podcasts!$D$10:'Podcasts'!$D$2535,0)))</f>
        <v/>
      </c>
      <c r="AI182" s="406" t="str">
        <f t="array" ref="AI182">IF(AJ182="","",INDEX(Podcasts!$J$10:'Podcasts'!$J$2535,MATCH(AJ182&amp;$B182,Podcasts!$E$10:'Podcasts'!$E$2535&amp;Podcasts!$D$10:'Podcasts'!$D$2535,0)))</f>
        <v/>
      </c>
      <c r="AJ182" s="400" t="str">
        <f t="array" ref="AJ182">IF(COUNTIF(Podcasts!$D$10:'Podcasts'!$D$2535,$B182)&lt;COLUMN(K145),"",SMALL(IF(Podcasts!$D$10:'Podcasts'!$D$2535=$B182,Podcasts!$E$10:'Podcasts'!$E$2535),COLUMN(K145)))</f>
        <v/>
      </c>
      <c r="AK182" s="401" t="str">
        <f t="array" ref="AK182">IF(AJ182="","",INDEX(Podcasts!$F$10:'Podcasts'!$F$2535,MATCH(AJ182&amp;$B182,Podcasts!$E$10:'Podcasts'!$E$2535&amp;Podcasts!$D$10:'Podcasts'!$D$2535,0)))</f>
        <v/>
      </c>
      <c r="AL182" s="406" t="str">
        <f t="array" ref="AL182">IF(AM182="","",INDEX(Podcasts!$J$10:'Podcasts'!$J$2535,MATCH(AM182&amp;$B182,Podcasts!$E$10:'Podcasts'!$E$2535&amp;Podcasts!$D$10:'Podcasts'!$D$2535,0)))</f>
        <v/>
      </c>
      <c r="AM182" s="400" t="str">
        <f t="array" ref="AM182">IF(COUNTIF(Podcasts!$D$10:'Podcasts'!$D$2535,$B182)&lt;COLUMN(L145),"",SMALL(IF(Podcasts!$D$10:'Podcasts'!$D$2535=$B182,Podcasts!$E$10:'Podcasts'!$E$2535),COLUMN(L145)))</f>
        <v/>
      </c>
      <c r="AN182" s="401" t="str">
        <f t="array" ref="AN182">IF(AM182="","",INDEX(Podcasts!$F$10:'Podcasts'!$F$2535,MATCH(AM182&amp;$B182,Podcasts!$E$10:'Podcasts'!$E$2535&amp;Podcasts!$D$10:'Podcasts'!$D$2535,0)))</f>
        <v/>
      </c>
      <c r="AO182" s="402"/>
      <c r="AP182" s="119"/>
      <c r="AQ182" s="117">
        <f t="array" aca="1" ref="AQ182" ca="1">IFERROR(SMALL(IF(COUNTIF(Podcasts!$D$10:'Podcasts'!$D$107,ROW(INDIRECT("1:"&amp;K$2)))=0,ROW(INDIRECT("1:"&amp;K$2))),ROW($A139)),"")</f>
        <v>181</v>
      </c>
      <c r="AR182" s="117">
        <f t="array" aca="1" ref="AR182" ca="1">IFERROR(SMALL(IF(COUNTIF(Podcasts!$D$113:'Podcasts'!$D$238,ROW(INDIRECT("1:"&amp;K$2)))=0,ROW(INDIRECT("1:"&amp;K$2))),ROW($A139)),"")</f>
        <v>139</v>
      </c>
      <c r="AS182" s="117">
        <f t="array" aca="1" ref="AS182" ca="1">IFERROR(SMALL(IF(COUNTIF(Podcasts!$D$244:'Podcasts'!$D$299,ROW(INDIRECT("1:"&amp;K$2)))=0,ROW(INDIRECT("1:"&amp;K$2))),ROW($A139)),"")</f>
        <v>172</v>
      </c>
      <c r="AT182" s="117"/>
      <c r="AU182" s="117">
        <f t="array" aca="1" ref="AU182" ca="1">IFERROR(SMALL(IF(COUNTIF(Podcasts!$D$479:'Podcasts'!$D$488,ROW(INDIRECT("1:"&amp;K$2)))=0,ROW(INDIRECT("1:"&amp;K$2))),ROW($A139)),"")</f>
        <v>143</v>
      </c>
      <c r="AV182" s="117">
        <f t="array" aca="1" ref="AV182" ca="1">IFERROR(SMALL(IF(COUNTIF(Podcasts!$D$494:'Podcasts'!$D$518,ROW(INDIRECT("1:"&amp;K$2)))=0,ROW(INDIRECT("1:"&amp;K$2))),ROW($A139)),"")</f>
        <v>162</v>
      </c>
      <c r="AW182" s="117">
        <f t="array" aca="1" ref="AW182" ca="1">IFERROR(SMALL(IF(COUNTIF(Podcasts!$D$524:'Podcasts'!$D$532,ROW(INDIRECT("1:"&amp;K$2)))=0,ROW(INDIRECT("1:"&amp;K$2))),ROW($A139)),"")</f>
        <v>140</v>
      </c>
      <c r="AX182" s="117"/>
      <c r="AY182" s="117">
        <f t="array" aca="1" ref="AY182" ca="1">IFERROR(SMALL(IF(COUNTIF(Podcasts!$D$915:'Podcasts'!$D$981,ROW(INDIRECT("1:"&amp;K$2)))=0,ROW(INDIRECT("1:"&amp;K$2))),ROW($A139)),"")</f>
        <v>194</v>
      </c>
      <c r="AZ182" s="445"/>
      <c r="BA182" s="117">
        <f t="array" aca="1" ref="BA182" ca="1">IFERROR(SMALL(IF(COUNTIF(Podcasts!$D$1001:'Podcasts'!$D$1251,ROW(INDIRECT("1:"&amp;K$2)))=0,ROW(INDIRECT("1:"&amp;K$2))),ROW($A139)),"")</f>
        <v>191</v>
      </c>
      <c r="BB182" s="117">
        <f t="array" aca="1" ref="BB182" ca="1">IFERROR(SMALL(IF(COUNTIF(Podcasts!$D$1257:'Podcasts'!$D$1267,ROW(INDIRECT("1:"&amp;K$2)))=0,ROW(INDIRECT("1:"&amp;K$2))),ROW($A139)),"")</f>
        <v>144</v>
      </c>
      <c r="BC182" s="117">
        <f t="array" aca="1" ref="BC182" ca="1">IFERROR(SMALL(IF(COUNTIF(Podcasts!$D$1273:'Podcasts'!$D$1283,ROW(INDIRECT("1:"&amp;K$2)))=0,ROW(INDIRECT("1:"&amp;K$2))),ROW($A139)),"")</f>
        <v>143</v>
      </c>
      <c r="BD182" s="117">
        <f t="array" aca="1" ref="BD182" ca="1">IFERROR(SMALL(IF(COUNTIF(Podcasts!$D$1289:'Podcasts'!$D$1295,ROW(INDIRECT("1:"&amp;K$2)))=0,ROW(INDIRECT("1:"&amp;K$2))),ROW($A139)),"")</f>
        <v>144</v>
      </c>
      <c r="BE182" s="117">
        <f t="array" aca="1" ref="BE182" ca="1">IFERROR(SMALL(IF(COUNTIF(Podcasts!$D$1301:'Podcasts'!$D$1356,ROW(INDIRECT("1:"&amp;K$2)))=0,ROW(INDIRECT("1:"&amp;K$2))),ROW($A139)),"")</f>
        <v>186</v>
      </c>
      <c r="BF182" s="117">
        <f t="array" aca="1" ref="BF182" ca="1">IFERROR(SMALL(IF(COUNTIF(Podcasts!$D$1362:'Podcasts'!$D$1364,ROW(INDIRECT("1:"&amp;K$2)))=0,ROW(INDIRECT("1:"&amp;K$2))),ROW($A139)),"")</f>
        <v>142</v>
      </c>
      <c r="BG182" s="202">
        <f t="array" aca="1" ref="BG182" ca="1">IFERROR(SMALL(IF(COUNTIF(Podcasts!$D$1370:'Podcasts'!$D$1419,ROW(INDIRECT("1:"&amp;K$2)))=0,ROW(INDIRECT("1:"&amp;K$2))),ROW($A139)),"")</f>
        <v>176</v>
      </c>
      <c r="BH182" s="202">
        <f t="array" aca="1" ref="BH182" ca="1">IFERROR(SMALL(IF(COUNTIF(Podcasts!$D$1425:'Podcasts'!$D$1446,ROW(INDIRECT("1:"&amp;K$2)))=0,ROW(INDIRECT("1:"&amp;K$2))),ROW($A139)),"")</f>
        <v>149</v>
      </c>
      <c r="BI182" s="202">
        <f t="array" aca="1" ref="BI182" ca="1">IFERROR(SMALL(IF(COUNTIF(Podcasts!$D$1452:'Podcasts'!$D$1574,ROW(INDIRECT("1:"&amp;K$2)))=0,ROW(INDIRECT("1:"&amp;K$2))),ROW($A139)),"")</f>
        <v>219</v>
      </c>
      <c r="BJ182" s="202">
        <f t="array" aca="1" ref="BJ182" ca="1">IFERROR(SMALL(IF(COUNTIF(Podcasts!$D$1580:'Podcasts'!$D$1705,ROW(INDIRECT("1:"&amp;K$2)))=0,ROW(INDIRECT("1:"&amp;K$2))),ROW($A139)),"")</f>
        <v>224</v>
      </c>
      <c r="BK182" s="202">
        <f t="array" aca="1" ref="BK182" ca="1">IFERROR(SMALL(IF(COUNTIF(Podcasts!$D$1711:'Podcasts'!$D$1833,ROW(INDIRECT("1:"&amp;K$2)))=0,ROW(INDIRECT("1:"&amp;K$2))),ROW($A139)),"")</f>
        <v>214</v>
      </c>
      <c r="BL182" s="202">
        <f t="array" aca="1" ref="BL182" ca="1">IFERROR(SMALL(IF(COUNTIF(Podcasts!$D$1839:'Podcasts'!$D$1855,ROW(INDIRECT("1:"&amp;K$2)))=0,ROW(INDIRECT("1:"&amp;K$2))),ROW($A139)),"")</f>
        <v>148</v>
      </c>
      <c r="BM182" s="567">
        <f t="array" aca="1" ref="BM182" ca="1">IFERROR(SMALL(IF(COUNTIF(Podcasts!$D$1861:'Podcasts'!$D$1994,ROW(INDIRECT("1:"&amp;K$2)))=0,ROW(INDIRECT("1:"&amp;K$2))),ROW($A139)),"")</f>
        <v>187</v>
      </c>
      <c r="BN182" s="567">
        <f t="array" aca="1" ref="BN182" ca="1">IFERROR(SMALL(IF(COUNTIF(Podcasts!$D$2000:'Podcasts'!$D$2057,ROW(INDIRECT("1:"&amp;K$2)))=0,ROW(INDIRECT("1:"&amp;K$2))),ROW($A139)),"")</f>
        <v>194</v>
      </c>
      <c r="BO182" s="567">
        <f t="array" aca="1" ref="BO182" ca="1">IFERROR(SMALL(IF(COUNTIF(Podcasts!$D$2063:'Podcasts'!$D$2071,ROW(INDIRECT("1:"&amp;K$2)))=0,ROW(INDIRECT("1:"&amp;K$2))),ROW($A139)),"")</f>
        <v>146</v>
      </c>
      <c r="BP182" s="202">
        <f t="array" aca="1" ref="BP182" ca="1">IFERROR(SMALL(IF(COUNTIF(Podcasts!$D$2077:'Podcasts'!$D$2092,ROW(INDIRECT("1:"&amp;K$2)))=0,ROW(INDIRECT("1:"&amp;K$2))),ROW($A139)),"")</f>
        <v>150</v>
      </c>
      <c r="BQ182" s="741">
        <f t="array" aca="1" ref="BQ182" ca="1">IFERROR(SMALL(IF(COUNTIF(Podcasts!$D$2098:'Podcasts'!$D$2114,ROW(INDIRECT("1:"&amp;K$2)))=0,ROW(INDIRECT("1:"&amp;K$2))),ROW($A139)),"")</f>
        <v>152</v>
      </c>
      <c r="BR182" s="744">
        <f t="array" aca="1" ref="BR182" ca="1">IFERROR(SMALL(IF(COUNTIF(Podcasts!$D$2120:'Podcasts'!$D$2124,ROW(INDIRECT("1:"&amp;K$2)))=0,ROW(INDIRECT("1:"&amp;K$2))),ROW($A139)),"")</f>
        <v>141</v>
      </c>
      <c r="BS182" s="28"/>
    </row>
    <row r="183" spans="1:71" outlineLevel="1">
      <c r="A183" s="28"/>
      <c r="B183" s="161">
        <v>140</v>
      </c>
      <c r="C183" s="161">
        <f>COUNTIF(Podcasts!$D$10:'Podcasts'!$D$2535,B183)</f>
        <v>3</v>
      </c>
      <c r="D183" s="158" t="s">
        <v>1166</v>
      </c>
      <c r="E183" s="156" t="str">
        <f t="array" ref="E183">IF(F183="","",INDEX(Podcasts!$J$10:'Podcasts'!$J$2535,MATCH(F183&amp;$B183,Podcasts!$E$10:'Podcasts'!$E$2535&amp;Podcasts!$D$10:'Podcasts'!$D$2535,0)))</f>
        <v>Fürst</v>
      </c>
      <c r="F183" s="131">
        <f t="array" ref="F183">IF(COUNTIF(Podcasts!$D$10:'Podcasts'!$D$2535,$B183)&lt;COLUMN(A146),"",SMALL(IF(Podcasts!$D$10:'Podcasts'!$D$2535=$B183,Podcasts!$E$10:'Podcasts'!$E$2535),COLUMN(A146)))</f>
        <v>41731</v>
      </c>
      <c r="G183" s="132">
        <f t="array" ref="G183">IF(F183="","",INDEX(Podcasts!$F$10:'Podcasts'!$F$2535,MATCH(F183&amp;$B183,Podcasts!$E$10:'Podcasts'!$E$2535&amp;Podcasts!$D$10:'Podcasts'!$D$2535,0)))</f>
        <v>3.2407407407407385E-3</v>
      </c>
      <c r="H183" s="136" t="str">
        <f t="array" ref="H183">IF(I183="","",INDEX(Podcasts!$J$10:'Podcasts'!$J$2535,MATCH(I183&amp;$B183,Podcasts!$E$10:'Podcasts'!$E$2535&amp;Podcasts!$D$10:'Podcasts'!$D$2535,0)))</f>
        <v>Hoerst</v>
      </c>
      <c r="I183" s="133">
        <f t="array" ref="I183">IF(COUNTIF(Podcasts!$D$10:'Podcasts'!$D$2535,$B183)&lt;COLUMN(B146),"",SMALL(IF(Podcasts!$D$10:'Podcasts'!$D$2535=$B183,Podcasts!$E$10:'Podcasts'!$E$2535),COLUMN(B146)))</f>
        <v>43104</v>
      </c>
      <c r="J183" s="132">
        <f t="array" ref="J183">IF(I183="","",INDEX(Podcasts!$F$10:'Podcasts'!$F$2535,MATCH(I183&amp;$B183,Podcasts!$E$10:'Podcasts'!$E$2535&amp;Podcasts!$D$10:'Podcasts'!$D$2535,0)))</f>
        <v>7.6099537037037035E-2</v>
      </c>
      <c r="K183" s="136" t="str">
        <f t="array" ref="K183">IF(L183="","",INDEX(Podcasts!$J$10:'Podcasts'!$J$2535,MATCH(L183&amp;$B183,Podcasts!$E$10:'Podcasts'!$E$2535&amp;Podcasts!$D$10:'Podcasts'!$D$2535,0)))</f>
        <v>SSP</v>
      </c>
      <c r="L183" s="133">
        <f t="array" ref="L183">IF(COUNTIF(Podcasts!$D$10:'Podcasts'!$D$2535,$B183)&lt;COLUMN(C146),"",SMALL(IF(Podcasts!$D$10:'Podcasts'!$D$2535=$B183,Podcasts!$E$10:'Podcasts'!$E$2535),COLUMN(C146)))</f>
        <v>45249</v>
      </c>
      <c r="M183" s="132">
        <f t="array" ref="M183">IF(L183="","",INDEX(Podcasts!$F$10:'Podcasts'!$F$2535,MATCH(L183&amp;$B183,Podcasts!$E$10:'Podcasts'!$E$2535&amp;Podcasts!$D$10:'Podcasts'!$D$2535,0)))</f>
        <v>0.12223379629629628</v>
      </c>
      <c r="N183" s="136" t="str">
        <f t="array" ref="N183">IF(O183="","",INDEX(Podcasts!$J$10:'Podcasts'!$J$2535,MATCH(O183&amp;$B183,Podcasts!$E$10:'Podcasts'!$E$2535&amp;Podcasts!$D$10:'Podcasts'!$D$2535,0)))</f>
        <v/>
      </c>
      <c r="O183" s="133" t="str">
        <f t="array" ref="O183">IF(COUNTIF(Podcasts!$D$10:'Podcasts'!$D$2535,$B183)&lt;COLUMN(D146),"",SMALL(IF(Podcasts!$D$10:'Podcasts'!$D$2535=$B183,Podcasts!$E$10:'Podcasts'!$E$2535),COLUMN(D146)))</f>
        <v/>
      </c>
      <c r="P183" s="132" t="str">
        <f t="array" ref="P183">IF(O183="","",INDEX(Podcasts!$F$10:'Podcasts'!$F$2535,MATCH(O183&amp;$B183,Podcasts!$E$10:'Podcasts'!$E$2535&amp;Podcasts!$D$10:'Podcasts'!$D$2535,0)))</f>
        <v/>
      </c>
      <c r="Q183" s="136" t="str">
        <f t="array" ref="Q183">IF(R183="","",INDEX(Podcasts!$J$10:'Podcasts'!$J$2535,MATCH(R183&amp;$B183,Podcasts!$E$10:'Podcasts'!$E$2535&amp;Podcasts!$D$10:'Podcasts'!$D$2535,0)))</f>
        <v/>
      </c>
      <c r="R183" s="133" t="str">
        <f t="array" ref="R183">IF(COUNTIF(Podcasts!$D$10:'Podcasts'!$D$2535,$B183)&lt;COLUMN(E146),"",SMALL(IF(Podcasts!$D$10:'Podcasts'!$D$2535=$B183,Podcasts!$E$10:'Podcasts'!$E$2535),COLUMN(E146)))</f>
        <v/>
      </c>
      <c r="S183" s="132" t="str">
        <f t="array" ref="S183">IF(R183="","",INDEX(Podcasts!$F$10:'Podcasts'!$F$2535,MATCH(R183&amp;$B183,Podcasts!$E$10:'Podcasts'!$E$2535&amp;Podcasts!$D$10:'Podcasts'!$D$2535,0)))</f>
        <v/>
      </c>
      <c r="T183" s="136" t="str">
        <f t="array" ref="T183">IF(U183="","",INDEX(Podcasts!$J$10:'Podcasts'!$J$2535,MATCH(U183&amp;$B183,Podcasts!$E$10:'Podcasts'!$E$2535&amp;Podcasts!$D$10:'Podcasts'!$D$2535,0)))</f>
        <v/>
      </c>
      <c r="U183" s="133" t="str">
        <f t="array" ref="U183">IF(COUNTIF(Podcasts!$D$10:'Podcasts'!$D$2535,$B183)&lt;COLUMN(F146),"",SMALL(IF(Podcasts!$D$10:'Podcasts'!$D$2535=$B183,Podcasts!$E$10:'Podcasts'!$E$2535),COLUMN(F146)))</f>
        <v/>
      </c>
      <c r="V183" s="132" t="str">
        <f t="array" ref="V183">IF(U183="","",INDEX(Podcasts!$F$10:'Podcasts'!$F$2535,MATCH(U183&amp;$B183,Podcasts!$E$10:'Podcasts'!$E$2535&amp;Podcasts!$D$10:'Podcasts'!$D$2535,0)))</f>
        <v/>
      </c>
      <c r="W183" s="136" t="str">
        <f t="array" ref="W183">IF(X183="","",INDEX(Podcasts!$J$10:'Podcasts'!$J$2535,MATCH(X183&amp;$B183,Podcasts!$E$10:'Podcasts'!$E$2535&amp;Podcasts!$D$10:'Podcasts'!$D$2535,0)))</f>
        <v/>
      </c>
      <c r="X183" s="133" t="str">
        <f t="array" ref="X183">IF(COUNTIF(Podcasts!$D$10:'Podcasts'!$D$2535,$B183)&lt;COLUMN(G146),"",SMALL(IF(Podcasts!$D$10:'Podcasts'!$D$2535=$B183,Podcasts!$E$10:'Podcasts'!$E$2535),COLUMN(G146)))</f>
        <v/>
      </c>
      <c r="Y183" s="132" t="str">
        <f t="array" ref="Y183">IF(X183="","",INDEX(Podcasts!$F$10:'Podcasts'!$F$2535,MATCH(X183&amp;$B183,Podcasts!$E$10:'Podcasts'!$E$2535&amp;Podcasts!$D$10:'Podcasts'!$D$2535,0)))</f>
        <v/>
      </c>
      <c r="Z183" s="136" t="str">
        <f t="array" ref="Z183">IF(AA183="","",INDEX(Podcasts!$J$10:'Podcasts'!$J$2535,MATCH(AA183&amp;$B183,Podcasts!$E$10:'Podcasts'!$E$2535&amp;Podcasts!$D$10:'Podcasts'!$D$2535,0)))</f>
        <v/>
      </c>
      <c r="AA183" s="134" t="str">
        <f t="array" ref="AA183">IF(COUNTIF(Podcasts!$D$10:'Podcasts'!$D$2535,$B183)&lt;COLUMN(H146),"",SMALL(IF(Podcasts!$D$10:'Podcasts'!$D$2535=$B183,Podcasts!$E$10:'Podcasts'!$E$2535),COLUMN(H146)))</f>
        <v/>
      </c>
      <c r="AB183" s="404" t="str">
        <f t="array" ref="AB183">IF(AA183="","",INDEX(Podcasts!$F$10:'Podcasts'!$F$2535,MATCH(AA183&amp;$B183,Podcasts!$E$10:'Podcasts'!$E$2535&amp;Podcasts!$D$10:'Podcasts'!$D$2535,0)))</f>
        <v/>
      </c>
      <c r="AC183" s="406" t="str">
        <f t="array" ref="AC183">IF(AD183="","",INDEX(Podcasts!$J$10:'Podcasts'!$J$2535,MATCH(AD183&amp;$B183,Podcasts!$E$10:'Podcasts'!$E$2535&amp;Podcasts!$D$10:'Podcasts'!$D$2535,0)))</f>
        <v/>
      </c>
      <c r="AD183" s="400" t="str">
        <f t="array" ref="AD183">IF(COUNTIF(Podcasts!$D$10:'Podcasts'!$D$2535,$B183)&lt;COLUMN(I146),"",SMALL(IF(Podcasts!$D$10:'Podcasts'!$D$2535=$B183,Podcasts!$E$10:'Podcasts'!$E$2535),COLUMN(I146)))</f>
        <v/>
      </c>
      <c r="AE183" s="401" t="str">
        <f t="array" ref="AE183">IF(AD183="","",INDEX(Podcasts!$F$10:'Podcasts'!$F$2535,MATCH(AD183&amp;$B183,Podcasts!$E$10:'Podcasts'!$E$2535&amp;Podcasts!$D$10:'Podcasts'!$D$2535,0)))</f>
        <v/>
      </c>
      <c r="AF183" s="406" t="str">
        <f t="array" ref="AF183">IF(AG183="","",INDEX(Podcasts!$J$10:'Podcasts'!$J$2535,MATCH(AG183&amp;$B183,Podcasts!$E$10:'Podcasts'!$E$2535&amp;Podcasts!$D$10:'Podcasts'!$D$2535,0)))</f>
        <v/>
      </c>
      <c r="AG183" s="400" t="str">
        <f t="array" ref="AG183">IF(COUNTIF(Podcasts!$D$10:'Podcasts'!$D$2535,$B183)&lt;COLUMN(J146),"",SMALL(IF(Podcasts!$D$10:'Podcasts'!$D$2535=$B183,Podcasts!$E$10:'Podcasts'!$E$2535),COLUMN(J146)))</f>
        <v/>
      </c>
      <c r="AH183" s="401" t="str">
        <f t="array" ref="AH183">IF(AG183="","",INDEX(Podcasts!$F$10:'Podcasts'!$F$2535,MATCH(AG183&amp;$B183,Podcasts!$E$10:'Podcasts'!$E$2535&amp;Podcasts!$D$10:'Podcasts'!$D$2535,0)))</f>
        <v/>
      </c>
      <c r="AI183" s="406" t="str">
        <f t="array" ref="AI183">IF(AJ183="","",INDEX(Podcasts!$J$10:'Podcasts'!$J$2535,MATCH(AJ183&amp;$B183,Podcasts!$E$10:'Podcasts'!$E$2535&amp;Podcasts!$D$10:'Podcasts'!$D$2535,0)))</f>
        <v/>
      </c>
      <c r="AJ183" s="400" t="str">
        <f t="array" ref="AJ183">IF(COUNTIF(Podcasts!$D$10:'Podcasts'!$D$2535,$B183)&lt;COLUMN(K146),"",SMALL(IF(Podcasts!$D$10:'Podcasts'!$D$2535=$B183,Podcasts!$E$10:'Podcasts'!$E$2535),COLUMN(K146)))</f>
        <v/>
      </c>
      <c r="AK183" s="401" t="str">
        <f t="array" ref="AK183">IF(AJ183="","",INDEX(Podcasts!$F$10:'Podcasts'!$F$2535,MATCH(AJ183&amp;$B183,Podcasts!$E$10:'Podcasts'!$E$2535&amp;Podcasts!$D$10:'Podcasts'!$D$2535,0)))</f>
        <v/>
      </c>
      <c r="AL183" s="406" t="str">
        <f t="array" ref="AL183">IF(AM183="","",INDEX(Podcasts!$J$10:'Podcasts'!$J$2535,MATCH(AM183&amp;$B183,Podcasts!$E$10:'Podcasts'!$E$2535&amp;Podcasts!$D$10:'Podcasts'!$D$2535,0)))</f>
        <v/>
      </c>
      <c r="AM183" s="400" t="str">
        <f t="array" ref="AM183">IF(COUNTIF(Podcasts!$D$10:'Podcasts'!$D$2535,$B183)&lt;COLUMN(L146),"",SMALL(IF(Podcasts!$D$10:'Podcasts'!$D$2535=$B183,Podcasts!$E$10:'Podcasts'!$E$2535),COLUMN(L146)))</f>
        <v/>
      </c>
      <c r="AN183" s="401" t="str">
        <f t="array" ref="AN183">IF(AM183="","",INDEX(Podcasts!$F$10:'Podcasts'!$F$2535,MATCH(AM183&amp;$B183,Podcasts!$E$10:'Podcasts'!$E$2535&amp;Podcasts!$D$10:'Podcasts'!$D$2535,0)))</f>
        <v/>
      </c>
      <c r="AO183" s="402"/>
      <c r="AP183" s="119"/>
      <c r="AQ183" s="117">
        <f t="array" aca="1" ref="AQ183" ca="1">IFERROR(SMALL(IF(COUNTIF(Podcasts!$D$10:'Podcasts'!$D$107,ROW(INDIRECT("1:"&amp;K$2)))=0,ROW(INDIRECT("1:"&amp;K$2))),ROW($A140)),"")</f>
        <v>182</v>
      </c>
      <c r="AR183" s="117">
        <f t="array" aca="1" ref="AR183" ca="1">IFERROR(SMALL(IF(COUNTIF(Podcasts!$D$113:'Podcasts'!$D$238,ROW(INDIRECT("1:"&amp;K$2)))=0,ROW(INDIRECT("1:"&amp;K$2))),ROW($A140)),"")</f>
        <v>140</v>
      </c>
      <c r="AS183" s="117">
        <f t="array" aca="1" ref="AS183" ca="1">IFERROR(SMALL(IF(COUNTIF(Podcasts!$D$244:'Podcasts'!$D$299,ROW(INDIRECT("1:"&amp;K$2)))=0,ROW(INDIRECT("1:"&amp;K$2))),ROW($A140)),"")</f>
        <v>173</v>
      </c>
      <c r="AT183" s="117"/>
      <c r="AU183" s="117">
        <f t="array" aca="1" ref="AU183" ca="1">IFERROR(SMALL(IF(COUNTIF(Podcasts!$D$479:'Podcasts'!$D$488,ROW(INDIRECT("1:"&amp;K$2)))=0,ROW(INDIRECT("1:"&amp;K$2))),ROW($A140)),"")</f>
        <v>144</v>
      </c>
      <c r="AV183" s="117">
        <f t="array" aca="1" ref="AV183" ca="1">IFERROR(SMALL(IF(COUNTIF(Podcasts!$D$494:'Podcasts'!$D$518,ROW(INDIRECT("1:"&amp;K$2)))=0,ROW(INDIRECT("1:"&amp;K$2))),ROW($A140)),"")</f>
        <v>163</v>
      </c>
      <c r="AW183" s="117">
        <f t="array" aca="1" ref="AW183" ca="1">IFERROR(SMALL(IF(COUNTIF(Podcasts!$D$524:'Podcasts'!$D$532,ROW(INDIRECT("1:"&amp;K$2)))=0,ROW(INDIRECT("1:"&amp;K$2))),ROW($A140)),"")</f>
        <v>141</v>
      </c>
      <c r="AX183" s="117"/>
      <c r="AY183" s="117">
        <f t="array" aca="1" ref="AY183" ca="1">IFERROR(SMALL(IF(COUNTIF(Podcasts!$D$915:'Podcasts'!$D$981,ROW(INDIRECT("1:"&amp;K$2)))=0,ROW(INDIRECT("1:"&amp;K$2))),ROW($A140)),"")</f>
        <v>195</v>
      </c>
      <c r="AZ183" s="445"/>
      <c r="BA183" s="117">
        <f t="array" aca="1" ref="BA183" ca="1">IFERROR(SMALL(IF(COUNTIF(Podcasts!$D$1001:'Podcasts'!$D$1251,ROW(INDIRECT("1:"&amp;K$2)))=0,ROW(INDIRECT("1:"&amp;K$2))),ROW($A140)),"")</f>
        <v>192</v>
      </c>
      <c r="BB183" s="117">
        <f t="array" aca="1" ref="BB183" ca="1">IFERROR(SMALL(IF(COUNTIF(Podcasts!$D$1257:'Podcasts'!$D$1267,ROW(INDIRECT("1:"&amp;K$2)))=0,ROW(INDIRECT("1:"&amp;K$2))),ROW($A140)),"")</f>
        <v>145</v>
      </c>
      <c r="BC183" s="117">
        <f t="array" aca="1" ref="BC183" ca="1">IFERROR(SMALL(IF(COUNTIF(Podcasts!$D$1273:'Podcasts'!$D$1283,ROW(INDIRECT("1:"&amp;K$2)))=0,ROW(INDIRECT("1:"&amp;K$2))),ROW($A140)),"")</f>
        <v>144</v>
      </c>
      <c r="BD183" s="117">
        <f t="array" aca="1" ref="BD183" ca="1">IFERROR(SMALL(IF(COUNTIF(Podcasts!$D$1289:'Podcasts'!$D$1295,ROW(INDIRECT("1:"&amp;K$2)))=0,ROW(INDIRECT("1:"&amp;K$2))),ROW($A140)),"")</f>
        <v>145</v>
      </c>
      <c r="BE183" s="117">
        <f t="array" aca="1" ref="BE183" ca="1">IFERROR(SMALL(IF(COUNTIF(Podcasts!$D$1301:'Podcasts'!$D$1356,ROW(INDIRECT("1:"&amp;K$2)))=0,ROW(INDIRECT("1:"&amp;K$2))),ROW($A140)),"")</f>
        <v>187</v>
      </c>
      <c r="BF183" s="117">
        <f t="array" aca="1" ref="BF183" ca="1">IFERROR(SMALL(IF(COUNTIF(Podcasts!$D$1362:'Podcasts'!$D$1364,ROW(INDIRECT("1:"&amp;K$2)))=0,ROW(INDIRECT("1:"&amp;K$2))),ROW($A140)),"")</f>
        <v>143</v>
      </c>
      <c r="BG183" s="202">
        <f t="array" aca="1" ref="BG183" ca="1">IFERROR(SMALL(IF(COUNTIF(Podcasts!$D$1370:'Podcasts'!$D$1419,ROW(INDIRECT("1:"&amp;K$2)))=0,ROW(INDIRECT("1:"&amp;K$2))),ROW($A140)),"")</f>
        <v>178</v>
      </c>
      <c r="BH183" s="202">
        <f t="array" aca="1" ref="BH183" ca="1">IFERROR(SMALL(IF(COUNTIF(Podcasts!$D$1425:'Podcasts'!$D$1446,ROW(INDIRECT("1:"&amp;K$2)))=0,ROW(INDIRECT("1:"&amp;K$2))),ROW($A140)),"")</f>
        <v>150</v>
      </c>
      <c r="BI183" s="202">
        <f t="array" aca="1" ref="BI183" ca="1">IFERROR(SMALL(IF(COUNTIF(Podcasts!$D$1452:'Podcasts'!$D$1574,ROW(INDIRECT("1:"&amp;K$2)))=0,ROW(INDIRECT("1:"&amp;K$2))),ROW($A140)),"")</f>
        <v>220</v>
      </c>
      <c r="BJ183" s="202">
        <f t="array" aca="1" ref="BJ183" ca="1">IFERROR(SMALL(IF(COUNTIF(Podcasts!$D$1580:'Podcasts'!$D$1705,ROW(INDIRECT("1:"&amp;K$2)))=0,ROW(INDIRECT("1:"&amp;K$2))),ROW($A140)),"")</f>
        <v>225</v>
      </c>
      <c r="BK183" s="202">
        <f t="array" aca="1" ref="BK183" ca="1">IFERROR(SMALL(IF(COUNTIF(Podcasts!$D$1711:'Podcasts'!$D$1833,ROW(INDIRECT("1:"&amp;K$2)))=0,ROW(INDIRECT("1:"&amp;K$2))),ROW($A140)),"")</f>
        <v>215</v>
      </c>
      <c r="BL183" s="202">
        <f t="array" aca="1" ref="BL183" ca="1">IFERROR(SMALL(IF(COUNTIF(Podcasts!$D$1839:'Podcasts'!$D$1855,ROW(INDIRECT("1:"&amp;K$2)))=0,ROW(INDIRECT("1:"&amp;K$2))),ROW($A140)),"")</f>
        <v>149</v>
      </c>
      <c r="BM183" s="567">
        <f t="array" aca="1" ref="BM183" ca="1">IFERROR(SMALL(IF(COUNTIF(Podcasts!$D$1861:'Podcasts'!$D$1994,ROW(INDIRECT("1:"&amp;K$2)))=0,ROW(INDIRECT("1:"&amp;K$2))),ROW($A140)),"")</f>
        <v>188</v>
      </c>
      <c r="BN183" s="567">
        <f t="array" aca="1" ref="BN183" ca="1">IFERROR(SMALL(IF(COUNTIF(Podcasts!$D$2000:'Podcasts'!$D$2057,ROW(INDIRECT("1:"&amp;K$2)))=0,ROW(INDIRECT("1:"&amp;K$2))),ROW($A140)),"")</f>
        <v>195</v>
      </c>
      <c r="BO183" s="567">
        <f t="array" aca="1" ref="BO183" ca="1">IFERROR(SMALL(IF(COUNTIF(Podcasts!$D$2063:'Podcasts'!$D$2071,ROW(INDIRECT("1:"&amp;K$2)))=0,ROW(INDIRECT("1:"&amp;K$2))),ROW($A140)),"")</f>
        <v>147</v>
      </c>
      <c r="BP183" s="202">
        <f t="array" aca="1" ref="BP183" ca="1">IFERROR(SMALL(IF(COUNTIF(Podcasts!$D$2077:'Podcasts'!$D$2092,ROW(INDIRECT("1:"&amp;K$2)))=0,ROW(INDIRECT("1:"&amp;K$2))),ROW($A140)),"")</f>
        <v>151</v>
      </c>
      <c r="BQ183" s="741">
        <f t="array" aca="1" ref="BQ183" ca="1">IFERROR(SMALL(IF(COUNTIF(Podcasts!$D$2098:'Podcasts'!$D$2114,ROW(INDIRECT("1:"&amp;K$2)))=0,ROW(INDIRECT("1:"&amp;K$2))),ROW($A140)),"")</f>
        <v>153</v>
      </c>
      <c r="BR183" s="744">
        <f t="array" aca="1" ref="BR183" ca="1">IFERROR(SMALL(IF(COUNTIF(Podcasts!$D$2120:'Podcasts'!$D$2124,ROW(INDIRECT("1:"&amp;K$2)))=0,ROW(INDIRECT("1:"&amp;K$2))),ROW($A140)),"")</f>
        <v>142</v>
      </c>
      <c r="BS183" s="28"/>
    </row>
    <row r="184" spans="1:71" outlineLevel="1">
      <c r="A184" s="28"/>
      <c r="B184" s="161">
        <v>141</v>
      </c>
      <c r="C184" s="161">
        <f>COUNTIF(Podcasts!$D$10:'Podcasts'!$D$2535,B184)</f>
        <v>3</v>
      </c>
      <c r="D184" s="158" t="s">
        <v>1167</v>
      </c>
      <c r="E184" s="156" t="str">
        <f t="array" ref="E184">IF(F184="","",INDEX(Podcasts!$J$10:'Podcasts'!$J$2535,MATCH(F184&amp;$B184,Podcasts!$E$10:'Podcasts'!$E$2535&amp;Podcasts!$D$10:'Podcasts'!$D$2535,0)))</f>
        <v>SSP</v>
      </c>
      <c r="F184" s="131">
        <f t="array" ref="F184">IF(COUNTIF(Podcasts!$D$10:'Podcasts'!$D$2535,$B184)&lt;COLUMN(A147),"",SMALL(IF(Podcasts!$D$10:'Podcasts'!$D$2535=$B184,Podcasts!$E$10:'Podcasts'!$E$2535),COLUMN(A147)))</f>
        <v>44020</v>
      </c>
      <c r="G184" s="132">
        <f t="array" ref="G184">IF(F184="","",INDEX(Podcasts!$F$10:'Podcasts'!$F$2535,MATCH(F184&amp;$B184,Podcasts!$E$10:'Podcasts'!$E$2535&amp;Podcasts!$D$10:'Podcasts'!$D$2535,0)))</f>
        <v>4.6840277777777779E-2</v>
      </c>
      <c r="H184" s="136" t="str">
        <f t="array" ref="H184">IF(I184="","",INDEX(Podcasts!$J$10:'Podcasts'!$J$2535,MATCH(I184&amp;$B184,Podcasts!$E$10:'Podcasts'!$E$2535&amp;Podcasts!$D$10:'Podcasts'!$D$2535,0)))</f>
        <v>DGdB</v>
      </c>
      <c r="I184" s="133">
        <f t="array" ref="I184">IF(COUNTIF(Podcasts!$D$10:'Podcasts'!$D$2535,$B184)&lt;COLUMN(B147),"",SMALL(IF(Podcasts!$D$10:'Podcasts'!$D$2535=$B184,Podcasts!$E$10:'Podcasts'!$E$2535),COLUMN(B147)))</f>
        <v>44958.333333333336</v>
      </c>
      <c r="J184" s="132">
        <f t="array" ref="J184">IF(I184="","",INDEX(Podcasts!$F$10:'Podcasts'!$F$2535,MATCH(I184&amp;$B184,Podcasts!$E$10:'Podcasts'!$E$2535&amp;Podcasts!$D$10:'Podcasts'!$D$2535,0)))</f>
        <v>0.11313657407407407</v>
      </c>
      <c r="K184" s="136" t="str">
        <f t="array" ref="K184">IF(L184="","",INDEX(Podcasts!$J$10:'Podcasts'!$J$2535,MATCH(L184&amp;$B184,Podcasts!$E$10:'Podcasts'!$E$2535&amp;Podcasts!$D$10:'Podcasts'!$D$2535,0)))</f>
        <v>Kaffee</v>
      </c>
      <c r="L184" s="133">
        <f t="array" ref="L184">IF(COUNTIF(Podcasts!$D$10:'Podcasts'!$D$2535,$B184)&lt;COLUMN(C147),"",SMALL(IF(Podcasts!$D$10:'Podcasts'!$D$2535=$B184,Podcasts!$E$10:'Podcasts'!$E$2535),COLUMN(C147)))</f>
        <v>45163</v>
      </c>
      <c r="M184" s="132">
        <f t="array" ref="M184">IF(L184="","",INDEX(Podcasts!$F$10:'Podcasts'!$F$2535,MATCH(L184&amp;$B184,Podcasts!$E$10:'Podcasts'!$E$2535&amp;Podcasts!$D$10:'Podcasts'!$D$2535,0)))</f>
        <v>4.9143518518518524E-2</v>
      </c>
      <c r="N184" s="136" t="str">
        <f t="array" ref="N184">IF(O184="","",INDEX(Podcasts!$J$10:'Podcasts'!$J$2535,MATCH(O184&amp;$B184,Podcasts!$E$10:'Podcasts'!$E$2535&amp;Podcasts!$D$10:'Podcasts'!$D$2535,0)))</f>
        <v/>
      </c>
      <c r="O184" s="133" t="str">
        <f t="array" ref="O184">IF(COUNTIF(Podcasts!$D$10:'Podcasts'!$D$2535,$B184)&lt;COLUMN(D147),"",SMALL(IF(Podcasts!$D$10:'Podcasts'!$D$2535=$B184,Podcasts!$E$10:'Podcasts'!$E$2535),COLUMN(D147)))</f>
        <v/>
      </c>
      <c r="P184" s="132" t="str">
        <f t="array" ref="P184">IF(O184="","",INDEX(Podcasts!$F$10:'Podcasts'!$F$2535,MATCH(O184&amp;$B184,Podcasts!$E$10:'Podcasts'!$E$2535&amp;Podcasts!$D$10:'Podcasts'!$D$2535,0)))</f>
        <v/>
      </c>
      <c r="Q184" s="136" t="str">
        <f t="array" ref="Q184">IF(R184="","",INDEX(Podcasts!$J$10:'Podcasts'!$J$2535,MATCH(R184&amp;$B184,Podcasts!$E$10:'Podcasts'!$E$2535&amp;Podcasts!$D$10:'Podcasts'!$D$2535,0)))</f>
        <v/>
      </c>
      <c r="R184" s="133" t="str">
        <f t="array" ref="R184">IF(COUNTIF(Podcasts!$D$10:'Podcasts'!$D$2535,$B184)&lt;COLUMN(E147),"",SMALL(IF(Podcasts!$D$10:'Podcasts'!$D$2535=$B184,Podcasts!$E$10:'Podcasts'!$E$2535),COLUMN(E147)))</f>
        <v/>
      </c>
      <c r="S184" s="132" t="str">
        <f t="array" ref="S184">IF(R184="","",INDEX(Podcasts!$F$10:'Podcasts'!$F$2535,MATCH(R184&amp;$B184,Podcasts!$E$10:'Podcasts'!$E$2535&amp;Podcasts!$D$10:'Podcasts'!$D$2535,0)))</f>
        <v/>
      </c>
      <c r="T184" s="136" t="str">
        <f t="array" ref="T184">IF(U184="","",INDEX(Podcasts!$J$10:'Podcasts'!$J$2535,MATCH(U184&amp;$B184,Podcasts!$E$10:'Podcasts'!$E$2535&amp;Podcasts!$D$10:'Podcasts'!$D$2535,0)))</f>
        <v/>
      </c>
      <c r="U184" s="133" t="str">
        <f t="array" ref="U184">IF(COUNTIF(Podcasts!$D$10:'Podcasts'!$D$2535,$B184)&lt;COLUMN(F147),"",SMALL(IF(Podcasts!$D$10:'Podcasts'!$D$2535=$B184,Podcasts!$E$10:'Podcasts'!$E$2535),COLUMN(F147)))</f>
        <v/>
      </c>
      <c r="V184" s="132" t="str">
        <f t="array" ref="V184">IF(U184="","",INDEX(Podcasts!$F$10:'Podcasts'!$F$2535,MATCH(U184&amp;$B184,Podcasts!$E$10:'Podcasts'!$E$2535&amp;Podcasts!$D$10:'Podcasts'!$D$2535,0)))</f>
        <v/>
      </c>
      <c r="W184" s="136" t="str">
        <f t="array" ref="W184">IF(X184="","",INDEX(Podcasts!$J$10:'Podcasts'!$J$2535,MATCH(X184&amp;$B184,Podcasts!$E$10:'Podcasts'!$E$2535&amp;Podcasts!$D$10:'Podcasts'!$D$2535,0)))</f>
        <v/>
      </c>
      <c r="X184" s="133" t="str">
        <f t="array" ref="X184">IF(COUNTIF(Podcasts!$D$10:'Podcasts'!$D$2535,$B184)&lt;COLUMN(G147),"",SMALL(IF(Podcasts!$D$10:'Podcasts'!$D$2535=$B184,Podcasts!$E$10:'Podcasts'!$E$2535),COLUMN(G147)))</f>
        <v/>
      </c>
      <c r="Y184" s="132" t="str">
        <f t="array" ref="Y184">IF(X184="","",INDEX(Podcasts!$F$10:'Podcasts'!$F$2535,MATCH(X184&amp;$B184,Podcasts!$E$10:'Podcasts'!$E$2535&amp;Podcasts!$D$10:'Podcasts'!$D$2535,0)))</f>
        <v/>
      </c>
      <c r="Z184" s="136" t="str">
        <f t="array" ref="Z184">IF(AA184="","",INDEX(Podcasts!$J$10:'Podcasts'!$J$2535,MATCH(AA184&amp;$B184,Podcasts!$E$10:'Podcasts'!$E$2535&amp;Podcasts!$D$10:'Podcasts'!$D$2535,0)))</f>
        <v/>
      </c>
      <c r="AA184" s="134" t="str">
        <f t="array" ref="AA184">IF(COUNTIF(Podcasts!$D$10:'Podcasts'!$D$2535,$B184)&lt;COLUMN(H147),"",SMALL(IF(Podcasts!$D$10:'Podcasts'!$D$2535=$B184,Podcasts!$E$10:'Podcasts'!$E$2535),COLUMN(H147)))</f>
        <v/>
      </c>
      <c r="AB184" s="404" t="str">
        <f t="array" ref="AB184">IF(AA184="","",INDEX(Podcasts!$F$10:'Podcasts'!$F$2535,MATCH(AA184&amp;$B184,Podcasts!$E$10:'Podcasts'!$E$2535&amp;Podcasts!$D$10:'Podcasts'!$D$2535,0)))</f>
        <v/>
      </c>
      <c r="AC184" s="406" t="str">
        <f t="array" ref="AC184">IF(AD184="","",INDEX(Podcasts!$J$10:'Podcasts'!$J$2535,MATCH(AD184&amp;$B184,Podcasts!$E$10:'Podcasts'!$E$2535&amp;Podcasts!$D$10:'Podcasts'!$D$2535,0)))</f>
        <v/>
      </c>
      <c r="AD184" s="400" t="str">
        <f t="array" ref="AD184">IF(COUNTIF(Podcasts!$D$10:'Podcasts'!$D$2535,$B184)&lt;COLUMN(I147),"",SMALL(IF(Podcasts!$D$10:'Podcasts'!$D$2535=$B184,Podcasts!$E$10:'Podcasts'!$E$2535),COLUMN(I147)))</f>
        <v/>
      </c>
      <c r="AE184" s="401" t="str">
        <f t="array" ref="AE184">IF(AD184="","",INDEX(Podcasts!$F$10:'Podcasts'!$F$2535,MATCH(AD184&amp;$B184,Podcasts!$E$10:'Podcasts'!$E$2535&amp;Podcasts!$D$10:'Podcasts'!$D$2535,0)))</f>
        <v/>
      </c>
      <c r="AF184" s="406" t="str">
        <f t="array" ref="AF184">IF(AG184="","",INDEX(Podcasts!$J$10:'Podcasts'!$J$2535,MATCH(AG184&amp;$B184,Podcasts!$E$10:'Podcasts'!$E$2535&amp;Podcasts!$D$10:'Podcasts'!$D$2535,0)))</f>
        <v/>
      </c>
      <c r="AG184" s="400" t="str">
        <f t="array" ref="AG184">IF(COUNTIF(Podcasts!$D$10:'Podcasts'!$D$2535,$B184)&lt;COLUMN(J147),"",SMALL(IF(Podcasts!$D$10:'Podcasts'!$D$2535=$B184,Podcasts!$E$10:'Podcasts'!$E$2535),COLUMN(J147)))</f>
        <v/>
      </c>
      <c r="AH184" s="401" t="str">
        <f t="array" ref="AH184">IF(AG184="","",INDEX(Podcasts!$F$10:'Podcasts'!$F$2535,MATCH(AG184&amp;$B184,Podcasts!$E$10:'Podcasts'!$E$2535&amp;Podcasts!$D$10:'Podcasts'!$D$2535,0)))</f>
        <v/>
      </c>
      <c r="AI184" s="406" t="str">
        <f t="array" ref="AI184">IF(AJ184="","",INDEX(Podcasts!$J$10:'Podcasts'!$J$2535,MATCH(AJ184&amp;$B184,Podcasts!$E$10:'Podcasts'!$E$2535&amp;Podcasts!$D$10:'Podcasts'!$D$2535,0)))</f>
        <v/>
      </c>
      <c r="AJ184" s="400" t="str">
        <f t="array" ref="AJ184">IF(COUNTIF(Podcasts!$D$10:'Podcasts'!$D$2535,$B184)&lt;COLUMN(K147),"",SMALL(IF(Podcasts!$D$10:'Podcasts'!$D$2535=$B184,Podcasts!$E$10:'Podcasts'!$E$2535),COLUMN(K147)))</f>
        <v/>
      </c>
      <c r="AK184" s="401" t="str">
        <f t="array" ref="AK184">IF(AJ184="","",INDEX(Podcasts!$F$10:'Podcasts'!$F$2535,MATCH(AJ184&amp;$B184,Podcasts!$E$10:'Podcasts'!$E$2535&amp;Podcasts!$D$10:'Podcasts'!$D$2535,0)))</f>
        <v/>
      </c>
      <c r="AL184" s="406" t="str">
        <f t="array" ref="AL184">IF(AM184="","",INDEX(Podcasts!$J$10:'Podcasts'!$J$2535,MATCH(AM184&amp;$B184,Podcasts!$E$10:'Podcasts'!$E$2535&amp;Podcasts!$D$10:'Podcasts'!$D$2535,0)))</f>
        <v/>
      </c>
      <c r="AM184" s="400" t="str">
        <f t="array" ref="AM184">IF(COUNTIF(Podcasts!$D$10:'Podcasts'!$D$2535,$B184)&lt;COLUMN(L147),"",SMALL(IF(Podcasts!$D$10:'Podcasts'!$D$2535=$B184,Podcasts!$E$10:'Podcasts'!$E$2535),COLUMN(L147)))</f>
        <v/>
      </c>
      <c r="AN184" s="401" t="str">
        <f t="array" ref="AN184">IF(AM184="","",INDEX(Podcasts!$F$10:'Podcasts'!$F$2535,MATCH(AM184&amp;$B184,Podcasts!$E$10:'Podcasts'!$E$2535&amp;Podcasts!$D$10:'Podcasts'!$D$2535,0)))</f>
        <v/>
      </c>
      <c r="AO184" s="402"/>
      <c r="AP184" s="119"/>
      <c r="AQ184" s="117">
        <f t="array" aca="1" ref="AQ184" ca="1">IFERROR(SMALL(IF(COUNTIF(Podcasts!$D$10:'Podcasts'!$D$107,ROW(INDIRECT("1:"&amp;K$2)))=0,ROW(INDIRECT("1:"&amp;K$2))),ROW($A141)),"")</f>
        <v>183</v>
      </c>
      <c r="AR184" s="117">
        <f t="array" aca="1" ref="AR184" ca="1">IFERROR(SMALL(IF(COUNTIF(Podcasts!$D$113:'Podcasts'!$D$238,ROW(INDIRECT("1:"&amp;K$2)))=0,ROW(INDIRECT("1:"&amp;K$2))),ROW($A141)),"")</f>
        <v>141</v>
      </c>
      <c r="AS184" s="117">
        <f t="array" aca="1" ref="AS184" ca="1">IFERROR(SMALL(IF(COUNTIF(Podcasts!$D$244:'Podcasts'!$D$299,ROW(INDIRECT("1:"&amp;K$2)))=0,ROW(INDIRECT("1:"&amp;K$2))),ROW($A141)),"")</f>
        <v>174</v>
      </c>
      <c r="AT184" s="117"/>
      <c r="AU184" s="117">
        <f t="array" aca="1" ref="AU184" ca="1">IFERROR(SMALL(IF(COUNTIF(Podcasts!$D$479:'Podcasts'!$D$488,ROW(INDIRECT("1:"&amp;K$2)))=0,ROW(INDIRECT("1:"&amp;K$2))),ROW($A141)),"")</f>
        <v>145</v>
      </c>
      <c r="AV184" s="117">
        <f t="array" aca="1" ref="AV184" ca="1">IFERROR(SMALL(IF(COUNTIF(Podcasts!$D$494:'Podcasts'!$D$518,ROW(INDIRECT("1:"&amp;K$2)))=0,ROW(INDIRECT("1:"&amp;K$2))),ROW($A141)),"")</f>
        <v>164</v>
      </c>
      <c r="AW184" s="117">
        <f t="array" aca="1" ref="AW184" ca="1">IFERROR(SMALL(IF(COUNTIF(Podcasts!$D$524:'Podcasts'!$D$532,ROW(INDIRECT("1:"&amp;K$2)))=0,ROW(INDIRECT("1:"&amp;K$2))),ROW($A141)),"")</f>
        <v>142</v>
      </c>
      <c r="AX184" s="117"/>
      <c r="AY184" s="117">
        <f t="array" aca="1" ref="AY184" ca="1">IFERROR(SMALL(IF(COUNTIF(Podcasts!$D$915:'Podcasts'!$D$981,ROW(INDIRECT("1:"&amp;K$2)))=0,ROW(INDIRECT("1:"&amp;K$2))),ROW($A141)),"")</f>
        <v>196</v>
      </c>
      <c r="AZ184" s="445"/>
      <c r="BA184" s="117">
        <f t="array" aca="1" ref="BA184" ca="1">IFERROR(SMALL(IF(COUNTIF(Podcasts!$D$1001:'Podcasts'!$D$1251,ROW(INDIRECT("1:"&amp;K$2)))=0,ROW(INDIRECT("1:"&amp;K$2))),ROW($A141)),"")</f>
        <v>193</v>
      </c>
      <c r="BB184" s="117">
        <f t="array" aca="1" ref="BB184" ca="1">IFERROR(SMALL(IF(COUNTIF(Podcasts!$D$1257:'Podcasts'!$D$1267,ROW(INDIRECT("1:"&amp;K$2)))=0,ROW(INDIRECT("1:"&amp;K$2))),ROW($A141)),"")</f>
        <v>146</v>
      </c>
      <c r="BC184" s="117">
        <f t="array" aca="1" ref="BC184" ca="1">IFERROR(SMALL(IF(COUNTIF(Podcasts!$D$1273:'Podcasts'!$D$1283,ROW(INDIRECT("1:"&amp;K$2)))=0,ROW(INDIRECT("1:"&amp;K$2))),ROW($A141)),"")</f>
        <v>145</v>
      </c>
      <c r="BD184" s="117">
        <f t="array" aca="1" ref="BD184" ca="1">IFERROR(SMALL(IF(COUNTIF(Podcasts!$D$1289:'Podcasts'!$D$1295,ROW(INDIRECT("1:"&amp;K$2)))=0,ROW(INDIRECT("1:"&amp;K$2))),ROW($A141)),"")</f>
        <v>146</v>
      </c>
      <c r="BE184" s="117">
        <f t="array" aca="1" ref="BE184" ca="1">IFERROR(SMALL(IF(COUNTIF(Podcasts!$D$1301:'Podcasts'!$D$1356,ROW(INDIRECT("1:"&amp;K$2)))=0,ROW(INDIRECT("1:"&amp;K$2))),ROW($A141)),"")</f>
        <v>188</v>
      </c>
      <c r="BF184" s="117">
        <f t="array" aca="1" ref="BF184" ca="1">IFERROR(SMALL(IF(COUNTIF(Podcasts!$D$1362:'Podcasts'!$D$1364,ROW(INDIRECT("1:"&amp;K$2)))=0,ROW(INDIRECT("1:"&amp;K$2))),ROW($A141)),"")</f>
        <v>144</v>
      </c>
      <c r="BG184" s="202">
        <f t="array" aca="1" ref="BG184" ca="1">IFERROR(SMALL(IF(COUNTIF(Podcasts!$D$1370:'Podcasts'!$D$1419,ROW(INDIRECT("1:"&amp;K$2)))=0,ROW(INDIRECT("1:"&amp;K$2))),ROW($A141)),"")</f>
        <v>179</v>
      </c>
      <c r="BH184" s="202">
        <f t="array" aca="1" ref="BH184" ca="1">IFERROR(SMALL(IF(COUNTIF(Podcasts!$D$1425:'Podcasts'!$D$1446,ROW(INDIRECT("1:"&amp;K$2)))=0,ROW(INDIRECT("1:"&amp;K$2))),ROW($A141)),"")</f>
        <v>151</v>
      </c>
      <c r="BI184" s="202">
        <f t="array" aca="1" ref="BI184" ca="1">IFERROR(SMALL(IF(COUNTIF(Podcasts!$D$1452:'Podcasts'!$D$1574,ROW(INDIRECT("1:"&amp;K$2)))=0,ROW(INDIRECT("1:"&amp;K$2))),ROW($A141)),"")</f>
        <v>222</v>
      </c>
      <c r="BJ184" s="202">
        <f t="array" aca="1" ref="BJ184" ca="1">IFERROR(SMALL(IF(COUNTIF(Podcasts!$D$1580:'Podcasts'!$D$1705,ROW(INDIRECT("1:"&amp;K$2)))=0,ROW(INDIRECT("1:"&amp;K$2))),ROW($A141)),"")</f>
        <v>226</v>
      </c>
      <c r="BK184" s="202">
        <f t="array" aca="1" ref="BK184" ca="1">IFERROR(SMALL(IF(COUNTIF(Podcasts!$D$1711:'Podcasts'!$D$1833,ROW(INDIRECT("1:"&amp;K$2)))=0,ROW(INDIRECT("1:"&amp;K$2))),ROW($A141)),"")</f>
        <v>216</v>
      </c>
      <c r="BL184" s="202">
        <f t="array" aca="1" ref="BL184" ca="1">IFERROR(SMALL(IF(COUNTIF(Podcasts!$D$1839:'Podcasts'!$D$1855,ROW(INDIRECT("1:"&amp;K$2)))=0,ROW(INDIRECT("1:"&amp;K$2))),ROW($A141)),"")</f>
        <v>150</v>
      </c>
      <c r="BM184" s="567">
        <f t="array" aca="1" ref="BM184" ca="1">IFERROR(SMALL(IF(COUNTIF(Podcasts!$D$1861:'Podcasts'!$D$1994,ROW(INDIRECT("1:"&amp;K$2)))=0,ROW(INDIRECT("1:"&amp;K$2))),ROW($A141)),"")</f>
        <v>189</v>
      </c>
      <c r="BN184" s="567">
        <f t="array" aca="1" ref="BN184" ca="1">IFERROR(SMALL(IF(COUNTIF(Podcasts!$D$2000:'Podcasts'!$D$2057,ROW(INDIRECT("1:"&amp;K$2)))=0,ROW(INDIRECT("1:"&amp;K$2))),ROW($A141)),"")</f>
        <v>196</v>
      </c>
      <c r="BO184" s="567">
        <f t="array" aca="1" ref="BO184" ca="1">IFERROR(SMALL(IF(COUNTIF(Podcasts!$D$2063:'Podcasts'!$D$2071,ROW(INDIRECT("1:"&amp;K$2)))=0,ROW(INDIRECT("1:"&amp;K$2))),ROW($A141)),"")</f>
        <v>148</v>
      </c>
      <c r="BP184" s="202">
        <f t="array" aca="1" ref="BP184" ca="1">IFERROR(SMALL(IF(COUNTIF(Podcasts!$D$2077:'Podcasts'!$D$2092,ROW(INDIRECT("1:"&amp;K$2)))=0,ROW(INDIRECT("1:"&amp;K$2))),ROW($A141)),"")</f>
        <v>152</v>
      </c>
      <c r="BQ184" s="741">
        <f t="array" aca="1" ref="BQ184" ca="1">IFERROR(SMALL(IF(COUNTIF(Podcasts!$D$2098:'Podcasts'!$D$2114,ROW(INDIRECT("1:"&amp;K$2)))=0,ROW(INDIRECT("1:"&amp;K$2))),ROW($A141)),"")</f>
        <v>154</v>
      </c>
      <c r="BR184" s="744">
        <f t="array" aca="1" ref="BR184" ca="1">IFERROR(SMALL(IF(COUNTIF(Podcasts!$D$2120:'Podcasts'!$D$2124,ROW(INDIRECT("1:"&amp;K$2)))=0,ROW(INDIRECT("1:"&amp;K$2))),ROW($A141)),"")</f>
        <v>143</v>
      </c>
      <c r="BS184" s="28"/>
    </row>
    <row r="185" spans="1:71" outlineLevel="1">
      <c r="A185" s="28"/>
      <c r="B185" s="161">
        <v>142</v>
      </c>
      <c r="C185" s="161">
        <f>COUNTIF(Podcasts!$D$10:'Podcasts'!$D$2535,B185)</f>
        <v>2</v>
      </c>
      <c r="D185" s="158" t="s">
        <v>1168</v>
      </c>
      <c r="E185" s="156" t="str">
        <f t="array" ref="E185">IF(F185="","",INDEX(Podcasts!$J$10:'Podcasts'!$J$2535,MATCH(F185&amp;$B185,Podcasts!$E$10:'Podcasts'!$E$2535&amp;Podcasts!$D$10:'Podcasts'!$D$2535,0)))</f>
        <v>SSP</v>
      </c>
      <c r="F185" s="131">
        <f t="array" ref="F185">IF(COUNTIF(Podcasts!$D$10:'Podcasts'!$D$2535,$B185)&lt;COLUMN(A148),"",SMALL(IF(Podcasts!$D$10:'Podcasts'!$D$2535=$B185,Podcasts!$E$10:'Podcasts'!$E$2535),COLUMN(A148)))</f>
        <v>43367</v>
      </c>
      <c r="G185" s="132">
        <f t="array" ref="G185">IF(F185="","",INDEX(Podcasts!$F$10:'Podcasts'!$F$2535,MATCH(F185&amp;$B185,Podcasts!$E$10:'Podcasts'!$E$2535&amp;Podcasts!$D$10:'Podcasts'!$D$2535,0)))</f>
        <v>6.9791666666666669E-2</v>
      </c>
      <c r="H185" s="136" t="str">
        <f t="array" ref="H185">IF(I185="","",INDEX(Podcasts!$J$10:'Podcasts'!$J$2535,MATCH(I185&amp;$B185,Podcasts!$E$10:'Podcasts'!$E$2535&amp;Podcasts!$D$10:'Podcasts'!$D$2535,0)))</f>
        <v>Kaffee</v>
      </c>
      <c r="I185" s="133">
        <f t="array" ref="I185">IF(COUNTIF(Podcasts!$D$10:'Podcasts'!$D$2535,$B185)&lt;COLUMN(B148),"",SMALL(IF(Podcasts!$D$10:'Podcasts'!$D$2535=$B185,Podcasts!$E$10:'Podcasts'!$E$2535),COLUMN(B148)))</f>
        <v>44708</v>
      </c>
      <c r="J185" s="132">
        <f t="array" ref="J185">IF(I185="","",INDEX(Podcasts!$F$10:'Podcasts'!$F$2535,MATCH(I185&amp;$B185,Podcasts!$E$10:'Podcasts'!$E$2535&amp;Podcasts!$D$10:'Podcasts'!$D$2535,0)))</f>
        <v>2.3495370370370371E-2</v>
      </c>
      <c r="K185" s="136" t="str">
        <f t="array" ref="K185">IF(L185="","",INDEX(Podcasts!$J$10:'Podcasts'!$J$2535,MATCH(L185&amp;$B185,Podcasts!$E$10:'Podcasts'!$E$2535&amp;Podcasts!$D$10:'Podcasts'!$D$2535,0)))</f>
        <v/>
      </c>
      <c r="L185" s="133" t="str">
        <f t="array" ref="L185">IF(COUNTIF(Podcasts!$D$10:'Podcasts'!$D$2535,$B185)&lt;COLUMN(C148),"",SMALL(IF(Podcasts!$D$10:'Podcasts'!$D$2535=$B185,Podcasts!$E$10:'Podcasts'!$E$2535),COLUMN(C148)))</f>
        <v/>
      </c>
      <c r="M185" s="132" t="str">
        <f t="array" ref="M185">IF(L185="","",INDEX(Podcasts!$F$10:'Podcasts'!$F$2535,MATCH(L185&amp;$B185,Podcasts!$E$10:'Podcasts'!$E$2535&amp;Podcasts!$D$10:'Podcasts'!$D$2535,0)))</f>
        <v/>
      </c>
      <c r="N185" s="136" t="str">
        <f t="array" ref="N185">IF(O185="","",INDEX(Podcasts!$J$10:'Podcasts'!$J$2535,MATCH(O185&amp;$B185,Podcasts!$E$10:'Podcasts'!$E$2535&amp;Podcasts!$D$10:'Podcasts'!$D$2535,0)))</f>
        <v/>
      </c>
      <c r="O185" s="133" t="str">
        <f t="array" ref="O185">IF(COUNTIF(Podcasts!$D$10:'Podcasts'!$D$2535,$B185)&lt;COLUMN(D148),"",SMALL(IF(Podcasts!$D$10:'Podcasts'!$D$2535=$B185,Podcasts!$E$10:'Podcasts'!$E$2535),COLUMN(D148)))</f>
        <v/>
      </c>
      <c r="P185" s="132" t="str">
        <f t="array" ref="P185">IF(O185="","",INDEX(Podcasts!$F$10:'Podcasts'!$F$2535,MATCH(O185&amp;$B185,Podcasts!$E$10:'Podcasts'!$E$2535&amp;Podcasts!$D$10:'Podcasts'!$D$2535,0)))</f>
        <v/>
      </c>
      <c r="Q185" s="136" t="str">
        <f t="array" ref="Q185">IF(R185="","",INDEX(Podcasts!$J$10:'Podcasts'!$J$2535,MATCH(R185&amp;$B185,Podcasts!$E$10:'Podcasts'!$E$2535&amp;Podcasts!$D$10:'Podcasts'!$D$2535,0)))</f>
        <v/>
      </c>
      <c r="R185" s="133" t="str">
        <f t="array" ref="R185">IF(COUNTIF(Podcasts!$D$10:'Podcasts'!$D$2535,$B185)&lt;COLUMN(E148),"",SMALL(IF(Podcasts!$D$10:'Podcasts'!$D$2535=$B185,Podcasts!$E$10:'Podcasts'!$E$2535),COLUMN(E148)))</f>
        <v/>
      </c>
      <c r="S185" s="132" t="str">
        <f t="array" ref="S185">IF(R185="","",INDEX(Podcasts!$F$10:'Podcasts'!$F$2535,MATCH(R185&amp;$B185,Podcasts!$E$10:'Podcasts'!$E$2535&amp;Podcasts!$D$10:'Podcasts'!$D$2535,0)))</f>
        <v/>
      </c>
      <c r="T185" s="136" t="str">
        <f t="array" ref="T185">IF(U185="","",INDEX(Podcasts!$J$10:'Podcasts'!$J$2535,MATCH(U185&amp;$B185,Podcasts!$E$10:'Podcasts'!$E$2535&amp;Podcasts!$D$10:'Podcasts'!$D$2535,0)))</f>
        <v/>
      </c>
      <c r="U185" s="133" t="str">
        <f t="array" ref="U185">IF(COUNTIF(Podcasts!$D$10:'Podcasts'!$D$2535,$B185)&lt;COLUMN(F148),"",SMALL(IF(Podcasts!$D$10:'Podcasts'!$D$2535=$B185,Podcasts!$E$10:'Podcasts'!$E$2535),COLUMN(F148)))</f>
        <v/>
      </c>
      <c r="V185" s="132" t="str">
        <f t="array" ref="V185">IF(U185="","",INDEX(Podcasts!$F$10:'Podcasts'!$F$2535,MATCH(U185&amp;$B185,Podcasts!$E$10:'Podcasts'!$E$2535&amp;Podcasts!$D$10:'Podcasts'!$D$2535,0)))</f>
        <v/>
      </c>
      <c r="W185" s="136" t="str">
        <f t="array" ref="W185">IF(X185="","",INDEX(Podcasts!$J$10:'Podcasts'!$J$2535,MATCH(X185&amp;$B185,Podcasts!$E$10:'Podcasts'!$E$2535&amp;Podcasts!$D$10:'Podcasts'!$D$2535,0)))</f>
        <v/>
      </c>
      <c r="X185" s="133" t="str">
        <f t="array" ref="X185">IF(COUNTIF(Podcasts!$D$10:'Podcasts'!$D$2535,$B185)&lt;COLUMN(G148),"",SMALL(IF(Podcasts!$D$10:'Podcasts'!$D$2535=$B185,Podcasts!$E$10:'Podcasts'!$E$2535),COLUMN(G148)))</f>
        <v/>
      </c>
      <c r="Y185" s="132" t="str">
        <f t="array" ref="Y185">IF(X185="","",INDEX(Podcasts!$F$10:'Podcasts'!$F$2535,MATCH(X185&amp;$B185,Podcasts!$E$10:'Podcasts'!$E$2535&amp;Podcasts!$D$10:'Podcasts'!$D$2535,0)))</f>
        <v/>
      </c>
      <c r="Z185" s="136" t="str">
        <f t="array" ref="Z185">IF(AA185="","",INDEX(Podcasts!$J$10:'Podcasts'!$J$2535,MATCH(AA185&amp;$B185,Podcasts!$E$10:'Podcasts'!$E$2535&amp;Podcasts!$D$10:'Podcasts'!$D$2535,0)))</f>
        <v/>
      </c>
      <c r="AA185" s="134" t="str">
        <f t="array" ref="AA185">IF(COUNTIF(Podcasts!$D$10:'Podcasts'!$D$2535,$B185)&lt;COLUMN(H148),"",SMALL(IF(Podcasts!$D$10:'Podcasts'!$D$2535=$B185,Podcasts!$E$10:'Podcasts'!$E$2535),COLUMN(H148)))</f>
        <v/>
      </c>
      <c r="AB185" s="404" t="str">
        <f t="array" ref="AB185">IF(AA185="","",INDEX(Podcasts!$F$10:'Podcasts'!$F$2535,MATCH(AA185&amp;$B185,Podcasts!$E$10:'Podcasts'!$E$2535&amp;Podcasts!$D$10:'Podcasts'!$D$2535,0)))</f>
        <v/>
      </c>
      <c r="AC185" s="406" t="str">
        <f t="array" ref="AC185">IF(AD185="","",INDEX(Podcasts!$J$10:'Podcasts'!$J$2535,MATCH(AD185&amp;$B185,Podcasts!$E$10:'Podcasts'!$E$2535&amp;Podcasts!$D$10:'Podcasts'!$D$2535,0)))</f>
        <v/>
      </c>
      <c r="AD185" s="400" t="str">
        <f t="array" ref="AD185">IF(COUNTIF(Podcasts!$D$10:'Podcasts'!$D$2535,$B185)&lt;COLUMN(I148),"",SMALL(IF(Podcasts!$D$10:'Podcasts'!$D$2535=$B185,Podcasts!$E$10:'Podcasts'!$E$2535),COLUMN(I148)))</f>
        <v/>
      </c>
      <c r="AE185" s="401" t="str">
        <f t="array" ref="AE185">IF(AD185="","",INDEX(Podcasts!$F$10:'Podcasts'!$F$2535,MATCH(AD185&amp;$B185,Podcasts!$E$10:'Podcasts'!$E$2535&amp;Podcasts!$D$10:'Podcasts'!$D$2535,0)))</f>
        <v/>
      </c>
      <c r="AF185" s="406" t="str">
        <f t="array" ref="AF185">IF(AG185="","",INDEX(Podcasts!$J$10:'Podcasts'!$J$2535,MATCH(AG185&amp;$B185,Podcasts!$E$10:'Podcasts'!$E$2535&amp;Podcasts!$D$10:'Podcasts'!$D$2535,0)))</f>
        <v/>
      </c>
      <c r="AG185" s="400" t="str">
        <f t="array" ref="AG185">IF(COUNTIF(Podcasts!$D$10:'Podcasts'!$D$2535,$B185)&lt;COLUMN(J148),"",SMALL(IF(Podcasts!$D$10:'Podcasts'!$D$2535=$B185,Podcasts!$E$10:'Podcasts'!$E$2535),COLUMN(J148)))</f>
        <v/>
      </c>
      <c r="AH185" s="401" t="str">
        <f t="array" ref="AH185">IF(AG185="","",INDEX(Podcasts!$F$10:'Podcasts'!$F$2535,MATCH(AG185&amp;$B185,Podcasts!$E$10:'Podcasts'!$E$2535&amp;Podcasts!$D$10:'Podcasts'!$D$2535,0)))</f>
        <v/>
      </c>
      <c r="AI185" s="406" t="str">
        <f t="array" ref="AI185">IF(AJ185="","",INDEX(Podcasts!$J$10:'Podcasts'!$J$2535,MATCH(AJ185&amp;$B185,Podcasts!$E$10:'Podcasts'!$E$2535&amp;Podcasts!$D$10:'Podcasts'!$D$2535,0)))</f>
        <v/>
      </c>
      <c r="AJ185" s="400" t="str">
        <f t="array" ref="AJ185">IF(COUNTIF(Podcasts!$D$10:'Podcasts'!$D$2535,$B185)&lt;COLUMN(K148),"",SMALL(IF(Podcasts!$D$10:'Podcasts'!$D$2535=$B185,Podcasts!$E$10:'Podcasts'!$E$2535),COLUMN(K148)))</f>
        <v/>
      </c>
      <c r="AK185" s="401" t="str">
        <f t="array" ref="AK185">IF(AJ185="","",INDEX(Podcasts!$F$10:'Podcasts'!$F$2535,MATCH(AJ185&amp;$B185,Podcasts!$E$10:'Podcasts'!$E$2535&amp;Podcasts!$D$10:'Podcasts'!$D$2535,0)))</f>
        <v/>
      </c>
      <c r="AL185" s="406" t="str">
        <f t="array" ref="AL185">IF(AM185="","",INDEX(Podcasts!$J$10:'Podcasts'!$J$2535,MATCH(AM185&amp;$B185,Podcasts!$E$10:'Podcasts'!$E$2535&amp;Podcasts!$D$10:'Podcasts'!$D$2535,0)))</f>
        <v/>
      </c>
      <c r="AM185" s="400" t="str">
        <f t="array" ref="AM185">IF(COUNTIF(Podcasts!$D$10:'Podcasts'!$D$2535,$B185)&lt;COLUMN(L148),"",SMALL(IF(Podcasts!$D$10:'Podcasts'!$D$2535=$B185,Podcasts!$E$10:'Podcasts'!$E$2535),COLUMN(L148)))</f>
        <v/>
      </c>
      <c r="AN185" s="401" t="str">
        <f t="array" ref="AN185">IF(AM185="","",INDEX(Podcasts!$F$10:'Podcasts'!$F$2535,MATCH(AM185&amp;$B185,Podcasts!$E$10:'Podcasts'!$E$2535&amp;Podcasts!$D$10:'Podcasts'!$D$2535,0)))</f>
        <v/>
      </c>
      <c r="AO185" s="402"/>
      <c r="AP185" s="119"/>
      <c r="AQ185" s="117">
        <f t="array" aca="1" ref="AQ185" ca="1">IFERROR(SMALL(IF(COUNTIF(Podcasts!$D$10:'Podcasts'!$D$107,ROW(INDIRECT("1:"&amp;K$2)))=0,ROW(INDIRECT("1:"&amp;K$2))),ROW($A142)),"")</f>
        <v>185</v>
      </c>
      <c r="AR185" s="117">
        <f t="array" aca="1" ref="AR185" ca="1">IFERROR(SMALL(IF(COUNTIF(Podcasts!$D$113:'Podcasts'!$D$238,ROW(INDIRECT("1:"&amp;K$2)))=0,ROW(INDIRECT("1:"&amp;K$2))),ROW($A142)),"")</f>
        <v>142</v>
      </c>
      <c r="AS185" s="117">
        <f t="array" aca="1" ref="AS185" ca="1">IFERROR(SMALL(IF(COUNTIF(Podcasts!$D$244:'Podcasts'!$D$299,ROW(INDIRECT("1:"&amp;K$2)))=0,ROW(INDIRECT("1:"&amp;K$2))),ROW($A142)),"")</f>
        <v>175</v>
      </c>
      <c r="AT185" s="117"/>
      <c r="AU185" s="117">
        <f t="array" aca="1" ref="AU185" ca="1">IFERROR(SMALL(IF(COUNTIF(Podcasts!$D$479:'Podcasts'!$D$488,ROW(INDIRECT("1:"&amp;K$2)))=0,ROW(INDIRECT("1:"&amp;K$2))),ROW($A142)),"")</f>
        <v>146</v>
      </c>
      <c r="AV185" s="117">
        <f t="array" aca="1" ref="AV185" ca="1">IFERROR(SMALL(IF(COUNTIF(Podcasts!$D$494:'Podcasts'!$D$518,ROW(INDIRECT("1:"&amp;K$2)))=0,ROW(INDIRECT("1:"&amp;K$2))),ROW($A142)),"")</f>
        <v>165</v>
      </c>
      <c r="AW185" s="117">
        <f t="array" aca="1" ref="AW185" ca="1">IFERROR(SMALL(IF(COUNTIF(Podcasts!$D$524:'Podcasts'!$D$532,ROW(INDIRECT("1:"&amp;K$2)))=0,ROW(INDIRECT("1:"&amp;K$2))),ROW($A142)),"")</f>
        <v>143</v>
      </c>
      <c r="AX185" s="117"/>
      <c r="AY185" s="117">
        <f t="array" aca="1" ref="AY185" ca="1">IFERROR(SMALL(IF(COUNTIF(Podcasts!$D$915:'Podcasts'!$D$981,ROW(INDIRECT("1:"&amp;K$2)))=0,ROW(INDIRECT("1:"&amp;K$2))),ROW($A142)),"")</f>
        <v>197</v>
      </c>
      <c r="AZ185" s="445"/>
      <c r="BA185" s="117">
        <f t="array" aca="1" ref="BA185" ca="1">IFERROR(SMALL(IF(COUNTIF(Podcasts!$D$1001:'Podcasts'!$D$1251,ROW(INDIRECT("1:"&amp;K$2)))=0,ROW(INDIRECT("1:"&amp;K$2))),ROW($A142)),"")</f>
        <v>195</v>
      </c>
      <c r="BB185" s="117">
        <f t="array" aca="1" ref="BB185" ca="1">IFERROR(SMALL(IF(COUNTIF(Podcasts!$D$1257:'Podcasts'!$D$1267,ROW(INDIRECT("1:"&amp;K$2)))=0,ROW(INDIRECT("1:"&amp;K$2))),ROW($A142)),"")</f>
        <v>147</v>
      </c>
      <c r="BC185" s="117">
        <f t="array" aca="1" ref="BC185" ca="1">IFERROR(SMALL(IF(COUNTIF(Podcasts!$D$1273:'Podcasts'!$D$1283,ROW(INDIRECT("1:"&amp;K$2)))=0,ROW(INDIRECT("1:"&amp;K$2))),ROW($A142)),"")</f>
        <v>146</v>
      </c>
      <c r="BD185" s="117">
        <f t="array" aca="1" ref="BD185" ca="1">IFERROR(SMALL(IF(COUNTIF(Podcasts!$D$1289:'Podcasts'!$D$1295,ROW(INDIRECT("1:"&amp;K$2)))=0,ROW(INDIRECT("1:"&amp;K$2))),ROW($A142)),"")</f>
        <v>147</v>
      </c>
      <c r="BE185" s="117">
        <f t="array" aca="1" ref="BE185" ca="1">IFERROR(SMALL(IF(COUNTIF(Podcasts!$D$1301:'Podcasts'!$D$1356,ROW(INDIRECT("1:"&amp;K$2)))=0,ROW(INDIRECT("1:"&amp;K$2))),ROW($A142)),"")</f>
        <v>189</v>
      </c>
      <c r="BF185" s="117">
        <f t="array" aca="1" ref="BF185" ca="1">IFERROR(SMALL(IF(COUNTIF(Podcasts!$D$1362:'Podcasts'!$D$1364,ROW(INDIRECT("1:"&amp;K$2)))=0,ROW(INDIRECT("1:"&amp;K$2))),ROW($A142)),"")</f>
        <v>145</v>
      </c>
      <c r="BG185" s="202">
        <f t="array" aca="1" ref="BG185" ca="1">IFERROR(SMALL(IF(COUNTIF(Podcasts!$D$1370:'Podcasts'!$D$1419,ROW(INDIRECT("1:"&amp;K$2)))=0,ROW(INDIRECT("1:"&amp;K$2))),ROW($A142)),"")</f>
        <v>180</v>
      </c>
      <c r="BH185" s="202">
        <f t="array" aca="1" ref="BH185" ca="1">IFERROR(SMALL(IF(COUNTIF(Podcasts!$D$1425:'Podcasts'!$D$1446,ROW(INDIRECT("1:"&amp;K$2)))=0,ROW(INDIRECT("1:"&amp;K$2))),ROW($A142)),"")</f>
        <v>152</v>
      </c>
      <c r="BI185" s="202">
        <f t="array" aca="1" ref="BI185" ca="1">IFERROR(SMALL(IF(COUNTIF(Podcasts!$D$1452:'Podcasts'!$D$1574,ROW(INDIRECT("1:"&amp;K$2)))=0,ROW(INDIRECT("1:"&amp;K$2))),ROW($A142)),"")</f>
        <v>223</v>
      </c>
      <c r="BJ185" s="202" t="str">
        <f t="array" aca="1" ref="BJ185" ca="1">IFERROR(SMALL(IF(COUNTIF(Podcasts!$D$1580:'Podcasts'!$D$1705,ROW(INDIRECT("1:"&amp;K$2)))=0,ROW(INDIRECT("1:"&amp;K$2))),ROW($A142)),"")</f>
        <v/>
      </c>
      <c r="BK185" s="202">
        <f t="array" aca="1" ref="BK185" ca="1">IFERROR(SMALL(IF(COUNTIF(Podcasts!$D$1711:'Podcasts'!$D$1833,ROW(INDIRECT("1:"&amp;K$2)))=0,ROW(INDIRECT("1:"&amp;K$2))),ROW($A142)),"")</f>
        <v>218</v>
      </c>
      <c r="BL185" s="202">
        <f t="array" aca="1" ref="BL185" ca="1">IFERROR(SMALL(IF(COUNTIF(Podcasts!$D$1839:'Podcasts'!$D$1855,ROW(INDIRECT("1:"&amp;K$2)))=0,ROW(INDIRECT("1:"&amp;K$2))),ROW($A142)),"")</f>
        <v>151</v>
      </c>
      <c r="BM185" s="567">
        <f t="array" aca="1" ref="BM185" ca="1">IFERROR(SMALL(IF(COUNTIF(Podcasts!$D$1861:'Podcasts'!$D$1994,ROW(INDIRECT("1:"&amp;K$2)))=0,ROW(INDIRECT("1:"&amp;K$2))),ROW($A142)),"")</f>
        <v>190</v>
      </c>
      <c r="BN185" s="567">
        <f t="array" aca="1" ref="BN185" ca="1">IFERROR(SMALL(IF(COUNTIF(Podcasts!$D$2000:'Podcasts'!$D$2057,ROW(INDIRECT("1:"&amp;K$2)))=0,ROW(INDIRECT("1:"&amp;K$2))),ROW($A142)),"")</f>
        <v>197</v>
      </c>
      <c r="BO185" s="567">
        <f t="array" aca="1" ref="BO185" ca="1">IFERROR(SMALL(IF(COUNTIF(Podcasts!$D$2063:'Podcasts'!$D$2071,ROW(INDIRECT("1:"&amp;K$2)))=0,ROW(INDIRECT("1:"&amp;K$2))),ROW($A142)),"")</f>
        <v>149</v>
      </c>
      <c r="BP185" s="202">
        <f t="array" aca="1" ref="BP185" ca="1">IFERROR(SMALL(IF(COUNTIF(Podcasts!$D$2077:'Podcasts'!$D$2092,ROW(INDIRECT("1:"&amp;K$2)))=0,ROW(INDIRECT("1:"&amp;K$2))),ROW($A142)),"")</f>
        <v>153</v>
      </c>
      <c r="BQ185" s="741">
        <f t="array" aca="1" ref="BQ185" ca="1">IFERROR(SMALL(IF(COUNTIF(Podcasts!$D$2098:'Podcasts'!$D$2114,ROW(INDIRECT("1:"&amp;K$2)))=0,ROW(INDIRECT("1:"&amp;K$2))),ROW($A142)),"")</f>
        <v>155</v>
      </c>
      <c r="BR185" s="744">
        <f t="array" aca="1" ref="BR185" ca="1">IFERROR(SMALL(IF(COUNTIF(Podcasts!$D$2120:'Podcasts'!$D$2124,ROW(INDIRECT("1:"&amp;K$2)))=0,ROW(INDIRECT("1:"&amp;K$2))),ROW($A142)),"")</f>
        <v>144</v>
      </c>
      <c r="BS185" s="28"/>
    </row>
    <row r="186" spans="1:71" outlineLevel="1">
      <c r="A186" s="28"/>
      <c r="B186" s="161">
        <v>143</v>
      </c>
      <c r="C186" s="161">
        <f>COUNTIF(Podcasts!$D$10:'Podcasts'!$D$2535,B186)</f>
        <v>2</v>
      </c>
      <c r="D186" s="158" t="s">
        <v>1169</v>
      </c>
      <c r="E186" s="156" t="str">
        <f t="array" ref="E186">IF(F186="","",INDEX(Podcasts!$J$10:'Podcasts'!$J$2535,MATCH(F186&amp;$B186,Podcasts!$E$10:'Podcasts'!$E$2535&amp;Podcasts!$D$10:'Podcasts'!$D$2535,0)))</f>
        <v>Zentrale</v>
      </c>
      <c r="F186" s="131">
        <f t="array" ref="F186">IF(COUNTIF(Podcasts!$D$10:'Podcasts'!$D$2535,$B186)&lt;COLUMN(A149),"",SMALL(IF(Podcasts!$D$10:'Podcasts'!$D$2535=$B186,Podcasts!$E$10:'Podcasts'!$E$2535),COLUMN(A149)))</f>
        <v>44351</v>
      </c>
      <c r="G186" s="132">
        <f t="array" ref="G186">IF(F186="","",INDEX(Podcasts!$F$10:'Podcasts'!$F$2535,MATCH(F186&amp;$B186,Podcasts!$E$10:'Podcasts'!$E$2535&amp;Podcasts!$D$10:'Podcasts'!$D$2535,0)))</f>
        <v>0.11753472222222222</v>
      </c>
      <c r="H186" s="136" t="str">
        <f t="array" ref="H186">IF(I186="","",INDEX(Podcasts!$J$10:'Podcasts'!$J$2535,MATCH(I186&amp;$B186,Podcasts!$E$10:'Podcasts'!$E$2535&amp;Podcasts!$D$10:'Podcasts'!$D$2535,0)))</f>
        <v>Zeichen</v>
      </c>
      <c r="I186" s="133">
        <f t="array" ref="I186">IF(COUNTIF(Podcasts!$D$10:'Podcasts'!$D$2535,$B186)&lt;COLUMN(B149),"",SMALL(IF(Podcasts!$D$10:'Podcasts'!$D$2535=$B186,Podcasts!$E$10:'Podcasts'!$E$2535),COLUMN(B149)))</f>
        <v>44400</v>
      </c>
      <c r="J186" s="132">
        <f t="array" ref="J186">IF(I186="","",INDEX(Podcasts!$F$10:'Podcasts'!$F$2535,MATCH(I186&amp;$B186,Podcasts!$E$10:'Podcasts'!$E$2535&amp;Podcasts!$D$10:'Podcasts'!$D$2535,0)))</f>
        <v>8.1226851851851856E-2</v>
      </c>
      <c r="K186" s="136" t="str">
        <f t="array" ref="K186">IF(L186="","",INDEX(Podcasts!$J$10:'Podcasts'!$J$2535,MATCH(L186&amp;$B186,Podcasts!$E$10:'Podcasts'!$E$2535&amp;Podcasts!$D$10:'Podcasts'!$D$2535,0)))</f>
        <v/>
      </c>
      <c r="L186" s="133" t="str">
        <f t="array" ref="L186">IF(COUNTIF(Podcasts!$D$10:'Podcasts'!$D$2535,$B186)&lt;COLUMN(C149),"",SMALL(IF(Podcasts!$D$10:'Podcasts'!$D$2535=$B186,Podcasts!$E$10:'Podcasts'!$E$2535),COLUMN(C149)))</f>
        <v/>
      </c>
      <c r="M186" s="132" t="str">
        <f t="array" ref="M186">IF(L186="","",INDEX(Podcasts!$F$10:'Podcasts'!$F$2535,MATCH(L186&amp;$B186,Podcasts!$E$10:'Podcasts'!$E$2535&amp;Podcasts!$D$10:'Podcasts'!$D$2535,0)))</f>
        <v/>
      </c>
      <c r="N186" s="136" t="str">
        <f t="array" ref="N186">IF(O186="","",INDEX(Podcasts!$J$10:'Podcasts'!$J$2535,MATCH(O186&amp;$B186,Podcasts!$E$10:'Podcasts'!$E$2535&amp;Podcasts!$D$10:'Podcasts'!$D$2535,0)))</f>
        <v/>
      </c>
      <c r="O186" s="133" t="str">
        <f t="array" ref="O186">IF(COUNTIF(Podcasts!$D$10:'Podcasts'!$D$2535,$B186)&lt;COLUMN(D149),"",SMALL(IF(Podcasts!$D$10:'Podcasts'!$D$2535=$B186,Podcasts!$E$10:'Podcasts'!$E$2535),COLUMN(D149)))</f>
        <v/>
      </c>
      <c r="P186" s="132" t="str">
        <f t="array" ref="P186">IF(O186="","",INDEX(Podcasts!$F$10:'Podcasts'!$F$2535,MATCH(O186&amp;$B186,Podcasts!$E$10:'Podcasts'!$E$2535&amp;Podcasts!$D$10:'Podcasts'!$D$2535,0)))</f>
        <v/>
      </c>
      <c r="Q186" s="136" t="str">
        <f t="array" ref="Q186">IF(R186="","",INDEX(Podcasts!$J$10:'Podcasts'!$J$2535,MATCH(R186&amp;$B186,Podcasts!$E$10:'Podcasts'!$E$2535&amp;Podcasts!$D$10:'Podcasts'!$D$2535,0)))</f>
        <v/>
      </c>
      <c r="R186" s="133" t="str">
        <f t="array" ref="R186">IF(COUNTIF(Podcasts!$D$10:'Podcasts'!$D$2535,$B186)&lt;COLUMN(E149),"",SMALL(IF(Podcasts!$D$10:'Podcasts'!$D$2535=$B186,Podcasts!$E$10:'Podcasts'!$E$2535),COLUMN(E149)))</f>
        <v/>
      </c>
      <c r="S186" s="132" t="str">
        <f t="array" ref="S186">IF(R186="","",INDEX(Podcasts!$F$10:'Podcasts'!$F$2535,MATCH(R186&amp;$B186,Podcasts!$E$10:'Podcasts'!$E$2535&amp;Podcasts!$D$10:'Podcasts'!$D$2535,0)))</f>
        <v/>
      </c>
      <c r="T186" s="136" t="str">
        <f t="array" ref="T186">IF(U186="","",INDEX(Podcasts!$J$10:'Podcasts'!$J$2535,MATCH(U186&amp;$B186,Podcasts!$E$10:'Podcasts'!$E$2535&amp;Podcasts!$D$10:'Podcasts'!$D$2535,0)))</f>
        <v/>
      </c>
      <c r="U186" s="133" t="str">
        <f t="array" ref="U186">IF(COUNTIF(Podcasts!$D$10:'Podcasts'!$D$2535,$B186)&lt;COLUMN(F149),"",SMALL(IF(Podcasts!$D$10:'Podcasts'!$D$2535=$B186,Podcasts!$E$10:'Podcasts'!$E$2535),COLUMN(F149)))</f>
        <v/>
      </c>
      <c r="V186" s="132" t="str">
        <f t="array" ref="V186">IF(U186="","",INDEX(Podcasts!$F$10:'Podcasts'!$F$2535,MATCH(U186&amp;$B186,Podcasts!$E$10:'Podcasts'!$E$2535&amp;Podcasts!$D$10:'Podcasts'!$D$2535,0)))</f>
        <v/>
      </c>
      <c r="W186" s="136" t="str">
        <f t="array" ref="W186">IF(X186="","",INDEX(Podcasts!$J$10:'Podcasts'!$J$2535,MATCH(X186&amp;$B186,Podcasts!$E$10:'Podcasts'!$E$2535&amp;Podcasts!$D$10:'Podcasts'!$D$2535,0)))</f>
        <v/>
      </c>
      <c r="X186" s="133" t="str">
        <f t="array" ref="X186">IF(COUNTIF(Podcasts!$D$10:'Podcasts'!$D$2535,$B186)&lt;COLUMN(G149),"",SMALL(IF(Podcasts!$D$10:'Podcasts'!$D$2535=$B186,Podcasts!$E$10:'Podcasts'!$E$2535),COLUMN(G149)))</f>
        <v/>
      </c>
      <c r="Y186" s="132" t="str">
        <f t="array" ref="Y186">IF(X186="","",INDEX(Podcasts!$F$10:'Podcasts'!$F$2535,MATCH(X186&amp;$B186,Podcasts!$E$10:'Podcasts'!$E$2535&amp;Podcasts!$D$10:'Podcasts'!$D$2535,0)))</f>
        <v/>
      </c>
      <c r="Z186" s="136" t="str">
        <f t="array" ref="Z186">IF(AA186="","",INDEX(Podcasts!$J$10:'Podcasts'!$J$2535,MATCH(AA186&amp;$B186,Podcasts!$E$10:'Podcasts'!$E$2535&amp;Podcasts!$D$10:'Podcasts'!$D$2535,0)))</f>
        <v/>
      </c>
      <c r="AA186" s="134" t="str">
        <f t="array" ref="AA186">IF(COUNTIF(Podcasts!$D$10:'Podcasts'!$D$2535,$B186)&lt;COLUMN(H149),"",SMALL(IF(Podcasts!$D$10:'Podcasts'!$D$2535=$B186,Podcasts!$E$10:'Podcasts'!$E$2535),COLUMN(H149)))</f>
        <v/>
      </c>
      <c r="AB186" s="404" t="str">
        <f t="array" ref="AB186">IF(AA186="","",INDEX(Podcasts!$F$10:'Podcasts'!$F$2535,MATCH(AA186&amp;$B186,Podcasts!$E$10:'Podcasts'!$E$2535&amp;Podcasts!$D$10:'Podcasts'!$D$2535,0)))</f>
        <v/>
      </c>
      <c r="AC186" s="406" t="str">
        <f t="array" ref="AC186">IF(AD186="","",INDEX(Podcasts!$J$10:'Podcasts'!$J$2535,MATCH(AD186&amp;$B186,Podcasts!$E$10:'Podcasts'!$E$2535&amp;Podcasts!$D$10:'Podcasts'!$D$2535,0)))</f>
        <v/>
      </c>
      <c r="AD186" s="400" t="str">
        <f t="array" ref="AD186">IF(COUNTIF(Podcasts!$D$10:'Podcasts'!$D$2535,$B186)&lt;COLUMN(I149),"",SMALL(IF(Podcasts!$D$10:'Podcasts'!$D$2535=$B186,Podcasts!$E$10:'Podcasts'!$E$2535),COLUMN(I149)))</f>
        <v/>
      </c>
      <c r="AE186" s="401" t="str">
        <f t="array" ref="AE186">IF(AD186="","",INDEX(Podcasts!$F$10:'Podcasts'!$F$2535,MATCH(AD186&amp;$B186,Podcasts!$E$10:'Podcasts'!$E$2535&amp;Podcasts!$D$10:'Podcasts'!$D$2535,0)))</f>
        <v/>
      </c>
      <c r="AF186" s="406" t="str">
        <f t="array" ref="AF186">IF(AG186="","",INDEX(Podcasts!$J$10:'Podcasts'!$J$2535,MATCH(AG186&amp;$B186,Podcasts!$E$10:'Podcasts'!$E$2535&amp;Podcasts!$D$10:'Podcasts'!$D$2535,0)))</f>
        <v/>
      </c>
      <c r="AG186" s="400" t="str">
        <f t="array" ref="AG186">IF(COUNTIF(Podcasts!$D$10:'Podcasts'!$D$2535,$B186)&lt;COLUMN(J149),"",SMALL(IF(Podcasts!$D$10:'Podcasts'!$D$2535=$B186,Podcasts!$E$10:'Podcasts'!$E$2535),COLUMN(J149)))</f>
        <v/>
      </c>
      <c r="AH186" s="401" t="str">
        <f t="array" ref="AH186">IF(AG186="","",INDEX(Podcasts!$F$10:'Podcasts'!$F$2535,MATCH(AG186&amp;$B186,Podcasts!$E$10:'Podcasts'!$E$2535&amp;Podcasts!$D$10:'Podcasts'!$D$2535,0)))</f>
        <v/>
      </c>
      <c r="AI186" s="406" t="str">
        <f t="array" ref="AI186">IF(AJ186="","",INDEX(Podcasts!$J$10:'Podcasts'!$J$2535,MATCH(AJ186&amp;$B186,Podcasts!$E$10:'Podcasts'!$E$2535&amp;Podcasts!$D$10:'Podcasts'!$D$2535,0)))</f>
        <v/>
      </c>
      <c r="AJ186" s="400" t="str">
        <f t="array" ref="AJ186">IF(COUNTIF(Podcasts!$D$10:'Podcasts'!$D$2535,$B186)&lt;COLUMN(K149),"",SMALL(IF(Podcasts!$D$10:'Podcasts'!$D$2535=$B186,Podcasts!$E$10:'Podcasts'!$E$2535),COLUMN(K149)))</f>
        <v/>
      </c>
      <c r="AK186" s="401" t="str">
        <f t="array" ref="AK186">IF(AJ186="","",INDEX(Podcasts!$F$10:'Podcasts'!$F$2535,MATCH(AJ186&amp;$B186,Podcasts!$E$10:'Podcasts'!$E$2535&amp;Podcasts!$D$10:'Podcasts'!$D$2535,0)))</f>
        <v/>
      </c>
      <c r="AL186" s="406" t="str">
        <f t="array" ref="AL186">IF(AM186="","",INDEX(Podcasts!$J$10:'Podcasts'!$J$2535,MATCH(AM186&amp;$B186,Podcasts!$E$10:'Podcasts'!$E$2535&amp;Podcasts!$D$10:'Podcasts'!$D$2535,0)))</f>
        <v/>
      </c>
      <c r="AM186" s="400" t="str">
        <f t="array" ref="AM186">IF(COUNTIF(Podcasts!$D$10:'Podcasts'!$D$2535,$B186)&lt;COLUMN(L149),"",SMALL(IF(Podcasts!$D$10:'Podcasts'!$D$2535=$B186,Podcasts!$E$10:'Podcasts'!$E$2535),COLUMN(L149)))</f>
        <v/>
      </c>
      <c r="AN186" s="401" t="str">
        <f t="array" ref="AN186">IF(AM186="","",INDEX(Podcasts!$F$10:'Podcasts'!$F$2535,MATCH(AM186&amp;$B186,Podcasts!$E$10:'Podcasts'!$E$2535&amp;Podcasts!$D$10:'Podcasts'!$D$2535,0)))</f>
        <v/>
      </c>
      <c r="AO186" s="402"/>
      <c r="AP186" s="119"/>
      <c r="AQ186" s="117">
        <f t="array" aca="1" ref="AQ186" ca="1">IFERROR(SMALL(IF(COUNTIF(Podcasts!$D$10:'Podcasts'!$D$107,ROW(INDIRECT("1:"&amp;K$2)))=0,ROW(INDIRECT("1:"&amp;K$2))),ROW($A143)),"")</f>
        <v>186</v>
      </c>
      <c r="AR186" s="117">
        <f t="array" aca="1" ref="AR186" ca="1">IFERROR(SMALL(IF(COUNTIF(Podcasts!$D$113:'Podcasts'!$D$238,ROW(INDIRECT("1:"&amp;K$2)))=0,ROW(INDIRECT("1:"&amp;K$2))),ROW($A143)),"")</f>
        <v>143</v>
      </c>
      <c r="AS186" s="117">
        <f t="array" aca="1" ref="AS186" ca="1">IFERROR(SMALL(IF(COUNTIF(Podcasts!$D$244:'Podcasts'!$D$299,ROW(INDIRECT("1:"&amp;K$2)))=0,ROW(INDIRECT("1:"&amp;K$2))),ROW($A143)),"")</f>
        <v>176</v>
      </c>
      <c r="AT186" s="117"/>
      <c r="AU186" s="117">
        <f t="array" aca="1" ref="AU186" ca="1">IFERROR(SMALL(IF(COUNTIF(Podcasts!$D$479:'Podcasts'!$D$488,ROW(INDIRECT("1:"&amp;K$2)))=0,ROW(INDIRECT("1:"&amp;K$2))),ROW($A143)),"")</f>
        <v>147</v>
      </c>
      <c r="AV186" s="117">
        <f t="array" aca="1" ref="AV186" ca="1">IFERROR(SMALL(IF(COUNTIF(Podcasts!$D$494:'Podcasts'!$D$518,ROW(INDIRECT("1:"&amp;K$2)))=0,ROW(INDIRECT("1:"&amp;K$2))),ROW($A143)),"")</f>
        <v>166</v>
      </c>
      <c r="AW186" s="117">
        <f t="array" aca="1" ref="AW186" ca="1">IFERROR(SMALL(IF(COUNTIF(Podcasts!$D$524:'Podcasts'!$D$532,ROW(INDIRECT("1:"&amp;K$2)))=0,ROW(INDIRECT("1:"&amp;K$2))),ROW($A143)),"")</f>
        <v>144</v>
      </c>
      <c r="AX186" s="117"/>
      <c r="AY186" s="117">
        <f t="array" aca="1" ref="AY186" ca="1">IFERROR(SMALL(IF(COUNTIF(Podcasts!$D$915:'Podcasts'!$D$981,ROW(INDIRECT("1:"&amp;K$2)))=0,ROW(INDIRECT("1:"&amp;K$2))),ROW($A143)),"")</f>
        <v>198</v>
      </c>
      <c r="AZ186" s="445"/>
      <c r="BA186" s="117">
        <f t="array" aca="1" ref="BA186" ca="1">IFERROR(SMALL(IF(COUNTIF(Podcasts!$D$1001:'Podcasts'!$D$1251,ROW(INDIRECT("1:"&amp;K$2)))=0,ROW(INDIRECT("1:"&amp;K$2))),ROW($A143)),"")</f>
        <v>196</v>
      </c>
      <c r="BB186" s="117">
        <f t="array" aca="1" ref="BB186" ca="1">IFERROR(SMALL(IF(COUNTIF(Podcasts!$D$1257:'Podcasts'!$D$1267,ROW(INDIRECT("1:"&amp;K$2)))=0,ROW(INDIRECT("1:"&amp;K$2))),ROW($A143)),"")</f>
        <v>148</v>
      </c>
      <c r="BC186" s="117">
        <f t="array" aca="1" ref="BC186" ca="1">IFERROR(SMALL(IF(COUNTIF(Podcasts!$D$1273:'Podcasts'!$D$1283,ROW(INDIRECT("1:"&amp;K$2)))=0,ROW(INDIRECT("1:"&amp;K$2))),ROW($A143)),"")</f>
        <v>147</v>
      </c>
      <c r="BD186" s="117">
        <f t="array" aca="1" ref="BD186" ca="1">IFERROR(SMALL(IF(COUNTIF(Podcasts!$D$1289:'Podcasts'!$D$1295,ROW(INDIRECT("1:"&amp;K$2)))=0,ROW(INDIRECT("1:"&amp;K$2))),ROW($A143)),"")</f>
        <v>148</v>
      </c>
      <c r="BE186" s="117">
        <f t="array" aca="1" ref="BE186" ca="1">IFERROR(SMALL(IF(COUNTIF(Podcasts!$D$1301:'Podcasts'!$D$1356,ROW(INDIRECT("1:"&amp;K$2)))=0,ROW(INDIRECT("1:"&amp;K$2))),ROW($A143)),"")</f>
        <v>190</v>
      </c>
      <c r="BF186" s="117">
        <f t="array" aca="1" ref="BF186" ca="1">IFERROR(SMALL(IF(COUNTIF(Podcasts!$D$1362:'Podcasts'!$D$1364,ROW(INDIRECT("1:"&amp;K$2)))=0,ROW(INDIRECT("1:"&amp;K$2))),ROW($A143)),"")</f>
        <v>146</v>
      </c>
      <c r="BG186" s="202">
        <f t="array" aca="1" ref="BG186" ca="1">IFERROR(SMALL(IF(COUNTIF(Podcasts!$D$1370:'Podcasts'!$D$1419,ROW(INDIRECT("1:"&amp;K$2)))=0,ROW(INDIRECT("1:"&amp;K$2))),ROW($A143)),"")</f>
        <v>181</v>
      </c>
      <c r="BH186" s="202">
        <f t="array" aca="1" ref="BH186" ca="1">IFERROR(SMALL(IF(COUNTIF(Podcasts!$D$1425:'Podcasts'!$D$1446,ROW(INDIRECT("1:"&amp;K$2)))=0,ROW(INDIRECT("1:"&amp;K$2))),ROW($A143)),"")</f>
        <v>153</v>
      </c>
      <c r="BI186" s="202">
        <f t="array" aca="1" ref="BI186" ca="1">IFERROR(SMALL(IF(COUNTIF(Podcasts!$D$1452:'Podcasts'!$D$1574,ROW(INDIRECT("1:"&amp;K$2)))=0,ROW(INDIRECT("1:"&amp;K$2))),ROW($A143)),"")</f>
        <v>224</v>
      </c>
      <c r="BJ186" s="202" t="str">
        <f t="array" aca="1" ref="BJ186" ca="1">IFERROR(SMALL(IF(COUNTIF(Podcasts!$D$1580:'Podcasts'!$D$1705,ROW(INDIRECT("1:"&amp;K$2)))=0,ROW(INDIRECT("1:"&amp;K$2))),ROW($A143)),"")</f>
        <v/>
      </c>
      <c r="BK186" s="202">
        <f t="array" aca="1" ref="BK186" ca="1">IFERROR(SMALL(IF(COUNTIF(Podcasts!$D$1711:'Podcasts'!$D$1833,ROW(INDIRECT("1:"&amp;K$2)))=0,ROW(INDIRECT("1:"&amp;K$2))),ROW($A143)),"")</f>
        <v>219</v>
      </c>
      <c r="BL186" s="202">
        <f t="array" aca="1" ref="BL186" ca="1">IFERROR(SMALL(IF(COUNTIF(Podcasts!$D$1839:'Podcasts'!$D$1855,ROW(INDIRECT("1:"&amp;K$2)))=0,ROW(INDIRECT("1:"&amp;K$2))),ROW($A143)),"")</f>
        <v>152</v>
      </c>
      <c r="BM186" s="567">
        <f t="array" aca="1" ref="BM186" ca="1">IFERROR(SMALL(IF(COUNTIF(Podcasts!$D$1861:'Podcasts'!$D$1994,ROW(INDIRECT("1:"&amp;K$2)))=0,ROW(INDIRECT("1:"&amp;K$2))),ROW($A143)),"")</f>
        <v>191</v>
      </c>
      <c r="BN186" s="567">
        <f t="array" aca="1" ref="BN186" ca="1">IFERROR(SMALL(IF(COUNTIF(Podcasts!$D$2000:'Podcasts'!$D$2057,ROW(INDIRECT("1:"&amp;K$2)))=0,ROW(INDIRECT("1:"&amp;K$2))),ROW($A143)),"")</f>
        <v>198</v>
      </c>
      <c r="BO186" s="567">
        <f t="array" aca="1" ref="BO186" ca="1">IFERROR(SMALL(IF(COUNTIF(Podcasts!$D$2063:'Podcasts'!$D$2071,ROW(INDIRECT("1:"&amp;K$2)))=0,ROW(INDIRECT("1:"&amp;K$2))),ROW($A143)),"")</f>
        <v>150</v>
      </c>
      <c r="BP186" s="202">
        <f t="array" aca="1" ref="BP186" ca="1">IFERROR(SMALL(IF(COUNTIF(Podcasts!$D$2077:'Podcasts'!$D$2092,ROW(INDIRECT("1:"&amp;K$2)))=0,ROW(INDIRECT("1:"&amp;K$2))),ROW($A143)),"")</f>
        <v>154</v>
      </c>
      <c r="BQ186" s="741">
        <f t="array" aca="1" ref="BQ186" ca="1">IFERROR(SMALL(IF(COUNTIF(Podcasts!$D$2098:'Podcasts'!$D$2114,ROW(INDIRECT("1:"&amp;K$2)))=0,ROW(INDIRECT("1:"&amp;K$2))),ROW($A143)),"")</f>
        <v>156</v>
      </c>
      <c r="BR186" s="744">
        <f t="array" aca="1" ref="BR186" ca="1">IFERROR(SMALL(IF(COUNTIF(Podcasts!$D$2120:'Podcasts'!$D$2124,ROW(INDIRECT("1:"&amp;K$2)))=0,ROW(INDIRECT("1:"&amp;K$2))),ROW($A143)),"")</f>
        <v>145</v>
      </c>
      <c r="BS186" s="28"/>
    </row>
    <row r="187" spans="1:71" outlineLevel="1">
      <c r="A187" s="28"/>
      <c r="B187" s="161">
        <v>144</v>
      </c>
      <c r="C187" s="161">
        <f>COUNTIF(Podcasts!$D$10:'Podcasts'!$D$2535,B187)</f>
        <v>1</v>
      </c>
      <c r="D187" s="158" t="s">
        <v>1170</v>
      </c>
      <c r="E187" s="156" t="str">
        <f t="array" ref="E187">IF(F187="","",INDEX(Podcasts!$J$10:'Podcasts'!$J$2535,MATCH(F187&amp;$B187,Podcasts!$E$10:'Podcasts'!$E$2535&amp;Podcasts!$D$10:'Podcasts'!$D$2535,0)))</f>
        <v>Schrott</v>
      </c>
      <c r="F187" s="131">
        <f t="array" ref="F187">IF(COUNTIF(Podcasts!$D$10:'Podcasts'!$D$2535,$B187)&lt;COLUMN(A150),"",SMALL(IF(Podcasts!$D$10:'Podcasts'!$D$2535=$B187,Podcasts!$E$10:'Podcasts'!$E$2535),COLUMN(A150)))</f>
        <v>44705</v>
      </c>
      <c r="G187" s="132">
        <f t="array" ref="G187">IF(F187="","",INDEX(Podcasts!$F$10:'Podcasts'!$F$2535,MATCH(F187&amp;$B187,Podcasts!$E$10:'Podcasts'!$E$2535&amp;Podcasts!$D$10:'Podcasts'!$D$2535,0)))</f>
        <v>7.5266203703703696E-2</v>
      </c>
      <c r="H187" s="136" t="str">
        <f t="array" ref="H187">IF(I187="","",INDEX(Podcasts!$J$10:'Podcasts'!$J$2535,MATCH(I187&amp;$B187,Podcasts!$E$10:'Podcasts'!$E$2535&amp;Podcasts!$D$10:'Podcasts'!$D$2535,0)))</f>
        <v/>
      </c>
      <c r="I187" s="133" t="str">
        <f t="array" ref="I187">IF(COUNTIF(Podcasts!$D$10:'Podcasts'!$D$2535,$B187)&lt;COLUMN(B150),"",SMALL(IF(Podcasts!$D$10:'Podcasts'!$D$2535=$B187,Podcasts!$E$10:'Podcasts'!$E$2535),COLUMN(B150)))</f>
        <v/>
      </c>
      <c r="J187" s="132" t="str">
        <f t="array" ref="J187">IF(I187="","",INDEX(Podcasts!$F$10:'Podcasts'!$F$2535,MATCH(I187&amp;$B187,Podcasts!$E$10:'Podcasts'!$E$2535&amp;Podcasts!$D$10:'Podcasts'!$D$2535,0)))</f>
        <v/>
      </c>
      <c r="K187" s="136" t="str">
        <f t="array" ref="K187">IF(L187="","",INDEX(Podcasts!$J$10:'Podcasts'!$J$2535,MATCH(L187&amp;$B187,Podcasts!$E$10:'Podcasts'!$E$2535&amp;Podcasts!$D$10:'Podcasts'!$D$2535,0)))</f>
        <v/>
      </c>
      <c r="L187" s="133" t="str">
        <f t="array" ref="L187">IF(COUNTIF(Podcasts!$D$10:'Podcasts'!$D$2535,$B187)&lt;COLUMN(C150),"",SMALL(IF(Podcasts!$D$10:'Podcasts'!$D$2535=$B187,Podcasts!$E$10:'Podcasts'!$E$2535),COLUMN(C150)))</f>
        <v/>
      </c>
      <c r="M187" s="132" t="str">
        <f t="array" ref="M187">IF(L187="","",INDEX(Podcasts!$F$10:'Podcasts'!$F$2535,MATCH(L187&amp;$B187,Podcasts!$E$10:'Podcasts'!$E$2535&amp;Podcasts!$D$10:'Podcasts'!$D$2535,0)))</f>
        <v/>
      </c>
      <c r="N187" s="136" t="str">
        <f t="array" ref="N187">IF(O187="","",INDEX(Podcasts!$J$10:'Podcasts'!$J$2535,MATCH(O187&amp;$B187,Podcasts!$E$10:'Podcasts'!$E$2535&amp;Podcasts!$D$10:'Podcasts'!$D$2535,0)))</f>
        <v/>
      </c>
      <c r="O187" s="133" t="str">
        <f t="array" ref="O187">IF(COUNTIF(Podcasts!$D$10:'Podcasts'!$D$2535,$B187)&lt;COLUMN(D150),"",SMALL(IF(Podcasts!$D$10:'Podcasts'!$D$2535=$B187,Podcasts!$E$10:'Podcasts'!$E$2535),COLUMN(D150)))</f>
        <v/>
      </c>
      <c r="P187" s="132" t="str">
        <f t="array" ref="P187">IF(O187="","",INDEX(Podcasts!$F$10:'Podcasts'!$F$2535,MATCH(O187&amp;$B187,Podcasts!$E$10:'Podcasts'!$E$2535&amp;Podcasts!$D$10:'Podcasts'!$D$2535,0)))</f>
        <v/>
      </c>
      <c r="Q187" s="136" t="str">
        <f t="array" ref="Q187">IF(R187="","",INDEX(Podcasts!$J$10:'Podcasts'!$J$2535,MATCH(R187&amp;$B187,Podcasts!$E$10:'Podcasts'!$E$2535&amp;Podcasts!$D$10:'Podcasts'!$D$2535,0)))</f>
        <v/>
      </c>
      <c r="R187" s="133" t="str">
        <f t="array" ref="R187">IF(COUNTIF(Podcasts!$D$10:'Podcasts'!$D$2535,$B187)&lt;COLUMN(E150),"",SMALL(IF(Podcasts!$D$10:'Podcasts'!$D$2535=$B187,Podcasts!$E$10:'Podcasts'!$E$2535),COLUMN(E150)))</f>
        <v/>
      </c>
      <c r="S187" s="132" t="str">
        <f t="array" ref="S187">IF(R187="","",INDEX(Podcasts!$F$10:'Podcasts'!$F$2535,MATCH(R187&amp;$B187,Podcasts!$E$10:'Podcasts'!$E$2535&amp;Podcasts!$D$10:'Podcasts'!$D$2535,0)))</f>
        <v/>
      </c>
      <c r="T187" s="136" t="str">
        <f t="array" ref="T187">IF(U187="","",INDEX(Podcasts!$J$10:'Podcasts'!$J$2535,MATCH(U187&amp;$B187,Podcasts!$E$10:'Podcasts'!$E$2535&amp;Podcasts!$D$10:'Podcasts'!$D$2535,0)))</f>
        <v/>
      </c>
      <c r="U187" s="133" t="str">
        <f t="array" ref="U187">IF(COUNTIF(Podcasts!$D$10:'Podcasts'!$D$2535,$B187)&lt;COLUMN(F150),"",SMALL(IF(Podcasts!$D$10:'Podcasts'!$D$2535=$B187,Podcasts!$E$10:'Podcasts'!$E$2535),COLUMN(F150)))</f>
        <v/>
      </c>
      <c r="V187" s="132" t="str">
        <f t="array" ref="V187">IF(U187="","",INDEX(Podcasts!$F$10:'Podcasts'!$F$2535,MATCH(U187&amp;$B187,Podcasts!$E$10:'Podcasts'!$E$2535&amp;Podcasts!$D$10:'Podcasts'!$D$2535,0)))</f>
        <v/>
      </c>
      <c r="W187" s="136" t="str">
        <f t="array" ref="W187">IF(X187="","",INDEX(Podcasts!$J$10:'Podcasts'!$J$2535,MATCH(X187&amp;$B187,Podcasts!$E$10:'Podcasts'!$E$2535&amp;Podcasts!$D$10:'Podcasts'!$D$2535,0)))</f>
        <v/>
      </c>
      <c r="X187" s="133" t="str">
        <f t="array" ref="X187">IF(COUNTIF(Podcasts!$D$10:'Podcasts'!$D$2535,$B187)&lt;COLUMN(G150),"",SMALL(IF(Podcasts!$D$10:'Podcasts'!$D$2535=$B187,Podcasts!$E$10:'Podcasts'!$E$2535),COLUMN(G150)))</f>
        <v/>
      </c>
      <c r="Y187" s="132" t="str">
        <f t="array" ref="Y187">IF(X187="","",INDEX(Podcasts!$F$10:'Podcasts'!$F$2535,MATCH(X187&amp;$B187,Podcasts!$E$10:'Podcasts'!$E$2535&amp;Podcasts!$D$10:'Podcasts'!$D$2535,0)))</f>
        <v/>
      </c>
      <c r="Z187" s="136" t="str">
        <f t="array" ref="Z187">IF(AA187="","",INDEX(Podcasts!$J$10:'Podcasts'!$J$2535,MATCH(AA187&amp;$B187,Podcasts!$E$10:'Podcasts'!$E$2535&amp;Podcasts!$D$10:'Podcasts'!$D$2535,0)))</f>
        <v/>
      </c>
      <c r="AA187" s="134" t="str">
        <f t="array" ref="AA187">IF(COUNTIF(Podcasts!$D$10:'Podcasts'!$D$2535,$B187)&lt;COLUMN(H150),"",SMALL(IF(Podcasts!$D$10:'Podcasts'!$D$2535=$B187,Podcasts!$E$10:'Podcasts'!$E$2535),COLUMN(H150)))</f>
        <v/>
      </c>
      <c r="AB187" s="404" t="str">
        <f t="array" ref="AB187">IF(AA187="","",INDEX(Podcasts!$F$10:'Podcasts'!$F$2535,MATCH(AA187&amp;$B187,Podcasts!$E$10:'Podcasts'!$E$2535&amp;Podcasts!$D$10:'Podcasts'!$D$2535,0)))</f>
        <v/>
      </c>
      <c r="AC187" s="406" t="str">
        <f t="array" ref="AC187">IF(AD187="","",INDEX(Podcasts!$J$10:'Podcasts'!$J$2535,MATCH(AD187&amp;$B187,Podcasts!$E$10:'Podcasts'!$E$2535&amp;Podcasts!$D$10:'Podcasts'!$D$2535,0)))</f>
        <v/>
      </c>
      <c r="AD187" s="400" t="str">
        <f t="array" ref="AD187">IF(COUNTIF(Podcasts!$D$10:'Podcasts'!$D$2535,$B187)&lt;COLUMN(I150),"",SMALL(IF(Podcasts!$D$10:'Podcasts'!$D$2535=$B187,Podcasts!$E$10:'Podcasts'!$E$2535),COLUMN(I150)))</f>
        <v/>
      </c>
      <c r="AE187" s="401" t="str">
        <f t="array" ref="AE187">IF(AD187="","",INDEX(Podcasts!$F$10:'Podcasts'!$F$2535,MATCH(AD187&amp;$B187,Podcasts!$E$10:'Podcasts'!$E$2535&amp;Podcasts!$D$10:'Podcasts'!$D$2535,0)))</f>
        <v/>
      </c>
      <c r="AF187" s="406" t="str">
        <f t="array" ref="AF187">IF(AG187="","",INDEX(Podcasts!$J$10:'Podcasts'!$J$2535,MATCH(AG187&amp;$B187,Podcasts!$E$10:'Podcasts'!$E$2535&amp;Podcasts!$D$10:'Podcasts'!$D$2535,0)))</f>
        <v/>
      </c>
      <c r="AG187" s="400" t="str">
        <f t="array" ref="AG187">IF(COUNTIF(Podcasts!$D$10:'Podcasts'!$D$2535,$B187)&lt;COLUMN(J150),"",SMALL(IF(Podcasts!$D$10:'Podcasts'!$D$2535=$B187,Podcasts!$E$10:'Podcasts'!$E$2535),COLUMN(J150)))</f>
        <v/>
      </c>
      <c r="AH187" s="401" t="str">
        <f t="array" ref="AH187">IF(AG187="","",INDEX(Podcasts!$F$10:'Podcasts'!$F$2535,MATCH(AG187&amp;$B187,Podcasts!$E$10:'Podcasts'!$E$2535&amp;Podcasts!$D$10:'Podcasts'!$D$2535,0)))</f>
        <v/>
      </c>
      <c r="AI187" s="406" t="str">
        <f t="array" ref="AI187">IF(AJ187="","",INDEX(Podcasts!$J$10:'Podcasts'!$J$2535,MATCH(AJ187&amp;$B187,Podcasts!$E$10:'Podcasts'!$E$2535&amp;Podcasts!$D$10:'Podcasts'!$D$2535,0)))</f>
        <v/>
      </c>
      <c r="AJ187" s="400" t="str">
        <f t="array" ref="AJ187">IF(COUNTIF(Podcasts!$D$10:'Podcasts'!$D$2535,$B187)&lt;COLUMN(K150),"",SMALL(IF(Podcasts!$D$10:'Podcasts'!$D$2535=$B187,Podcasts!$E$10:'Podcasts'!$E$2535),COLUMN(K150)))</f>
        <v/>
      </c>
      <c r="AK187" s="401" t="str">
        <f t="array" ref="AK187">IF(AJ187="","",INDEX(Podcasts!$F$10:'Podcasts'!$F$2535,MATCH(AJ187&amp;$B187,Podcasts!$E$10:'Podcasts'!$E$2535&amp;Podcasts!$D$10:'Podcasts'!$D$2535,0)))</f>
        <v/>
      </c>
      <c r="AL187" s="406" t="str">
        <f t="array" ref="AL187">IF(AM187="","",INDEX(Podcasts!$J$10:'Podcasts'!$J$2535,MATCH(AM187&amp;$B187,Podcasts!$E$10:'Podcasts'!$E$2535&amp;Podcasts!$D$10:'Podcasts'!$D$2535,0)))</f>
        <v/>
      </c>
      <c r="AM187" s="400" t="str">
        <f t="array" ref="AM187">IF(COUNTIF(Podcasts!$D$10:'Podcasts'!$D$2535,$B187)&lt;COLUMN(L150),"",SMALL(IF(Podcasts!$D$10:'Podcasts'!$D$2535=$B187,Podcasts!$E$10:'Podcasts'!$E$2535),COLUMN(L150)))</f>
        <v/>
      </c>
      <c r="AN187" s="401" t="str">
        <f t="array" ref="AN187">IF(AM187="","",INDEX(Podcasts!$F$10:'Podcasts'!$F$2535,MATCH(AM187&amp;$B187,Podcasts!$E$10:'Podcasts'!$E$2535&amp;Podcasts!$D$10:'Podcasts'!$D$2535,0)))</f>
        <v/>
      </c>
      <c r="AO187" s="402"/>
      <c r="AP187" s="119"/>
      <c r="AQ187" s="117">
        <f t="array" aca="1" ref="AQ187" ca="1">IFERROR(SMALL(IF(COUNTIF(Podcasts!$D$10:'Podcasts'!$D$107,ROW(INDIRECT("1:"&amp;K$2)))=0,ROW(INDIRECT("1:"&amp;K$2))),ROW($A144)),"")</f>
        <v>187</v>
      </c>
      <c r="AR187" s="117">
        <f t="array" aca="1" ref="AR187" ca="1">IFERROR(SMALL(IF(COUNTIF(Podcasts!$D$113:'Podcasts'!$D$238,ROW(INDIRECT("1:"&amp;K$2)))=0,ROW(INDIRECT("1:"&amp;K$2))),ROW($A144)),"")</f>
        <v>144</v>
      </c>
      <c r="AS187" s="117">
        <f t="array" aca="1" ref="AS187" ca="1">IFERROR(SMALL(IF(COUNTIF(Podcasts!$D$244:'Podcasts'!$D$299,ROW(INDIRECT("1:"&amp;K$2)))=0,ROW(INDIRECT("1:"&amp;K$2))),ROW($A144)),"")</f>
        <v>177</v>
      </c>
      <c r="AT187" s="117"/>
      <c r="AU187" s="117">
        <f t="array" aca="1" ref="AU187" ca="1">IFERROR(SMALL(IF(COUNTIF(Podcasts!$D$479:'Podcasts'!$D$488,ROW(INDIRECT("1:"&amp;K$2)))=0,ROW(INDIRECT("1:"&amp;K$2))),ROW($A144)),"")</f>
        <v>148</v>
      </c>
      <c r="AV187" s="117">
        <f t="array" aca="1" ref="AV187" ca="1">IFERROR(SMALL(IF(COUNTIF(Podcasts!$D$494:'Podcasts'!$D$518,ROW(INDIRECT("1:"&amp;K$2)))=0,ROW(INDIRECT("1:"&amp;K$2))),ROW($A144)),"")</f>
        <v>167</v>
      </c>
      <c r="AW187" s="117">
        <f t="array" aca="1" ref="AW187" ca="1">IFERROR(SMALL(IF(COUNTIF(Podcasts!$D$524:'Podcasts'!$D$532,ROW(INDIRECT("1:"&amp;K$2)))=0,ROW(INDIRECT("1:"&amp;K$2))),ROW($A144)),"")</f>
        <v>145</v>
      </c>
      <c r="AX187" s="117"/>
      <c r="AY187" s="117">
        <f t="array" aca="1" ref="AY187" ca="1">IFERROR(SMALL(IF(COUNTIF(Podcasts!$D$915:'Podcasts'!$D$981,ROW(INDIRECT("1:"&amp;K$2)))=0,ROW(INDIRECT("1:"&amp;K$2))),ROW($A144)),"")</f>
        <v>199</v>
      </c>
      <c r="AZ187" s="445"/>
      <c r="BA187" s="117">
        <f t="array" aca="1" ref="BA187" ca="1">IFERROR(SMALL(IF(COUNTIF(Podcasts!$D$1001:'Podcasts'!$D$1251,ROW(INDIRECT("1:"&amp;K$2)))=0,ROW(INDIRECT("1:"&amp;K$2))),ROW($A144)),"")</f>
        <v>201</v>
      </c>
      <c r="BB187" s="117">
        <f t="array" aca="1" ref="BB187" ca="1">IFERROR(SMALL(IF(COUNTIF(Podcasts!$D$1257:'Podcasts'!$D$1267,ROW(INDIRECT("1:"&amp;K$2)))=0,ROW(INDIRECT("1:"&amp;K$2))),ROW($A144)),"")</f>
        <v>149</v>
      </c>
      <c r="BC187" s="117">
        <f t="array" aca="1" ref="BC187" ca="1">IFERROR(SMALL(IF(COUNTIF(Podcasts!$D$1273:'Podcasts'!$D$1283,ROW(INDIRECT("1:"&amp;K$2)))=0,ROW(INDIRECT("1:"&amp;K$2))),ROW($A144)),"")</f>
        <v>149</v>
      </c>
      <c r="BD187" s="117">
        <f t="array" aca="1" ref="BD187" ca="1">IFERROR(SMALL(IF(COUNTIF(Podcasts!$D$1289:'Podcasts'!$D$1295,ROW(INDIRECT("1:"&amp;K$2)))=0,ROW(INDIRECT("1:"&amp;K$2))),ROW($A144)),"")</f>
        <v>149</v>
      </c>
      <c r="BE187" s="117">
        <f t="array" aca="1" ref="BE187" ca="1">IFERROR(SMALL(IF(COUNTIF(Podcasts!$D$1301:'Podcasts'!$D$1356,ROW(INDIRECT("1:"&amp;K$2)))=0,ROW(INDIRECT("1:"&amp;K$2))),ROW($A144)),"")</f>
        <v>191</v>
      </c>
      <c r="BF187" s="117">
        <f t="array" aca="1" ref="BF187" ca="1">IFERROR(SMALL(IF(COUNTIF(Podcasts!$D$1362:'Podcasts'!$D$1364,ROW(INDIRECT("1:"&amp;K$2)))=0,ROW(INDIRECT("1:"&amp;K$2))),ROW($A144)),"")</f>
        <v>147</v>
      </c>
      <c r="BG187" s="202">
        <f t="array" aca="1" ref="BG187" ca="1">IFERROR(SMALL(IF(COUNTIF(Podcasts!$D$1370:'Podcasts'!$D$1419,ROW(INDIRECT("1:"&amp;K$2)))=0,ROW(INDIRECT("1:"&amp;K$2))),ROW($A144)),"")</f>
        <v>182</v>
      </c>
      <c r="BH187" s="202">
        <f t="array" aca="1" ref="BH187" ca="1">IFERROR(SMALL(IF(COUNTIF(Podcasts!$D$1425:'Podcasts'!$D$1446,ROW(INDIRECT("1:"&amp;K$2)))=0,ROW(INDIRECT("1:"&amp;K$2))),ROW($A144)),"")</f>
        <v>154</v>
      </c>
      <c r="BI187" s="202">
        <f t="array" aca="1" ref="BI187" ca="1">IFERROR(SMALL(IF(COUNTIF(Podcasts!$D$1452:'Podcasts'!$D$1574,ROW(INDIRECT("1:"&amp;K$2)))=0,ROW(INDIRECT("1:"&amp;K$2))),ROW($A144)),"")</f>
        <v>225</v>
      </c>
      <c r="BJ187" s="202" t="str">
        <f t="array" aca="1" ref="BJ187" ca="1">IFERROR(SMALL(IF(COUNTIF(Podcasts!$D$1580:'Podcasts'!$D$1705,ROW(INDIRECT("1:"&amp;K$2)))=0,ROW(INDIRECT("1:"&amp;K$2))),ROW($A144)),"")</f>
        <v/>
      </c>
      <c r="BK187" s="202">
        <f t="array" aca="1" ref="BK187" ca="1">IFERROR(SMALL(IF(COUNTIF(Podcasts!$D$1711:'Podcasts'!$D$1833,ROW(INDIRECT("1:"&amp;K$2)))=0,ROW(INDIRECT("1:"&amp;K$2))),ROW($A144)),"")</f>
        <v>220</v>
      </c>
      <c r="BL187" s="202">
        <f t="array" aca="1" ref="BL187" ca="1">IFERROR(SMALL(IF(COUNTIF(Podcasts!$D$1839:'Podcasts'!$D$1855,ROW(INDIRECT("1:"&amp;K$2)))=0,ROW(INDIRECT("1:"&amp;K$2))),ROW($A144)),"")</f>
        <v>153</v>
      </c>
      <c r="BM187" s="567">
        <f t="array" aca="1" ref="BM187" ca="1">IFERROR(SMALL(IF(COUNTIF(Podcasts!$D$1861:'Podcasts'!$D$1994,ROW(INDIRECT("1:"&amp;K$2)))=0,ROW(INDIRECT("1:"&amp;K$2))),ROW($A144)),"")</f>
        <v>192</v>
      </c>
      <c r="BN187" s="567">
        <f t="array" aca="1" ref="BN187" ca="1">IFERROR(SMALL(IF(COUNTIF(Podcasts!$D$2000:'Podcasts'!$D$2057,ROW(INDIRECT("1:"&amp;K$2)))=0,ROW(INDIRECT("1:"&amp;K$2))),ROW($A144)),"")</f>
        <v>199</v>
      </c>
      <c r="BO187" s="567">
        <f t="array" aca="1" ref="BO187" ca="1">IFERROR(SMALL(IF(COUNTIF(Podcasts!$D$2063:'Podcasts'!$D$2071,ROW(INDIRECT("1:"&amp;K$2)))=0,ROW(INDIRECT("1:"&amp;K$2))),ROW($A144)),"")</f>
        <v>151</v>
      </c>
      <c r="BP187" s="202">
        <f t="array" aca="1" ref="BP187" ca="1">IFERROR(SMALL(IF(COUNTIF(Podcasts!$D$2077:'Podcasts'!$D$2092,ROW(INDIRECT("1:"&amp;K$2)))=0,ROW(INDIRECT("1:"&amp;K$2))),ROW($A144)),"")</f>
        <v>155</v>
      </c>
      <c r="BQ187" s="741">
        <f t="array" aca="1" ref="BQ187" ca="1">IFERROR(SMALL(IF(COUNTIF(Podcasts!$D$2098:'Podcasts'!$D$2114,ROW(INDIRECT("1:"&amp;K$2)))=0,ROW(INDIRECT("1:"&amp;K$2))),ROW($A144)),"")</f>
        <v>157</v>
      </c>
      <c r="BR187" s="744">
        <f t="array" aca="1" ref="BR187" ca="1">IFERROR(SMALL(IF(COUNTIF(Podcasts!$D$2120:'Podcasts'!$D$2124,ROW(INDIRECT("1:"&amp;K$2)))=0,ROW(INDIRECT("1:"&amp;K$2))),ROW($A144)),"")</f>
        <v>146</v>
      </c>
      <c r="BS187" s="28"/>
    </row>
    <row r="188" spans="1:71" outlineLevel="1">
      <c r="A188" s="28"/>
      <c r="B188" s="161">
        <v>145</v>
      </c>
      <c r="C188" s="161">
        <f>COUNTIF(Podcasts!$D$10:'Podcasts'!$D$2535,B188)</f>
        <v>3</v>
      </c>
      <c r="D188" s="158" t="s">
        <v>1171</v>
      </c>
      <c r="E188" s="156" t="str">
        <f t="array" ref="E188">IF(F188="","",INDEX(Podcasts!$J$10:'Podcasts'!$J$2535,MATCH(F188&amp;$B188,Podcasts!$E$10:'Podcasts'!$E$2535&amp;Podcasts!$D$10:'Podcasts'!$D$2535,0)))</f>
        <v>Fürst</v>
      </c>
      <c r="F188" s="131">
        <f t="array" ref="F188">IF(COUNTIF(Podcasts!$D$10:'Podcasts'!$D$2535,$B188)&lt;COLUMN(A151),"",SMALL(IF(Podcasts!$D$10:'Podcasts'!$D$2535=$B188,Podcasts!$E$10:'Podcasts'!$E$2535),COLUMN(A151)))</f>
        <v>41731</v>
      </c>
      <c r="G188" s="132">
        <f t="array" ref="G188">IF(F188="","",INDEX(Podcasts!$F$10:'Podcasts'!$F$2535,MATCH(F188&amp;$B188,Podcasts!$E$10:'Podcasts'!$E$2535&amp;Podcasts!$D$10:'Podcasts'!$D$2535,0)))</f>
        <v>5.1504629629629626E-3</v>
      </c>
      <c r="H188" s="136" t="str">
        <f t="array" ref="H188">IF(I188="","",INDEX(Podcasts!$J$10:'Podcasts'!$J$2535,MATCH(I188&amp;$B188,Podcasts!$E$10:'Podcasts'!$E$2535&amp;Podcasts!$D$10:'Podcasts'!$D$2535,0)))</f>
        <v>SSP</v>
      </c>
      <c r="I188" s="133">
        <f t="array" ref="I188">IF(COUNTIF(Podcasts!$D$10:'Podcasts'!$D$2535,$B188)&lt;COLUMN(B151),"",SMALL(IF(Podcasts!$D$10:'Podcasts'!$D$2535=$B188,Podcasts!$E$10:'Podcasts'!$E$2535),COLUMN(B151)))</f>
        <v>45239</v>
      </c>
      <c r="J188" s="132">
        <f t="array" ref="J188">IF(I188="","",INDEX(Podcasts!$F$10:'Podcasts'!$F$2535,MATCH(I188&amp;$B188,Podcasts!$E$10:'Podcasts'!$E$2535&amp;Podcasts!$D$10:'Podcasts'!$D$2535,0)))</f>
        <v>9.4791666666666663E-2</v>
      </c>
      <c r="K188" s="136" t="str">
        <f t="array" ref="K188">IF(L188="","",INDEX(Podcasts!$J$10:'Podcasts'!$J$2535,MATCH(L188&amp;$B188,Podcasts!$E$10:'Podcasts'!$E$2535&amp;Podcasts!$D$10:'Podcasts'!$D$2535,0)))</f>
        <v>Verstärker</v>
      </c>
      <c r="L188" s="133">
        <f t="array" ref="L188">IF(COUNTIF(Podcasts!$D$10:'Podcasts'!$D$2535,$B188)&lt;COLUMN(C151),"",SMALL(IF(Podcasts!$D$10:'Podcasts'!$D$2535=$B188,Podcasts!$E$10:'Podcasts'!$E$2535),COLUMN(C151)))</f>
        <v>45385</v>
      </c>
      <c r="M188" s="132">
        <f t="array" ref="M188">IF(L188="","",INDEX(Podcasts!$F$10:'Podcasts'!$F$2535,MATCH(L188&amp;$B188,Podcasts!$E$10:'Podcasts'!$E$2535&amp;Podcasts!$D$10:'Podcasts'!$D$2535,0)))</f>
        <v>2.060185185185185E-2</v>
      </c>
      <c r="N188" s="136" t="str">
        <f t="array" ref="N188">IF(O188="","",INDEX(Podcasts!$J$10:'Podcasts'!$J$2535,MATCH(O188&amp;$B188,Podcasts!$E$10:'Podcasts'!$E$2535&amp;Podcasts!$D$10:'Podcasts'!$D$2535,0)))</f>
        <v/>
      </c>
      <c r="O188" s="133" t="str">
        <f t="array" ref="O188">IF(COUNTIF(Podcasts!$D$10:'Podcasts'!$D$2535,$B188)&lt;COLUMN(D151),"",SMALL(IF(Podcasts!$D$10:'Podcasts'!$D$2535=$B188,Podcasts!$E$10:'Podcasts'!$E$2535),COLUMN(D151)))</f>
        <v/>
      </c>
      <c r="P188" s="132" t="str">
        <f t="array" ref="P188">IF(O188="","",INDEX(Podcasts!$F$10:'Podcasts'!$F$2535,MATCH(O188&amp;$B188,Podcasts!$E$10:'Podcasts'!$E$2535&amp;Podcasts!$D$10:'Podcasts'!$D$2535,0)))</f>
        <v/>
      </c>
      <c r="Q188" s="136" t="str">
        <f t="array" ref="Q188">IF(R188="","",INDEX(Podcasts!$J$10:'Podcasts'!$J$2535,MATCH(R188&amp;$B188,Podcasts!$E$10:'Podcasts'!$E$2535&amp;Podcasts!$D$10:'Podcasts'!$D$2535,0)))</f>
        <v/>
      </c>
      <c r="R188" s="133" t="str">
        <f t="array" ref="R188">IF(COUNTIF(Podcasts!$D$10:'Podcasts'!$D$2535,$B188)&lt;COLUMN(E151),"",SMALL(IF(Podcasts!$D$10:'Podcasts'!$D$2535=$B188,Podcasts!$E$10:'Podcasts'!$E$2535),COLUMN(E151)))</f>
        <v/>
      </c>
      <c r="S188" s="132" t="str">
        <f t="array" ref="S188">IF(R188="","",INDEX(Podcasts!$F$10:'Podcasts'!$F$2535,MATCH(R188&amp;$B188,Podcasts!$E$10:'Podcasts'!$E$2535&amp;Podcasts!$D$10:'Podcasts'!$D$2535,0)))</f>
        <v/>
      </c>
      <c r="T188" s="136" t="str">
        <f t="array" ref="T188">IF(U188="","",INDEX(Podcasts!$J$10:'Podcasts'!$J$2535,MATCH(U188&amp;$B188,Podcasts!$E$10:'Podcasts'!$E$2535&amp;Podcasts!$D$10:'Podcasts'!$D$2535,0)))</f>
        <v/>
      </c>
      <c r="U188" s="133" t="str">
        <f t="array" ref="U188">IF(COUNTIF(Podcasts!$D$10:'Podcasts'!$D$2535,$B188)&lt;COLUMN(F151),"",SMALL(IF(Podcasts!$D$10:'Podcasts'!$D$2535=$B188,Podcasts!$E$10:'Podcasts'!$E$2535),COLUMN(F151)))</f>
        <v/>
      </c>
      <c r="V188" s="132" t="str">
        <f t="array" ref="V188">IF(U188="","",INDEX(Podcasts!$F$10:'Podcasts'!$F$2535,MATCH(U188&amp;$B188,Podcasts!$E$10:'Podcasts'!$E$2535&amp;Podcasts!$D$10:'Podcasts'!$D$2535,0)))</f>
        <v/>
      </c>
      <c r="W188" s="136" t="str">
        <f t="array" ref="W188">IF(X188="","",INDEX(Podcasts!$J$10:'Podcasts'!$J$2535,MATCH(X188&amp;$B188,Podcasts!$E$10:'Podcasts'!$E$2535&amp;Podcasts!$D$10:'Podcasts'!$D$2535,0)))</f>
        <v/>
      </c>
      <c r="X188" s="133" t="str">
        <f t="array" ref="X188">IF(COUNTIF(Podcasts!$D$10:'Podcasts'!$D$2535,$B188)&lt;COLUMN(G151),"",SMALL(IF(Podcasts!$D$10:'Podcasts'!$D$2535=$B188,Podcasts!$E$10:'Podcasts'!$E$2535),COLUMN(G151)))</f>
        <v/>
      </c>
      <c r="Y188" s="132" t="str">
        <f t="array" ref="Y188">IF(X188="","",INDEX(Podcasts!$F$10:'Podcasts'!$F$2535,MATCH(X188&amp;$B188,Podcasts!$E$10:'Podcasts'!$E$2535&amp;Podcasts!$D$10:'Podcasts'!$D$2535,0)))</f>
        <v/>
      </c>
      <c r="Z188" s="136" t="str">
        <f t="array" ref="Z188">IF(AA188="","",INDEX(Podcasts!$J$10:'Podcasts'!$J$2535,MATCH(AA188&amp;$B188,Podcasts!$E$10:'Podcasts'!$E$2535&amp;Podcasts!$D$10:'Podcasts'!$D$2535,0)))</f>
        <v/>
      </c>
      <c r="AA188" s="134" t="str">
        <f t="array" ref="AA188">IF(COUNTIF(Podcasts!$D$10:'Podcasts'!$D$2535,$B188)&lt;COLUMN(H151),"",SMALL(IF(Podcasts!$D$10:'Podcasts'!$D$2535=$B188,Podcasts!$E$10:'Podcasts'!$E$2535),COLUMN(H151)))</f>
        <v/>
      </c>
      <c r="AB188" s="404" t="str">
        <f t="array" ref="AB188">IF(AA188="","",INDEX(Podcasts!$F$10:'Podcasts'!$F$2535,MATCH(AA188&amp;$B188,Podcasts!$E$10:'Podcasts'!$E$2535&amp;Podcasts!$D$10:'Podcasts'!$D$2535,0)))</f>
        <v/>
      </c>
      <c r="AC188" s="406" t="str">
        <f t="array" ref="AC188">IF(AD188="","",INDEX(Podcasts!$J$10:'Podcasts'!$J$2535,MATCH(AD188&amp;$B188,Podcasts!$E$10:'Podcasts'!$E$2535&amp;Podcasts!$D$10:'Podcasts'!$D$2535,0)))</f>
        <v/>
      </c>
      <c r="AD188" s="400" t="str">
        <f t="array" ref="AD188">IF(COUNTIF(Podcasts!$D$10:'Podcasts'!$D$2535,$B188)&lt;COLUMN(I151),"",SMALL(IF(Podcasts!$D$10:'Podcasts'!$D$2535=$B188,Podcasts!$E$10:'Podcasts'!$E$2535),COLUMN(I151)))</f>
        <v/>
      </c>
      <c r="AE188" s="401" t="str">
        <f t="array" ref="AE188">IF(AD188="","",INDEX(Podcasts!$F$10:'Podcasts'!$F$2535,MATCH(AD188&amp;$B188,Podcasts!$E$10:'Podcasts'!$E$2535&amp;Podcasts!$D$10:'Podcasts'!$D$2535,0)))</f>
        <v/>
      </c>
      <c r="AF188" s="406" t="str">
        <f t="array" ref="AF188">IF(AG188="","",INDEX(Podcasts!$J$10:'Podcasts'!$J$2535,MATCH(AG188&amp;$B188,Podcasts!$E$10:'Podcasts'!$E$2535&amp;Podcasts!$D$10:'Podcasts'!$D$2535,0)))</f>
        <v/>
      </c>
      <c r="AG188" s="400" t="str">
        <f t="array" ref="AG188">IF(COUNTIF(Podcasts!$D$10:'Podcasts'!$D$2535,$B188)&lt;COLUMN(J151),"",SMALL(IF(Podcasts!$D$10:'Podcasts'!$D$2535=$B188,Podcasts!$E$10:'Podcasts'!$E$2535),COLUMN(J151)))</f>
        <v/>
      </c>
      <c r="AH188" s="401" t="str">
        <f t="array" ref="AH188">IF(AG188="","",INDEX(Podcasts!$F$10:'Podcasts'!$F$2535,MATCH(AG188&amp;$B188,Podcasts!$E$10:'Podcasts'!$E$2535&amp;Podcasts!$D$10:'Podcasts'!$D$2535,0)))</f>
        <v/>
      </c>
      <c r="AI188" s="406" t="str">
        <f t="array" ref="AI188">IF(AJ188="","",INDEX(Podcasts!$J$10:'Podcasts'!$J$2535,MATCH(AJ188&amp;$B188,Podcasts!$E$10:'Podcasts'!$E$2535&amp;Podcasts!$D$10:'Podcasts'!$D$2535,0)))</f>
        <v/>
      </c>
      <c r="AJ188" s="400" t="str">
        <f t="array" ref="AJ188">IF(COUNTIF(Podcasts!$D$10:'Podcasts'!$D$2535,$B188)&lt;COLUMN(K151),"",SMALL(IF(Podcasts!$D$10:'Podcasts'!$D$2535=$B188,Podcasts!$E$10:'Podcasts'!$E$2535),COLUMN(K151)))</f>
        <v/>
      </c>
      <c r="AK188" s="401" t="str">
        <f t="array" ref="AK188">IF(AJ188="","",INDEX(Podcasts!$F$10:'Podcasts'!$F$2535,MATCH(AJ188&amp;$B188,Podcasts!$E$10:'Podcasts'!$E$2535&amp;Podcasts!$D$10:'Podcasts'!$D$2535,0)))</f>
        <v/>
      </c>
      <c r="AL188" s="406" t="str">
        <f t="array" ref="AL188">IF(AM188="","",INDEX(Podcasts!$J$10:'Podcasts'!$J$2535,MATCH(AM188&amp;$B188,Podcasts!$E$10:'Podcasts'!$E$2535&amp;Podcasts!$D$10:'Podcasts'!$D$2535,0)))</f>
        <v/>
      </c>
      <c r="AM188" s="400" t="str">
        <f t="array" ref="AM188">IF(COUNTIF(Podcasts!$D$10:'Podcasts'!$D$2535,$B188)&lt;COLUMN(L151),"",SMALL(IF(Podcasts!$D$10:'Podcasts'!$D$2535=$B188,Podcasts!$E$10:'Podcasts'!$E$2535),COLUMN(L151)))</f>
        <v/>
      </c>
      <c r="AN188" s="401" t="str">
        <f t="array" ref="AN188">IF(AM188="","",INDEX(Podcasts!$F$10:'Podcasts'!$F$2535,MATCH(AM188&amp;$B188,Podcasts!$E$10:'Podcasts'!$E$2535&amp;Podcasts!$D$10:'Podcasts'!$D$2535,0)))</f>
        <v/>
      </c>
      <c r="AO188" s="402"/>
      <c r="AP188" s="119"/>
      <c r="AQ188" s="117">
        <f t="array" aca="1" ref="AQ188" ca="1">IFERROR(SMALL(IF(COUNTIF(Podcasts!$D$10:'Podcasts'!$D$107,ROW(INDIRECT("1:"&amp;K$2)))=0,ROW(INDIRECT("1:"&amp;K$2))),ROW($A145)),"")</f>
        <v>188</v>
      </c>
      <c r="AR188" s="117">
        <f t="array" aca="1" ref="AR188" ca="1">IFERROR(SMALL(IF(COUNTIF(Podcasts!$D$113:'Podcasts'!$D$238,ROW(INDIRECT("1:"&amp;K$2)))=0,ROW(INDIRECT("1:"&amp;K$2))),ROW($A145)),"")</f>
        <v>145</v>
      </c>
      <c r="AS188" s="117">
        <f t="array" aca="1" ref="AS188" ca="1">IFERROR(SMALL(IF(COUNTIF(Podcasts!$D$244:'Podcasts'!$D$299,ROW(INDIRECT("1:"&amp;K$2)))=0,ROW(INDIRECT("1:"&amp;K$2))),ROW($A145)),"")</f>
        <v>178</v>
      </c>
      <c r="AT188" s="117"/>
      <c r="AU188" s="117">
        <f t="array" aca="1" ref="AU188" ca="1">IFERROR(SMALL(IF(COUNTIF(Podcasts!$D$479:'Podcasts'!$D$488,ROW(INDIRECT("1:"&amp;K$2)))=0,ROW(INDIRECT("1:"&amp;K$2))),ROW($A145)),"")</f>
        <v>149</v>
      </c>
      <c r="AV188" s="117">
        <f t="array" aca="1" ref="AV188" ca="1">IFERROR(SMALL(IF(COUNTIF(Podcasts!$D$494:'Podcasts'!$D$518,ROW(INDIRECT("1:"&amp;K$2)))=0,ROW(INDIRECT("1:"&amp;K$2))),ROW($A145)),"")</f>
        <v>168</v>
      </c>
      <c r="AW188" s="117">
        <f t="array" aca="1" ref="AW188" ca="1">IFERROR(SMALL(IF(COUNTIF(Podcasts!$D$524:'Podcasts'!$D$532,ROW(INDIRECT("1:"&amp;K$2)))=0,ROW(INDIRECT("1:"&amp;K$2))),ROW($A145)),"")</f>
        <v>146</v>
      </c>
      <c r="AX188" s="117"/>
      <c r="AY188" s="117">
        <f t="array" aca="1" ref="AY188" ca="1">IFERROR(SMALL(IF(COUNTIF(Podcasts!$D$915:'Podcasts'!$D$981,ROW(INDIRECT("1:"&amp;K$2)))=0,ROW(INDIRECT("1:"&amp;K$2))),ROW($A145)),"")</f>
        <v>201</v>
      </c>
      <c r="AZ188" s="445"/>
      <c r="BA188" s="117">
        <f t="array" aca="1" ref="BA188" ca="1">IFERROR(SMALL(IF(COUNTIF(Podcasts!$D$1001:'Podcasts'!$D$1251,ROW(INDIRECT("1:"&amp;K$2)))=0,ROW(INDIRECT("1:"&amp;K$2))),ROW($A145)),"")</f>
        <v>202</v>
      </c>
      <c r="BB188" s="117">
        <f t="array" aca="1" ref="BB188" ca="1">IFERROR(SMALL(IF(COUNTIF(Podcasts!$D$1257:'Podcasts'!$D$1267,ROW(INDIRECT("1:"&amp;K$2)))=0,ROW(INDIRECT("1:"&amp;K$2))),ROW($A145)),"")</f>
        <v>150</v>
      </c>
      <c r="BC188" s="117">
        <f t="array" aca="1" ref="BC188" ca="1">IFERROR(SMALL(IF(COUNTIF(Podcasts!$D$1273:'Podcasts'!$D$1283,ROW(INDIRECT("1:"&amp;K$2)))=0,ROW(INDIRECT("1:"&amp;K$2))),ROW($A145)),"")</f>
        <v>150</v>
      </c>
      <c r="BD188" s="117">
        <f t="array" aca="1" ref="BD188" ca="1">IFERROR(SMALL(IF(COUNTIF(Podcasts!$D$1289:'Podcasts'!$D$1295,ROW(INDIRECT("1:"&amp;K$2)))=0,ROW(INDIRECT("1:"&amp;K$2))),ROW($A145)),"")</f>
        <v>150</v>
      </c>
      <c r="BE188" s="117">
        <f t="array" aca="1" ref="BE188" ca="1">IFERROR(SMALL(IF(COUNTIF(Podcasts!$D$1301:'Podcasts'!$D$1356,ROW(INDIRECT("1:"&amp;K$2)))=0,ROW(INDIRECT("1:"&amp;K$2))),ROW($A145)),"")</f>
        <v>192</v>
      </c>
      <c r="BF188" s="117">
        <f t="array" aca="1" ref="BF188" ca="1">IFERROR(SMALL(IF(COUNTIF(Podcasts!$D$1362:'Podcasts'!$D$1364,ROW(INDIRECT("1:"&amp;K$2)))=0,ROW(INDIRECT("1:"&amp;K$2))),ROW($A145)),"")</f>
        <v>148</v>
      </c>
      <c r="BG188" s="202">
        <f t="array" aca="1" ref="BG188" ca="1">IFERROR(SMALL(IF(COUNTIF(Podcasts!$D$1370:'Podcasts'!$D$1419,ROW(INDIRECT("1:"&amp;K$2)))=0,ROW(INDIRECT("1:"&amp;K$2))),ROW($A145)),"")</f>
        <v>184</v>
      </c>
      <c r="BH188" s="202">
        <f t="array" aca="1" ref="BH188" ca="1">IFERROR(SMALL(IF(COUNTIF(Podcasts!$D$1425:'Podcasts'!$D$1446,ROW(INDIRECT("1:"&amp;K$2)))=0,ROW(INDIRECT("1:"&amp;K$2))),ROW($A145)),"")</f>
        <v>155</v>
      </c>
      <c r="BI188" s="202">
        <f t="array" aca="1" ref="BI188" ca="1">IFERROR(SMALL(IF(COUNTIF(Podcasts!$D$1452:'Podcasts'!$D$1574,ROW(INDIRECT("1:"&amp;K$2)))=0,ROW(INDIRECT("1:"&amp;K$2))),ROW($A145)),"")</f>
        <v>226</v>
      </c>
      <c r="BJ188" s="202" t="str">
        <f t="array" aca="1" ref="BJ188" ca="1">IFERROR(SMALL(IF(COUNTIF(Podcasts!$D$1580:'Podcasts'!$D$1705,ROW(INDIRECT("1:"&amp;K$2)))=0,ROW(INDIRECT("1:"&amp;K$2))),ROW($A145)),"")</f>
        <v/>
      </c>
      <c r="BK188" s="202">
        <f t="array" aca="1" ref="BK188" ca="1">IFERROR(SMALL(IF(COUNTIF(Podcasts!$D$1711:'Podcasts'!$D$1833,ROW(INDIRECT("1:"&amp;K$2)))=0,ROW(INDIRECT("1:"&amp;K$2))),ROW($A145)),"")</f>
        <v>222</v>
      </c>
      <c r="BL188" s="202">
        <f t="array" aca="1" ref="BL188" ca="1">IFERROR(SMALL(IF(COUNTIF(Podcasts!$D$1839:'Podcasts'!$D$1855,ROW(INDIRECT("1:"&amp;K$2)))=0,ROW(INDIRECT("1:"&amp;K$2))),ROW($A145)),"")</f>
        <v>154</v>
      </c>
      <c r="BM188" s="567">
        <f t="array" aca="1" ref="BM188" ca="1">IFERROR(SMALL(IF(COUNTIF(Podcasts!$D$1861:'Podcasts'!$D$1994,ROW(INDIRECT("1:"&amp;K$2)))=0,ROW(INDIRECT("1:"&amp;K$2))),ROW($A145)),"")</f>
        <v>193</v>
      </c>
      <c r="BN188" s="567">
        <f t="array" aca="1" ref="BN188" ca="1">IFERROR(SMALL(IF(COUNTIF(Podcasts!$D$2000:'Podcasts'!$D$2057,ROW(INDIRECT("1:"&amp;K$2)))=0,ROW(INDIRECT("1:"&amp;K$2))),ROW($A145)),"")</f>
        <v>200</v>
      </c>
      <c r="BO188" s="567">
        <f t="array" aca="1" ref="BO188" ca="1">IFERROR(SMALL(IF(COUNTIF(Podcasts!$D$2063:'Podcasts'!$D$2071,ROW(INDIRECT("1:"&amp;K$2)))=0,ROW(INDIRECT("1:"&amp;K$2))),ROW($A145)),"")</f>
        <v>152</v>
      </c>
      <c r="BP188" s="202">
        <f t="array" aca="1" ref="BP188" ca="1">IFERROR(SMALL(IF(COUNTIF(Podcasts!$D$2077:'Podcasts'!$D$2092,ROW(INDIRECT("1:"&amp;K$2)))=0,ROW(INDIRECT("1:"&amp;K$2))),ROW($A145)),"")</f>
        <v>156</v>
      </c>
      <c r="BQ188" s="741">
        <f t="array" aca="1" ref="BQ188" ca="1">IFERROR(SMALL(IF(COUNTIF(Podcasts!$D$2098:'Podcasts'!$D$2114,ROW(INDIRECT("1:"&amp;K$2)))=0,ROW(INDIRECT("1:"&amp;K$2))),ROW($A145)),"")</f>
        <v>158</v>
      </c>
      <c r="BR188" s="744">
        <f t="array" aca="1" ref="BR188" ca="1">IFERROR(SMALL(IF(COUNTIF(Podcasts!$D$2120:'Podcasts'!$D$2124,ROW(INDIRECT("1:"&amp;K$2)))=0,ROW(INDIRECT("1:"&amp;K$2))),ROW($A145)),"")</f>
        <v>147</v>
      </c>
      <c r="BS188" s="28"/>
    </row>
    <row r="189" spans="1:71" outlineLevel="1">
      <c r="A189" s="28"/>
      <c r="B189" s="161">
        <v>146</v>
      </c>
      <c r="C189" s="161">
        <f>COUNTIF(Podcasts!$D$10:'Podcasts'!$D$2535,B189)</f>
        <v>4</v>
      </c>
      <c r="D189" s="158" t="s">
        <v>1172</v>
      </c>
      <c r="E189" s="156" t="str">
        <f t="array" ref="E189">IF(F189="","",INDEX(Podcasts!$J$10:'Podcasts'!$J$2535,MATCH(F189&amp;$B189,Podcasts!$E$10:'Podcasts'!$E$2535&amp;Podcasts!$D$10:'Podcasts'!$D$2535,0)))</f>
        <v>Fürst</v>
      </c>
      <c r="F189" s="131">
        <f t="array" ref="F189">IF(COUNTIF(Podcasts!$D$10:'Podcasts'!$D$2535,$B189)&lt;COLUMN(A152),"",SMALL(IF(Podcasts!$D$10:'Podcasts'!$D$2535=$B189,Podcasts!$E$10:'Podcasts'!$E$2535),COLUMN(A152)))</f>
        <v>41731</v>
      </c>
      <c r="G189" s="132">
        <f t="array" ref="G189">IF(F189="","",INDEX(Podcasts!$F$10:'Podcasts'!$F$2535,MATCH(F189&amp;$B189,Podcasts!$E$10:'Podcasts'!$E$2535&amp;Podcasts!$D$10:'Podcasts'!$D$2535,0)))</f>
        <v>1.6203703703703692E-3</v>
      </c>
      <c r="H189" s="136" t="str">
        <f t="array" ref="H189">IF(I189="","",INDEX(Podcasts!$J$10:'Podcasts'!$J$2535,MATCH(I189&amp;$B189,Podcasts!$E$10:'Podcasts'!$E$2535&amp;Podcasts!$D$10:'Podcasts'!$D$2535,0)))</f>
        <v>Kuchen</v>
      </c>
      <c r="I189" s="133">
        <f t="array" ref="I189">IF(COUNTIF(Podcasts!$D$10:'Podcasts'!$D$2535,$B189)&lt;COLUMN(B152),"",SMALL(IF(Podcasts!$D$10:'Podcasts'!$D$2535=$B189,Podcasts!$E$10:'Podcasts'!$E$2535),COLUMN(B152)))</f>
        <v>44248</v>
      </c>
      <c r="J189" s="132">
        <f t="array" ref="J189">IF(I189="","",INDEX(Podcasts!$F$10:'Podcasts'!$F$2535,MATCH(I189&amp;$B189,Podcasts!$E$10:'Podcasts'!$E$2535&amp;Podcasts!$D$10:'Podcasts'!$D$2535,0)))</f>
        <v>5.4583333333333338E-2</v>
      </c>
      <c r="K189" s="136" t="str">
        <f t="array" ref="K189">IF(L189="","",INDEX(Podcasts!$J$10:'Podcasts'!$J$2535,MATCH(L189&amp;$B189,Podcasts!$E$10:'Podcasts'!$E$2535&amp;Podcasts!$D$10:'Podcasts'!$D$2535,0)))</f>
        <v>DGdB</v>
      </c>
      <c r="L189" s="133">
        <f t="array" ref="L189">IF(COUNTIF(Podcasts!$D$10:'Podcasts'!$D$2535,$B189)&lt;COLUMN(C152),"",SMALL(IF(Podcasts!$D$10:'Podcasts'!$D$2535=$B189,Podcasts!$E$10:'Podcasts'!$E$2535),COLUMN(C152)))</f>
        <v>45139</v>
      </c>
      <c r="M189" s="132">
        <f t="array" ref="M189">IF(L189="","",INDEX(Podcasts!$F$10:'Podcasts'!$F$2535,MATCH(L189&amp;$B189,Podcasts!$E$10:'Podcasts'!$E$2535&amp;Podcasts!$D$10:'Podcasts'!$D$2535,0)))</f>
        <v>0.11743055555555555</v>
      </c>
      <c r="N189" s="136" t="str">
        <f t="array" ref="N189">IF(O189="","",INDEX(Podcasts!$J$10:'Podcasts'!$J$2535,MATCH(O189&amp;$B189,Podcasts!$E$10:'Podcasts'!$E$2535&amp;Podcasts!$D$10:'Podcasts'!$D$2535,0)))</f>
        <v>Verstärker</v>
      </c>
      <c r="O189" s="133">
        <f t="array" ref="O189">IF(COUNTIF(Podcasts!$D$10:'Podcasts'!$D$2535,$B189)&lt;COLUMN(D152),"",SMALL(IF(Podcasts!$D$10:'Podcasts'!$D$2535=$B189,Podcasts!$E$10:'Podcasts'!$E$2535),COLUMN(D152)))</f>
        <v>45263</v>
      </c>
      <c r="P189" s="132">
        <f t="array" ref="P189">IF(O189="","",INDEX(Podcasts!$F$10:'Podcasts'!$F$2535,MATCH(O189&amp;$B189,Podcasts!$E$10:'Podcasts'!$E$2535&amp;Podcasts!$D$10:'Podcasts'!$D$2535,0)))</f>
        <v>1.741898148148148E-2</v>
      </c>
      <c r="Q189" s="136" t="str">
        <f t="array" ref="Q189">IF(R189="","",INDEX(Podcasts!$J$10:'Podcasts'!$J$2535,MATCH(R189&amp;$B189,Podcasts!$E$10:'Podcasts'!$E$2535&amp;Podcasts!$D$10:'Podcasts'!$D$2535,0)))</f>
        <v/>
      </c>
      <c r="R189" s="133" t="str">
        <f t="array" ref="R189">IF(COUNTIF(Podcasts!$D$10:'Podcasts'!$D$2535,$B189)&lt;COLUMN(E152),"",SMALL(IF(Podcasts!$D$10:'Podcasts'!$D$2535=$B189,Podcasts!$E$10:'Podcasts'!$E$2535),COLUMN(E152)))</f>
        <v/>
      </c>
      <c r="S189" s="132" t="str">
        <f t="array" ref="S189">IF(R189="","",INDEX(Podcasts!$F$10:'Podcasts'!$F$2535,MATCH(R189&amp;$B189,Podcasts!$E$10:'Podcasts'!$E$2535&amp;Podcasts!$D$10:'Podcasts'!$D$2535,0)))</f>
        <v/>
      </c>
      <c r="T189" s="136" t="str">
        <f t="array" ref="T189">IF(U189="","",INDEX(Podcasts!$J$10:'Podcasts'!$J$2535,MATCH(U189&amp;$B189,Podcasts!$E$10:'Podcasts'!$E$2535&amp;Podcasts!$D$10:'Podcasts'!$D$2535,0)))</f>
        <v/>
      </c>
      <c r="U189" s="133" t="str">
        <f t="array" ref="U189">IF(COUNTIF(Podcasts!$D$10:'Podcasts'!$D$2535,$B189)&lt;COLUMN(F152),"",SMALL(IF(Podcasts!$D$10:'Podcasts'!$D$2535=$B189,Podcasts!$E$10:'Podcasts'!$E$2535),COLUMN(F152)))</f>
        <v/>
      </c>
      <c r="V189" s="132" t="str">
        <f t="array" ref="V189">IF(U189="","",INDEX(Podcasts!$F$10:'Podcasts'!$F$2535,MATCH(U189&amp;$B189,Podcasts!$E$10:'Podcasts'!$E$2535&amp;Podcasts!$D$10:'Podcasts'!$D$2535,0)))</f>
        <v/>
      </c>
      <c r="W189" s="136" t="str">
        <f t="array" ref="W189">IF(X189="","",INDEX(Podcasts!$J$10:'Podcasts'!$J$2535,MATCH(X189&amp;$B189,Podcasts!$E$10:'Podcasts'!$E$2535&amp;Podcasts!$D$10:'Podcasts'!$D$2535,0)))</f>
        <v/>
      </c>
      <c r="X189" s="133" t="str">
        <f t="array" ref="X189">IF(COUNTIF(Podcasts!$D$10:'Podcasts'!$D$2535,$B189)&lt;COLUMN(G152),"",SMALL(IF(Podcasts!$D$10:'Podcasts'!$D$2535=$B189,Podcasts!$E$10:'Podcasts'!$E$2535),COLUMN(G152)))</f>
        <v/>
      </c>
      <c r="Y189" s="132" t="str">
        <f t="array" ref="Y189">IF(X189="","",INDEX(Podcasts!$F$10:'Podcasts'!$F$2535,MATCH(X189&amp;$B189,Podcasts!$E$10:'Podcasts'!$E$2535&amp;Podcasts!$D$10:'Podcasts'!$D$2535,0)))</f>
        <v/>
      </c>
      <c r="Z189" s="136" t="str">
        <f t="array" ref="Z189">IF(AA189="","",INDEX(Podcasts!$J$10:'Podcasts'!$J$2535,MATCH(AA189&amp;$B189,Podcasts!$E$10:'Podcasts'!$E$2535&amp;Podcasts!$D$10:'Podcasts'!$D$2535,0)))</f>
        <v/>
      </c>
      <c r="AA189" s="134" t="str">
        <f t="array" ref="AA189">IF(COUNTIF(Podcasts!$D$10:'Podcasts'!$D$2535,$B189)&lt;COLUMN(H152),"",SMALL(IF(Podcasts!$D$10:'Podcasts'!$D$2535=$B189,Podcasts!$E$10:'Podcasts'!$E$2535),COLUMN(H152)))</f>
        <v/>
      </c>
      <c r="AB189" s="404" t="str">
        <f t="array" ref="AB189">IF(AA189="","",INDEX(Podcasts!$F$10:'Podcasts'!$F$2535,MATCH(AA189&amp;$B189,Podcasts!$E$10:'Podcasts'!$E$2535&amp;Podcasts!$D$10:'Podcasts'!$D$2535,0)))</f>
        <v/>
      </c>
      <c r="AC189" s="406" t="str">
        <f t="array" ref="AC189">IF(AD189="","",INDEX(Podcasts!$J$10:'Podcasts'!$J$2535,MATCH(AD189&amp;$B189,Podcasts!$E$10:'Podcasts'!$E$2535&amp;Podcasts!$D$10:'Podcasts'!$D$2535,0)))</f>
        <v/>
      </c>
      <c r="AD189" s="400" t="str">
        <f t="array" ref="AD189">IF(COUNTIF(Podcasts!$D$10:'Podcasts'!$D$2535,$B189)&lt;COLUMN(I152),"",SMALL(IF(Podcasts!$D$10:'Podcasts'!$D$2535=$B189,Podcasts!$E$10:'Podcasts'!$E$2535),COLUMN(I152)))</f>
        <v/>
      </c>
      <c r="AE189" s="401" t="str">
        <f t="array" ref="AE189">IF(AD189="","",INDEX(Podcasts!$F$10:'Podcasts'!$F$2535,MATCH(AD189&amp;$B189,Podcasts!$E$10:'Podcasts'!$E$2535&amp;Podcasts!$D$10:'Podcasts'!$D$2535,0)))</f>
        <v/>
      </c>
      <c r="AF189" s="406" t="str">
        <f t="array" ref="AF189">IF(AG189="","",INDEX(Podcasts!$J$10:'Podcasts'!$J$2535,MATCH(AG189&amp;$B189,Podcasts!$E$10:'Podcasts'!$E$2535&amp;Podcasts!$D$10:'Podcasts'!$D$2535,0)))</f>
        <v/>
      </c>
      <c r="AG189" s="400" t="str">
        <f t="array" ref="AG189">IF(COUNTIF(Podcasts!$D$10:'Podcasts'!$D$2535,$B189)&lt;COLUMN(J152),"",SMALL(IF(Podcasts!$D$10:'Podcasts'!$D$2535=$B189,Podcasts!$E$10:'Podcasts'!$E$2535),COLUMN(J152)))</f>
        <v/>
      </c>
      <c r="AH189" s="401" t="str">
        <f t="array" ref="AH189">IF(AG189="","",INDEX(Podcasts!$F$10:'Podcasts'!$F$2535,MATCH(AG189&amp;$B189,Podcasts!$E$10:'Podcasts'!$E$2535&amp;Podcasts!$D$10:'Podcasts'!$D$2535,0)))</f>
        <v/>
      </c>
      <c r="AI189" s="406" t="str">
        <f t="array" ref="AI189">IF(AJ189="","",INDEX(Podcasts!$J$10:'Podcasts'!$J$2535,MATCH(AJ189&amp;$B189,Podcasts!$E$10:'Podcasts'!$E$2535&amp;Podcasts!$D$10:'Podcasts'!$D$2535,0)))</f>
        <v/>
      </c>
      <c r="AJ189" s="400" t="str">
        <f t="array" ref="AJ189">IF(COUNTIF(Podcasts!$D$10:'Podcasts'!$D$2535,$B189)&lt;COLUMN(K152),"",SMALL(IF(Podcasts!$D$10:'Podcasts'!$D$2535=$B189,Podcasts!$E$10:'Podcasts'!$E$2535),COLUMN(K152)))</f>
        <v/>
      </c>
      <c r="AK189" s="401" t="str">
        <f t="array" ref="AK189">IF(AJ189="","",INDEX(Podcasts!$F$10:'Podcasts'!$F$2535,MATCH(AJ189&amp;$B189,Podcasts!$E$10:'Podcasts'!$E$2535&amp;Podcasts!$D$10:'Podcasts'!$D$2535,0)))</f>
        <v/>
      </c>
      <c r="AL189" s="406" t="str">
        <f t="array" ref="AL189">IF(AM189="","",INDEX(Podcasts!$J$10:'Podcasts'!$J$2535,MATCH(AM189&amp;$B189,Podcasts!$E$10:'Podcasts'!$E$2535&amp;Podcasts!$D$10:'Podcasts'!$D$2535,0)))</f>
        <v/>
      </c>
      <c r="AM189" s="400" t="str">
        <f t="array" ref="AM189">IF(COUNTIF(Podcasts!$D$10:'Podcasts'!$D$2535,$B189)&lt;COLUMN(L152),"",SMALL(IF(Podcasts!$D$10:'Podcasts'!$D$2535=$B189,Podcasts!$E$10:'Podcasts'!$E$2535),COLUMN(L152)))</f>
        <v/>
      </c>
      <c r="AN189" s="401" t="str">
        <f t="array" ref="AN189">IF(AM189="","",INDEX(Podcasts!$F$10:'Podcasts'!$F$2535,MATCH(AM189&amp;$B189,Podcasts!$E$10:'Podcasts'!$E$2535&amp;Podcasts!$D$10:'Podcasts'!$D$2535,0)))</f>
        <v/>
      </c>
      <c r="AO189" s="402"/>
      <c r="AP189" s="119"/>
      <c r="AQ189" s="117">
        <f t="array" aca="1" ref="AQ189" ca="1">IFERROR(SMALL(IF(COUNTIF(Podcasts!$D$10:'Podcasts'!$D$107,ROW(INDIRECT("1:"&amp;K$2)))=0,ROW(INDIRECT("1:"&amp;K$2))),ROW($A146)),"")</f>
        <v>191</v>
      </c>
      <c r="AR189" s="117">
        <f t="array" aca="1" ref="AR189" ca="1">IFERROR(SMALL(IF(COUNTIF(Podcasts!$D$113:'Podcasts'!$D$238,ROW(INDIRECT("1:"&amp;K$2)))=0,ROW(INDIRECT("1:"&amp;K$2))),ROW($A146)),"")</f>
        <v>146</v>
      </c>
      <c r="AS189" s="117">
        <f t="array" aca="1" ref="AS189" ca="1">IFERROR(SMALL(IF(COUNTIF(Podcasts!$D$244:'Podcasts'!$D$299,ROW(INDIRECT("1:"&amp;K$2)))=0,ROW(INDIRECT("1:"&amp;K$2))),ROW($A146)),"")</f>
        <v>179</v>
      </c>
      <c r="AT189" s="117"/>
      <c r="AU189" s="117">
        <f t="array" aca="1" ref="AU189" ca="1">IFERROR(SMALL(IF(COUNTIF(Podcasts!$D$479:'Podcasts'!$D$488,ROW(INDIRECT("1:"&amp;K$2)))=0,ROW(INDIRECT("1:"&amp;K$2))),ROW($A146)),"")</f>
        <v>150</v>
      </c>
      <c r="AV189" s="117">
        <f t="array" aca="1" ref="AV189" ca="1">IFERROR(SMALL(IF(COUNTIF(Podcasts!$D$494:'Podcasts'!$D$518,ROW(INDIRECT("1:"&amp;K$2)))=0,ROW(INDIRECT("1:"&amp;K$2))),ROW($A146)),"")</f>
        <v>169</v>
      </c>
      <c r="AW189" s="117">
        <f t="array" aca="1" ref="AW189" ca="1">IFERROR(SMALL(IF(COUNTIF(Podcasts!$D$524:'Podcasts'!$D$532,ROW(INDIRECT("1:"&amp;K$2)))=0,ROW(INDIRECT("1:"&amp;K$2))),ROW($A146)),"")</f>
        <v>147</v>
      </c>
      <c r="AX189" s="117"/>
      <c r="AY189" s="117">
        <f t="array" aca="1" ref="AY189" ca="1">IFERROR(SMALL(IF(COUNTIF(Podcasts!$D$915:'Podcasts'!$D$981,ROW(INDIRECT("1:"&amp;K$2)))=0,ROW(INDIRECT("1:"&amp;K$2))),ROW($A146)),"")</f>
        <v>202</v>
      </c>
      <c r="AZ189" s="445"/>
      <c r="BA189" s="117">
        <f t="array" aca="1" ref="BA189" ca="1">IFERROR(SMALL(IF(COUNTIF(Podcasts!$D$1001:'Podcasts'!$D$1251,ROW(INDIRECT("1:"&amp;K$2)))=0,ROW(INDIRECT("1:"&amp;K$2))),ROW($A146)),"")</f>
        <v>203</v>
      </c>
      <c r="BB189" s="117">
        <f t="array" aca="1" ref="BB189" ca="1">IFERROR(SMALL(IF(COUNTIF(Podcasts!$D$1257:'Podcasts'!$D$1267,ROW(INDIRECT("1:"&amp;K$2)))=0,ROW(INDIRECT("1:"&amp;K$2))),ROW($A146)),"")</f>
        <v>151</v>
      </c>
      <c r="BC189" s="117">
        <f t="array" aca="1" ref="BC189" ca="1">IFERROR(SMALL(IF(COUNTIF(Podcasts!$D$1273:'Podcasts'!$D$1283,ROW(INDIRECT("1:"&amp;K$2)))=0,ROW(INDIRECT("1:"&amp;K$2))),ROW($A146)),"")</f>
        <v>151</v>
      </c>
      <c r="BD189" s="117">
        <f t="array" aca="1" ref="BD189" ca="1">IFERROR(SMALL(IF(COUNTIF(Podcasts!$D$1289:'Podcasts'!$D$1295,ROW(INDIRECT("1:"&amp;K$2)))=0,ROW(INDIRECT("1:"&amp;K$2))),ROW($A146)),"")</f>
        <v>151</v>
      </c>
      <c r="BE189" s="117">
        <f t="array" aca="1" ref="BE189" ca="1">IFERROR(SMALL(IF(COUNTIF(Podcasts!$D$1301:'Podcasts'!$D$1356,ROW(INDIRECT("1:"&amp;K$2)))=0,ROW(INDIRECT("1:"&amp;K$2))),ROW($A146)),"")</f>
        <v>193</v>
      </c>
      <c r="BF189" s="117">
        <f t="array" aca="1" ref="BF189" ca="1">IFERROR(SMALL(IF(COUNTIF(Podcasts!$D$1362:'Podcasts'!$D$1364,ROW(INDIRECT("1:"&amp;K$2)))=0,ROW(INDIRECT("1:"&amp;K$2))),ROW($A146)),"")</f>
        <v>149</v>
      </c>
      <c r="BG189" s="202">
        <f t="array" aca="1" ref="BG189" ca="1">IFERROR(SMALL(IF(COUNTIF(Podcasts!$D$1370:'Podcasts'!$D$1419,ROW(INDIRECT("1:"&amp;K$2)))=0,ROW(INDIRECT("1:"&amp;K$2))),ROW($A146)),"")</f>
        <v>185</v>
      </c>
      <c r="BH189" s="202">
        <f t="array" aca="1" ref="BH189" ca="1">IFERROR(SMALL(IF(COUNTIF(Podcasts!$D$1425:'Podcasts'!$D$1446,ROW(INDIRECT("1:"&amp;K$2)))=0,ROW(INDIRECT("1:"&amp;K$2))),ROW($A146)),"")</f>
        <v>156</v>
      </c>
      <c r="BI189" s="202" t="str">
        <f t="array" aca="1" ref="BI189" ca="1">IFERROR(SMALL(IF(COUNTIF(Podcasts!$D$1452:'Podcasts'!$D$1574,ROW(INDIRECT("1:"&amp;K$2)))=0,ROW(INDIRECT("1:"&amp;K$2))),ROW($A146)),"")</f>
        <v/>
      </c>
      <c r="BJ189" s="202" t="str">
        <f t="array" aca="1" ref="BJ189" ca="1">IFERROR(SMALL(IF(COUNTIF(Podcasts!$D$1580:'Podcasts'!$D$1705,ROW(INDIRECT("1:"&amp;K$2)))=0,ROW(INDIRECT("1:"&amp;K$2))),ROW($A146)),"")</f>
        <v/>
      </c>
      <c r="BK189" s="202">
        <f t="array" aca="1" ref="BK189" ca="1">IFERROR(SMALL(IF(COUNTIF(Podcasts!$D$1711:'Podcasts'!$D$1833,ROW(INDIRECT("1:"&amp;K$2)))=0,ROW(INDIRECT("1:"&amp;K$2))),ROW($A146)),"")</f>
        <v>223</v>
      </c>
      <c r="BL189" s="202">
        <f t="array" aca="1" ref="BL189" ca="1">IFERROR(SMALL(IF(COUNTIF(Podcasts!$D$1839:'Podcasts'!$D$1855,ROW(INDIRECT("1:"&amp;K$2)))=0,ROW(INDIRECT("1:"&amp;K$2))),ROW($A146)),"")</f>
        <v>155</v>
      </c>
      <c r="BM189" s="567">
        <f t="array" aca="1" ref="BM189" ca="1">IFERROR(SMALL(IF(COUNTIF(Podcasts!$D$1861:'Podcasts'!$D$1994,ROW(INDIRECT("1:"&amp;K$2)))=0,ROW(INDIRECT("1:"&amp;K$2))),ROW($A146)),"")</f>
        <v>194</v>
      </c>
      <c r="BN189" s="567">
        <f t="array" aca="1" ref="BN189" ca="1">IFERROR(SMALL(IF(COUNTIF(Podcasts!$D$2000:'Podcasts'!$D$2057,ROW(INDIRECT("1:"&amp;K$2)))=0,ROW(INDIRECT("1:"&amp;K$2))),ROW($A146)),"")</f>
        <v>201</v>
      </c>
      <c r="BO189" s="567">
        <f t="array" aca="1" ref="BO189" ca="1">IFERROR(SMALL(IF(COUNTIF(Podcasts!$D$2063:'Podcasts'!$D$2071,ROW(INDIRECT("1:"&amp;K$2)))=0,ROW(INDIRECT("1:"&amp;K$2))),ROW($A146)),"")</f>
        <v>153</v>
      </c>
      <c r="BP189" s="202">
        <f t="array" aca="1" ref="BP189" ca="1">IFERROR(SMALL(IF(COUNTIF(Podcasts!$D$2077:'Podcasts'!$D$2092,ROW(INDIRECT("1:"&amp;K$2)))=0,ROW(INDIRECT("1:"&amp;K$2))),ROW($A146)),"")</f>
        <v>157</v>
      </c>
      <c r="BQ189" s="741">
        <f t="array" aca="1" ref="BQ189" ca="1">IFERROR(SMALL(IF(COUNTIF(Podcasts!$D$2098:'Podcasts'!$D$2114,ROW(INDIRECT("1:"&amp;K$2)))=0,ROW(INDIRECT("1:"&amp;K$2))),ROW($A146)),"")</f>
        <v>159</v>
      </c>
      <c r="BR189" s="744">
        <f t="array" aca="1" ref="BR189" ca="1">IFERROR(SMALL(IF(COUNTIF(Podcasts!$D$2120:'Podcasts'!$D$2124,ROW(INDIRECT("1:"&amp;K$2)))=0,ROW(INDIRECT("1:"&amp;K$2))),ROW($A146)),"")</f>
        <v>148</v>
      </c>
      <c r="BS189" s="28"/>
    </row>
    <row r="190" spans="1:71" outlineLevel="1">
      <c r="A190" s="28"/>
      <c r="B190" s="161">
        <v>147</v>
      </c>
      <c r="C190" s="161">
        <f>COUNTIF(Podcasts!$D$10:'Podcasts'!$D$2535,B190)</f>
        <v>5</v>
      </c>
      <c r="D190" s="158" t="s">
        <v>1173</v>
      </c>
      <c r="E190" s="156" t="str">
        <f t="array" ref="E190">IF(F190="","",INDEX(Podcasts!$J$10:'Podcasts'!$J$2535,MATCH(F190&amp;$B190,Podcasts!$E$10:'Podcasts'!$E$2535&amp;Podcasts!$D$10:'Podcasts'!$D$2535,0)))</f>
        <v>Zentrale</v>
      </c>
      <c r="F190" s="131">
        <f t="array" ref="F190">IF(COUNTIF(Podcasts!$D$10:'Podcasts'!$D$2535,$B190)&lt;COLUMN(A153),"",SMALL(IF(Podcasts!$D$10:'Podcasts'!$D$2535=$B190,Podcasts!$E$10:'Podcasts'!$E$2535),COLUMN(A153)))</f>
        <v>43567.463101851848</v>
      </c>
      <c r="G190" s="132">
        <f t="array" ref="G190">IF(F190="","",INDEX(Podcasts!$F$10:'Podcasts'!$F$2535,MATCH(F190&amp;$B190,Podcasts!$E$10:'Podcasts'!$E$2535&amp;Podcasts!$D$10:'Podcasts'!$D$2535,0)))</f>
        <v>6.232638888888889E-2</v>
      </c>
      <c r="H190" s="136" t="str">
        <f t="array" ref="H190">IF(I190="","",INDEX(Podcasts!$J$10:'Podcasts'!$J$2535,MATCH(I190&amp;$B190,Podcasts!$E$10:'Podcasts'!$E$2535&amp;Podcasts!$D$10:'Podcasts'!$D$2535,0)))</f>
        <v>Kuchen</v>
      </c>
      <c r="I190" s="133">
        <f t="array" ref="I190">IF(COUNTIF(Podcasts!$D$10:'Podcasts'!$D$2535,$B190)&lt;COLUMN(B153),"",SMALL(IF(Podcasts!$D$10:'Podcasts'!$D$2535=$B190,Podcasts!$E$10:'Podcasts'!$E$2535),COLUMN(B153)))</f>
        <v>44437</v>
      </c>
      <c r="J190" s="132">
        <f t="array" ref="J190">IF(I190="","",INDEX(Podcasts!$F$10:'Podcasts'!$F$2535,MATCH(I190&amp;$B190,Podcasts!$E$10:'Podcasts'!$E$2535&amp;Podcasts!$D$10:'Podcasts'!$D$2535,0)))</f>
        <v>5.7118055555555554E-2</v>
      </c>
      <c r="K190" s="136" t="str">
        <f t="array" ref="K190">IF(L190="","",INDEX(Podcasts!$J$10:'Podcasts'!$J$2535,MATCH(L190&amp;$B190,Podcasts!$E$10:'Podcasts'!$E$2535&amp;Podcasts!$D$10:'Podcasts'!$D$2535,0)))</f>
        <v>Kaffee</v>
      </c>
      <c r="L190" s="133">
        <f t="array" ref="L190">IF(COUNTIF(Podcasts!$D$10:'Podcasts'!$D$2535,$B190)&lt;COLUMN(C153),"",SMALL(IF(Podcasts!$D$10:'Podcasts'!$D$2535=$B190,Podcasts!$E$10:'Podcasts'!$E$2535),COLUMN(C153)))</f>
        <v>44638</v>
      </c>
      <c r="M190" s="132">
        <f t="array" ref="M190">IF(L190="","",INDEX(Podcasts!$F$10:'Podcasts'!$F$2535,MATCH(L190&amp;$B190,Podcasts!$E$10:'Podcasts'!$E$2535&amp;Podcasts!$D$10:'Podcasts'!$D$2535,0)))</f>
        <v>2.3587962962962963E-2</v>
      </c>
      <c r="N190" s="136" t="str">
        <f t="array" ref="N190">IF(O190="","",INDEX(Podcasts!$J$10:'Podcasts'!$J$2535,MATCH(O190&amp;$B190,Podcasts!$E$10:'Podcasts'!$E$2535&amp;Podcasts!$D$10:'Podcasts'!$D$2535,0)))</f>
        <v>SSP</v>
      </c>
      <c r="O190" s="133">
        <f t="array" ref="O190">IF(COUNTIF(Podcasts!$D$10:'Podcasts'!$D$2535,$B190)&lt;COLUMN(D153),"",SMALL(IF(Podcasts!$D$10:'Podcasts'!$D$2535=$B190,Podcasts!$E$10:'Podcasts'!$E$2535),COLUMN(D153)))</f>
        <v>44753</v>
      </c>
      <c r="P190" s="132">
        <f t="array" ref="P190">IF(O190="","",INDEX(Podcasts!$F$10:'Podcasts'!$F$2535,MATCH(O190&amp;$B190,Podcasts!$E$10:'Podcasts'!$E$2535&amp;Podcasts!$D$10:'Podcasts'!$D$2535,0)))</f>
        <v>0.11370370370370371</v>
      </c>
      <c r="Q190" s="136" t="str">
        <f t="array" ref="Q190">IF(R190="","",INDEX(Podcasts!$J$10:'Podcasts'!$J$2535,MATCH(R190&amp;$B190,Podcasts!$E$10:'Podcasts'!$E$2535&amp;Podcasts!$D$10:'Podcasts'!$D$2535,0)))</f>
        <v>Zeichen</v>
      </c>
      <c r="R190" s="133">
        <f t="array" ref="R190">IF(COUNTIF(Podcasts!$D$10:'Podcasts'!$D$2535,$B190)&lt;COLUMN(E153),"",SMALL(IF(Podcasts!$D$10:'Podcasts'!$D$2535=$B190,Podcasts!$E$10:'Podcasts'!$E$2535),COLUMN(E153)))</f>
        <v>44879</v>
      </c>
      <c r="S190" s="132">
        <f t="array" ref="S190">IF(R190="","",INDEX(Podcasts!$F$10:'Podcasts'!$F$2535,MATCH(R190&amp;$B190,Podcasts!$E$10:'Podcasts'!$E$2535&amp;Podcasts!$D$10:'Podcasts'!$D$2535,0)))</f>
        <v>7.3321759259259267E-2</v>
      </c>
      <c r="T190" s="136" t="str">
        <f t="array" ref="T190">IF(U190="","",INDEX(Podcasts!$J$10:'Podcasts'!$J$2535,MATCH(U190&amp;$B190,Podcasts!$E$10:'Podcasts'!$E$2535&amp;Podcasts!$D$10:'Podcasts'!$D$2535,0)))</f>
        <v/>
      </c>
      <c r="U190" s="133" t="str">
        <f t="array" ref="U190">IF(COUNTIF(Podcasts!$D$10:'Podcasts'!$D$2535,$B190)&lt;COLUMN(F153),"",SMALL(IF(Podcasts!$D$10:'Podcasts'!$D$2535=$B190,Podcasts!$E$10:'Podcasts'!$E$2535),COLUMN(F153)))</f>
        <v/>
      </c>
      <c r="V190" s="132" t="str">
        <f t="array" ref="V190">IF(U190="","",INDEX(Podcasts!$F$10:'Podcasts'!$F$2535,MATCH(U190&amp;$B190,Podcasts!$E$10:'Podcasts'!$E$2535&amp;Podcasts!$D$10:'Podcasts'!$D$2535,0)))</f>
        <v/>
      </c>
      <c r="W190" s="136" t="str">
        <f t="array" ref="W190">IF(X190="","",INDEX(Podcasts!$J$10:'Podcasts'!$J$2535,MATCH(X190&amp;$B190,Podcasts!$E$10:'Podcasts'!$E$2535&amp;Podcasts!$D$10:'Podcasts'!$D$2535,0)))</f>
        <v/>
      </c>
      <c r="X190" s="133" t="str">
        <f t="array" ref="X190">IF(COUNTIF(Podcasts!$D$10:'Podcasts'!$D$2535,$B190)&lt;COLUMN(G153),"",SMALL(IF(Podcasts!$D$10:'Podcasts'!$D$2535=$B190,Podcasts!$E$10:'Podcasts'!$E$2535),COLUMN(G153)))</f>
        <v/>
      </c>
      <c r="Y190" s="132" t="str">
        <f t="array" ref="Y190">IF(X190="","",INDEX(Podcasts!$F$10:'Podcasts'!$F$2535,MATCH(X190&amp;$B190,Podcasts!$E$10:'Podcasts'!$E$2535&amp;Podcasts!$D$10:'Podcasts'!$D$2535,0)))</f>
        <v/>
      </c>
      <c r="Z190" s="136" t="str">
        <f t="array" ref="Z190">IF(AA190="","",INDEX(Podcasts!$J$10:'Podcasts'!$J$2535,MATCH(AA190&amp;$B190,Podcasts!$E$10:'Podcasts'!$E$2535&amp;Podcasts!$D$10:'Podcasts'!$D$2535,0)))</f>
        <v/>
      </c>
      <c r="AA190" s="134" t="str">
        <f t="array" ref="AA190">IF(COUNTIF(Podcasts!$D$10:'Podcasts'!$D$2535,$B190)&lt;COLUMN(H153),"",SMALL(IF(Podcasts!$D$10:'Podcasts'!$D$2535=$B190,Podcasts!$E$10:'Podcasts'!$E$2535),COLUMN(H153)))</f>
        <v/>
      </c>
      <c r="AB190" s="404" t="str">
        <f t="array" ref="AB190">IF(AA190="","",INDEX(Podcasts!$F$10:'Podcasts'!$F$2535,MATCH(AA190&amp;$B190,Podcasts!$E$10:'Podcasts'!$E$2535&amp;Podcasts!$D$10:'Podcasts'!$D$2535,0)))</f>
        <v/>
      </c>
      <c r="AC190" s="406" t="str">
        <f t="array" ref="AC190">IF(AD190="","",INDEX(Podcasts!$J$10:'Podcasts'!$J$2535,MATCH(AD190&amp;$B190,Podcasts!$E$10:'Podcasts'!$E$2535&amp;Podcasts!$D$10:'Podcasts'!$D$2535,0)))</f>
        <v/>
      </c>
      <c r="AD190" s="400" t="str">
        <f t="array" ref="AD190">IF(COUNTIF(Podcasts!$D$10:'Podcasts'!$D$2535,$B190)&lt;COLUMN(I153),"",SMALL(IF(Podcasts!$D$10:'Podcasts'!$D$2535=$B190,Podcasts!$E$10:'Podcasts'!$E$2535),COLUMN(I153)))</f>
        <v/>
      </c>
      <c r="AE190" s="401" t="str">
        <f t="array" ref="AE190">IF(AD190="","",INDEX(Podcasts!$F$10:'Podcasts'!$F$2535,MATCH(AD190&amp;$B190,Podcasts!$E$10:'Podcasts'!$E$2535&amp;Podcasts!$D$10:'Podcasts'!$D$2535,0)))</f>
        <v/>
      </c>
      <c r="AF190" s="406" t="str">
        <f t="array" ref="AF190">IF(AG190="","",INDEX(Podcasts!$J$10:'Podcasts'!$J$2535,MATCH(AG190&amp;$B190,Podcasts!$E$10:'Podcasts'!$E$2535&amp;Podcasts!$D$10:'Podcasts'!$D$2535,0)))</f>
        <v/>
      </c>
      <c r="AG190" s="400" t="str">
        <f t="array" ref="AG190">IF(COUNTIF(Podcasts!$D$10:'Podcasts'!$D$2535,$B190)&lt;COLUMN(J153),"",SMALL(IF(Podcasts!$D$10:'Podcasts'!$D$2535=$B190,Podcasts!$E$10:'Podcasts'!$E$2535),COLUMN(J153)))</f>
        <v/>
      </c>
      <c r="AH190" s="401" t="str">
        <f t="array" ref="AH190">IF(AG190="","",INDEX(Podcasts!$F$10:'Podcasts'!$F$2535,MATCH(AG190&amp;$B190,Podcasts!$E$10:'Podcasts'!$E$2535&amp;Podcasts!$D$10:'Podcasts'!$D$2535,0)))</f>
        <v/>
      </c>
      <c r="AI190" s="406" t="str">
        <f t="array" ref="AI190">IF(AJ190="","",INDEX(Podcasts!$J$10:'Podcasts'!$J$2535,MATCH(AJ190&amp;$B190,Podcasts!$E$10:'Podcasts'!$E$2535&amp;Podcasts!$D$10:'Podcasts'!$D$2535,0)))</f>
        <v/>
      </c>
      <c r="AJ190" s="400" t="str">
        <f t="array" ref="AJ190">IF(COUNTIF(Podcasts!$D$10:'Podcasts'!$D$2535,$B190)&lt;COLUMN(K153),"",SMALL(IF(Podcasts!$D$10:'Podcasts'!$D$2535=$B190,Podcasts!$E$10:'Podcasts'!$E$2535),COLUMN(K153)))</f>
        <v/>
      </c>
      <c r="AK190" s="401" t="str">
        <f t="array" ref="AK190">IF(AJ190="","",INDEX(Podcasts!$F$10:'Podcasts'!$F$2535,MATCH(AJ190&amp;$B190,Podcasts!$E$10:'Podcasts'!$E$2535&amp;Podcasts!$D$10:'Podcasts'!$D$2535,0)))</f>
        <v/>
      </c>
      <c r="AL190" s="406" t="str">
        <f t="array" ref="AL190">IF(AM190="","",INDEX(Podcasts!$J$10:'Podcasts'!$J$2535,MATCH(AM190&amp;$B190,Podcasts!$E$10:'Podcasts'!$E$2535&amp;Podcasts!$D$10:'Podcasts'!$D$2535,0)))</f>
        <v/>
      </c>
      <c r="AM190" s="400" t="str">
        <f t="array" ref="AM190">IF(COUNTIF(Podcasts!$D$10:'Podcasts'!$D$2535,$B190)&lt;COLUMN(L153),"",SMALL(IF(Podcasts!$D$10:'Podcasts'!$D$2535=$B190,Podcasts!$E$10:'Podcasts'!$E$2535),COLUMN(L153)))</f>
        <v/>
      </c>
      <c r="AN190" s="401" t="str">
        <f t="array" ref="AN190">IF(AM190="","",INDEX(Podcasts!$F$10:'Podcasts'!$F$2535,MATCH(AM190&amp;$B190,Podcasts!$E$10:'Podcasts'!$E$2535&amp;Podcasts!$D$10:'Podcasts'!$D$2535,0)))</f>
        <v/>
      </c>
      <c r="AO190" s="402"/>
      <c r="AP190" s="119"/>
      <c r="AQ190" s="117">
        <f t="array" aca="1" ref="AQ190" ca="1">IFERROR(SMALL(IF(COUNTIF(Podcasts!$D$10:'Podcasts'!$D$107,ROW(INDIRECT("1:"&amp;K$2)))=0,ROW(INDIRECT("1:"&amp;K$2))),ROW($A147)),"")</f>
        <v>192</v>
      </c>
      <c r="AR190" s="117">
        <f t="array" aca="1" ref="AR190" ca="1">IFERROR(SMALL(IF(COUNTIF(Podcasts!$D$113:'Podcasts'!$D$238,ROW(INDIRECT("1:"&amp;K$2)))=0,ROW(INDIRECT("1:"&amp;K$2))),ROW($A147)),"")</f>
        <v>147</v>
      </c>
      <c r="AS190" s="117">
        <f t="array" aca="1" ref="AS190" ca="1">IFERROR(SMALL(IF(COUNTIF(Podcasts!$D$244:'Podcasts'!$D$299,ROW(INDIRECT("1:"&amp;K$2)))=0,ROW(INDIRECT("1:"&amp;K$2))),ROW($A147)),"")</f>
        <v>181</v>
      </c>
      <c r="AT190" s="117"/>
      <c r="AU190" s="117">
        <f t="array" aca="1" ref="AU190" ca="1">IFERROR(SMALL(IF(COUNTIF(Podcasts!$D$479:'Podcasts'!$D$488,ROW(INDIRECT("1:"&amp;K$2)))=0,ROW(INDIRECT("1:"&amp;K$2))),ROW($A147)),"")</f>
        <v>151</v>
      </c>
      <c r="AV190" s="117">
        <f t="array" aca="1" ref="AV190" ca="1">IFERROR(SMALL(IF(COUNTIF(Podcasts!$D$494:'Podcasts'!$D$518,ROW(INDIRECT("1:"&amp;K$2)))=0,ROW(INDIRECT("1:"&amp;K$2))),ROW($A147)),"")</f>
        <v>170</v>
      </c>
      <c r="AW190" s="117">
        <f t="array" aca="1" ref="AW190" ca="1">IFERROR(SMALL(IF(COUNTIF(Podcasts!$D$524:'Podcasts'!$D$532,ROW(INDIRECT("1:"&amp;K$2)))=0,ROW(INDIRECT("1:"&amp;K$2))),ROW($A147)),"")</f>
        <v>148</v>
      </c>
      <c r="AX190" s="117"/>
      <c r="AY190" s="117">
        <f t="array" aca="1" ref="AY190" ca="1">IFERROR(SMALL(IF(COUNTIF(Podcasts!$D$915:'Podcasts'!$D$981,ROW(INDIRECT("1:"&amp;K$2)))=0,ROW(INDIRECT("1:"&amp;K$2))),ROW($A147)),"")</f>
        <v>203</v>
      </c>
      <c r="AZ190" s="445"/>
      <c r="BA190" s="117">
        <f t="array" aca="1" ref="BA190" ca="1">IFERROR(SMALL(IF(COUNTIF(Podcasts!$D$1001:'Podcasts'!$D$1251,ROW(INDIRECT("1:"&amp;K$2)))=0,ROW(INDIRECT("1:"&amp;K$2))),ROW($A147)),"")</f>
        <v>204</v>
      </c>
      <c r="BB190" s="117">
        <f t="array" aca="1" ref="BB190" ca="1">IFERROR(SMALL(IF(COUNTIF(Podcasts!$D$1257:'Podcasts'!$D$1267,ROW(INDIRECT("1:"&amp;K$2)))=0,ROW(INDIRECT("1:"&amp;K$2))),ROW($A147)),"")</f>
        <v>152</v>
      </c>
      <c r="BC190" s="117">
        <f t="array" aca="1" ref="BC190" ca="1">IFERROR(SMALL(IF(COUNTIF(Podcasts!$D$1273:'Podcasts'!$D$1283,ROW(INDIRECT("1:"&amp;K$2)))=0,ROW(INDIRECT("1:"&amp;K$2))),ROW($A147)),"")</f>
        <v>152</v>
      </c>
      <c r="BD190" s="117">
        <f t="array" aca="1" ref="BD190" ca="1">IFERROR(SMALL(IF(COUNTIF(Podcasts!$D$1289:'Podcasts'!$D$1295,ROW(INDIRECT("1:"&amp;K$2)))=0,ROW(INDIRECT("1:"&amp;K$2))),ROW($A147)),"")</f>
        <v>153</v>
      </c>
      <c r="BE190" s="117">
        <f t="array" aca="1" ref="BE190" ca="1">IFERROR(SMALL(IF(COUNTIF(Podcasts!$D$1301:'Podcasts'!$D$1356,ROW(INDIRECT("1:"&amp;K$2)))=0,ROW(INDIRECT("1:"&amp;K$2))),ROW($A147)),"")</f>
        <v>194</v>
      </c>
      <c r="BF190" s="117">
        <f t="array" aca="1" ref="BF190" ca="1">IFERROR(SMALL(IF(COUNTIF(Podcasts!$D$1362:'Podcasts'!$D$1364,ROW(INDIRECT("1:"&amp;K$2)))=0,ROW(INDIRECT("1:"&amp;K$2))),ROW($A147)),"")</f>
        <v>150</v>
      </c>
      <c r="BG190" s="202">
        <f t="array" aca="1" ref="BG190" ca="1">IFERROR(SMALL(IF(COUNTIF(Podcasts!$D$1370:'Podcasts'!$D$1419,ROW(INDIRECT("1:"&amp;K$2)))=0,ROW(INDIRECT("1:"&amp;K$2))),ROW($A147)),"")</f>
        <v>186</v>
      </c>
      <c r="BH190" s="202">
        <f t="array" aca="1" ref="BH190" ca="1">IFERROR(SMALL(IF(COUNTIF(Podcasts!$D$1425:'Podcasts'!$D$1446,ROW(INDIRECT("1:"&amp;K$2)))=0,ROW(INDIRECT("1:"&amp;K$2))),ROW($A147)),"")</f>
        <v>157</v>
      </c>
      <c r="BI190" s="202" t="str">
        <f t="array" aca="1" ref="BI190" ca="1">IFERROR(SMALL(IF(COUNTIF(Podcasts!$D$1452:'Podcasts'!$D$1574,ROW(INDIRECT("1:"&amp;K$2)))=0,ROW(INDIRECT("1:"&amp;K$2))),ROW($A147)),"")</f>
        <v/>
      </c>
      <c r="BJ190" s="202"/>
      <c r="BK190" s="202">
        <f t="array" aca="1" ref="BK190" ca="1">IFERROR(SMALL(IF(COUNTIF(Podcasts!$D$1711:'Podcasts'!$D$1833,ROW(INDIRECT("1:"&amp;K$2)))=0,ROW(INDIRECT("1:"&amp;K$2))),ROW($A147)),"")</f>
        <v>224</v>
      </c>
      <c r="BL190" s="202">
        <f t="array" aca="1" ref="BL190" ca="1">IFERROR(SMALL(IF(COUNTIF(Podcasts!$D$1839:'Podcasts'!$D$1855,ROW(INDIRECT("1:"&amp;K$2)))=0,ROW(INDIRECT("1:"&amp;K$2))),ROW($A147)),"")</f>
        <v>156</v>
      </c>
      <c r="BM190" s="567">
        <f t="array" aca="1" ref="BM190" ca="1">IFERROR(SMALL(IF(COUNTIF(Podcasts!$D$1861:'Podcasts'!$D$1994,ROW(INDIRECT("1:"&amp;K$2)))=0,ROW(INDIRECT("1:"&amp;K$2))),ROW($A147)),"")</f>
        <v>195</v>
      </c>
      <c r="BN190" s="567">
        <f t="array" aca="1" ref="BN190" ca="1">IFERROR(SMALL(IF(COUNTIF(Podcasts!$D$2000:'Podcasts'!$D$2057,ROW(INDIRECT("1:"&amp;K$2)))=0,ROW(INDIRECT("1:"&amp;K$2))),ROW($A147)),"")</f>
        <v>202</v>
      </c>
      <c r="BO190" s="567">
        <f t="array" aca="1" ref="BO190" ca="1">IFERROR(SMALL(IF(COUNTIF(Podcasts!$D$2063:'Podcasts'!$D$2071,ROW(INDIRECT("1:"&amp;K$2)))=0,ROW(INDIRECT("1:"&amp;K$2))),ROW($A147)),"")</f>
        <v>155</v>
      </c>
      <c r="BP190" s="202">
        <f t="array" aca="1" ref="BP190" ca="1">IFERROR(SMALL(IF(COUNTIF(Podcasts!$D$2077:'Podcasts'!$D$2092,ROW(INDIRECT("1:"&amp;K$2)))=0,ROW(INDIRECT("1:"&amp;K$2))),ROW($A147)),"")</f>
        <v>158</v>
      </c>
      <c r="BQ190" s="741">
        <f t="array" aca="1" ref="BQ190" ca="1">IFERROR(SMALL(IF(COUNTIF(Podcasts!$D$2098:'Podcasts'!$D$2114,ROW(INDIRECT("1:"&amp;K$2)))=0,ROW(INDIRECT("1:"&amp;K$2))),ROW($A147)),"")</f>
        <v>160</v>
      </c>
      <c r="BR190" s="744">
        <f t="array" aca="1" ref="BR190" ca="1">IFERROR(SMALL(IF(COUNTIF(Podcasts!$D$2120:'Podcasts'!$D$2124,ROW(INDIRECT("1:"&amp;K$2)))=0,ROW(INDIRECT("1:"&amp;K$2))),ROW($A147)),"")</f>
        <v>149</v>
      </c>
      <c r="BS190" s="28"/>
    </row>
    <row r="191" spans="1:71" outlineLevel="1">
      <c r="A191" s="28"/>
      <c r="B191" s="161">
        <v>148</v>
      </c>
      <c r="C191" s="161">
        <f>COUNTIF(Podcasts!$D$10:'Podcasts'!$D$2535,B191)-2</f>
        <v>4</v>
      </c>
      <c r="D191" s="158" t="s">
        <v>1174</v>
      </c>
      <c r="E191" s="156" t="str">
        <f t="array" ref="E191">IF(F191="","",INDEX(Podcasts!$J$10:'Podcasts'!$J$2535,MATCH(F191&amp;$B191,Podcasts!$E$10:'Podcasts'!$E$2535&amp;Podcasts!$D$10:'Podcasts'!$D$2535,0)))</f>
        <v>Fürst</v>
      </c>
      <c r="F191" s="131">
        <f t="array" ref="F191">IF(COUNTIF(Podcasts!$D$10:'Podcasts'!$D$2535,$B191)&lt;COLUMN(A154),"",SMALL(IF(Podcasts!$D$10:'Podcasts'!$D$2535=$B191,Podcasts!$E$10:'Podcasts'!$E$2535),COLUMN(A154)))</f>
        <v>41896</v>
      </c>
      <c r="G191" s="132">
        <f t="array" ref="G191">IF(F191="","",INDEX(Podcasts!$F$10:'Podcasts'!$F$2535,MATCH(F191&amp;$B191,Podcasts!$E$10:'Podcasts'!$E$2535&amp;Podcasts!$D$10:'Podcasts'!$D$2535,0)))</f>
        <v>6.8287037037037049E-3</v>
      </c>
      <c r="H191" s="136" t="str">
        <f t="array" ref="H191">IF(I191="","",INDEX(Podcasts!$J$10:'Podcasts'!$J$2535,MATCH(I191&amp;$B191,Podcasts!$E$10:'Podcasts'!$E$2535&amp;Podcasts!$D$10:'Podcasts'!$D$2535,0)))</f>
        <v>Retro</v>
      </c>
      <c r="I191" s="133">
        <f t="array" ref="I191">IF(COUNTIF(Podcasts!$D$10:'Podcasts'!$D$2535,$B191)&lt;COLUMN(B154),"",SMALL(IF(Podcasts!$D$10:'Podcasts'!$D$2535=$B191,Podcasts!$E$10:'Podcasts'!$E$2535),COLUMN(B154)))</f>
        <v>44104</v>
      </c>
      <c r="J191" s="132">
        <f t="array" ref="J191">IF(I191="","",INDEX(Podcasts!$F$10:'Podcasts'!$F$2535,MATCH(I191&amp;$B191,Podcasts!$E$10:'Podcasts'!$E$2535&amp;Podcasts!$D$10:'Podcasts'!$D$2535,0)))</f>
        <v>0</v>
      </c>
      <c r="K191" s="136" t="str">
        <f t="array" ref="K191">IF(L191="","",INDEX(Podcasts!$J$10:'Podcasts'!$J$2535,MATCH(L191&amp;$B191,Podcasts!$E$10:'Podcasts'!$E$2535&amp;Podcasts!$D$10:'Podcasts'!$D$2535,0)))</f>
        <v>Kaffee</v>
      </c>
      <c r="L191" s="133">
        <f t="array" ref="L191">IF(COUNTIF(Podcasts!$D$10:'Podcasts'!$D$2535,$B191)&lt;COLUMN(C154),"",SMALL(IF(Podcasts!$D$10:'Podcasts'!$D$2535=$B191,Podcasts!$E$10:'Podcasts'!$E$2535),COLUMN(C154)))</f>
        <v>44365</v>
      </c>
      <c r="M191" s="132">
        <f t="array" ref="M191">IF(L191="","",INDEX(Podcasts!$F$10:'Podcasts'!$F$2535,MATCH(L191&amp;$B191,Podcasts!$E$10:'Podcasts'!$E$2535&amp;Podcasts!$D$10:'Podcasts'!$D$2535,0)))</f>
        <v>2.8414351851851847E-2</v>
      </c>
      <c r="N191" s="136" t="str">
        <f t="array" ref="N191">IF(O191="","",INDEX(Podcasts!$J$10:'Podcasts'!$J$2535,MATCH(O191&amp;$B191,Podcasts!$E$10:'Podcasts'!$E$2535&amp;Podcasts!$D$10:'Podcasts'!$D$2535,0)))</f>
        <v>Verstärker</v>
      </c>
      <c r="O191" s="133">
        <f t="array" ref="O191">IF(COUNTIF(Podcasts!$D$10:'Podcasts'!$D$2535,$B191)&lt;COLUMN(D154),"",SMALL(IF(Podcasts!$D$10:'Podcasts'!$D$2535=$B191,Podcasts!$E$10:'Podcasts'!$E$2535),COLUMN(D154)))</f>
        <v>44988</v>
      </c>
      <c r="P191" s="132">
        <f t="array" ref="P191">IF(O191="","",INDEX(Podcasts!$F$10:'Podcasts'!$F$2535,MATCH(O191&amp;$B191,Podcasts!$E$10:'Podcasts'!$E$2535&amp;Podcasts!$D$10:'Podcasts'!$D$2535,0)))</f>
        <v>1.8541666666666668E-2</v>
      </c>
      <c r="Q191" s="136" t="str">
        <f t="array" ref="Q191">IF(R191="","",INDEX(Podcasts!$J$10:'Podcasts'!$J$2535,MATCH(R191&amp;$B191,Podcasts!$E$10:'Podcasts'!$E$2535&amp;Podcasts!$D$10:'Podcasts'!$D$2535,0)))</f>
        <v>Zeichen</v>
      </c>
      <c r="R191" s="133">
        <f t="array" ref="R191">IF(COUNTIF(Podcasts!$D$10:'Podcasts'!$D$2535,$B191)&lt;COLUMN(E154),"",SMALL(IF(Podcasts!$D$10:'Podcasts'!$D$2535=$B191,Podcasts!$E$10:'Podcasts'!$E$2535),COLUMN(E154)))</f>
        <v>45254</v>
      </c>
      <c r="S191" s="132">
        <f t="array" ref="S191">IF(R191="","",INDEX(Podcasts!$F$10:'Podcasts'!$F$2535,MATCH(R191&amp;$B191,Podcasts!$E$10:'Podcasts'!$E$2535&amp;Podcasts!$D$10:'Podcasts'!$D$2535,0)))</f>
        <v>8.8599537037037046E-2</v>
      </c>
      <c r="T191" s="136" t="str">
        <f t="array" ref="T191">IF(U191="","",INDEX(Podcasts!$J$10:'Podcasts'!$J$2535,MATCH(U191&amp;$B191,Podcasts!$E$10:'Podcasts'!$E$2535&amp;Podcasts!$D$10:'Podcasts'!$D$2535,0)))</f>
        <v>Kuchen</v>
      </c>
      <c r="U191" s="133">
        <f t="array" ref="U191">IF(COUNTIF(Podcasts!$D$10:'Podcasts'!$D$2535,$B191)&lt;COLUMN(F154),"",SMALL(IF(Podcasts!$D$10:'Podcasts'!$D$2535=$B191,Podcasts!$E$10:'Podcasts'!$E$2535),COLUMN(F154)))</f>
        <v>46387</v>
      </c>
      <c r="V191" s="132">
        <f t="array" ref="V191">IF(U191="","",INDEX(Podcasts!$F$10:'Podcasts'!$F$2535,MATCH(U191&amp;$B191,Podcasts!$E$10:'Podcasts'!$E$2535&amp;Podcasts!$D$10:'Podcasts'!$D$2535,0)))</f>
        <v>0</v>
      </c>
      <c r="W191" s="136" t="str">
        <f t="array" ref="W191">IF(X191="","",INDEX(Podcasts!$J$10:'Podcasts'!$J$2535,MATCH(X191&amp;$B191,Podcasts!$E$10:'Podcasts'!$E$2535&amp;Podcasts!$D$10:'Podcasts'!$D$2535,0)))</f>
        <v/>
      </c>
      <c r="X191" s="133" t="str">
        <f t="array" ref="X191">IF(COUNTIF(Podcasts!$D$10:'Podcasts'!$D$2535,$B191)&lt;COLUMN(G154),"",SMALL(IF(Podcasts!$D$10:'Podcasts'!$D$2535=$B191,Podcasts!$E$10:'Podcasts'!$E$2535),COLUMN(G154)))</f>
        <v/>
      </c>
      <c r="Y191" s="132" t="str">
        <f t="array" ref="Y191">IF(X191="","",INDEX(Podcasts!$F$10:'Podcasts'!$F$2535,MATCH(X191&amp;$B191,Podcasts!$E$10:'Podcasts'!$E$2535&amp;Podcasts!$D$10:'Podcasts'!$D$2535,0)))</f>
        <v/>
      </c>
      <c r="Z191" s="136" t="str">
        <f t="array" ref="Z191">IF(AA191="","",INDEX(Podcasts!$J$10:'Podcasts'!$J$2535,MATCH(AA191&amp;$B191,Podcasts!$E$10:'Podcasts'!$E$2535&amp;Podcasts!$D$10:'Podcasts'!$D$2535,0)))</f>
        <v/>
      </c>
      <c r="AA191" s="134" t="str">
        <f t="array" ref="AA191">IF(COUNTIF(Podcasts!$D$10:'Podcasts'!$D$2535,$B191)&lt;COLUMN(H154),"",SMALL(IF(Podcasts!$D$10:'Podcasts'!$D$2535=$B191,Podcasts!$E$10:'Podcasts'!$E$2535),COLUMN(H154)))</f>
        <v/>
      </c>
      <c r="AB191" s="404" t="str">
        <f t="array" ref="AB191">IF(AA191="","",INDEX(Podcasts!$F$10:'Podcasts'!$F$2535,MATCH(AA191&amp;$B191,Podcasts!$E$10:'Podcasts'!$E$2535&amp;Podcasts!$D$10:'Podcasts'!$D$2535,0)))</f>
        <v/>
      </c>
      <c r="AC191" s="406" t="str">
        <f t="array" ref="AC191">IF(AD191="","",INDEX(Podcasts!$J$10:'Podcasts'!$J$2535,MATCH(AD191&amp;$B191,Podcasts!$E$10:'Podcasts'!$E$2535&amp;Podcasts!$D$10:'Podcasts'!$D$2535,0)))</f>
        <v/>
      </c>
      <c r="AD191" s="400" t="str">
        <f t="array" ref="AD191">IF(COUNTIF(Podcasts!$D$10:'Podcasts'!$D$2535,$B191)&lt;COLUMN(I154),"",SMALL(IF(Podcasts!$D$10:'Podcasts'!$D$2535=$B191,Podcasts!$E$10:'Podcasts'!$E$2535),COLUMN(I154)))</f>
        <v/>
      </c>
      <c r="AE191" s="401" t="str">
        <f t="array" ref="AE191">IF(AD191="","",INDEX(Podcasts!$F$10:'Podcasts'!$F$2535,MATCH(AD191&amp;$B191,Podcasts!$E$10:'Podcasts'!$E$2535&amp;Podcasts!$D$10:'Podcasts'!$D$2535,0)))</f>
        <v/>
      </c>
      <c r="AF191" s="406" t="str">
        <f t="array" ref="AF191">IF(AG191="","",INDEX(Podcasts!$J$10:'Podcasts'!$J$2535,MATCH(AG191&amp;$B191,Podcasts!$E$10:'Podcasts'!$E$2535&amp;Podcasts!$D$10:'Podcasts'!$D$2535,0)))</f>
        <v/>
      </c>
      <c r="AG191" s="400" t="str">
        <f t="array" ref="AG191">IF(COUNTIF(Podcasts!$D$10:'Podcasts'!$D$2535,$B191)&lt;COLUMN(J154),"",SMALL(IF(Podcasts!$D$10:'Podcasts'!$D$2535=$B191,Podcasts!$E$10:'Podcasts'!$E$2535),COLUMN(J154)))</f>
        <v/>
      </c>
      <c r="AH191" s="401" t="str">
        <f t="array" ref="AH191">IF(AG191="","",INDEX(Podcasts!$F$10:'Podcasts'!$F$2535,MATCH(AG191&amp;$B191,Podcasts!$E$10:'Podcasts'!$E$2535&amp;Podcasts!$D$10:'Podcasts'!$D$2535,0)))</f>
        <v/>
      </c>
      <c r="AI191" s="406" t="str">
        <f t="array" ref="AI191">IF(AJ191="","",INDEX(Podcasts!$J$10:'Podcasts'!$J$2535,MATCH(AJ191&amp;$B191,Podcasts!$E$10:'Podcasts'!$E$2535&amp;Podcasts!$D$10:'Podcasts'!$D$2535,0)))</f>
        <v/>
      </c>
      <c r="AJ191" s="400" t="str">
        <f t="array" ref="AJ191">IF(COUNTIF(Podcasts!$D$10:'Podcasts'!$D$2535,$B191)&lt;COLUMN(K154),"",SMALL(IF(Podcasts!$D$10:'Podcasts'!$D$2535=$B191,Podcasts!$E$10:'Podcasts'!$E$2535),COLUMN(K154)))</f>
        <v/>
      </c>
      <c r="AK191" s="401" t="str">
        <f t="array" ref="AK191">IF(AJ191="","",INDEX(Podcasts!$F$10:'Podcasts'!$F$2535,MATCH(AJ191&amp;$B191,Podcasts!$E$10:'Podcasts'!$E$2535&amp;Podcasts!$D$10:'Podcasts'!$D$2535,0)))</f>
        <v/>
      </c>
      <c r="AL191" s="406" t="str">
        <f t="array" ref="AL191">IF(AM191="","",INDEX(Podcasts!$J$10:'Podcasts'!$J$2535,MATCH(AM191&amp;$B191,Podcasts!$E$10:'Podcasts'!$E$2535&amp;Podcasts!$D$10:'Podcasts'!$D$2535,0)))</f>
        <v/>
      </c>
      <c r="AM191" s="400" t="str">
        <f t="array" ref="AM191">IF(COUNTIF(Podcasts!$D$10:'Podcasts'!$D$2535,$B191)&lt;COLUMN(L154),"",SMALL(IF(Podcasts!$D$10:'Podcasts'!$D$2535=$B191,Podcasts!$E$10:'Podcasts'!$E$2535),COLUMN(L154)))</f>
        <v/>
      </c>
      <c r="AN191" s="401" t="str">
        <f t="array" ref="AN191">IF(AM191="","",INDEX(Podcasts!$F$10:'Podcasts'!$F$2535,MATCH(AM191&amp;$B191,Podcasts!$E$10:'Podcasts'!$E$2535&amp;Podcasts!$D$10:'Podcasts'!$D$2535,0)))</f>
        <v/>
      </c>
      <c r="AO191" s="402"/>
      <c r="AP191" s="119"/>
      <c r="AQ191" s="117">
        <f t="array" aca="1" ref="AQ191" ca="1">IFERROR(SMALL(IF(COUNTIF(Podcasts!$D$10:'Podcasts'!$D$107,ROW(INDIRECT("1:"&amp;K$2)))=0,ROW(INDIRECT("1:"&amp;K$2))),ROW($A148)),"")</f>
        <v>193</v>
      </c>
      <c r="AR191" s="117">
        <f t="array" aca="1" ref="AR191" ca="1">IFERROR(SMALL(IF(COUNTIF(Podcasts!$D$113:'Podcasts'!$D$238,ROW(INDIRECT("1:"&amp;K$2)))=0,ROW(INDIRECT("1:"&amp;K$2))),ROW($A148)),"")</f>
        <v>148</v>
      </c>
      <c r="AS191" s="117">
        <f t="array" aca="1" ref="AS191" ca="1">IFERROR(SMALL(IF(COUNTIF(Podcasts!$D$244:'Podcasts'!$D$299,ROW(INDIRECT("1:"&amp;K$2)))=0,ROW(INDIRECT("1:"&amp;K$2))),ROW($A148)),"")</f>
        <v>182</v>
      </c>
      <c r="AT191" s="117"/>
      <c r="AU191" s="117">
        <f t="array" aca="1" ref="AU191" ca="1">IFERROR(SMALL(IF(COUNTIF(Podcasts!$D$479:'Podcasts'!$D$488,ROW(INDIRECT("1:"&amp;K$2)))=0,ROW(INDIRECT("1:"&amp;K$2))),ROW($A148)),"")</f>
        <v>152</v>
      </c>
      <c r="AV191" s="117">
        <f t="array" aca="1" ref="AV191" ca="1">IFERROR(SMALL(IF(COUNTIF(Podcasts!$D$494:'Podcasts'!$D$518,ROW(INDIRECT("1:"&amp;K$2)))=0,ROW(INDIRECT("1:"&amp;K$2))),ROW($A148)),"")</f>
        <v>171</v>
      </c>
      <c r="AW191" s="117">
        <f t="array" aca="1" ref="AW191" ca="1">IFERROR(SMALL(IF(COUNTIF(Podcasts!$D$524:'Podcasts'!$D$532,ROW(INDIRECT("1:"&amp;K$2)))=0,ROW(INDIRECT("1:"&amp;K$2))),ROW($A148)),"")</f>
        <v>149</v>
      </c>
      <c r="AX191" s="117"/>
      <c r="AY191" s="117">
        <f t="array" aca="1" ref="AY191" ca="1">IFERROR(SMALL(IF(COUNTIF(Podcasts!$D$915:'Podcasts'!$D$981,ROW(INDIRECT("1:"&amp;K$2)))=0,ROW(INDIRECT("1:"&amp;K$2))),ROW($A148)),"")</f>
        <v>204</v>
      </c>
      <c r="AZ191" s="445"/>
      <c r="BA191" s="117">
        <f t="array" aca="1" ref="BA191" ca="1">IFERROR(SMALL(IF(COUNTIF(Podcasts!$D$1001:'Podcasts'!$D$1251,ROW(INDIRECT("1:"&amp;K$2)))=0,ROW(INDIRECT("1:"&amp;K$2))),ROW($A148)),"")</f>
        <v>205</v>
      </c>
      <c r="BB191" s="117">
        <f t="array" aca="1" ref="BB191" ca="1">IFERROR(SMALL(IF(COUNTIF(Podcasts!$D$1257:'Podcasts'!$D$1267,ROW(INDIRECT("1:"&amp;K$2)))=0,ROW(INDIRECT("1:"&amp;K$2))),ROW($A148)),"")</f>
        <v>153</v>
      </c>
      <c r="BC191" s="117">
        <f t="array" aca="1" ref="BC191" ca="1">IFERROR(SMALL(IF(COUNTIF(Podcasts!$D$1273:'Podcasts'!$D$1283,ROW(INDIRECT("1:"&amp;K$2)))=0,ROW(INDIRECT("1:"&amp;K$2))),ROW($A148)),"")</f>
        <v>153</v>
      </c>
      <c r="BD191" s="117">
        <f t="array" aca="1" ref="BD191" ca="1">IFERROR(SMALL(IF(COUNTIF(Podcasts!$D$1289:'Podcasts'!$D$1295,ROW(INDIRECT("1:"&amp;K$2)))=0,ROW(INDIRECT("1:"&amp;K$2))),ROW($A148)),"")</f>
        <v>154</v>
      </c>
      <c r="BE191" s="117">
        <f t="array" aca="1" ref="BE191" ca="1">IFERROR(SMALL(IF(COUNTIF(Podcasts!$D$1301:'Podcasts'!$D$1356,ROW(INDIRECT("1:"&amp;K$2)))=0,ROW(INDIRECT("1:"&amp;K$2))),ROW($A148)),"")</f>
        <v>195</v>
      </c>
      <c r="BF191" s="117">
        <f t="array" aca="1" ref="BF191" ca="1">IFERROR(SMALL(IF(COUNTIF(Podcasts!$D$1362:'Podcasts'!$D$1364,ROW(INDIRECT("1:"&amp;K$2)))=0,ROW(INDIRECT("1:"&amp;K$2))),ROW($A148)),"")</f>
        <v>151</v>
      </c>
      <c r="BG191" s="202">
        <f t="array" aca="1" ref="BG191" ca="1">IFERROR(SMALL(IF(COUNTIF(Podcasts!$D$1370:'Podcasts'!$D$1419,ROW(INDIRECT("1:"&amp;K$2)))=0,ROW(INDIRECT("1:"&amp;K$2))),ROW($A148)),"")</f>
        <v>187</v>
      </c>
      <c r="BH191" s="202">
        <f t="array" aca="1" ref="BH191" ca="1">IFERROR(SMALL(IF(COUNTIF(Podcasts!$D$1425:'Podcasts'!$D$1446,ROW(INDIRECT("1:"&amp;K$2)))=0,ROW(INDIRECT("1:"&amp;K$2))),ROW($A148)),"")</f>
        <v>158</v>
      </c>
      <c r="BI191" s="202" t="str">
        <f t="array" aca="1" ref="BI191" ca="1">IFERROR(SMALL(IF(COUNTIF(Podcasts!$D$1452:'Podcasts'!$D$1574,ROW(INDIRECT("1:"&amp;K$2)))=0,ROW(INDIRECT("1:"&amp;K$2))),ROW($A148)),"")</f>
        <v/>
      </c>
      <c r="BJ191" s="202"/>
      <c r="BK191" s="202">
        <f t="array" aca="1" ref="BK191" ca="1">IFERROR(SMALL(IF(COUNTIF(Podcasts!$D$1711:'Podcasts'!$D$1833,ROW(INDIRECT("1:"&amp;K$2)))=0,ROW(INDIRECT("1:"&amp;K$2))),ROW($A148)),"")</f>
        <v>225</v>
      </c>
      <c r="BL191" s="202">
        <f t="array" aca="1" ref="BL191" ca="1">IFERROR(SMALL(IF(COUNTIF(Podcasts!$D$1839:'Podcasts'!$D$1855,ROW(INDIRECT("1:"&amp;K$2)))=0,ROW(INDIRECT("1:"&amp;K$2))),ROW($A148)),"")</f>
        <v>157</v>
      </c>
      <c r="BM191" s="567">
        <f t="array" aca="1" ref="BM191" ca="1">IFERROR(SMALL(IF(COUNTIF(Podcasts!$D$1861:'Podcasts'!$D$1994,ROW(INDIRECT("1:"&amp;K$2)))=0,ROW(INDIRECT("1:"&amp;K$2))),ROW($A148)),"")</f>
        <v>196</v>
      </c>
      <c r="BN191" s="567">
        <f t="array" aca="1" ref="BN191" ca="1">IFERROR(SMALL(IF(COUNTIF(Podcasts!$D$2000:'Podcasts'!$D$2057,ROW(INDIRECT("1:"&amp;K$2)))=0,ROW(INDIRECT("1:"&amp;K$2))),ROW($A148)),"")</f>
        <v>203</v>
      </c>
      <c r="BO191" s="567">
        <f t="array" aca="1" ref="BO191" ca="1">IFERROR(SMALL(IF(COUNTIF(Podcasts!$D$2063:'Podcasts'!$D$2071,ROW(INDIRECT("1:"&amp;K$2)))=0,ROW(INDIRECT("1:"&amp;K$2))),ROW($A148)),"")</f>
        <v>156</v>
      </c>
      <c r="BP191" s="202">
        <f t="array" aca="1" ref="BP191" ca="1">IFERROR(SMALL(IF(COUNTIF(Podcasts!$D$2077:'Podcasts'!$D$2092,ROW(INDIRECT("1:"&amp;K$2)))=0,ROW(INDIRECT("1:"&amp;K$2))),ROW($A148)),"")</f>
        <v>159</v>
      </c>
      <c r="BQ191" s="741">
        <f t="array" aca="1" ref="BQ191" ca="1">IFERROR(SMALL(IF(COUNTIF(Podcasts!$D$2098:'Podcasts'!$D$2114,ROW(INDIRECT("1:"&amp;K$2)))=0,ROW(INDIRECT("1:"&amp;K$2))),ROW($A148)),"")</f>
        <v>161</v>
      </c>
      <c r="BR191" s="744">
        <f t="array" aca="1" ref="BR191" ca="1">IFERROR(SMALL(IF(COUNTIF(Podcasts!$D$2120:'Podcasts'!$D$2124,ROW(INDIRECT("1:"&amp;K$2)))=0,ROW(INDIRECT("1:"&amp;K$2))),ROW($A148)),"")</f>
        <v>150</v>
      </c>
      <c r="BS191" s="28"/>
    </row>
    <row r="192" spans="1:71" outlineLevel="1">
      <c r="A192" s="28"/>
      <c r="B192" s="161">
        <v>149</v>
      </c>
      <c r="C192" s="161">
        <f>COUNTIF(Podcasts!$D$10:'Podcasts'!$D$2535,B192)</f>
        <v>4</v>
      </c>
      <c r="D192" s="158" t="s">
        <v>1175</v>
      </c>
      <c r="E192" s="156" t="str">
        <f t="array" ref="E192">IF(F192="","",INDEX(Podcasts!$J$10:'Podcasts'!$J$2535,MATCH(F192&amp;$B192,Podcasts!$E$10:'Podcasts'!$E$2535&amp;Podcasts!$D$10:'Podcasts'!$D$2535,0)))</f>
        <v>???od</v>
      </c>
      <c r="F192" s="131">
        <f t="array" ref="F192">IF(COUNTIF(Podcasts!$D$10:'Podcasts'!$D$2535,$B192)&lt;COLUMN(A155),"",SMALL(IF(Podcasts!$D$10:'Podcasts'!$D$2535=$B192,Podcasts!$E$10:'Podcasts'!$E$2535),COLUMN(A155)))</f>
        <v>40866</v>
      </c>
      <c r="G192" s="132">
        <f t="array" ref="G192">IF(F192="","",INDEX(Podcasts!$F$10:'Podcasts'!$F$2535,MATCH(F192&amp;$B192,Podcasts!$E$10:'Podcasts'!$E$2535&amp;Podcasts!$D$10:'Podcasts'!$D$2535,0)))</f>
        <v>3.5057870370370371E-2</v>
      </c>
      <c r="H192" s="136" t="str">
        <f t="array" ref="H192">IF(I192="","",INDEX(Podcasts!$J$10:'Podcasts'!$J$2535,MATCH(I192&amp;$B192,Podcasts!$E$10:'Podcasts'!$E$2535&amp;Podcasts!$D$10:'Podcasts'!$D$2535,0)))</f>
        <v>R&amp;A</v>
      </c>
      <c r="I192" s="133">
        <f t="array" ref="I192">IF(COUNTIF(Podcasts!$D$10:'Podcasts'!$D$2535,$B192)&lt;COLUMN(B155),"",SMALL(IF(Podcasts!$D$10:'Podcasts'!$D$2535=$B192,Podcasts!$E$10:'Podcasts'!$E$2535),COLUMN(B155)))</f>
        <v>43403.897349537037</v>
      </c>
      <c r="J192" s="132">
        <f t="array" ref="J192">IF(I192="","",INDEX(Podcasts!$F$10:'Podcasts'!$F$2535,MATCH(I192&amp;$B192,Podcasts!$E$10:'Podcasts'!$E$2535&amp;Podcasts!$D$10:'Podcasts'!$D$2535,0)))</f>
        <v>8.3217592592592593E-2</v>
      </c>
      <c r="K192" s="136" t="str">
        <f t="array" ref="K192">IF(L192="","",INDEX(Podcasts!$J$10:'Podcasts'!$J$2535,MATCH(L192&amp;$B192,Podcasts!$E$10:'Podcasts'!$E$2535&amp;Podcasts!$D$10:'Podcasts'!$D$2535,0)))</f>
        <v>SSP</v>
      </c>
      <c r="L192" s="133">
        <f t="array" ref="L192">IF(COUNTIF(Podcasts!$D$10:'Podcasts'!$D$2535,$B192)&lt;COLUMN(C155),"",SMALL(IF(Podcasts!$D$10:'Podcasts'!$D$2535=$B192,Podcasts!$E$10:'Podcasts'!$E$2535),COLUMN(C155)))</f>
        <v>43933</v>
      </c>
      <c r="M192" s="132">
        <f t="array" ref="M192">IF(L192="","",INDEX(Podcasts!$F$10:'Podcasts'!$F$2535,MATCH(L192&amp;$B192,Podcasts!$E$10:'Podcasts'!$E$2535&amp;Podcasts!$D$10:'Podcasts'!$D$2535,0)))</f>
        <v>6.8113425925925938E-2</v>
      </c>
      <c r="N192" s="136" t="str">
        <f t="array" ref="N192">IF(O192="","",INDEX(Podcasts!$J$10:'Podcasts'!$J$2535,MATCH(O192&amp;$B192,Podcasts!$E$10:'Podcasts'!$E$2535&amp;Podcasts!$D$10:'Podcasts'!$D$2535,0)))</f>
        <v>Kuchen</v>
      </c>
      <c r="O192" s="133">
        <f t="array" ref="O192">IF(COUNTIF(Podcasts!$D$10:'Podcasts'!$D$2535,$B192)&lt;COLUMN(D155),"",SMALL(IF(Podcasts!$D$10:'Podcasts'!$D$2535=$B192,Podcasts!$E$10:'Podcasts'!$E$2535),COLUMN(D155)))</f>
        <v>44297</v>
      </c>
      <c r="P192" s="132">
        <f t="array" ref="P192">IF(O192="","",INDEX(Podcasts!$F$10:'Podcasts'!$F$2535,MATCH(O192&amp;$B192,Podcasts!$E$10:'Podcasts'!$E$2535&amp;Podcasts!$D$10:'Podcasts'!$D$2535,0)))</f>
        <v>5.7893518518518518E-2</v>
      </c>
      <c r="Q192" s="136" t="str">
        <f t="array" ref="Q192">IF(R192="","",INDEX(Podcasts!$J$10:'Podcasts'!$J$2535,MATCH(R192&amp;$B192,Podcasts!$E$10:'Podcasts'!$E$2535&amp;Podcasts!$D$10:'Podcasts'!$D$2535,0)))</f>
        <v/>
      </c>
      <c r="R192" s="133" t="str">
        <f t="array" ref="R192">IF(COUNTIF(Podcasts!$D$10:'Podcasts'!$D$2535,$B192)&lt;COLUMN(E155),"",SMALL(IF(Podcasts!$D$10:'Podcasts'!$D$2535=$B192,Podcasts!$E$10:'Podcasts'!$E$2535),COLUMN(E155)))</f>
        <v/>
      </c>
      <c r="S192" s="132" t="str">
        <f t="array" ref="S192">IF(R192="","",INDEX(Podcasts!$F$10:'Podcasts'!$F$2535,MATCH(R192&amp;$B192,Podcasts!$E$10:'Podcasts'!$E$2535&amp;Podcasts!$D$10:'Podcasts'!$D$2535,0)))</f>
        <v/>
      </c>
      <c r="T192" s="136" t="str">
        <f t="array" ref="T192">IF(U192="","",INDEX(Podcasts!$J$10:'Podcasts'!$J$2535,MATCH(U192&amp;$B192,Podcasts!$E$10:'Podcasts'!$E$2535&amp;Podcasts!$D$10:'Podcasts'!$D$2535,0)))</f>
        <v/>
      </c>
      <c r="U192" s="133" t="str">
        <f t="array" ref="U192">IF(COUNTIF(Podcasts!$D$10:'Podcasts'!$D$2535,$B192)&lt;COLUMN(F155),"",SMALL(IF(Podcasts!$D$10:'Podcasts'!$D$2535=$B192,Podcasts!$E$10:'Podcasts'!$E$2535),COLUMN(F155)))</f>
        <v/>
      </c>
      <c r="V192" s="132" t="str">
        <f t="array" ref="V192">IF(U192="","",INDEX(Podcasts!$F$10:'Podcasts'!$F$2535,MATCH(U192&amp;$B192,Podcasts!$E$10:'Podcasts'!$E$2535&amp;Podcasts!$D$10:'Podcasts'!$D$2535,0)))</f>
        <v/>
      </c>
      <c r="W192" s="136" t="str">
        <f t="array" ref="W192">IF(X192="","",INDEX(Podcasts!$J$10:'Podcasts'!$J$2535,MATCH(X192&amp;$B192,Podcasts!$E$10:'Podcasts'!$E$2535&amp;Podcasts!$D$10:'Podcasts'!$D$2535,0)))</f>
        <v/>
      </c>
      <c r="X192" s="133" t="str">
        <f t="array" ref="X192">IF(COUNTIF(Podcasts!$D$10:'Podcasts'!$D$2535,$B192)&lt;COLUMN(G155),"",SMALL(IF(Podcasts!$D$10:'Podcasts'!$D$2535=$B192,Podcasts!$E$10:'Podcasts'!$E$2535),COLUMN(G155)))</f>
        <v/>
      </c>
      <c r="Y192" s="132" t="str">
        <f t="array" ref="Y192">IF(X192="","",INDEX(Podcasts!$F$10:'Podcasts'!$F$2535,MATCH(X192&amp;$B192,Podcasts!$E$10:'Podcasts'!$E$2535&amp;Podcasts!$D$10:'Podcasts'!$D$2535,0)))</f>
        <v/>
      </c>
      <c r="Z192" s="136" t="str">
        <f t="array" ref="Z192">IF(AA192="","",INDEX(Podcasts!$J$10:'Podcasts'!$J$2535,MATCH(AA192&amp;$B192,Podcasts!$E$10:'Podcasts'!$E$2535&amp;Podcasts!$D$10:'Podcasts'!$D$2535,0)))</f>
        <v/>
      </c>
      <c r="AA192" s="134" t="str">
        <f t="array" ref="AA192">IF(COUNTIF(Podcasts!$D$10:'Podcasts'!$D$2535,$B192)&lt;COLUMN(H155),"",SMALL(IF(Podcasts!$D$10:'Podcasts'!$D$2535=$B192,Podcasts!$E$10:'Podcasts'!$E$2535),COLUMN(H155)))</f>
        <v/>
      </c>
      <c r="AB192" s="404" t="str">
        <f t="array" ref="AB192">IF(AA192="","",INDEX(Podcasts!$F$10:'Podcasts'!$F$2535,MATCH(AA192&amp;$B192,Podcasts!$E$10:'Podcasts'!$E$2535&amp;Podcasts!$D$10:'Podcasts'!$D$2535,0)))</f>
        <v/>
      </c>
      <c r="AC192" s="406" t="str">
        <f t="array" ref="AC192">IF(AD192="","",INDEX(Podcasts!$J$10:'Podcasts'!$J$2535,MATCH(AD192&amp;$B192,Podcasts!$E$10:'Podcasts'!$E$2535&amp;Podcasts!$D$10:'Podcasts'!$D$2535,0)))</f>
        <v/>
      </c>
      <c r="AD192" s="400" t="str">
        <f t="array" ref="AD192">IF(COUNTIF(Podcasts!$D$10:'Podcasts'!$D$2535,$B192)&lt;COLUMN(I155),"",SMALL(IF(Podcasts!$D$10:'Podcasts'!$D$2535=$B192,Podcasts!$E$10:'Podcasts'!$E$2535),COLUMN(I155)))</f>
        <v/>
      </c>
      <c r="AE192" s="401" t="str">
        <f t="array" ref="AE192">IF(AD192="","",INDEX(Podcasts!$F$10:'Podcasts'!$F$2535,MATCH(AD192&amp;$B192,Podcasts!$E$10:'Podcasts'!$E$2535&amp;Podcasts!$D$10:'Podcasts'!$D$2535,0)))</f>
        <v/>
      </c>
      <c r="AF192" s="406" t="str">
        <f t="array" ref="AF192">IF(AG192="","",INDEX(Podcasts!$J$10:'Podcasts'!$J$2535,MATCH(AG192&amp;$B192,Podcasts!$E$10:'Podcasts'!$E$2535&amp;Podcasts!$D$10:'Podcasts'!$D$2535,0)))</f>
        <v/>
      </c>
      <c r="AG192" s="400" t="str">
        <f t="array" ref="AG192">IF(COUNTIF(Podcasts!$D$10:'Podcasts'!$D$2535,$B192)&lt;COLUMN(J155),"",SMALL(IF(Podcasts!$D$10:'Podcasts'!$D$2535=$B192,Podcasts!$E$10:'Podcasts'!$E$2535),COLUMN(J155)))</f>
        <v/>
      </c>
      <c r="AH192" s="401" t="str">
        <f t="array" ref="AH192">IF(AG192="","",INDEX(Podcasts!$F$10:'Podcasts'!$F$2535,MATCH(AG192&amp;$B192,Podcasts!$E$10:'Podcasts'!$E$2535&amp;Podcasts!$D$10:'Podcasts'!$D$2535,0)))</f>
        <v/>
      </c>
      <c r="AI192" s="406" t="str">
        <f t="array" ref="AI192">IF(AJ192="","",INDEX(Podcasts!$J$10:'Podcasts'!$J$2535,MATCH(AJ192&amp;$B192,Podcasts!$E$10:'Podcasts'!$E$2535&amp;Podcasts!$D$10:'Podcasts'!$D$2535,0)))</f>
        <v/>
      </c>
      <c r="AJ192" s="400" t="str">
        <f t="array" ref="AJ192">IF(COUNTIF(Podcasts!$D$10:'Podcasts'!$D$2535,$B192)&lt;COLUMN(K155),"",SMALL(IF(Podcasts!$D$10:'Podcasts'!$D$2535=$B192,Podcasts!$E$10:'Podcasts'!$E$2535),COLUMN(K155)))</f>
        <v/>
      </c>
      <c r="AK192" s="401" t="str">
        <f t="array" ref="AK192">IF(AJ192="","",INDEX(Podcasts!$F$10:'Podcasts'!$F$2535,MATCH(AJ192&amp;$B192,Podcasts!$E$10:'Podcasts'!$E$2535&amp;Podcasts!$D$10:'Podcasts'!$D$2535,0)))</f>
        <v/>
      </c>
      <c r="AL192" s="406" t="str">
        <f t="array" ref="AL192">IF(AM192="","",INDEX(Podcasts!$J$10:'Podcasts'!$J$2535,MATCH(AM192&amp;$B192,Podcasts!$E$10:'Podcasts'!$E$2535&amp;Podcasts!$D$10:'Podcasts'!$D$2535,0)))</f>
        <v/>
      </c>
      <c r="AM192" s="400" t="str">
        <f t="array" ref="AM192">IF(COUNTIF(Podcasts!$D$10:'Podcasts'!$D$2535,$B192)&lt;COLUMN(L155),"",SMALL(IF(Podcasts!$D$10:'Podcasts'!$D$2535=$B192,Podcasts!$E$10:'Podcasts'!$E$2535),COLUMN(L155)))</f>
        <v/>
      </c>
      <c r="AN192" s="401" t="str">
        <f t="array" ref="AN192">IF(AM192="","",INDEX(Podcasts!$F$10:'Podcasts'!$F$2535,MATCH(AM192&amp;$B192,Podcasts!$E$10:'Podcasts'!$E$2535&amp;Podcasts!$D$10:'Podcasts'!$D$2535,0)))</f>
        <v/>
      </c>
      <c r="AO192" s="402"/>
      <c r="AP192" s="119"/>
      <c r="AQ192" s="117">
        <f t="array" aca="1" ref="AQ192" ca="1">IFERROR(SMALL(IF(COUNTIF(Podcasts!$D$10:'Podcasts'!$D$107,ROW(INDIRECT("1:"&amp;K$2)))=0,ROW(INDIRECT("1:"&amp;K$2))),ROW($A149)),"")</f>
        <v>195</v>
      </c>
      <c r="AR192" s="117">
        <f t="array" aca="1" ref="AR192" ca="1">IFERROR(SMALL(IF(COUNTIF(Podcasts!$D$113:'Podcasts'!$D$238,ROW(INDIRECT("1:"&amp;K$2)))=0,ROW(INDIRECT("1:"&amp;K$2))),ROW($A149)),"")</f>
        <v>149</v>
      </c>
      <c r="AS192" s="117">
        <f t="array" aca="1" ref="AS192" ca="1">IFERROR(SMALL(IF(COUNTIF(Podcasts!$D$244:'Podcasts'!$D$299,ROW(INDIRECT("1:"&amp;K$2)))=0,ROW(INDIRECT("1:"&amp;K$2))),ROW($A149)),"")</f>
        <v>184</v>
      </c>
      <c r="AT192" s="117"/>
      <c r="AU192" s="117">
        <f t="array" aca="1" ref="AU192" ca="1">IFERROR(SMALL(IF(COUNTIF(Podcasts!$D$479:'Podcasts'!$D$488,ROW(INDIRECT("1:"&amp;K$2)))=0,ROW(INDIRECT("1:"&amp;K$2))),ROW($A149)),"")</f>
        <v>153</v>
      </c>
      <c r="AV192" s="117">
        <f t="array" aca="1" ref="AV192" ca="1">IFERROR(SMALL(IF(COUNTIF(Podcasts!$D$494:'Podcasts'!$D$518,ROW(INDIRECT("1:"&amp;K$2)))=0,ROW(INDIRECT("1:"&amp;K$2))),ROW($A149)),"")</f>
        <v>172</v>
      </c>
      <c r="AW192" s="117">
        <f t="array" aca="1" ref="AW192" ca="1">IFERROR(SMALL(IF(COUNTIF(Podcasts!$D$524:'Podcasts'!$D$532,ROW(INDIRECT("1:"&amp;K$2)))=0,ROW(INDIRECT("1:"&amp;K$2))),ROW($A149)),"")</f>
        <v>150</v>
      </c>
      <c r="AX192" s="117"/>
      <c r="AY192" s="117">
        <f t="array" aca="1" ref="AY192" ca="1">IFERROR(SMALL(IF(COUNTIF(Podcasts!$D$915:'Podcasts'!$D$981,ROW(INDIRECT("1:"&amp;K$2)))=0,ROW(INDIRECT("1:"&amp;K$2))),ROW($A149)),"")</f>
        <v>205</v>
      </c>
      <c r="AZ192" s="445"/>
      <c r="BA192" s="117">
        <f t="array" aca="1" ref="BA192" ca="1">IFERROR(SMALL(IF(COUNTIF(Podcasts!$D$1001:'Podcasts'!$D$1251,ROW(INDIRECT("1:"&amp;K$2)))=0,ROW(INDIRECT("1:"&amp;K$2))),ROW($A149)),"")</f>
        <v>206</v>
      </c>
      <c r="BB192" s="117">
        <f t="array" aca="1" ref="BB192" ca="1">IFERROR(SMALL(IF(COUNTIF(Podcasts!$D$1257:'Podcasts'!$D$1267,ROW(INDIRECT("1:"&amp;K$2)))=0,ROW(INDIRECT("1:"&amp;K$2))),ROW($A149)),"")</f>
        <v>154</v>
      </c>
      <c r="BC192" s="117">
        <f t="array" aca="1" ref="BC192" ca="1">IFERROR(SMALL(IF(COUNTIF(Podcasts!$D$1273:'Podcasts'!$D$1283,ROW(INDIRECT("1:"&amp;K$2)))=0,ROW(INDIRECT("1:"&amp;K$2))),ROW($A149)),"")</f>
        <v>154</v>
      </c>
      <c r="BD192" s="117">
        <f t="array" aca="1" ref="BD192" ca="1">IFERROR(SMALL(IF(COUNTIF(Podcasts!$D$1289:'Podcasts'!$D$1295,ROW(INDIRECT("1:"&amp;K$2)))=0,ROW(INDIRECT("1:"&amp;K$2))),ROW($A149)),"")</f>
        <v>155</v>
      </c>
      <c r="BE192" s="117">
        <f t="array" aca="1" ref="BE192" ca="1">IFERROR(SMALL(IF(COUNTIF(Podcasts!$D$1301:'Podcasts'!$D$1356,ROW(INDIRECT("1:"&amp;K$2)))=0,ROW(INDIRECT("1:"&amp;K$2))),ROW($A149)),"")</f>
        <v>196</v>
      </c>
      <c r="BF192" s="117">
        <f t="array" aca="1" ref="BF192" ca="1">IFERROR(SMALL(IF(COUNTIF(Podcasts!$D$1362:'Podcasts'!$D$1364,ROW(INDIRECT("1:"&amp;K$2)))=0,ROW(INDIRECT("1:"&amp;K$2))),ROW($A149)),"")</f>
        <v>152</v>
      </c>
      <c r="BG192" s="202">
        <f t="array" aca="1" ref="BG192" ca="1">IFERROR(SMALL(IF(COUNTIF(Podcasts!$D$1370:'Podcasts'!$D$1419,ROW(INDIRECT("1:"&amp;K$2)))=0,ROW(INDIRECT("1:"&amp;K$2))),ROW($A149)),"")</f>
        <v>188</v>
      </c>
      <c r="BH192" s="202">
        <f t="array" aca="1" ref="BH192" ca="1">IFERROR(SMALL(IF(COUNTIF(Podcasts!$D$1425:'Podcasts'!$D$1446,ROW(INDIRECT("1:"&amp;K$2)))=0,ROW(INDIRECT("1:"&amp;K$2))),ROW($A149)),"")</f>
        <v>160</v>
      </c>
      <c r="BI192" s="202" t="str">
        <f t="array" aca="1" ref="BI192" ca="1">IFERROR(SMALL(IF(COUNTIF(Podcasts!$D$1452:'Podcasts'!$D$1574,ROW(INDIRECT("1:"&amp;K$2)))=0,ROW(INDIRECT("1:"&amp;K$2))),ROW($A149)),"")</f>
        <v/>
      </c>
      <c r="BJ192" s="202"/>
      <c r="BK192" s="202">
        <f t="array" aca="1" ref="BK192" ca="1">IFERROR(SMALL(IF(COUNTIF(Podcasts!$D$1711:'Podcasts'!$D$1833,ROW(INDIRECT("1:"&amp;K$2)))=0,ROW(INDIRECT("1:"&amp;K$2))),ROW($A149)),"")</f>
        <v>226</v>
      </c>
      <c r="BL192" s="202">
        <f t="array" aca="1" ref="BL192" ca="1">IFERROR(SMALL(IF(COUNTIF(Podcasts!$D$1839:'Podcasts'!$D$1855,ROW(INDIRECT("1:"&amp;K$2)))=0,ROW(INDIRECT("1:"&amp;K$2))),ROW($A149)),"")</f>
        <v>158</v>
      </c>
      <c r="BM192" s="567">
        <f t="array" aca="1" ref="BM192" ca="1">IFERROR(SMALL(IF(COUNTIF(Podcasts!$D$1861:'Podcasts'!$D$1994,ROW(INDIRECT("1:"&amp;K$2)))=0,ROW(INDIRECT("1:"&amp;K$2))),ROW($A149)),"")</f>
        <v>197</v>
      </c>
      <c r="BN192" s="567">
        <f t="array" aca="1" ref="BN192" ca="1">IFERROR(SMALL(IF(COUNTIF(Podcasts!$D$2000:'Podcasts'!$D$2057,ROW(INDIRECT("1:"&amp;K$2)))=0,ROW(INDIRECT("1:"&amp;K$2))),ROW($A149)),"")</f>
        <v>204</v>
      </c>
      <c r="BO192" s="567">
        <f t="array" aca="1" ref="BO192" ca="1">IFERROR(SMALL(IF(COUNTIF(Podcasts!$D$2063:'Podcasts'!$D$2071,ROW(INDIRECT("1:"&amp;K$2)))=0,ROW(INDIRECT("1:"&amp;K$2))),ROW($A149)),"")</f>
        <v>157</v>
      </c>
      <c r="BP192" s="202">
        <f t="array" aca="1" ref="BP192" ca="1">IFERROR(SMALL(IF(COUNTIF(Podcasts!$D$2077:'Podcasts'!$D$2092,ROW(INDIRECT("1:"&amp;K$2)))=0,ROW(INDIRECT("1:"&amp;K$2))),ROW($A149)),"")</f>
        <v>160</v>
      </c>
      <c r="BQ192" s="741">
        <f t="array" aca="1" ref="BQ192" ca="1">IFERROR(SMALL(IF(COUNTIF(Podcasts!$D$2098:'Podcasts'!$D$2114,ROW(INDIRECT("1:"&amp;K$2)))=0,ROW(INDIRECT("1:"&amp;K$2))),ROW($A149)),"")</f>
        <v>162</v>
      </c>
      <c r="BR192" s="744">
        <f t="array" aca="1" ref="BR192" ca="1">IFERROR(SMALL(IF(COUNTIF(Podcasts!$D$2120:'Podcasts'!$D$2124,ROW(INDIRECT("1:"&amp;K$2)))=0,ROW(INDIRECT("1:"&amp;K$2))),ROW($A149)),"")</f>
        <v>151</v>
      </c>
      <c r="BS192" s="28"/>
    </row>
    <row r="193" spans="1:71" outlineLevel="1">
      <c r="A193" s="28"/>
      <c r="B193" s="161">
        <v>150</v>
      </c>
      <c r="C193" s="161">
        <f>COUNTIF(Podcasts!$D$10:'Podcasts'!$D$2535,B193)-2</f>
        <v>3</v>
      </c>
      <c r="D193" s="158" t="s">
        <v>1226</v>
      </c>
      <c r="E193" s="156" t="str">
        <f t="array" ref="E193">IF(F193="","",INDEX(Podcasts!$J$10:'Podcasts'!$J$2535,MATCH(F193&amp;$B193,Podcasts!$E$10:'Podcasts'!$E$2535&amp;Podcasts!$D$10:'Podcasts'!$D$2535,0)))</f>
        <v>Ohr</v>
      </c>
      <c r="F193" s="131">
        <f t="array" ref="F193">IF(COUNTIF(Podcasts!$D$10:'Podcasts'!$D$2535,$B193)&lt;COLUMN(A156),"",SMALL(IF(Podcasts!$D$10:'Podcasts'!$D$2535=$B193,Podcasts!$E$10:'Podcasts'!$E$2535),COLUMN(A156)))</f>
        <v>40881</v>
      </c>
      <c r="G193" s="132">
        <f t="array" ref="G193">IF(F193="","",INDEX(Podcasts!$F$10:'Podcasts'!$F$2535,MATCH(F193&amp;$B193,Podcasts!$E$10:'Podcasts'!$E$2535&amp;Podcasts!$D$10:'Podcasts'!$D$2535,0)))</f>
        <v>9.0277777777777784E-4</v>
      </c>
      <c r="H193" s="136" t="str">
        <f t="array" ref="H193">IF(I193="","",INDEX(Podcasts!$J$10:'Podcasts'!$J$2535,MATCH(I193&amp;$B193,Podcasts!$E$10:'Podcasts'!$E$2535&amp;Podcasts!$D$10:'Podcasts'!$D$2535,0)))</f>
        <v>Fürst</v>
      </c>
      <c r="I193" s="133">
        <f t="array" ref="I193">IF(COUNTIF(Podcasts!$D$10:'Podcasts'!$D$2535,$B193)&lt;COLUMN(B156),"",SMALL(IF(Podcasts!$D$10:'Podcasts'!$D$2535=$B193,Podcasts!$E$10:'Podcasts'!$E$2535),COLUMN(B156)))</f>
        <v>41745</v>
      </c>
      <c r="J193" s="132">
        <f t="array" ref="J193">IF(I193="","",INDEX(Podcasts!$F$10:'Podcasts'!$F$2535,MATCH(I193&amp;$B193,Podcasts!$E$10:'Podcasts'!$E$2535&amp;Podcasts!$D$10:'Podcasts'!$D$2535,0)))</f>
        <v>3.1828703703703706E-3</v>
      </c>
      <c r="K193" s="136" t="str">
        <f t="array" ref="K193">IF(L193="","",INDEX(Podcasts!$J$10:'Podcasts'!$J$2535,MATCH(L193&amp;$B193,Podcasts!$E$10:'Podcasts'!$E$2535&amp;Podcasts!$D$10:'Podcasts'!$D$2535,0)))</f>
        <v>SSP</v>
      </c>
      <c r="L193" s="133">
        <f t="array" ref="L193">IF(COUNTIF(Podcasts!$D$10:'Podcasts'!$D$2535,$B193)&lt;COLUMN(C156),"",SMALL(IF(Podcasts!$D$10:'Podcasts'!$D$2535=$B193,Podcasts!$E$10:'Podcasts'!$E$2535),COLUMN(C156)))</f>
        <v>44189</v>
      </c>
      <c r="M193" s="132">
        <f t="array" ref="M193">IF(L193="","",INDEX(Podcasts!$F$10:'Podcasts'!$F$2535,MATCH(L193&amp;$B193,Podcasts!$E$10:'Podcasts'!$E$2535&amp;Podcasts!$D$10:'Podcasts'!$D$2535,0)))</f>
        <v>6.4351851851851841E-2</v>
      </c>
      <c r="N193" s="136" t="str">
        <f t="array" ref="N193">IF(O193="","",INDEX(Podcasts!$J$10:'Podcasts'!$J$2535,MATCH(O193&amp;$B193,Podcasts!$E$10:'Podcasts'!$E$2535&amp;Podcasts!$D$10:'Podcasts'!$D$2535,0)))</f>
        <v>SSP</v>
      </c>
      <c r="O193" s="133">
        <f t="array" ref="O193">IF(COUNTIF(Podcasts!$D$10:'Podcasts'!$D$2535,$B193)&lt;COLUMN(D156),"",SMALL(IF(Podcasts!$D$10:'Podcasts'!$D$2535=$B193,Podcasts!$E$10:'Podcasts'!$E$2535),COLUMN(D156)))</f>
        <v>44190</v>
      </c>
      <c r="P193" s="132">
        <f t="array" ref="P193">IF(O193="","",INDEX(Podcasts!$F$10:'Podcasts'!$F$2535,MATCH(O193&amp;$B193,Podcasts!$E$10:'Podcasts'!$E$2535&amp;Podcasts!$D$10:'Podcasts'!$D$2535,0)))</f>
        <v>6.9155092592592601E-2</v>
      </c>
      <c r="Q193" s="136" t="str">
        <f t="array" ref="Q193">IF(R193="","",INDEX(Podcasts!$J$10:'Podcasts'!$J$2535,MATCH(R193&amp;$B193,Podcasts!$E$10:'Podcasts'!$E$2535&amp;Podcasts!$D$10:'Podcasts'!$D$2535,0)))</f>
        <v>SSP</v>
      </c>
      <c r="R193" s="133">
        <f t="array" ref="R193">IF(COUNTIF(Podcasts!$D$10:'Podcasts'!$D$2535,$B193)&lt;COLUMN(E156),"",SMALL(IF(Podcasts!$D$10:'Podcasts'!$D$2535=$B193,Podcasts!$E$10:'Podcasts'!$E$2535),COLUMN(E156)))</f>
        <v>44191</v>
      </c>
      <c r="S193" s="132">
        <f t="array" ref="S193">IF(R193="","",INDEX(Podcasts!$F$10:'Podcasts'!$F$2535,MATCH(R193&amp;$B193,Podcasts!$E$10:'Podcasts'!$E$2535&amp;Podcasts!$D$10:'Podcasts'!$D$2535,0)))</f>
        <v>6.5752314814814819E-2</v>
      </c>
      <c r="T193" s="136" t="str">
        <f t="array" ref="T193">IF(U193="","",INDEX(Podcasts!$J$10:'Podcasts'!$J$2535,MATCH(U193&amp;$B193,Podcasts!$E$10:'Podcasts'!$E$2535&amp;Podcasts!$D$10:'Podcasts'!$D$2535,0)))</f>
        <v/>
      </c>
      <c r="U193" s="133" t="str">
        <f t="array" ref="U193">IF(COUNTIF(Podcasts!$D$10:'Podcasts'!$D$2535,$B193)&lt;COLUMN(F156),"",SMALL(IF(Podcasts!$D$10:'Podcasts'!$D$2535=$B193,Podcasts!$E$10:'Podcasts'!$E$2535),COLUMN(F156)))</f>
        <v/>
      </c>
      <c r="V193" s="132" t="str">
        <f t="array" ref="V193">IF(U193="","",INDEX(Podcasts!$F$10:'Podcasts'!$F$2535,MATCH(U193&amp;$B193,Podcasts!$E$10:'Podcasts'!$E$2535&amp;Podcasts!$D$10:'Podcasts'!$D$2535,0)))</f>
        <v/>
      </c>
      <c r="W193" s="136" t="str">
        <f t="array" ref="W193">IF(X193="","",INDEX(Podcasts!$J$10:'Podcasts'!$J$2535,MATCH(X193&amp;$B193,Podcasts!$E$10:'Podcasts'!$E$2535&amp;Podcasts!$D$10:'Podcasts'!$D$2535,0)))</f>
        <v/>
      </c>
      <c r="X193" s="133" t="str">
        <f t="array" ref="X193">IF(COUNTIF(Podcasts!$D$10:'Podcasts'!$D$2535,$B193)&lt;COLUMN(G156),"",SMALL(IF(Podcasts!$D$10:'Podcasts'!$D$2535=$B193,Podcasts!$E$10:'Podcasts'!$E$2535),COLUMN(G156)))</f>
        <v/>
      </c>
      <c r="Y193" s="132" t="str">
        <f t="array" ref="Y193">IF(X193="","",INDEX(Podcasts!$F$10:'Podcasts'!$F$2535,MATCH(X193&amp;$B193,Podcasts!$E$10:'Podcasts'!$E$2535&amp;Podcasts!$D$10:'Podcasts'!$D$2535,0)))</f>
        <v/>
      </c>
      <c r="Z193" s="136" t="str">
        <f t="array" ref="Z193">IF(AA193="","",INDEX(Podcasts!$J$10:'Podcasts'!$J$2535,MATCH(AA193&amp;$B193,Podcasts!$E$10:'Podcasts'!$E$2535&amp;Podcasts!$D$10:'Podcasts'!$D$2535,0)))</f>
        <v/>
      </c>
      <c r="AA193" s="134" t="str">
        <f t="array" ref="AA193">IF(COUNTIF(Podcasts!$D$10:'Podcasts'!$D$2535,$B193)&lt;COLUMN(H156),"",SMALL(IF(Podcasts!$D$10:'Podcasts'!$D$2535=$B193,Podcasts!$E$10:'Podcasts'!$E$2535),COLUMN(H156)))</f>
        <v/>
      </c>
      <c r="AB193" s="404" t="str">
        <f t="array" ref="AB193">IF(AA193="","",INDEX(Podcasts!$F$10:'Podcasts'!$F$2535,MATCH(AA193&amp;$B193,Podcasts!$E$10:'Podcasts'!$E$2535&amp;Podcasts!$D$10:'Podcasts'!$D$2535,0)))</f>
        <v/>
      </c>
      <c r="AC193" s="406" t="str">
        <f t="array" ref="AC193">IF(AD193="","",INDEX(Podcasts!$J$10:'Podcasts'!$J$2535,MATCH(AD193&amp;$B193,Podcasts!$E$10:'Podcasts'!$E$2535&amp;Podcasts!$D$10:'Podcasts'!$D$2535,0)))</f>
        <v/>
      </c>
      <c r="AD193" s="400" t="str">
        <f t="array" ref="AD193">IF(COUNTIF(Podcasts!$D$10:'Podcasts'!$D$2535,$B193)&lt;COLUMN(I156),"",SMALL(IF(Podcasts!$D$10:'Podcasts'!$D$2535=$B193,Podcasts!$E$10:'Podcasts'!$E$2535),COLUMN(I156)))</f>
        <v/>
      </c>
      <c r="AE193" s="401" t="str">
        <f t="array" ref="AE193">IF(AD193="","",INDEX(Podcasts!$F$10:'Podcasts'!$F$2535,MATCH(AD193&amp;$B193,Podcasts!$E$10:'Podcasts'!$E$2535&amp;Podcasts!$D$10:'Podcasts'!$D$2535,0)))</f>
        <v/>
      </c>
      <c r="AF193" s="406" t="str">
        <f t="array" ref="AF193">IF(AG193="","",INDEX(Podcasts!$J$10:'Podcasts'!$J$2535,MATCH(AG193&amp;$B193,Podcasts!$E$10:'Podcasts'!$E$2535&amp;Podcasts!$D$10:'Podcasts'!$D$2535,0)))</f>
        <v/>
      </c>
      <c r="AG193" s="400" t="str">
        <f t="array" ref="AG193">IF(COUNTIF(Podcasts!$D$10:'Podcasts'!$D$2535,$B193)&lt;COLUMN(J156),"",SMALL(IF(Podcasts!$D$10:'Podcasts'!$D$2535=$B193,Podcasts!$E$10:'Podcasts'!$E$2535),COLUMN(J156)))</f>
        <v/>
      </c>
      <c r="AH193" s="401" t="str">
        <f t="array" ref="AH193">IF(AG193="","",INDEX(Podcasts!$F$10:'Podcasts'!$F$2535,MATCH(AG193&amp;$B193,Podcasts!$E$10:'Podcasts'!$E$2535&amp;Podcasts!$D$10:'Podcasts'!$D$2535,0)))</f>
        <v/>
      </c>
      <c r="AI193" s="406" t="str">
        <f t="array" ref="AI193">IF(AJ193="","",INDEX(Podcasts!$J$10:'Podcasts'!$J$2535,MATCH(AJ193&amp;$B193,Podcasts!$E$10:'Podcasts'!$E$2535&amp;Podcasts!$D$10:'Podcasts'!$D$2535,0)))</f>
        <v/>
      </c>
      <c r="AJ193" s="400" t="str">
        <f t="array" ref="AJ193">IF(COUNTIF(Podcasts!$D$10:'Podcasts'!$D$2535,$B193)&lt;COLUMN(K156),"",SMALL(IF(Podcasts!$D$10:'Podcasts'!$D$2535=$B193,Podcasts!$E$10:'Podcasts'!$E$2535),COLUMN(K156)))</f>
        <v/>
      </c>
      <c r="AK193" s="401" t="str">
        <f t="array" ref="AK193">IF(AJ193="","",INDEX(Podcasts!$F$10:'Podcasts'!$F$2535,MATCH(AJ193&amp;$B193,Podcasts!$E$10:'Podcasts'!$E$2535&amp;Podcasts!$D$10:'Podcasts'!$D$2535,0)))</f>
        <v/>
      </c>
      <c r="AL193" s="406" t="str">
        <f t="array" ref="AL193">IF(AM193="","",INDEX(Podcasts!$J$10:'Podcasts'!$J$2535,MATCH(AM193&amp;$B193,Podcasts!$E$10:'Podcasts'!$E$2535&amp;Podcasts!$D$10:'Podcasts'!$D$2535,0)))</f>
        <v/>
      </c>
      <c r="AM193" s="400" t="str">
        <f t="array" ref="AM193">IF(COUNTIF(Podcasts!$D$10:'Podcasts'!$D$2535,$B193)&lt;COLUMN(L156),"",SMALL(IF(Podcasts!$D$10:'Podcasts'!$D$2535=$B193,Podcasts!$E$10:'Podcasts'!$E$2535),COLUMN(L156)))</f>
        <v/>
      </c>
      <c r="AN193" s="401" t="str">
        <f t="array" ref="AN193">IF(AM193="","",INDEX(Podcasts!$F$10:'Podcasts'!$F$2535,MATCH(AM193&amp;$B193,Podcasts!$E$10:'Podcasts'!$E$2535&amp;Podcasts!$D$10:'Podcasts'!$D$2535,0)))</f>
        <v/>
      </c>
      <c r="AO193" s="402"/>
      <c r="AP193" s="119"/>
      <c r="AQ193" s="117">
        <f t="array" aca="1" ref="AQ193" ca="1">IFERROR(SMALL(IF(COUNTIF(Podcasts!$D$10:'Podcasts'!$D$107,ROW(INDIRECT("1:"&amp;K$2)))=0,ROW(INDIRECT("1:"&amp;K$2))),ROW($A150)),"")</f>
        <v>196</v>
      </c>
      <c r="AR193" s="117">
        <f t="array" aca="1" ref="AR193" ca="1">IFERROR(SMALL(IF(COUNTIF(Podcasts!$D$113:'Podcasts'!$D$238,ROW(INDIRECT("1:"&amp;K$2)))=0,ROW(INDIRECT("1:"&amp;K$2))),ROW($A150)),"")</f>
        <v>226</v>
      </c>
      <c r="AS193" s="117">
        <f t="array" aca="1" ref="AS193" ca="1">IFERROR(SMALL(IF(COUNTIF(Podcasts!$D$244:'Podcasts'!$D$299,ROW(INDIRECT("1:"&amp;K$2)))=0,ROW(INDIRECT("1:"&amp;K$2))),ROW($A150)),"")</f>
        <v>185</v>
      </c>
      <c r="AT193" s="117"/>
      <c r="AU193" s="117">
        <f t="array" aca="1" ref="AU193" ca="1">IFERROR(SMALL(IF(COUNTIF(Podcasts!$D$479:'Podcasts'!$D$488,ROW(INDIRECT("1:"&amp;K$2)))=0,ROW(INDIRECT("1:"&amp;K$2))),ROW($A150)),"")</f>
        <v>154</v>
      </c>
      <c r="AV193" s="117">
        <f t="array" aca="1" ref="AV193" ca="1">IFERROR(SMALL(IF(COUNTIF(Podcasts!$D$494:'Podcasts'!$D$518,ROW(INDIRECT("1:"&amp;K$2)))=0,ROW(INDIRECT("1:"&amp;K$2))),ROW($A150)),"")</f>
        <v>173</v>
      </c>
      <c r="AW193" s="117">
        <f t="array" aca="1" ref="AW193" ca="1">IFERROR(SMALL(IF(COUNTIF(Podcasts!$D$524:'Podcasts'!$D$532,ROW(INDIRECT("1:"&amp;K$2)))=0,ROW(INDIRECT("1:"&amp;K$2))),ROW($A150)),"")</f>
        <v>151</v>
      </c>
      <c r="AX193" s="117"/>
      <c r="AY193" s="117">
        <f t="array" aca="1" ref="AY193" ca="1">IFERROR(SMALL(IF(COUNTIF(Podcasts!$D$915:'Podcasts'!$D$981,ROW(INDIRECT("1:"&amp;K$2)))=0,ROW(INDIRECT("1:"&amp;K$2))),ROW($A150)),"")</f>
        <v>206</v>
      </c>
      <c r="AZ193" s="445"/>
      <c r="BA193" s="117">
        <f t="array" aca="1" ref="BA193" ca="1">IFERROR(SMALL(IF(COUNTIF(Podcasts!$D$1001:'Podcasts'!$D$1251,ROW(INDIRECT("1:"&amp;K$2)))=0,ROW(INDIRECT("1:"&amp;K$2))),ROW($A150)),"")</f>
        <v>207</v>
      </c>
      <c r="BB193" s="117">
        <f t="array" aca="1" ref="BB193" ca="1">IFERROR(SMALL(IF(COUNTIF(Podcasts!$D$1257:'Podcasts'!$D$1267,ROW(INDIRECT("1:"&amp;K$2)))=0,ROW(INDIRECT("1:"&amp;K$2))),ROW($A150)),"")</f>
        <v>155</v>
      </c>
      <c r="BC193" s="117">
        <f t="array" aca="1" ref="BC193" ca="1">IFERROR(SMALL(IF(COUNTIF(Podcasts!$D$1273:'Podcasts'!$D$1283,ROW(INDIRECT("1:"&amp;K$2)))=0,ROW(INDIRECT("1:"&amp;K$2))),ROW($A150)),"")</f>
        <v>155</v>
      </c>
      <c r="BD193" s="117">
        <f t="array" aca="1" ref="BD193" ca="1">IFERROR(SMALL(IF(COUNTIF(Podcasts!$D$1289:'Podcasts'!$D$1295,ROW(INDIRECT("1:"&amp;K$2)))=0,ROW(INDIRECT("1:"&amp;K$2))),ROW($A150)),"")</f>
        <v>156</v>
      </c>
      <c r="BE193" s="117">
        <f t="array" aca="1" ref="BE193" ca="1">IFERROR(SMALL(IF(COUNTIF(Podcasts!$D$1301:'Podcasts'!$D$1356,ROW(INDIRECT("1:"&amp;K$2)))=0,ROW(INDIRECT("1:"&amp;K$2))),ROW($A150)),"")</f>
        <v>197</v>
      </c>
      <c r="BF193" s="117">
        <f t="array" aca="1" ref="BF193" ca="1">IFERROR(SMALL(IF(COUNTIF(Podcasts!$D$1362:'Podcasts'!$D$1364,ROW(INDIRECT("1:"&amp;K$2)))=0,ROW(INDIRECT("1:"&amp;K$2))),ROW($A150)),"")</f>
        <v>153</v>
      </c>
      <c r="BG193" s="202">
        <f t="array" aca="1" ref="BG193" ca="1">IFERROR(SMALL(IF(COUNTIF(Podcasts!$D$1370:'Podcasts'!$D$1419,ROW(INDIRECT("1:"&amp;K$2)))=0,ROW(INDIRECT("1:"&amp;K$2))),ROW($A150)),"")</f>
        <v>190</v>
      </c>
      <c r="BH193" s="202">
        <f t="array" aca="1" ref="BH193" ca="1">IFERROR(SMALL(IF(COUNTIF(Podcasts!$D$1425:'Podcasts'!$D$1446,ROW(INDIRECT("1:"&amp;K$2)))=0,ROW(INDIRECT("1:"&amp;K$2))),ROW($A150)),"")</f>
        <v>161</v>
      </c>
      <c r="BI193" s="202"/>
      <c r="BJ193" s="202"/>
      <c r="BK193" s="202" t="str">
        <f t="array" aca="1" ref="BK193" ca="1">IFERROR(SMALL(IF(COUNTIF(Podcasts!$D$1711:'Podcasts'!$D$1833,ROW(INDIRECT("1:"&amp;K$2)))=0,ROW(INDIRECT("1:"&amp;K$2))),ROW($A150)),"")</f>
        <v/>
      </c>
      <c r="BL193" s="202">
        <f t="array" aca="1" ref="BL193" ca="1">IFERROR(SMALL(IF(COUNTIF(Podcasts!$D$1839:'Podcasts'!$D$1855,ROW(INDIRECT("1:"&amp;K$2)))=0,ROW(INDIRECT("1:"&amp;K$2))),ROW($A150)),"")</f>
        <v>159</v>
      </c>
      <c r="BM193" s="567">
        <f t="array" aca="1" ref="BM193" ca="1">IFERROR(SMALL(IF(COUNTIF(Podcasts!$D$1861:'Podcasts'!$D$1994,ROW(INDIRECT("1:"&amp;K$2)))=0,ROW(INDIRECT("1:"&amp;K$2))),ROW($A150)),"")</f>
        <v>198</v>
      </c>
      <c r="BN193" s="567">
        <f t="array" aca="1" ref="BN193" ca="1">IFERROR(SMALL(IF(COUNTIF(Podcasts!$D$2000:'Podcasts'!$D$2057,ROW(INDIRECT("1:"&amp;K$2)))=0,ROW(INDIRECT("1:"&amp;K$2))),ROW($A150)),"")</f>
        <v>205</v>
      </c>
      <c r="BO193" s="567">
        <f t="array" aca="1" ref="BO193" ca="1">IFERROR(SMALL(IF(COUNTIF(Podcasts!$D$2063:'Podcasts'!$D$2071,ROW(INDIRECT("1:"&amp;K$2)))=0,ROW(INDIRECT("1:"&amp;K$2))),ROW($A150)),"")</f>
        <v>158</v>
      </c>
      <c r="BP193" s="202">
        <f t="array" aca="1" ref="BP193" ca="1">IFERROR(SMALL(IF(COUNTIF(Podcasts!$D$2077:'Podcasts'!$D$2092,ROW(INDIRECT("1:"&amp;K$2)))=0,ROW(INDIRECT("1:"&amp;K$2))),ROW($A150)),"")</f>
        <v>161</v>
      </c>
      <c r="BQ193" s="741">
        <f t="array" aca="1" ref="BQ193" ca="1">IFERROR(SMALL(IF(COUNTIF(Podcasts!$D$2098:'Podcasts'!$D$2114,ROW(INDIRECT("1:"&amp;K$2)))=0,ROW(INDIRECT("1:"&amp;K$2))),ROW($A150)),"")</f>
        <v>163</v>
      </c>
      <c r="BR193" s="744">
        <f t="array" aca="1" ref="BR193" ca="1">IFERROR(SMALL(IF(COUNTIF(Podcasts!$D$2120:'Podcasts'!$D$2124,ROW(INDIRECT("1:"&amp;K$2)))=0,ROW(INDIRECT("1:"&amp;K$2))),ROW($A150)),"")</f>
        <v>152</v>
      </c>
      <c r="BS193" s="28"/>
    </row>
    <row r="194" spans="1:71" outlineLevel="1">
      <c r="A194" s="28"/>
      <c r="B194" s="161">
        <v>151</v>
      </c>
      <c r="C194" s="161">
        <f>COUNTIF(Podcasts!$D$10:'Podcasts'!$D$2535,B194)</f>
        <v>5</v>
      </c>
      <c r="D194" s="160" t="s">
        <v>1176</v>
      </c>
      <c r="E194" s="156" t="str">
        <f t="array" ref="E194">IF(F194="","",INDEX(Podcasts!$J$10:'Podcasts'!$J$2535,MATCH(F194&amp;$B194,Podcasts!$E$10:'Podcasts'!$E$2535&amp;Podcasts!$D$10:'Podcasts'!$D$2535,0)))</f>
        <v>Ohr</v>
      </c>
      <c r="F194" s="131">
        <f t="array" ref="F194">IF(COUNTIF(Podcasts!$D$10:'Podcasts'!$D$2535,$B194)&lt;COLUMN(A157),"",SMALL(IF(Podcasts!$D$10:'Podcasts'!$D$2535=$B194,Podcasts!$E$10:'Podcasts'!$E$2535),COLUMN(A157)))</f>
        <v>40938</v>
      </c>
      <c r="G194" s="132">
        <f t="array" ref="G194">IF(F194="","",INDEX(Podcasts!$F$10:'Podcasts'!$F$2535,MATCH(F194&amp;$B194,Podcasts!$E$10:'Podcasts'!$E$2535&amp;Podcasts!$D$10:'Podcasts'!$D$2535,0)))</f>
        <v>8.564814814814815E-4</v>
      </c>
      <c r="H194" s="136" t="str">
        <f t="array" ref="H194">IF(I194="","",INDEX(Podcasts!$J$10:'Podcasts'!$J$2535,MATCH(I194&amp;$B194,Podcasts!$E$10:'Podcasts'!$E$2535&amp;Podcasts!$D$10:'Podcasts'!$D$2535,0)))</f>
        <v>Talker</v>
      </c>
      <c r="I194" s="133">
        <f t="array" ref="I194">IF(COUNTIF(Podcasts!$D$10:'Podcasts'!$D$2535,$B194)&lt;COLUMN(B157),"",SMALL(IF(Podcasts!$D$10:'Podcasts'!$D$2535=$B194,Podcasts!$E$10:'Podcasts'!$E$2535),COLUMN(B157)))</f>
        <v>40944</v>
      </c>
      <c r="J194" s="132">
        <f t="array" ref="J194">IF(I194="","",INDEX(Podcasts!$F$10:'Podcasts'!$F$2535,MATCH(I194&amp;$B194,Podcasts!$E$10:'Podcasts'!$E$2535&amp;Podcasts!$D$10:'Podcasts'!$D$2535,0)))</f>
        <v>2.3587962962962963E-2</v>
      </c>
      <c r="K194" s="136" t="str">
        <f t="array" ref="K194">IF(L194="","",INDEX(Podcasts!$J$10:'Podcasts'!$J$2535,MATCH(L194&amp;$B194,Podcasts!$E$10:'Podcasts'!$E$2535&amp;Podcasts!$D$10:'Podcasts'!$D$2535,0)))</f>
        <v>???od</v>
      </c>
      <c r="L194" s="133">
        <f t="array" ref="L194">IF(COUNTIF(Podcasts!$D$10:'Podcasts'!$D$2535,$B194)&lt;COLUMN(C157),"",SMALL(IF(Podcasts!$D$10:'Podcasts'!$D$2535=$B194,Podcasts!$E$10:'Podcasts'!$E$2535),COLUMN(C157)))</f>
        <v>42337</v>
      </c>
      <c r="M194" s="132">
        <f t="array" ref="M194">IF(L194="","",INDEX(Podcasts!$F$10:'Podcasts'!$F$2535,MATCH(L194&amp;$B194,Podcasts!$E$10:'Podcasts'!$E$2535&amp;Podcasts!$D$10:'Podcasts'!$D$2535,0)))</f>
        <v>6.039351851851852E-2</v>
      </c>
      <c r="N194" s="136" t="str">
        <f t="array" ref="N194">IF(O194="","",INDEX(Podcasts!$J$10:'Podcasts'!$J$2535,MATCH(O194&amp;$B194,Podcasts!$E$10:'Podcasts'!$E$2535&amp;Podcasts!$D$10:'Podcasts'!$D$2535,0)))</f>
        <v>SSP</v>
      </c>
      <c r="O194" s="133">
        <f t="array" ref="O194">IF(COUNTIF(Podcasts!$D$10:'Podcasts'!$D$2535,$B194)&lt;COLUMN(D157),"",SMALL(IF(Podcasts!$D$10:'Podcasts'!$D$2535=$B194,Podcasts!$E$10:'Podcasts'!$E$2535),COLUMN(D157)))</f>
        <v>43969</v>
      </c>
      <c r="P194" s="132">
        <f t="array" ref="P194">IF(O194="","",INDEX(Podcasts!$F$10:'Podcasts'!$F$2535,MATCH(O194&amp;$B194,Podcasts!$E$10:'Podcasts'!$E$2535&amp;Podcasts!$D$10:'Podcasts'!$D$2535,0)))</f>
        <v>8.4571759259259263E-2</v>
      </c>
      <c r="Q194" s="136" t="str">
        <f t="array" ref="Q194">IF(R194="","",INDEX(Podcasts!$J$10:'Podcasts'!$J$2535,MATCH(R194&amp;$B194,Podcasts!$E$10:'Podcasts'!$E$2535&amp;Podcasts!$D$10:'Podcasts'!$D$2535,0)))</f>
        <v>Verstärker</v>
      </c>
      <c r="R194" s="133">
        <f t="array" ref="R194">IF(COUNTIF(Podcasts!$D$10:'Podcasts'!$D$2535,$B194)&lt;COLUMN(E157),"",SMALL(IF(Podcasts!$D$10:'Podcasts'!$D$2535=$B194,Podcasts!$E$10:'Podcasts'!$E$2535),COLUMN(E157)))</f>
        <v>44503</v>
      </c>
      <c r="S194" s="132">
        <f t="array" ref="S194">IF(R194="","",INDEX(Podcasts!$F$10:'Podcasts'!$F$2535,MATCH(R194&amp;$B194,Podcasts!$E$10:'Podcasts'!$E$2535&amp;Podcasts!$D$10:'Podcasts'!$D$2535,0)))</f>
        <v>1.7928240740740741E-2</v>
      </c>
      <c r="T194" s="136" t="str">
        <f t="array" ref="T194">IF(U194="","",INDEX(Podcasts!$J$10:'Podcasts'!$J$2535,MATCH(U194&amp;$B194,Podcasts!$E$10:'Podcasts'!$E$2535&amp;Podcasts!$D$10:'Podcasts'!$D$2535,0)))</f>
        <v/>
      </c>
      <c r="U194" s="133" t="str">
        <f t="array" ref="U194">IF(COUNTIF(Podcasts!$D$10:'Podcasts'!$D$2535,$B194)&lt;COLUMN(F157),"",SMALL(IF(Podcasts!$D$10:'Podcasts'!$D$2535=$B194,Podcasts!$E$10:'Podcasts'!$E$2535),COLUMN(F157)))</f>
        <v/>
      </c>
      <c r="V194" s="132" t="str">
        <f t="array" ref="V194">IF(U194="","",INDEX(Podcasts!$F$10:'Podcasts'!$F$2535,MATCH(U194&amp;$B194,Podcasts!$E$10:'Podcasts'!$E$2535&amp;Podcasts!$D$10:'Podcasts'!$D$2535,0)))</f>
        <v/>
      </c>
      <c r="W194" s="136" t="str">
        <f t="array" ref="W194">IF(X194="","",INDEX(Podcasts!$J$10:'Podcasts'!$J$2535,MATCH(X194&amp;$B194,Podcasts!$E$10:'Podcasts'!$E$2535&amp;Podcasts!$D$10:'Podcasts'!$D$2535,0)))</f>
        <v/>
      </c>
      <c r="X194" s="133" t="str">
        <f t="array" ref="X194">IF(COUNTIF(Podcasts!$D$10:'Podcasts'!$D$2535,$B194)&lt;COLUMN(G157),"",SMALL(IF(Podcasts!$D$10:'Podcasts'!$D$2535=$B194,Podcasts!$E$10:'Podcasts'!$E$2535),COLUMN(G157)))</f>
        <v/>
      </c>
      <c r="Y194" s="132" t="str">
        <f t="array" ref="Y194">IF(X194="","",INDEX(Podcasts!$F$10:'Podcasts'!$F$2535,MATCH(X194&amp;$B194,Podcasts!$E$10:'Podcasts'!$E$2535&amp;Podcasts!$D$10:'Podcasts'!$D$2535,0)))</f>
        <v/>
      </c>
      <c r="Z194" s="136" t="str">
        <f t="array" ref="Z194">IF(AA194="","",INDEX(Podcasts!$J$10:'Podcasts'!$J$2535,MATCH(AA194&amp;$B194,Podcasts!$E$10:'Podcasts'!$E$2535&amp;Podcasts!$D$10:'Podcasts'!$D$2535,0)))</f>
        <v/>
      </c>
      <c r="AA194" s="134" t="str">
        <f t="array" ref="AA194">IF(COUNTIF(Podcasts!$D$10:'Podcasts'!$D$2535,$B194)&lt;COLUMN(H157),"",SMALL(IF(Podcasts!$D$10:'Podcasts'!$D$2535=$B194,Podcasts!$E$10:'Podcasts'!$E$2535),COLUMN(H157)))</f>
        <v/>
      </c>
      <c r="AB194" s="404" t="str">
        <f t="array" ref="AB194">IF(AA194="","",INDEX(Podcasts!$F$10:'Podcasts'!$F$2535,MATCH(AA194&amp;$B194,Podcasts!$E$10:'Podcasts'!$E$2535&amp;Podcasts!$D$10:'Podcasts'!$D$2535,0)))</f>
        <v/>
      </c>
      <c r="AC194" s="406" t="str">
        <f t="array" ref="AC194">IF(AD194="","",INDEX(Podcasts!$J$10:'Podcasts'!$J$2535,MATCH(AD194&amp;$B194,Podcasts!$E$10:'Podcasts'!$E$2535&amp;Podcasts!$D$10:'Podcasts'!$D$2535,0)))</f>
        <v/>
      </c>
      <c r="AD194" s="400" t="str">
        <f t="array" ref="AD194">IF(COUNTIF(Podcasts!$D$10:'Podcasts'!$D$2535,$B194)&lt;COLUMN(I157),"",SMALL(IF(Podcasts!$D$10:'Podcasts'!$D$2535=$B194,Podcasts!$E$10:'Podcasts'!$E$2535),COLUMN(I157)))</f>
        <v/>
      </c>
      <c r="AE194" s="401" t="str">
        <f t="array" ref="AE194">IF(AD194="","",INDEX(Podcasts!$F$10:'Podcasts'!$F$2535,MATCH(AD194&amp;$B194,Podcasts!$E$10:'Podcasts'!$E$2535&amp;Podcasts!$D$10:'Podcasts'!$D$2535,0)))</f>
        <v/>
      </c>
      <c r="AF194" s="406" t="str">
        <f t="array" ref="AF194">IF(AG194="","",INDEX(Podcasts!$J$10:'Podcasts'!$J$2535,MATCH(AG194&amp;$B194,Podcasts!$E$10:'Podcasts'!$E$2535&amp;Podcasts!$D$10:'Podcasts'!$D$2535,0)))</f>
        <v/>
      </c>
      <c r="AG194" s="400" t="str">
        <f t="array" ref="AG194">IF(COUNTIF(Podcasts!$D$10:'Podcasts'!$D$2535,$B194)&lt;COLUMN(J157),"",SMALL(IF(Podcasts!$D$10:'Podcasts'!$D$2535=$B194,Podcasts!$E$10:'Podcasts'!$E$2535),COLUMN(J157)))</f>
        <v/>
      </c>
      <c r="AH194" s="401" t="str">
        <f t="array" ref="AH194">IF(AG194="","",INDEX(Podcasts!$F$10:'Podcasts'!$F$2535,MATCH(AG194&amp;$B194,Podcasts!$E$10:'Podcasts'!$E$2535&amp;Podcasts!$D$10:'Podcasts'!$D$2535,0)))</f>
        <v/>
      </c>
      <c r="AI194" s="406" t="str">
        <f t="array" ref="AI194">IF(AJ194="","",INDEX(Podcasts!$J$10:'Podcasts'!$J$2535,MATCH(AJ194&amp;$B194,Podcasts!$E$10:'Podcasts'!$E$2535&amp;Podcasts!$D$10:'Podcasts'!$D$2535,0)))</f>
        <v/>
      </c>
      <c r="AJ194" s="400" t="str">
        <f t="array" ref="AJ194">IF(COUNTIF(Podcasts!$D$10:'Podcasts'!$D$2535,$B194)&lt;COLUMN(K157),"",SMALL(IF(Podcasts!$D$10:'Podcasts'!$D$2535=$B194,Podcasts!$E$10:'Podcasts'!$E$2535),COLUMN(K157)))</f>
        <v/>
      </c>
      <c r="AK194" s="401" t="str">
        <f t="array" ref="AK194">IF(AJ194="","",INDEX(Podcasts!$F$10:'Podcasts'!$F$2535,MATCH(AJ194&amp;$B194,Podcasts!$E$10:'Podcasts'!$E$2535&amp;Podcasts!$D$10:'Podcasts'!$D$2535,0)))</f>
        <v/>
      </c>
      <c r="AL194" s="406" t="str">
        <f t="array" ref="AL194">IF(AM194="","",INDEX(Podcasts!$J$10:'Podcasts'!$J$2535,MATCH(AM194&amp;$B194,Podcasts!$E$10:'Podcasts'!$E$2535&amp;Podcasts!$D$10:'Podcasts'!$D$2535,0)))</f>
        <v/>
      </c>
      <c r="AM194" s="400" t="str">
        <f t="array" ref="AM194">IF(COUNTIF(Podcasts!$D$10:'Podcasts'!$D$2535,$B194)&lt;COLUMN(L157),"",SMALL(IF(Podcasts!$D$10:'Podcasts'!$D$2535=$B194,Podcasts!$E$10:'Podcasts'!$E$2535),COLUMN(L157)))</f>
        <v/>
      </c>
      <c r="AN194" s="401" t="str">
        <f t="array" ref="AN194">IF(AM194="","",INDEX(Podcasts!$F$10:'Podcasts'!$F$2535,MATCH(AM194&amp;$B194,Podcasts!$E$10:'Podcasts'!$E$2535&amp;Podcasts!$D$10:'Podcasts'!$D$2535,0)))</f>
        <v/>
      </c>
      <c r="AO194" s="402"/>
      <c r="AP194" s="119"/>
      <c r="AQ194" s="117">
        <f t="array" aca="1" ref="AQ194" ca="1">IFERROR(SMALL(IF(COUNTIF(Podcasts!$D$10:'Podcasts'!$D$107,ROW(INDIRECT("1:"&amp;K$2)))=0,ROW(INDIRECT("1:"&amp;K$2))),ROW($A151)),"")</f>
        <v>197</v>
      </c>
      <c r="AR194" s="117" t="str">
        <f t="array" aca="1" ref="AR194" ca="1">IFERROR(SMALL(IF(COUNTIF(Podcasts!$D$113:'Podcasts'!$D$238,ROW(INDIRECT("1:"&amp;K$2)))=0,ROW(INDIRECT("1:"&amp;K$2))),ROW($A151)),"")</f>
        <v/>
      </c>
      <c r="AS194" s="117">
        <f t="array" aca="1" ref="AS194" ca="1">IFERROR(SMALL(IF(COUNTIF(Podcasts!$D$244:'Podcasts'!$D$299,ROW(INDIRECT("1:"&amp;K$2)))=0,ROW(INDIRECT("1:"&amp;K$2))),ROW($A151)),"")</f>
        <v>187</v>
      </c>
      <c r="AT194" s="117"/>
      <c r="AU194" s="117">
        <f t="array" aca="1" ref="AU194" ca="1">IFERROR(SMALL(IF(COUNTIF(Podcasts!$D$479:'Podcasts'!$D$488,ROW(INDIRECT("1:"&amp;K$2)))=0,ROW(INDIRECT("1:"&amp;K$2))),ROW($A151)),"")</f>
        <v>155</v>
      </c>
      <c r="AV194" s="117">
        <f t="array" aca="1" ref="AV194" ca="1">IFERROR(SMALL(IF(COUNTIF(Podcasts!$D$494:'Podcasts'!$D$518,ROW(INDIRECT("1:"&amp;K$2)))=0,ROW(INDIRECT("1:"&amp;K$2))),ROW($A151)),"")</f>
        <v>174</v>
      </c>
      <c r="AW194" s="117">
        <f t="array" aca="1" ref="AW194" ca="1">IFERROR(SMALL(IF(COUNTIF(Podcasts!$D$524:'Podcasts'!$D$532,ROW(INDIRECT("1:"&amp;K$2)))=0,ROW(INDIRECT("1:"&amp;K$2))),ROW($A151)),"")</f>
        <v>152</v>
      </c>
      <c r="AX194" s="117"/>
      <c r="AY194" s="117">
        <f t="array" aca="1" ref="AY194" ca="1">IFERROR(SMALL(IF(COUNTIF(Podcasts!$D$915:'Podcasts'!$D$981,ROW(INDIRECT("1:"&amp;K$2)))=0,ROW(INDIRECT("1:"&amp;K$2))),ROW($A151)),"")</f>
        <v>207</v>
      </c>
      <c r="AZ194" s="445"/>
      <c r="BA194" s="117">
        <f t="array" aca="1" ref="BA194" ca="1">IFERROR(SMALL(IF(COUNTIF(Podcasts!$D$1001:'Podcasts'!$D$1251,ROW(INDIRECT("1:"&amp;K$2)))=0,ROW(INDIRECT("1:"&amp;K$2))),ROW($A151)),"")</f>
        <v>208</v>
      </c>
      <c r="BB194" s="117">
        <f t="array" aca="1" ref="BB194" ca="1">IFERROR(SMALL(IF(COUNTIF(Podcasts!$D$1257:'Podcasts'!$D$1267,ROW(INDIRECT("1:"&amp;K$2)))=0,ROW(INDIRECT("1:"&amp;K$2))),ROW($A151)),"")</f>
        <v>156</v>
      </c>
      <c r="BC194" s="117">
        <f t="array" aca="1" ref="BC194" ca="1">IFERROR(SMALL(IF(COUNTIF(Podcasts!$D$1273:'Podcasts'!$D$1283,ROW(INDIRECT("1:"&amp;K$2)))=0,ROW(INDIRECT("1:"&amp;K$2))),ROW($A151)),"")</f>
        <v>156</v>
      </c>
      <c r="BD194" s="117">
        <f t="array" aca="1" ref="BD194" ca="1">IFERROR(SMALL(IF(COUNTIF(Podcasts!$D$1289:'Podcasts'!$D$1295,ROW(INDIRECT("1:"&amp;K$2)))=0,ROW(INDIRECT("1:"&amp;K$2))),ROW($A151)),"")</f>
        <v>157</v>
      </c>
      <c r="BE194" s="117">
        <f t="array" aca="1" ref="BE194" ca="1">IFERROR(SMALL(IF(COUNTIF(Podcasts!$D$1301:'Podcasts'!$D$1356,ROW(INDIRECT("1:"&amp;K$2)))=0,ROW(INDIRECT("1:"&amp;K$2))),ROW($A151)),"")</f>
        <v>198</v>
      </c>
      <c r="BF194" s="117">
        <f t="array" aca="1" ref="BF194" ca="1">IFERROR(SMALL(IF(COUNTIF(Podcasts!$D$1362:'Podcasts'!$D$1364,ROW(INDIRECT("1:"&amp;K$2)))=0,ROW(INDIRECT("1:"&amp;K$2))),ROW($A151)),"")</f>
        <v>154</v>
      </c>
      <c r="BG194" s="202">
        <f t="array" aca="1" ref="BG194" ca="1">IFERROR(SMALL(IF(COUNTIF(Podcasts!$D$1370:'Podcasts'!$D$1419,ROW(INDIRECT("1:"&amp;K$2)))=0,ROW(INDIRECT("1:"&amp;K$2))),ROW($A151)),"")</f>
        <v>191</v>
      </c>
      <c r="BH194" s="202">
        <f t="array" aca="1" ref="BH194" ca="1">IFERROR(SMALL(IF(COUNTIF(Podcasts!$D$1425:'Podcasts'!$D$1446,ROW(INDIRECT("1:"&amp;K$2)))=0,ROW(INDIRECT("1:"&amp;K$2))),ROW($A151)),"")</f>
        <v>162</v>
      </c>
      <c r="BI194" s="202"/>
      <c r="BJ194" s="202"/>
      <c r="BK194" s="202" t="str">
        <f t="array" aca="1" ref="BK194" ca="1">IFERROR(SMALL(IF(COUNTIF(Podcasts!$D$1711:'Podcasts'!$D$1833,ROW(INDIRECT("1:"&amp;K$2)))=0,ROW(INDIRECT("1:"&amp;K$2))),ROW($A151)),"")</f>
        <v/>
      </c>
      <c r="BL194" s="202">
        <f t="array" aca="1" ref="BL194" ca="1">IFERROR(SMALL(IF(COUNTIF(Podcasts!$D$1839:'Podcasts'!$D$1855,ROW(INDIRECT("1:"&amp;K$2)))=0,ROW(INDIRECT("1:"&amp;K$2))),ROW($A151)),"")</f>
        <v>160</v>
      </c>
      <c r="BM194" s="567">
        <f t="array" aca="1" ref="BM194" ca="1">IFERROR(SMALL(IF(COUNTIF(Podcasts!$D$1861:'Podcasts'!$D$1994,ROW(INDIRECT("1:"&amp;K$2)))=0,ROW(INDIRECT("1:"&amp;K$2))),ROW($A151)),"")</f>
        <v>199</v>
      </c>
      <c r="BN194" s="567">
        <f t="array" aca="1" ref="BN194" ca="1">IFERROR(SMALL(IF(COUNTIF(Podcasts!$D$2000:'Podcasts'!$D$2057,ROW(INDIRECT("1:"&amp;K$2)))=0,ROW(INDIRECT("1:"&amp;K$2))),ROW($A151)),"")</f>
        <v>206</v>
      </c>
      <c r="BO194" s="567">
        <f t="array" aca="1" ref="BO194" ca="1">IFERROR(SMALL(IF(COUNTIF(Podcasts!$D$2063:'Podcasts'!$D$2071,ROW(INDIRECT("1:"&amp;K$2)))=0,ROW(INDIRECT("1:"&amp;K$2))),ROW($A151)),"")</f>
        <v>159</v>
      </c>
      <c r="BP194" s="202">
        <f t="array" aca="1" ref="BP194" ca="1">IFERROR(SMALL(IF(COUNTIF(Podcasts!$D$2077:'Podcasts'!$D$2092,ROW(INDIRECT("1:"&amp;K$2)))=0,ROW(INDIRECT("1:"&amp;K$2))),ROW($A151)),"")</f>
        <v>162</v>
      </c>
      <c r="BQ194" s="741">
        <f t="array" aca="1" ref="BQ194" ca="1">IFERROR(SMALL(IF(COUNTIF(Podcasts!$D$2098:'Podcasts'!$D$2114,ROW(INDIRECT("1:"&amp;K$2)))=0,ROW(INDIRECT("1:"&amp;K$2))),ROW($A151)),"")</f>
        <v>164</v>
      </c>
      <c r="BR194" s="744">
        <f t="array" aca="1" ref="BR194" ca="1">IFERROR(SMALL(IF(COUNTIF(Podcasts!$D$2120:'Podcasts'!$D$2124,ROW(INDIRECT("1:"&amp;K$2)))=0,ROW(INDIRECT("1:"&amp;K$2))),ROW($A151)),"")</f>
        <v>153</v>
      </c>
      <c r="BS194" s="28"/>
    </row>
    <row r="195" spans="1:71" outlineLevel="1">
      <c r="A195" s="28"/>
      <c r="B195" s="161">
        <v>152</v>
      </c>
      <c r="C195" s="161">
        <f>COUNTIF(Podcasts!$D$10:'Podcasts'!$D$2535,B195)</f>
        <v>6</v>
      </c>
      <c r="D195" s="160" t="s">
        <v>1177</v>
      </c>
      <c r="E195" s="156" t="str">
        <f t="array" ref="E195">IF(F195="","",INDEX(Podcasts!$J$10:'Podcasts'!$J$2535,MATCH(F195&amp;$B195,Podcasts!$E$10:'Podcasts'!$E$2535&amp;Podcasts!$D$10:'Podcasts'!$D$2535,0)))</f>
        <v>Ohr</v>
      </c>
      <c r="F195" s="131">
        <f t="array" ref="F195">IF(COUNTIF(Podcasts!$D$10:'Podcasts'!$D$2535,$B195)&lt;COLUMN(A158),"",SMALL(IF(Podcasts!$D$10:'Podcasts'!$D$2535=$B195,Podcasts!$E$10:'Podcasts'!$E$2535),COLUMN(A158)))</f>
        <v>40987</v>
      </c>
      <c r="G195" s="132">
        <f t="array" ref="G195">IF(F195="","",INDEX(Podcasts!$F$10:'Podcasts'!$F$2535,MATCH(F195&amp;$B195,Podcasts!$E$10:'Podcasts'!$E$2535&amp;Podcasts!$D$10:'Podcasts'!$D$2535,0)))</f>
        <v>1.3078703703703705E-3</v>
      </c>
      <c r="H195" s="136" t="str">
        <f t="array" ref="H195">IF(I195="","",INDEX(Podcasts!$J$10:'Podcasts'!$J$2535,MATCH(I195&amp;$B195,Podcasts!$E$10:'Podcasts'!$E$2535&amp;Podcasts!$D$10:'Podcasts'!$D$2535,0)))</f>
        <v>Talker</v>
      </c>
      <c r="I195" s="133">
        <f t="array" ref="I195">IF(COUNTIF(Podcasts!$D$10:'Podcasts'!$D$2535,$B195)&lt;COLUMN(B158),"",SMALL(IF(Podcasts!$D$10:'Podcasts'!$D$2535=$B195,Podcasts!$E$10:'Podcasts'!$E$2535),COLUMN(B158)))</f>
        <v>41007</v>
      </c>
      <c r="J195" s="132">
        <f t="array" ref="J195">IF(I195="","",INDEX(Podcasts!$F$10:'Podcasts'!$F$2535,MATCH(I195&amp;$B195,Podcasts!$E$10:'Podcasts'!$E$2535&amp;Podcasts!$D$10:'Podcasts'!$D$2535,0)))</f>
        <v>3.7835648148148153E-2</v>
      </c>
      <c r="K195" s="136" t="str">
        <f t="array" ref="K195">IF(L195="","",INDEX(Podcasts!$J$10:'Podcasts'!$J$2535,MATCH(L195&amp;$B195,Podcasts!$E$10:'Podcasts'!$E$2535&amp;Podcasts!$D$10:'Podcasts'!$D$2535,0)))</f>
        <v>SSP</v>
      </c>
      <c r="L195" s="133">
        <f t="array" ref="L195">IF(COUNTIF(Podcasts!$D$10:'Podcasts'!$D$2535,$B195)&lt;COLUMN(C158),"",SMALL(IF(Podcasts!$D$10:'Podcasts'!$D$2535=$B195,Podcasts!$E$10:'Podcasts'!$E$2535),COLUMN(C158)))</f>
        <v>43323</v>
      </c>
      <c r="M195" s="132">
        <f t="array" ref="M195">IF(L195="","",INDEX(Podcasts!$F$10:'Podcasts'!$F$2535,MATCH(L195&amp;$B195,Podcasts!$E$10:'Podcasts'!$E$2535&amp;Podcasts!$D$10:'Podcasts'!$D$2535,0)))</f>
        <v>7.5995370370370366E-2</v>
      </c>
      <c r="N195" s="136" t="str">
        <f t="array" ref="N195">IF(O195="","",INDEX(Podcasts!$J$10:'Podcasts'!$J$2535,MATCH(O195&amp;$B195,Podcasts!$E$10:'Podcasts'!$E$2535&amp;Podcasts!$D$10:'Podcasts'!$D$2535,0)))</f>
        <v>Platz</v>
      </c>
      <c r="O195" s="133">
        <f t="array" ref="O195">IF(COUNTIF(Podcasts!$D$10:'Podcasts'!$D$2535,$B195)&lt;COLUMN(D158),"",SMALL(IF(Podcasts!$D$10:'Podcasts'!$D$2535=$B195,Podcasts!$E$10:'Podcasts'!$E$2535),COLUMN(D158)))</f>
        <v>43961</v>
      </c>
      <c r="P195" s="132">
        <f t="array" ref="P195">IF(O195="","",INDEX(Podcasts!$F$10:'Podcasts'!$F$2535,MATCH(O195&amp;$B195,Podcasts!$E$10:'Podcasts'!$E$2535&amp;Podcasts!$D$10:'Podcasts'!$D$2535,0)))</f>
        <v>9.9675925925925932E-2</v>
      </c>
      <c r="Q195" s="136" t="str">
        <f t="array" ref="Q195">IF(R195="","",INDEX(Podcasts!$J$10:'Podcasts'!$J$2535,MATCH(R195&amp;$B195,Podcasts!$E$10:'Podcasts'!$E$2535&amp;Podcasts!$D$10:'Podcasts'!$D$2535,0)))</f>
        <v>R&amp;A</v>
      </c>
      <c r="R195" s="133">
        <f t="array" ref="R195">IF(COUNTIF(Podcasts!$D$10:'Podcasts'!$D$2535,$B195)&lt;COLUMN(E158),"",SMALL(IF(Podcasts!$D$10:'Podcasts'!$D$2535=$B195,Podcasts!$E$10:'Podcasts'!$E$2535),COLUMN(E158)))</f>
        <v>44196.681180555555</v>
      </c>
      <c r="S195" s="132">
        <f t="array" ref="S195">IF(R195="","",INDEX(Podcasts!$F$10:'Podcasts'!$F$2535,MATCH(R195&amp;$B195,Podcasts!$E$10:'Podcasts'!$E$2535&amp;Podcasts!$D$10:'Podcasts'!$D$2535,0)))</f>
        <v>9.5578703703703694E-2</v>
      </c>
      <c r="T195" s="136" t="str">
        <f t="array" ref="T195">IF(U195="","",INDEX(Podcasts!$J$10:'Podcasts'!$J$2535,MATCH(U195&amp;$B195,Podcasts!$E$10:'Podcasts'!$E$2535&amp;Podcasts!$D$10:'Podcasts'!$D$2535,0)))</f>
        <v>Verstärker</v>
      </c>
      <c r="U195" s="133">
        <f t="array" ref="U195">IF(COUNTIF(Podcasts!$D$10:'Podcasts'!$D$2535,$B195)&lt;COLUMN(F158),"",SMALL(IF(Podcasts!$D$10:'Podcasts'!$D$2535=$B195,Podcasts!$E$10:'Podcasts'!$E$2535),COLUMN(F158)))</f>
        <v>44929</v>
      </c>
      <c r="V195" s="132">
        <f t="array" ref="V195">IF(U195="","",INDEX(Podcasts!$F$10:'Podcasts'!$F$2535,MATCH(U195&amp;$B195,Podcasts!$E$10:'Podcasts'!$E$2535&amp;Podcasts!$D$10:'Podcasts'!$D$2535,0)))</f>
        <v>1.8703703703703705E-2</v>
      </c>
      <c r="W195" s="136" t="str">
        <f t="array" ref="W195">IF(X195="","",INDEX(Podcasts!$J$10:'Podcasts'!$J$2535,MATCH(X195&amp;$B195,Podcasts!$E$10:'Podcasts'!$E$2535&amp;Podcasts!$D$10:'Podcasts'!$D$2535,0)))</f>
        <v/>
      </c>
      <c r="X195" s="133" t="str">
        <f t="array" ref="X195">IF(COUNTIF(Podcasts!$D$10:'Podcasts'!$D$2535,$B195)&lt;COLUMN(G158),"",SMALL(IF(Podcasts!$D$10:'Podcasts'!$D$2535=$B195,Podcasts!$E$10:'Podcasts'!$E$2535),COLUMN(G158)))</f>
        <v/>
      </c>
      <c r="Y195" s="132" t="str">
        <f t="array" ref="Y195">IF(X195="","",INDEX(Podcasts!$F$10:'Podcasts'!$F$2535,MATCH(X195&amp;$B195,Podcasts!$E$10:'Podcasts'!$E$2535&amp;Podcasts!$D$10:'Podcasts'!$D$2535,0)))</f>
        <v/>
      </c>
      <c r="Z195" s="136" t="str">
        <f t="array" ref="Z195">IF(AA195="","",INDEX(Podcasts!$J$10:'Podcasts'!$J$2535,MATCH(AA195&amp;$B195,Podcasts!$E$10:'Podcasts'!$E$2535&amp;Podcasts!$D$10:'Podcasts'!$D$2535,0)))</f>
        <v/>
      </c>
      <c r="AA195" s="134" t="str">
        <f t="array" ref="AA195">IF(COUNTIF(Podcasts!$D$10:'Podcasts'!$D$2535,$B195)&lt;COLUMN(H158),"",SMALL(IF(Podcasts!$D$10:'Podcasts'!$D$2535=$B195,Podcasts!$E$10:'Podcasts'!$E$2535),COLUMN(H158)))</f>
        <v/>
      </c>
      <c r="AB195" s="404" t="str">
        <f t="array" ref="AB195">IF(AA195="","",INDEX(Podcasts!$F$10:'Podcasts'!$F$2535,MATCH(AA195&amp;$B195,Podcasts!$E$10:'Podcasts'!$E$2535&amp;Podcasts!$D$10:'Podcasts'!$D$2535,0)))</f>
        <v/>
      </c>
      <c r="AC195" s="406" t="str">
        <f t="array" ref="AC195">IF(AD195="","",INDEX(Podcasts!$J$10:'Podcasts'!$J$2535,MATCH(AD195&amp;$B195,Podcasts!$E$10:'Podcasts'!$E$2535&amp;Podcasts!$D$10:'Podcasts'!$D$2535,0)))</f>
        <v/>
      </c>
      <c r="AD195" s="400" t="str">
        <f t="array" ref="AD195">IF(COUNTIF(Podcasts!$D$10:'Podcasts'!$D$2535,$B195)&lt;COLUMN(I158),"",SMALL(IF(Podcasts!$D$10:'Podcasts'!$D$2535=$B195,Podcasts!$E$10:'Podcasts'!$E$2535),COLUMN(I158)))</f>
        <v/>
      </c>
      <c r="AE195" s="401" t="str">
        <f t="array" ref="AE195">IF(AD195="","",INDEX(Podcasts!$F$10:'Podcasts'!$F$2535,MATCH(AD195&amp;$B195,Podcasts!$E$10:'Podcasts'!$E$2535&amp;Podcasts!$D$10:'Podcasts'!$D$2535,0)))</f>
        <v/>
      </c>
      <c r="AF195" s="406" t="str">
        <f t="array" ref="AF195">IF(AG195="","",INDEX(Podcasts!$J$10:'Podcasts'!$J$2535,MATCH(AG195&amp;$B195,Podcasts!$E$10:'Podcasts'!$E$2535&amp;Podcasts!$D$10:'Podcasts'!$D$2535,0)))</f>
        <v/>
      </c>
      <c r="AG195" s="400" t="str">
        <f t="array" ref="AG195">IF(COUNTIF(Podcasts!$D$10:'Podcasts'!$D$2535,$B195)&lt;COLUMN(J158),"",SMALL(IF(Podcasts!$D$10:'Podcasts'!$D$2535=$B195,Podcasts!$E$10:'Podcasts'!$E$2535),COLUMN(J158)))</f>
        <v/>
      </c>
      <c r="AH195" s="401" t="str">
        <f t="array" ref="AH195">IF(AG195="","",INDEX(Podcasts!$F$10:'Podcasts'!$F$2535,MATCH(AG195&amp;$B195,Podcasts!$E$10:'Podcasts'!$E$2535&amp;Podcasts!$D$10:'Podcasts'!$D$2535,0)))</f>
        <v/>
      </c>
      <c r="AI195" s="406" t="str">
        <f t="array" ref="AI195">IF(AJ195="","",INDEX(Podcasts!$J$10:'Podcasts'!$J$2535,MATCH(AJ195&amp;$B195,Podcasts!$E$10:'Podcasts'!$E$2535&amp;Podcasts!$D$10:'Podcasts'!$D$2535,0)))</f>
        <v/>
      </c>
      <c r="AJ195" s="400" t="str">
        <f t="array" ref="AJ195">IF(COUNTIF(Podcasts!$D$10:'Podcasts'!$D$2535,$B195)&lt;COLUMN(K158),"",SMALL(IF(Podcasts!$D$10:'Podcasts'!$D$2535=$B195,Podcasts!$E$10:'Podcasts'!$E$2535),COLUMN(K158)))</f>
        <v/>
      </c>
      <c r="AK195" s="401" t="str">
        <f t="array" ref="AK195">IF(AJ195="","",INDEX(Podcasts!$F$10:'Podcasts'!$F$2535,MATCH(AJ195&amp;$B195,Podcasts!$E$10:'Podcasts'!$E$2535&amp;Podcasts!$D$10:'Podcasts'!$D$2535,0)))</f>
        <v/>
      </c>
      <c r="AL195" s="406" t="str">
        <f t="array" ref="AL195">IF(AM195="","",INDEX(Podcasts!$J$10:'Podcasts'!$J$2535,MATCH(AM195&amp;$B195,Podcasts!$E$10:'Podcasts'!$E$2535&amp;Podcasts!$D$10:'Podcasts'!$D$2535,0)))</f>
        <v/>
      </c>
      <c r="AM195" s="400" t="str">
        <f t="array" ref="AM195">IF(COUNTIF(Podcasts!$D$10:'Podcasts'!$D$2535,$B195)&lt;COLUMN(L158),"",SMALL(IF(Podcasts!$D$10:'Podcasts'!$D$2535=$B195,Podcasts!$E$10:'Podcasts'!$E$2535),COLUMN(L158)))</f>
        <v/>
      </c>
      <c r="AN195" s="401" t="str">
        <f t="array" ref="AN195">IF(AM195="","",INDEX(Podcasts!$F$10:'Podcasts'!$F$2535,MATCH(AM195&amp;$B195,Podcasts!$E$10:'Podcasts'!$E$2535&amp;Podcasts!$D$10:'Podcasts'!$D$2535,0)))</f>
        <v/>
      </c>
      <c r="AO195" s="402"/>
      <c r="AP195" s="119"/>
      <c r="AQ195" s="117">
        <f t="array" aca="1" ref="AQ195" ca="1">IFERROR(SMALL(IF(COUNTIF(Podcasts!$D$10:'Podcasts'!$D$107,ROW(INDIRECT("1:"&amp;K$2)))=0,ROW(INDIRECT("1:"&amp;K$2))),ROW($A152)),"")</f>
        <v>198</v>
      </c>
      <c r="AR195" s="117" t="str">
        <f t="array" aca="1" ref="AR195" ca="1">IFERROR(SMALL(IF(COUNTIF(Podcasts!$D$113:'Podcasts'!$D$238,ROW(INDIRECT("1:"&amp;K$2)))=0,ROW(INDIRECT("1:"&amp;K$2))),ROW($A152)),"")</f>
        <v/>
      </c>
      <c r="AS195" s="117">
        <f t="array" aca="1" ref="AS195" ca="1">IFERROR(SMALL(IF(COUNTIF(Podcasts!$D$244:'Podcasts'!$D$299,ROW(INDIRECT("1:"&amp;K$2)))=0,ROW(INDIRECT("1:"&amp;K$2))),ROW($A152)),"")</f>
        <v>189</v>
      </c>
      <c r="AT195" s="117"/>
      <c r="AU195" s="117">
        <f t="array" aca="1" ref="AU195" ca="1">IFERROR(SMALL(IF(COUNTIF(Podcasts!$D$479:'Podcasts'!$D$488,ROW(INDIRECT("1:"&amp;K$2)))=0,ROW(INDIRECT("1:"&amp;K$2))),ROW($A152)),"")</f>
        <v>156</v>
      </c>
      <c r="AV195" s="117">
        <f t="array" aca="1" ref="AV195" ca="1">IFERROR(SMALL(IF(COUNTIF(Podcasts!$D$494:'Podcasts'!$D$518,ROW(INDIRECT("1:"&amp;K$2)))=0,ROW(INDIRECT("1:"&amp;K$2))),ROW($A152)),"")</f>
        <v>175</v>
      </c>
      <c r="AW195" s="117">
        <f t="array" aca="1" ref="AW195" ca="1">IFERROR(SMALL(IF(COUNTIF(Podcasts!$D$524:'Podcasts'!$D$532,ROW(INDIRECT("1:"&amp;K$2)))=0,ROW(INDIRECT("1:"&amp;K$2))),ROW($A152)),"")</f>
        <v>153</v>
      </c>
      <c r="AX195" s="117"/>
      <c r="AY195" s="117">
        <f t="array" aca="1" ref="AY195" ca="1">IFERROR(SMALL(IF(COUNTIF(Podcasts!$D$915:'Podcasts'!$D$981,ROW(INDIRECT("1:"&amp;K$2)))=0,ROW(INDIRECT("1:"&amp;K$2))),ROW($A152)),"")</f>
        <v>208</v>
      </c>
      <c r="AZ195" s="445"/>
      <c r="BA195" s="117">
        <f t="array" aca="1" ref="BA195" ca="1">IFERROR(SMALL(IF(COUNTIF(Podcasts!$D$1001:'Podcasts'!$D$1251,ROW(INDIRECT("1:"&amp;K$2)))=0,ROW(INDIRECT("1:"&amp;K$2))),ROW($A152)),"")</f>
        <v>210</v>
      </c>
      <c r="BB195" s="117">
        <f t="array" aca="1" ref="BB195" ca="1">IFERROR(SMALL(IF(COUNTIF(Podcasts!$D$1257:'Podcasts'!$D$1267,ROW(INDIRECT("1:"&amp;K$2)))=0,ROW(INDIRECT("1:"&amp;K$2))),ROW($A152)),"")</f>
        <v>157</v>
      </c>
      <c r="BC195" s="117">
        <f t="array" aca="1" ref="BC195" ca="1">IFERROR(SMALL(IF(COUNTIF(Podcasts!$D$1273:'Podcasts'!$D$1283,ROW(INDIRECT("1:"&amp;K$2)))=0,ROW(INDIRECT("1:"&amp;K$2))),ROW($A152)),"")</f>
        <v>157</v>
      </c>
      <c r="BD195" s="117">
        <f t="array" aca="1" ref="BD195" ca="1">IFERROR(SMALL(IF(COUNTIF(Podcasts!$D$1289:'Podcasts'!$D$1295,ROW(INDIRECT("1:"&amp;K$2)))=0,ROW(INDIRECT("1:"&amp;K$2))),ROW($A152)),"")</f>
        <v>158</v>
      </c>
      <c r="BE195" s="117">
        <f t="array" aca="1" ref="BE195" ca="1">IFERROR(SMALL(IF(COUNTIF(Podcasts!$D$1301:'Podcasts'!$D$1356,ROW(INDIRECT("1:"&amp;K$2)))=0,ROW(INDIRECT("1:"&amp;K$2))),ROW($A152)),"")</f>
        <v>199</v>
      </c>
      <c r="BF195" s="117">
        <f t="array" aca="1" ref="BF195" ca="1">IFERROR(SMALL(IF(COUNTIF(Podcasts!$D$1362:'Podcasts'!$D$1364,ROW(INDIRECT("1:"&amp;K$2)))=0,ROW(INDIRECT("1:"&amp;K$2))),ROW($A152)),"")</f>
        <v>155</v>
      </c>
      <c r="BG195" s="202">
        <f t="array" aca="1" ref="BG195" ca="1">IFERROR(SMALL(IF(COUNTIF(Podcasts!$D$1370:'Podcasts'!$D$1419,ROW(INDIRECT("1:"&amp;K$2)))=0,ROW(INDIRECT("1:"&amp;K$2))),ROW($A152)),"")</f>
        <v>192</v>
      </c>
      <c r="BH195" s="202">
        <f t="array" aca="1" ref="BH195" ca="1">IFERROR(SMALL(IF(COUNTIF(Podcasts!$D$1425:'Podcasts'!$D$1446,ROW(INDIRECT("1:"&amp;K$2)))=0,ROW(INDIRECT("1:"&amp;K$2))),ROW($A152)),"")</f>
        <v>163</v>
      </c>
      <c r="BI195" s="202"/>
      <c r="BJ195" s="202"/>
      <c r="BK195" s="202" t="str">
        <f t="array" aca="1" ref="BK195" ca="1">IFERROR(SMALL(IF(COUNTIF(Podcasts!$D$1711:'Podcasts'!$D$1833,ROW(INDIRECT("1:"&amp;K$2)))=0,ROW(INDIRECT("1:"&amp;K$2))),ROW($A152)),"")</f>
        <v/>
      </c>
      <c r="BL195" s="202">
        <f t="array" aca="1" ref="BL195" ca="1">IFERROR(SMALL(IF(COUNTIF(Podcasts!$D$1839:'Podcasts'!$D$1855,ROW(INDIRECT("1:"&amp;K$2)))=0,ROW(INDIRECT("1:"&amp;K$2))),ROW($A152)),"")</f>
        <v>161</v>
      </c>
      <c r="BM195" s="567">
        <f t="array" aca="1" ref="BM195" ca="1">IFERROR(SMALL(IF(COUNTIF(Podcasts!$D$1861:'Podcasts'!$D$1994,ROW(INDIRECT("1:"&amp;K$2)))=0,ROW(INDIRECT("1:"&amp;K$2))),ROW($A152)),"")</f>
        <v>200</v>
      </c>
      <c r="BN195" s="567">
        <f t="array" aca="1" ref="BN195" ca="1">IFERROR(SMALL(IF(COUNTIF(Podcasts!$D$2000:'Podcasts'!$D$2057,ROW(INDIRECT("1:"&amp;K$2)))=0,ROW(INDIRECT("1:"&amp;K$2))),ROW($A152)),"")</f>
        <v>207</v>
      </c>
      <c r="BO195" s="567">
        <f t="array" aca="1" ref="BO195" ca="1">IFERROR(SMALL(IF(COUNTIF(Podcasts!$D$2063:'Podcasts'!$D$2071,ROW(INDIRECT("1:"&amp;K$2)))=0,ROW(INDIRECT("1:"&amp;K$2))),ROW($A152)),"")</f>
        <v>160</v>
      </c>
      <c r="BP195" s="202">
        <f t="array" aca="1" ref="BP195" ca="1">IFERROR(SMALL(IF(COUNTIF(Podcasts!$D$2077:'Podcasts'!$D$2092,ROW(INDIRECT("1:"&amp;K$2)))=0,ROW(INDIRECT("1:"&amp;K$2))),ROW($A152)),"")</f>
        <v>163</v>
      </c>
      <c r="BQ195" s="741">
        <f t="array" aca="1" ref="BQ195" ca="1">IFERROR(SMALL(IF(COUNTIF(Podcasts!$D$2098:'Podcasts'!$D$2114,ROW(INDIRECT("1:"&amp;K$2)))=0,ROW(INDIRECT("1:"&amp;K$2))),ROW($A152)),"")</f>
        <v>165</v>
      </c>
      <c r="BR195" s="744">
        <f t="array" aca="1" ref="BR195" ca="1">IFERROR(SMALL(IF(COUNTIF(Podcasts!$D$2120:'Podcasts'!$D$2124,ROW(INDIRECT("1:"&amp;K$2)))=0,ROW(INDIRECT("1:"&amp;K$2))),ROW($A152)),"")</f>
        <v>154</v>
      </c>
      <c r="BS195" s="28"/>
    </row>
    <row r="196" spans="1:71" outlineLevel="1">
      <c r="A196" s="28"/>
      <c r="B196" s="161">
        <v>153</v>
      </c>
      <c r="C196" s="161">
        <f>COUNTIF(Podcasts!$D$10:'Podcasts'!$D$2535,B196)</f>
        <v>4</v>
      </c>
      <c r="D196" s="160" t="s">
        <v>1178</v>
      </c>
      <c r="E196" s="156" t="str">
        <f t="array" ref="E196">IF(F196="","",INDEX(Podcasts!$J$10:'Podcasts'!$J$2535,MATCH(F196&amp;$B196,Podcasts!$E$10:'Podcasts'!$E$2535&amp;Podcasts!$D$10:'Podcasts'!$D$2535,0)))</f>
        <v>Ohr</v>
      </c>
      <c r="F196" s="131">
        <f t="array" ref="F196">IF(COUNTIF(Podcasts!$D$10:'Podcasts'!$D$2535,$B196)&lt;COLUMN(A159),"",SMALL(IF(Podcasts!$D$10:'Podcasts'!$D$2535=$B196,Podcasts!$E$10:'Podcasts'!$E$2535),COLUMN(A159)))</f>
        <v>41026</v>
      </c>
      <c r="G196" s="132">
        <f t="array" ref="G196">IF(F196="","",INDEX(Podcasts!$F$10:'Podcasts'!$F$2535,MATCH(F196&amp;$B196,Podcasts!$E$10:'Podcasts'!$E$2535&amp;Podcasts!$D$10:'Podcasts'!$D$2535,0)))</f>
        <v>1.7592592592592592E-3</v>
      </c>
      <c r="H196" s="136" t="str">
        <f t="array" ref="H196">IF(I196="","",INDEX(Podcasts!$J$10:'Podcasts'!$J$2535,MATCH(I196&amp;$B196,Podcasts!$E$10:'Podcasts'!$E$2535&amp;Podcasts!$D$10:'Podcasts'!$D$2535,0)))</f>
        <v>Talker</v>
      </c>
      <c r="I196" s="133">
        <f t="array" ref="I196">IF(COUNTIF(Podcasts!$D$10:'Podcasts'!$D$2535,$B196)&lt;COLUMN(B159),"",SMALL(IF(Podcasts!$D$10:'Podcasts'!$D$2535=$B196,Podcasts!$E$10:'Podcasts'!$E$2535),COLUMN(B159)))</f>
        <v>41029</v>
      </c>
      <c r="J196" s="132">
        <f t="array" ref="J196">IF(I196="","",INDEX(Podcasts!$F$10:'Podcasts'!$F$2535,MATCH(I196&amp;$B196,Podcasts!$E$10:'Podcasts'!$E$2535&amp;Podcasts!$D$10:'Podcasts'!$D$2535,0)))</f>
        <v>2.2037037037037036E-2</v>
      </c>
      <c r="K196" s="136" t="str">
        <f t="array" ref="K196">IF(L196="","",INDEX(Podcasts!$J$10:'Podcasts'!$J$2535,MATCH(L196&amp;$B196,Podcasts!$E$10:'Podcasts'!$E$2535&amp;Podcasts!$D$10:'Podcasts'!$D$2535,0)))</f>
        <v>SSP</v>
      </c>
      <c r="L196" s="133">
        <f t="array" ref="L196">IF(COUNTIF(Podcasts!$D$10:'Podcasts'!$D$2535,$B196)&lt;COLUMN(C159),"",SMALL(IF(Podcasts!$D$10:'Podcasts'!$D$2535=$B196,Podcasts!$E$10:'Podcasts'!$E$2535),COLUMN(C159)))</f>
        <v>44024</v>
      </c>
      <c r="M196" s="132">
        <f t="array" ref="M196">IF(L196="","",INDEX(Podcasts!$F$10:'Podcasts'!$F$2535,MATCH(L196&amp;$B196,Podcasts!$E$10:'Podcasts'!$E$2535&amp;Podcasts!$D$10:'Podcasts'!$D$2535,0)))</f>
        <v>6.5856481481481488E-2</v>
      </c>
      <c r="N196" s="136" t="str">
        <f t="array" ref="N196">IF(O196="","",INDEX(Podcasts!$J$10:'Podcasts'!$J$2535,MATCH(O196&amp;$B196,Podcasts!$E$10:'Podcasts'!$E$2535&amp;Podcasts!$D$10:'Podcasts'!$D$2535,0)))</f>
        <v>Zw3i</v>
      </c>
      <c r="O196" s="133">
        <f t="array" ref="O196">IF(COUNTIF(Podcasts!$D$10:'Podcasts'!$D$2535,$B196)&lt;COLUMN(D159),"",SMALL(IF(Podcasts!$D$10:'Podcasts'!$D$2535=$B196,Podcasts!$E$10:'Podcasts'!$E$2535),COLUMN(D159)))</f>
        <v>44442</v>
      </c>
      <c r="P196" s="132">
        <f t="array" ref="P196">IF(O196="","",INDEX(Podcasts!$F$10:'Podcasts'!$F$2535,MATCH(O196&amp;$B196,Podcasts!$E$10:'Podcasts'!$E$2535&amp;Podcasts!$D$10:'Podcasts'!$D$2535,0)))</f>
        <v>5.3969907407407404E-2</v>
      </c>
      <c r="Q196" s="136" t="str">
        <f t="array" ref="Q196">IF(R196="","",INDEX(Podcasts!$J$10:'Podcasts'!$J$2535,MATCH(R196&amp;$B196,Podcasts!$E$10:'Podcasts'!$E$2535&amp;Podcasts!$D$10:'Podcasts'!$D$2535,0)))</f>
        <v/>
      </c>
      <c r="R196" s="133" t="str">
        <f t="array" ref="R196">IF(COUNTIF(Podcasts!$D$10:'Podcasts'!$D$2535,$B196)&lt;COLUMN(E159),"",SMALL(IF(Podcasts!$D$10:'Podcasts'!$D$2535=$B196,Podcasts!$E$10:'Podcasts'!$E$2535),COLUMN(E159)))</f>
        <v/>
      </c>
      <c r="S196" s="132" t="str">
        <f t="array" ref="S196">IF(R196="","",INDEX(Podcasts!$F$10:'Podcasts'!$F$2535,MATCH(R196&amp;$B196,Podcasts!$E$10:'Podcasts'!$E$2535&amp;Podcasts!$D$10:'Podcasts'!$D$2535,0)))</f>
        <v/>
      </c>
      <c r="T196" s="136" t="str">
        <f t="array" ref="T196">IF(U196="","",INDEX(Podcasts!$J$10:'Podcasts'!$J$2535,MATCH(U196&amp;$B196,Podcasts!$E$10:'Podcasts'!$E$2535&amp;Podcasts!$D$10:'Podcasts'!$D$2535,0)))</f>
        <v/>
      </c>
      <c r="U196" s="133" t="str">
        <f t="array" ref="U196">IF(COUNTIF(Podcasts!$D$10:'Podcasts'!$D$2535,$B196)&lt;COLUMN(F159),"",SMALL(IF(Podcasts!$D$10:'Podcasts'!$D$2535=$B196,Podcasts!$E$10:'Podcasts'!$E$2535),COLUMN(F159)))</f>
        <v/>
      </c>
      <c r="V196" s="132" t="str">
        <f t="array" ref="V196">IF(U196="","",INDEX(Podcasts!$F$10:'Podcasts'!$F$2535,MATCH(U196&amp;$B196,Podcasts!$E$10:'Podcasts'!$E$2535&amp;Podcasts!$D$10:'Podcasts'!$D$2535,0)))</f>
        <v/>
      </c>
      <c r="W196" s="136" t="str">
        <f t="array" ref="W196">IF(X196="","",INDEX(Podcasts!$J$10:'Podcasts'!$J$2535,MATCH(X196&amp;$B196,Podcasts!$E$10:'Podcasts'!$E$2535&amp;Podcasts!$D$10:'Podcasts'!$D$2535,0)))</f>
        <v/>
      </c>
      <c r="X196" s="133" t="str">
        <f t="array" ref="X196">IF(COUNTIF(Podcasts!$D$10:'Podcasts'!$D$2535,$B196)&lt;COLUMN(G159),"",SMALL(IF(Podcasts!$D$10:'Podcasts'!$D$2535=$B196,Podcasts!$E$10:'Podcasts'!$E$2535),COLUMN(G159)))</f>
        <v/>
      </c>
      <c r="Y196" s="132" t="str">
        <f t="array" ref="Y196">IF(X196="","",INDEX(Podcasts!$F$10:'Podcasts'!$F$2535,MATCH(X196&amp;$B196,Podcasts!$E$10:'Podcasts'!$E$2535&amp;Podcasts!$D$10:'Podcasts'!$D$2535,0)))</f>
        <v/>
      </c>
      <c r="Z196" s="136" t="str">
        <f t="array" ref="Z196">IF(AA196="","",INDEX(Podcasts!$J$10:'Podcasts'!$J$2535,MATCH(AA196&amp;$B196,Podcasts!$E$10:'Podcasts'!$E$2535&amp;Podcasts!$D$10:'Podcasts'!$D$2535,0)))</f>
        <v/>
      </c>
      <c r="AA196" s="134" t="str">
        <f t="array" ref="AA196">IF(COUNTIF(Podcasts!$D$10:'Podcasts'!$D$2535,$B196)&lt;COLUMN(H159),"",SMALL(IF(Podcasts!$D$10:'Podcasts'!$D$2535=$B196,Podcasts!$E$10:'Podcasts'!$E$2535),COLUMN(H159)))</f>
        <v/>
      </c>
      <c r="AB196" s="404" t="str">
        <f t="array" ref="AB196">IF(AA196="","",INDEX(Podcasts!$F$10:'Podcasts'!$F$2535,MATCH(AA196&amp;$B196,Podcasts!$E$10:'Podcasts'!$E$2535&amp;Podcasts!$D$10:'Podcasts'!$D$2535,0)))</f>
        <v/>
      </c>
      <c r="AC196" s="406" t="str">
        <f t="array" ref="AC196">IF(AD196="","",INDEX(Podcasts!$J$10:'Podcasts'!$J$2535,MATCH(AD196&amp;$B196,Podcasts!$E$10:'Podcasts'!$E$2535&amp;Podcasts!$D$10:'Podcasts'!$D$2535,0)))</f>
        <v/>
      </c>
      <c r="AD196" s="400" t="str">
        <f t="array" ref="AD196">IF(COUNTIF(Podcasts!$D$10:'Podcasts'!$D$2535,$B196)&lt;COLUMN(I159),"",SMALL(IF(Podcasts!$D$10:'Podcasts'!$D$2535=$B196,Podcasts!$E$10:'Podcasts'!$E$2535),COLUMN(I159)))</f>
        <v/>
      </c>
      <c r="AE196" s="401" t="str">
        <f t="array" ref="AE196">IF(AD196="","",INDEX(Podcasts!$F$10:'Podcasts'!$F$2535,MATCH(AD196&amp;$B196,Podcasts!$E$10:'Podcasts'!$E$2535&amp;Podcasts!$D$10:'Podcasts'!$D$2535,0)))</f>
        <v/>
      </c>
      <c r="AF196" s="406" t="str">
        <f t="array" ref="AF196">IF(AG196="","",INDEX(Podcasts!$J$10:'Podcasts'!$J$2535,MATCH(AG196&amp;$B196,Podcasts!$E$10:'Podcasts'!$E$2535&amp;Podcasts!$D$10:'Podcasts'!$D$2535,0)))</f>
        <v/>
      </c>
      <c r="AG196" s="400" t="str">
        <f t="array" ref="AG196">IF(COUNTIF(Podcasts!$D$10:'Podcasts'!$D$2535,$B196)&lt;COLUMN(J159),"",SMALL(IF(Podcasts!$D$10:'Podcasts'!$D$2535=$B196,Podcasts!$E$10:'Podcasts'!$E$2535),COLUMN(J159)))</f>
        <v/>
      </c>
      <c r="AH196" s="401" t="str">
        <f t="array" ref="AH196">IF(AG196="","",INDEX(Podcasts!$F$10:'Podcasts'!$F$2535,MATCH(AG196&amp;$B196,Podcasts!$E$10:'Podcasts'!$E$2535&amp;Podcasts!$D$10:'Podcasts'!$D$2535,0)))</f>
        <v/>
      </c>
      <c r="AI196" s="406" t="str">
        <f t="array" ref="AI196">IF(AJ196="","",INDEX(Podcasts!$J$10:'Podcasts'!$J$2535,MATCH(AJ196&amp;$B196,Podcasts!$E$10:'Podcasts'!$E$2535&amp;Podcasts!$D$10:'Podcasts'!$D$2535,0)))</f>
        <v/>
      </c>
      <c r="AJ196" s="400" t="str">
        <f t="array" ref="AJ196">IF(COUNTIF(Podcasts!$D$10:'Podcasts'!$D$2535,$B196)&lt;COLUMN(K159),"",SMALL(IF(Podcasts!$D$10:'Podcasts'!$D$2535=$B196,Podcasts!$E$10:'Podcasts'!$E$2535),COLUMN(K159)))</f>
        <v/>
      </c>
      <c r="AK196" s="401" t="str">
        <f t="array" ref="AK196">IF(AJ196="","",INDEX(Podcasts!$F$10:'Podcasts'!$F$2535,MATCH(AJ196&amp;$B196,Podcasts!$E$10:'Podcasts'!$E$2535&amp;Podcasts!$D$10:'Podcasts'!$D$2535,0)))</f>
        <v/>
      </c>
      <c r="AL196" s="406" t="str">
        <f t="array" ref="AL196">IF(AM196="","",INDEX(Podcasts!$J$10:'Podcasts'!$J$2535,MATCH(AM196&amp;$B196,Podcasts!$E$10:'Podcasts'!$E$2535&amp;Podcasts!$D$10:'Podcasts'!$D$2535,0)))</f>
        <v/>
      </c>
      <c r="AM196" s="400" t="str">
        <f t="array" ref="AM196">IF(COUNTIF(Podcasts!$D$10:'Podcasts'!$D$2535,$B196)&lt;COLUMN(L159),"",SMALL(IF(Podcasts!$D$10:'Podcasts'!$D$2535=$B196,Podcasts!$E$10:'Podcasts'!$E$2535),COLUMN(L159)))</f>
        <v/>
      </c>
      <c r="AN196" s="401" t="str">
        <f t="array" ref="AN196">IF(AM196="","",INDEX(Podcasts!$F$10:'Podcasts'!$F$2535,MATCH(AM196&amp;$B196,Podcasts!$E$10:'Podcasts'!$E$2535&amp;Podcasts!$D$10:'Podcasts'!$D$2535,0)))</f>
        <v/>
      </c>
      <c r="AO196" s="402"/>
      <c r="AP196" s="119"/>
      <c r="AQ196" s="117">
        <f t="array" aca="1" ref="AQ196" ca="1">IFERROR(SMALL(IF(COUNTIF(Podcasts!$D$10:'Podcasts'!$D$107,ROW(INDIRECT("1:"&amp;K$2)))=0,ROW(INDIRECT("1:"&amp;K$2))),ROW($A153)),"")</f>
        <v>200</v>
      </c>
      <c r="AR196" s="117" t="str">
        <f t="array" aca="1" ref="AR196" ca="1">IFERROR(SMALL(IF(COUNTIF(Podcasts!$D$113:'Podcasts'!$D$238,ROW(INDIRECT("1:"&amp;K$2)))=0,ROW(INDIRECT("1:"&amp;K$2))),ROW($A153)),"")</f>
        <v/>
      </c>
      <c r="AS196" s="117">
        <f t="array" aca="1" ref="AS196" ca="1">IFERROR(SMALL(IF(COUNTIF(Podcasts!$D$244:'Podcasts'!$D$299,ROW(INDIRECT("1:"&amp;K$2)))=0,ROW(INDIRECT("1:"&amp;K$2))),ROW($A153)),"")</f>
        <v>190</v>
      </c>
      <c r="AT196" s="117"/>
      <c r="AU196" s="117">
        <f t="array" aca="1" ref="AU196" ca="1">IFERROR(SMALL(IF(COUNTIF(Podcasts!$D$479:'Podcasts'!$D$488,ROW(INDIRECT("1:"&amp;K$2)))=0,ROW(INDIRECT("1:"&amp;K$2))),ROW($A153)),"")</f>
        <v>157</v>
      </c>
      <c r="AV196" s="117">
        <f t="array" aca="1" ref="AV196" ca="1">IFERROR(SMALL(IF(COUNTIF(Podcasts!$D$494:'Podcasts'!$D$518,ROW(INDIRECT("1:"&amp;K$2)))=0,ROW(INDIRECT("1:"&amp;K$2))),ROW($A153)),"")</f>
        <v>177</v>
      </c>
      <c r="AW196" s="117">
        <f t="array" aca="1" ref="AW196" ca="1">IFERROR(SMALL(IF(COUNTIF(Podcasts!$D$524:'Podcasts'!$D$532,ROW(INDIRECT("1:"&amp;K$2)))=0,ROW(INDIRECT("1:"&amp;K$2))),ROW($A153)),"")</f>
        <v>154</v>
      </c>
      <c r="AX196" s="117"/>
      <c r="AY196" s="117">
        <f t="array" aca="1" ref="AY196" ca="1">IFERROR(SMALL(IF(COUNTIF(Podcasts!$D$915:'Podcasts'!$D$981,ROW(INDIRECT("1:"&amp;K$2)))=0,ROW(INDIRECT("1:"&amp;K$2))),ROW($A153)),"")</f>
        <v>209</v>
      </c>
      <c r="AZ196" s="445"/>
      <c r="BA196" s="117">
        <f t="array" aca="1" ref="BA196" ca="1">IFERROR(SMALL(IF(COUNTIF(Podcasts!$D$1001:'Podcasts'!$D$1251,ROW(INDIRECT("1:"&amp;K$2)))=0,ROW(INDIRECT("1:"&amp;K$2))),ROW($A153)),"")</f>
        <v>211</v>
      </c>
      <c r="BB196" s="117">
        <f t="array" aca="1" ref="BB196" ca="1">IFERROR(SMALL(IF(COUNTIF(Podcasts!$D$1257:'Podcasts'!$D$1267,ROW(INDIRECT("1:"&amp;K$2)))=0,ROW(INDIRECT("1:"&amp;K$2))),ROW($A153)),"")</f>
        <v>158</v>
      </c>
      <c r="BC196" s="117">
        <f t="array" aca="1" ref="BC196" ca="1">IFERROR(SMALL(IF(COUNTIF(Podcasts!$D$1273:'Podcasts'!$D$1283,ROW(INDIRECT("1:"&amp;K$2)))=0,ROW(INDIRECT("1:"&amp;K$2))),ROW($A153)),"")</f>
        <v>158</v>
      </c>
      <c r="BD196" s="117">
        <f t="array" aca="1" ref="BD196" ca="1">IFERROR(SMALL(IF(COUNTIF(Podcasts!$D$1289:'Podcasts'!$D$1295,ROW(INDIRECT("1:"&amp;K$2)))=0,ROW(INDIRECT("1:"&amp;K$2))),ROW($A153)),"")</f>
        <v>159</v>
      </c>
      <c r="BE196" s="117">
        <f t="array" aca="1" ref="BE196" ca="1">IFERROR(SMALL(IF(COUNTIF(Podcasts!$D$1301:'Podcasts'!$D$1356,ROW(INDIRECT("1:"&amp;K$2)))=0,ROW(INDIRECT("1:"&amp;K$2))),ROW($A153)),"")</f>
        <v>200</v>
      </c>
      <c r="BF196" s="117">
        <f t="array" aca="1" ref="BF196" ca="1">IFERROR(SMALL(IF(COUNTIF(Podcasts!$D$1362:'Podcasts'!$D$1364,ROW(INDIRECT("1:"&amp;K$2)))=0,ROW(INDIRECT("1:"&amp;K$2))),ROW($A153)),"")</f>
        <v>156</v>
      </c>
      <c r="BG196" s="202">
        <f t="array" aca="1" ref="BG196" ca="1">IFERROR(SMALL(IF(COUNTIF(Podcasts!$D$1370:'Podcasts'!$D$1419,ROW(INDIRECT("1:"&amp;K$2)))=0,ROW(INDIRECT("1:"&amp;K$2))),ROW($A153)),"")</f>
        <v>193</v>
      </c>
      <c r="BH196" s="202">
        <f t="array" aca="1" ref="BH196" ca="1">IFERROR(SMALL(IF(COUNTIF(Podcasts!$D$1425:'Podcasts'!$D$1446,ROW(INDIRECT("1:"&amp;K$2)))=0,ROW(INDIRECT("1:"&amp;K$2))),ROW($A153)),"")</f>
        <v>164</v>
      </c>
      <c r="BI196" s="202"/>
      <c r="BJ196" s="202"/>
      <c r="BK196" s="202" t="str">
        <f t="array" aca="1" ref="BK196" ca="1">IFERROR(SMALL(IF(COUNTIF(Podcasts!$D$1711:'Podcasts'!$D$1833,ROW(INDIRECT("1:"&amp;K$2)))=0,ROW(INDIRECT("1:"&amp;K$2))),ROW($A153)),"")</f>
        <v/>
      </c>
      <c r="BL196" s="202">
        <f t="array" aca="1" ref="BL196" ca="1">IFERROR(SMALL(IF(COUNTIF(Podcasts!$D$1839:'Podcasts'!$D$1855,ROW(INDIRECT("1:"&amp;K$2)))=0,ROW(INDIRECT("1:"&amp;K$2))),ROW($A153)),"")</f>
        <v>162</v>
      </c>
      <c r="BM196" s="567">
        <f t="array" aca="1" ref="BM196" ca="1">IFERROR(SMALL(IF(COUNTIF(Podcasts!$D$1861:'Podcasts'!$D$1994,ROW(INDIRECT("1:"&amp;K$2)))=0,ROW(INDIRECT("1:"&amp;K$2))),ROW($A153)),"")</f>
        <v>202</v>
      </c>
      <c r="BN196" s="567">
        <f t="array" aca="1" ref="BN196" ca="1">IFERROR(SMALL(IF(COUNTIF(Podcasts!$D$2000:'Podcasts'!$D$2057,ROW(INDIRECT("1:"&amp;K$2)))=0,ROW(INDIRECT("1:"&amp;K$2))),ROW($A153)),"")</f>
        <v>208</v>
      </c>
      <c r="BO196" s="567">
        <f t="array" aca="1" ref="BO196" ca="1">IFERROR(SMALL(IF(COUNTIF(Podcasts!$D$2063:'Podcasts'!$D$2071,ROW(INDIRECT("1:"&amp;K$2)))=0,ROW(INDIRECT("1:"&amp;K$2))),ROW($A153)),"")</f>
        <v>161</v>
      </c>
      <c r="BP196" s="202">
        <f t="array" aca="1" ref="BP196" ca="1">IFERROR(SMALL(IF(COUNTIF(Podcasts!$D$2077:'Podcasts'!$D$2092,ROW(INDIRECT("1:"&amp;K$2)))=0,ROW(INDIRECT("1:"&amp;K$2))),ROW($A153)),"")</f>
        <v>164</v>
      </c>
      <c r="BQ196" s="741">
        <f t="array" aca="1" ref="BQ196" ca="1">IFERROR(SMALL(IF(COUNTIF(Podcasts!$D$2098:'Podcasts'!$D$2114,ROW(INDIRECT("1:"&amp;K$2)))=0,ROW(INDIRECT("1:"&amp;K$2))),ROW($A153)),"")</f>
        <v>166</v>
      </c>
      <c r="BR196" s="744">
        <f t="array" aca="1" ref="BR196" ca="1">IFERROR(SMALL(IF(COUNTIF(Podcasts!$D$2120:'Podcasts'!$D$2124,ROW(INDIRECT("1:"&amp;K$2)))=0,ROW(INDIRECT("1:"&amp;K$2))),ROW($A153)),"")</f>
        <v>155</v>
      </c>
      <c r="BS196" s="28"/>
    </row>
    <row r="197" spans="1:71" outlineLevel="1">
      <c r="A197" s="28"/>
      <c r="B197" s="161">
        <v>154</v>
      </c>
      <c r="C197" s="161">
        <f>COUNTIF(Podcasts!$D$10:'Podcasts'!$D$2535,B197)</f>
        <v>7</v>
      </c>
      <c r="D197" s="160" t="s">
        <v>1179</v>
      </c>
      <c r="E197" s="156" t="str">
        <f t="array" ref="E197">IF(F197="","",INDEX(Podcasts!$J$10:'Podcasts'!$J$2535,MATCH(F197&amp;$B197,Podcasts!$E$10:'Podcasts'!$E$2535&amp;Podcasts!$D$10:'Podcasts'!$D$2535,0)))</f>
        <v>???od</v>
      </c>
      <c r="F197" s="131">
        <f t="array" ref="F197">IF(COUNTIF(Podcasts!$D$10:'Podcasts'!$D$2535,$B197)&lt;COLUMN(A160),"",SMALL(IF(Podcasts!$D$10:'Podcasts'!$D$2535=$B197,Podcasts!$E$10:'Podcasts'!$E$2535),COLUMN(A160)))</f>
        <v>41047</v>
      </c>
      <c r="G197" s="132">
        <f t="array" ref="G197">IF(F197="","",INDEX(Podcasts!$F$10:'Podcasts'!$F$2535,MATCH(F197&amp;$B197,Podcasts!$E$10:'Podcasts'!$E$2535&amp;Podcasts!$D$10:'Podcasts'!$D$2535,0)))</f>
        <v>5.061342592592593E-2</v>
      </c>
      <c r="H197" s="136" t="str">
        <f t="array" ref="H197">IF(I197="","",INDEX(Podcasts!$J$10:'Podcasts'!$J$2535,MATCH(I197&amp;$B197,Podcasts!$E$10:'Podcasts'!$E$2535&amp;Podcasts!$D$10:'Podcasts'!$D$2535,0)))</f>
        <v>Ohr</v>
      </c>
      <c r="I197" s="133">
        <f t="array" ref="I197">IF(COUNTIF(Podcasts!$D$10:'Podcasts'!$D$2535,$B197)&lt;COLUMN(B160),"",SMALL(IF(Podcasts!$D$10:'Podcasts'!$D$2535=$B197,Podcasts!$E$10:'Podcasts'!$E$2535),COLUMN(B160)))</f>
        <v>41059</v>
      </c>
      <c r="J197" s="132">
        <f t="array" ref="J197">IF(I197="","",INDEX(Podcasts!$F$10:'Podcasts'!$F$2535,MATCH(I197&amp;$B197,Podcasts!$E$10:'Podcasts'!$E$2535&amp;Podcasts!$D$10:'Podcasts'!$D$2535,0)))</f>
        <v>1.4814814814814814E-3</v>
      </c>
      <c r="K197" s="136" t="str">
        <f t="array" ref="K197">IF(L197="","",INDEX(Podcasts!$J$10:'Podcasts'!$J$2535,MATCH(L197&amp;$B197,Podcasts!$E$10:'Podcasts'!$E$2535&amp;Podcasts!$D$10:'Podcasts'!$D$2535,0)))</f>
        <v>Talker</v>
      </c>
      <c r="L197" s="133">
        <f t="array" ref="L197">IF(COUNTIF(Podcasts!$D$10:'Podcasts'!$D$2535,$B197)&lt;COLUMN(C160),"",SMALL(IF(Podcasts!$D$10:'Podcasts'!$D$2535=$B197,Podcasts!$E$10:'Podcasts'!$E$2535),COLUMN(C160)))</f>
        <v>41104</v>
      </c>
      <c r="M197" s="132">
        <f t="array" ref="M197">IF(L197="","",INDEX(Podcasts!$F$10:'Podcasts'!$F$2535,MATCH(L197&amp;$B197,Podcasts!$E$10:'Podcasts'!$E$2535&amp;Podcasts!$D$10:'Podcasts'!$D$2535,0)))</f>
        <v>1.283564814814815E-2</v>
      </c>
      <c r="N197" s="136" t="str">
        <f t="array" ref="N197">IF(O197="","",INDEX(Podcasts!$J$10:'Podcasts'!$J$2535,MATCH(O197&amp;$B197,Podcasts!$E$10:'Podcasts'!$E$2535&amp;Podcasts!$D$10:'Podcasts'!$D$2535,0)))</f>
        <v>Fürst</v>
      </c>
      <c r="O197" s="133">
        <f t="array" ref="O197">IF(COUNTIF(Podcasts!$D$10:'Podcasts'!$D$2535,$B197)&lt;COLUMN(D160),"",SMALL(IF(Podcasts!$D$10:'Podcasts'!$D$2535=$B197,Podcasts!$E$10:'Podcasts'!$E$2535),COLUMN(D160)))</f>
        <v>41731</v>
      </c>
      <c r="P197" s="132">
        <f t="array" ref="P197">IF(O197="","",INDEX(Podcasts!$F$10:'Podcasts'!$F$2535,MATCH(O197&amp;$B197,Podcasts!$E$10:'Podcasts'!$E$2535&amp;Podcasts!$D$10:'Podcasts'!$D$2535,0)))</f>
        <v>3.1250000000000028E-3</v>
      </c>
      <c r="Q197" s="136" t="str">
        <f t="array" ref="Q197">IF(R197="","",INDEX(Podcasts!$J$10:'Podcasts'!$J$2535,MATCH(R197&amp;$B197,Podcasts!$E$10:'Podcasts'!$E$2535&amp;Podcasts!$D$10:'Podcasts'!$D$2535,0)))</f>
        <v>Zw3i</v>
      </c>
      <c r="R197" s="133">
        <f t="array" ref="R197">IF(COUNTIF(Podcasts!$D$10:'Podcasts'!$D$2535,$B197)&lt;COLUMN(E160),"",SMALL(IF(Podcasts!$D$10:'Podcasts'!$D$2535=$B197,Podcasts!$E$10:'Podcasts'!$E$2535),COLUMN(E160)))</f>
        <v>44602</v>
      </c>
      <c r="S197" s="132">
        <f t="array" ref="S197">IF(R197="","",INDEX(Podcasts!$F$10:'Podcasts'!$F$2535,MATCH(R197&amp;$B197,Podcasts!$E$10:'Podcasts'!$E$2535&amp;Podcasts!$D$10:'Podcasts'!$D$2535,0)))</f>
        <v>8.3912037037037035E-2</v>
      </c>
      <c r="T197" s="136" t="str">
        <f t="array" ref="T197">IF(U197="","",INDEX(Podcasts!$J$10:'Podcasts'!$J$2535,MATCH(U197&amp;$B197,Podcasts!$E$10:'Podcasts'!$E$2535&amp;Podcasts!$D$10:'Podcasts'!$D$2535,0)))</f>
        <v>Zeichen</v>
      </c>
      <c r="U197" s="133">
        <f t="array" ref="U197">IF(COUNTIF(Podcasts!$D$10:'Podcasts'!$D$2535,$B197)&lt;COLUMN(F160),"",SMALL(IF(Podcasts!$D$10:'Podcasts'!$D$2535=$B197,Podcasts!$E$10:'Podcasts'!$E$2535),COLUMN(F160)))</f>
        <v>44768</v>
      </c>
      <c r="V197" s="132">
        <f t="array" ref="V197">IF(U197="","",INDEX(Podcasts!$F$10:'Podcasts'!$F$2535,MATCH(U197&amp;$B197,Podcasts!$E$10:'Podcasts'!$E$2535&amp;Podcasts!$D$10:'Podcasts'!$D$2535,0)))</f>
        <v>8.7210648148148148E-2</v>
      </c>
      <c r="W197" s="136" t="str">
        <f t="array" ref="W197">IF(X197="","",INDEX(Podcasts!$J$10:'Podcasts'!$J$2535,MATCH(X197&amp;$B197,Podcasts!$E$10:'Podcasts'!$E$2535&amp;Podcasts!$D$10:'Podcasts'!$D$2535,0)))</f>
        <v>:punkt</v>
      </c>
      <c r="X197" s="133">
        <f t="array" ref="X197">IF(COUNTIF(Podcasts!$D$10:'Podcasts'!$D$2535,$B197)&lt;COLUMN(G160),"",SMALL(IF(Podcasts!$D$10:'Podcasts'!$D$2535=$B197,Podcasts!$E$10:'Podcasts'!$E$2535),COLUMN(G160)))</f>
        <v>45381</v>
      </c>
      <c r="Y197" s="132">
        <f t="array" ref="Y197">IF(X197="","",INDEX(Podcasts!$F$10:'Podcasts'!$F$2535,MATCH(X197&amp;$B197,Podcasts!$E$10:'Podcasts'!$E$2535&amp;Podcasts!$D$10:'Podcasts'!$D$2535,0)))</f>
        <v>4.9988425925925929E-2</v>
      </c>
      <c r="Z197" s="136" t="str">
        <f t="array" ref="Z197">IF(AA197="","",INDEX(Podcasts!$J$10:'Podcasts'!$J$2535,MATCH(AA197&amp;$B197,Podcasts!$E$10:'Podcasts'!$E$2535&amp;Podcasts!$D$10:'Podcasts'!$D$2535,0)))</f>
        <v/>
      </c>
      <c r="AA197" s="134" t="str">
        <f t="array" ref="AA197">IF(COUNTIF(Podcasts!$D$10:'Podcasts'!$D$2535,$B197)&lt;COLUMN(H160),"",SMALL(IF(Podcasts!$D$10:'Podcasts'!$D$2535=$B197,Podcasts!$E$10:'Podcasts'!$E$2535),COLUMN(H160)))</f>
        <v/>
      </c>
      <c r="AB197" s="404" t="str">
        <f t="array" ref="AB197">IF(AA197="","",INDEX(Podcasts!$F$10:'Podcasts'!$F$2535,MATCH(AA197&amp;$B197,Podcasts!$E$10:'Podcasts'!$E$2535&amp;Podcasts!$D$10:'Podcasts'!$D$2535,0)))</f>
        <v/>
      </c>
      <c r="AC197" s="406" t="str">
        <f t="array" ref="AC197">IF(AD197="","",INDEX(Podcasts!$J$10:'Podcasts'!$J$2535,MATCH(AD197&amp;$B197,Podcasts!$E$10:'Podcasts'!$E$2535&amp;Podcasts!$D$10:'Podcasts'!$D$2535,0)))</f>
        <v/>
      </c>
      <c r="AD197" s="400" t="str">
        <f t="array" ref="AD197">IF(COUNTIF(Podcasts!$D$10:'Podcasts'!$D$2535,$B197)&lt;COLUMN(I160),"",SMALL(IF(Podcasts!$D$10:'Podcasts'!$D$2535=$B197,Podcasts!$E$10:'Podcasts'!$E$2535),COLUMN(I160)))</f>
        <v/>
      </c>
      <c r="AE197" s="401" t="str">
        <f t="array" ref="AE197">IF(AD197="","",INDEX(Podcasts!$F$10:'Podcasts'!$F$2535,MATCH(AD197&amp;$B197,Podcasts!$E$10:'Podcasts'!$E$2535&amp;Podcasts!$D$10:'Podcasts'!$D$2535,0)))</f>
        <v/>
      </c>
      <c r="AF197" s="406" t="str">
        <f t="array" ref="AF197">IF(AG197="","",INDEX(Podcasts!$J$10:'Podcasts'!$J$2535,MATCH(AG197&amp;$B197,Podcasts!$E$10:'Podcasts'!$E$2535&amp;Podcasts!$D$10:'Podcasts'!$D$2535,0)))</f>
        <v/>
      </c>
      <c r="AG197" s="400" t="str">
        <f t="array" ref="AG197">IF(COUNTIF(Podcasts!$D$10:'Podcasts'!$D$2535,$B197)&lt;COLUMN(J160),"",SMALL(IF(Podcasts!$D$10:'Podcasts'!$D$2535=$B197,Podcasts!$E$10:'Podcasts'!$E$2535),COLUMN(J160)))</f>
        <v/>
      </c>
      <c r="AH197" s="401" t="str">
        <f t="array" ref="AH197">IF(AG197="","",INDEX(Podcasts!$F$10:'Podcasts'!$F$2535,MATCH(AG197&amp;$B197,Podcasts!$E$10:'Podcasts'!$E$2535&amp;Podcasts!$D$10:'Podcasts'!$D$2535,0)))</f>
        <v/>
      </c>
      <c r="AI197" s="406" t="str">
        <f t="array" ref="AI197">IF(AJ197="","",INDEX(Podcasts!$J$10:'Podcasts'!$J$2535,MATCH(AJ197&amp;$B197,Podcasts!$E$10:'Podcasts'!$E$2535&amp;Podcasts!$D$10:'Podcasts'!$D$2535,0)))</f>
        <v/>
      </c>
      <c r="AJ197" s="400" t="str">
        <f t="array" ref="AJ197">IF(COUNTIF(Podcasts!$D$10:'Podcasts'!$D$2535,$B197)&lt;COLUMN(K160),"",SMALL(IF(Podcasts!$D$10:'Podcasts'!$D$2535=$B197,Podcasts!$E$10:'Podcasts'!$E$2535),COLUMN(K160)))</f>
        <v/>
      </c>
      <c r="AK197" s="401" t="str">
        <f t="array" ref="AK197">IF(AJ197="","",INDEX(Podcasts!$F$10:'Podcasts'!$F$2535,MATCH(AJ197&amp;$B197,Podcasts!$E$10:'Podcasts'!$E$2535&amp;Podcasts!$D$10:'Podcasts'!$D$2535,0)))</f>
        <v/>
      </c>
      <c r="AL197" s="406" t="str">
        <f t="array" ref="AL197">IF(AM197="","",INDEX(Podcasts!$J$10:'Podcasts'!$J$2535,MATCH(AM197&amp;$B197,Podcasts!$E$10:'Podcasts'!$E$2535&amp;Podcasts!$D$10:'Podcasts'!$D$2535,0)))</f>
        <v/>
      </c>
      <c r="AM197" s="400" t="str">
        <f t="array" ref="AM197">IF(COUNTIF(Podcasts!$D$10:'Podcasts'!$D$2535,$B197)&lt;COLUMN(L160),"",SMALL(IF(Podcasts!$D$10:'Podcasts'!$D$2535=$B197,Podcasts!$E$10:'Podcasts'!$E$2535),COLUMN(L160)))</f>
        <v/>
      </c>
      <c r="AN197" s="401" t="str">
        <f t="array" ref="AN197">IF(AM197="","",INDEX(Podcasts!$F$10:'Podcasts'!$F$2535,MATCH(AM197&amp;$B197,Podcasts!$E$10:'Podcasts'!$E$2535&amp;Podcasts!$D$10:'Podcasts'!$D$2535,0)))</f>
        <v/>
      </c>
      <c r="AO197" s="402"/>
      <c r="AP197" s="119"/>
      <c r="AQ197" s="117">
        <f t="array" aca="1" ref="AQ197" ca="1">IFERROR(SMALL(IF(COUNTIF(Podcasts!$D$10:'Podcasts'!$D$107,ROW(INDIRECT("1:"&amp;K$2)))=0,ROW(INDIRECT("1:"&amp;K$2))),ROW($A154)),"")</f>
        <v>201</v>
      </c>
      <c r="AR197" s="117" t="str">
        <f t="array" aca="1" ref="AR197" ca="1">IFERROR(SMALL(IF(COUNTIF(Podcasts!$D$113:'Podcasts'!$D$238,ROW(INDIRECT("1:"&amp;K$2)))=0,ROW(INDIRECT("1:"&amp;K$2))),ROW($A154)),"")</f>
        <v/>
      </c>
      <c r="AS197" s="117">
        <f t="array" aca="1" ref="AS197" ca="1">IFERROR(SMALL(IF(COUNTIF(Podcasts!$D$244:'Podcasts'!$D$299,ROW(INDIRECT("1:"&amp;K$2)))=0,ROW(INDIRECT("1:"&amp;K$2))),ROW($A154)),"")</f>
        <v>191</v>
      </c>
      <c r="AT197" s="117"/>
      <c r="AU197" s="117">
        <f t="array" aca="1" ref="AU197" ca="1">IFERROR(SMALL(IF(COUNTIF(Podcasts!$D$479:'Podcasts'!$D$488,ROW(INDIRECT("1:"&amp;K$2)))=0,ROW(INDIRECT("1:"&amp;K$2))),ROW($A154)),"")</f>
        <v>158</v>
      </c>
      <c r="AV197" s="117">
        <f t="array" aca="1" ref="AV197" ca="1">IFERROR(SMALL(IF(COUNTIF(Podcasts!$D$494:'Podcasts'!$D$518,ROW(INDIRECT("1:"&amp;K$2)))=0,ROW(INDIRECT("1:"&amp;K$2))),ROW($A154)),"")</f>
        <v>178</v>
      </c>
      <c r="AW197" s="117">
        <f t="array" aca="1" ref="AW197" ca="1">IFERROR(SMALL(IF(COUNTIF(Podcasts!$D$524:'Podcasts'!$D$532,ROW(INDIRECT("1:"&amp;K$2)))=0,ROW(INDIRECT("1:"&amp;K$2))),ROW($A154)),"")</f>
        <v>155</v>
      </c>
      <c r="AX197" s="117"/>
      <c r="AY197" s="117">
        <f t="array" aca="1" ref="AY197" ca="1">IFERROR(SMALL(IF(COUNTIF(Podcasts!$D$915:'Podcasts'!$D$981,ROW(INDIRECT("1:"&amp;K$2)))=0,ROW(INDIRECT("1:"&amp;K$2))),ROW($A154)),"")</f>
        <v>210</v>
      </c>
      <c r="AZ197" s="445"/>
      <c r="BA197" s="117">
        <f t="array" aca="1" ref="BA197" ca="1">IFERROR(SMALL(IF(COUNTIF(Podcasts!$D$1001:'Podcasts'!$D$1251,ROW(INDIRECT("1:"&amp;K$2)))=0,ROW(INDIRECT("1:"&amp;K$2))),ROW($A154)),"")</f>
        <v>212</v>
      </c>
      <c r="BB197" s="117">
        <f t="array" aca="1" ref="BB197" ca="1">IFERROR(SMALL(IF(COUNTIF(Podcasts!$D$1257:'Podcasts'!$D$1267,ROW(INDIRECT("1:"&amp;K$2)))=0,ROW(INDIRECT("1:"&amp;K$2))),ROW($A154)),"")</f>
        <v>159</v>
      </c>
      <c r="BC197" s="117">
        <f t="array" aca="1" ref="BC197" ca="1">IFERROR(SMALL(IF(COUNTIF(Podcasts!$D$1273:'Podcasts'!$D$1283,ROW(INDIRECT("1:"&amp;K$2)))=0,ROW(INDIRECT("1:"&amp;K$2))),ROW($A154)),"")</f>
        <v>159</v>
      </c>
      <c r="BD197" s="117">
        <f t="array" aca="1" ref="BD197" ca="1">IFERROR(SMALL(IF(COUNTIF(Podcasts!$D$1289:'Podcasts'!$D$1295,ROW(INDIRECT("1:"&amp;K$2)))=0,ROW(INDIRECT("1:"&amp;K$2))),ROW($A154)),"")</f>
        <v>160</v>
      </c>
      <c r="BE197" s="117">
        <f t="array" aca="1" ref="BE197" ca="1">IFERROR(SMALL(IF(COUNTIF(Podcasts!$D$1301:'Podcasts'!$D$1356,ROW(INDIRECT("1:"&amp;K$2)))=0,ROW(INDIRECT("1:"&amp;K$2))),ROW($A154)),"")</f>
        <v>201</v>
      </c>
      <c r="BF197" s="117">
        <f t="array" aca="1" ref="BF197" ca="1">IFERROR(SMALL(IF(COUNTIF(Podcasts!$D$1362:'Podcasts'!$D$1364,ROW(INDIRECT("1:"&amp;K$2)))=0,ROW(INDIRECT("1:"&amp;K$2))),ROW($A154)),"")</f>
        <v>157</v>
      </c>
      <c r="BG197" s="202">
        <f t="array" aca="1" ref="BG197" ca="1">IFERROR(SMALL(IF(COUNTIF(Podcasts!$D$1370:'Podcasts'!$D$1419,ROW(INDIRECT("1:"&amp;K$2)))=0,ROW(INDIRECT("1:"&amp;K$2))),ROW($A154)),"")</f>
        <v>194</v>
      </c>
      <c r="BH197" s="202">
        <f t="array" aca="1" ref="BH197" ca="1">IFERROR(SMALL(IF(COUNTIF(Podcasts!$D$1425:'Podcasts'!$D$1446,ROW(INDIRECT("1:"&amp;K$2)))=0,ROW(INDIRECT("1:"&amp;K$2))),ROW($A154)),"")</f>
        <v>165</v>
      </c>
      <c r="BI197" s="202"/>
      <c r="BJ197" s="202"/>
      <c r="BK197" s="202"/>
      <c r="BL197" s="202">
        <f t="array" aca="1" ref="BL197" ca="1">IFERROR(SMALL(IF(COUNTIF(Podcasts!$D$1839:'Podcasts'!$D$1855,ROW(INDIRECT("1:"&amp;K$2)))=0,ROW(INDIRECT("1:"&amp;K$2))),ROW($A154)),"")</f>
        <v>163</v>
      </c>
      <c r="BM197" s="567">
        <f t="array" aca="1" ref="BM197" ca="1">IFERROR(SMALL(IF(COUNTIF(Podcasts!$D$1861:'Podcasts'!$D$1994,ROW(INDIRECT("1:"&amp;K$2)))=0,ROW(INDIRECT("1:"&amp;K$2))),ROW($A154)),"")</f>
        <v>204</v>
      </c>
      <c r="BN197" s="567">
        <f t="array" aca="1" ref="BN197" ca="1">IFERROR(SMALL(IF(COUNTIF(Podcasts!$D$2000:'Podcasts'!$D$2057,ROW(INDIRECT("1:"&amp;K$2)))=0,ROW(INDIRECT("1:"&amp;K$2))),ROW($A154)),"")</f>
        <v>209</v>
      </c>
      <c r="BO197" s="567">
        <f t="array" aca="1" ref="BO197" ca="1">IFERROR(SMALL(IF(COUNTIF(Podcasts!$D$2063:'Podcasts'!$D$2071,ROW(INDIRECT("1:"&amp;K$2)))=0,ROW(INDIRECT("1:"&amp;K$2))),ROW($A154)),"")</f>
        <v>162</v>
      </c>
      <c r="BP197" s="202">
        <f t="array" aca="1" ref="BP197" ca="1">IFERROR(SMALL(IF(COUNTIF(Podcasts!$D$2077:'Podcasts'!$D$2092,ROW(INDIRECT("1:"&amp;K$2)))=0,ROW(INDIRECT("1:"&amp;K$2))),ROW($A154)),"")</f>
        <v>165</v>
      </c>
      <c r="BQ197" s="741">
        <f t="array" aca="1" ref="BQ197" ca="1">IFERROR(SMALL(IF(COUNTIF(Podcasts!$D$2098:'Podcasts'!$D$2114,ROW(INDIRECT("1:"&amp;K$2)))=0,ROW(INDIRECT("1:"&amp;K$2))),ROW($A154)),"")</f>
        <v>168</v>
      </c>
      <c r="BR197" s="744">
        <f t="array" aca="1" ref="BR197" ca="1">IFERROR(SMALL(IF(COUNTIF(Podcasts!$D$2120:'Podcasts'!$D$2124,ROW(INDIRECT("1:"&amp;K$2)))=0,ROW(INDIRECT("1:"&amp;K$2))),ROW($A154)),"")</f>
        <v>156</v>
      </c>
      <c r="BS197" s="28"/>
    </row>
    <row r="198" spans="1:71" outlineLevel="1">
      <c r="A198" s="28"/>
      <c r="B198" s="161">
        <v>155</v>
      </c>
      <c r="C198" s="161">
        <f>COUNTIF(Podcasts!$D$10:'Podcasts'!$D$2535,B198)</f>
        <v>5</v>
      </c>
      <c r="D198" s="160" t="s">
        <v>1180</v>
      </c>
      <c r="E198" s="156" t="str">
        <f t="array" ref="E198">IF(F198="","",INDEX(Podcasts!$J$10:'Podcasts'!$J$2535,MATCH(F198&amp;$B198,Podcasts!$E$10:'Podcasts'!$E$2535&amp;Podcasts!$D$10:'Podcasts'!$D$2535,0)))</f>
        <v>Talker</v>
      </c>
      <c r="F198" s="131">
        <f t="array" ref="F198">IF(COUNTIF(Podcasts!$D$10:'Podcasts'!$D$2535,$B198)&lt;COLUMN(A161),"",SMALL(IF(Podcasts!$D$10:'Podcasts'!$D$2535=$B198,Podcasts!$E$10:'Podcasts'!$E$2535),COLUMN(A161)))</f>
        <v>41148</v>
      </c>
      <c r="G198" s="132">
        <f t="array" ref="G198">IF(F198="","",INDEX(Podcasts!$F$10:'Podcasts'!$F$2535,MATCH(F198&amp;$B198,Podcasts!$E$10:'Podcasts'!$E$2535&amp;Podcasts!$D$10:'Podcasts'!$D$2535,0)))</f>
        <v>3.2731481481481479E-2</v>
      </c>
      <c r="H198" s="136" t="str">
        <f t="array" ref="H198">IF(I198="","",INDEX(Podcasts!$J$10:'Podcasts'!$J$2535,MATCH(I198&amp;$B198,Podcasts!$E$10:'Podcasts'!$E$2535&amp;Podcasts!$D$10:'Podcasts'!$D$2535,0)))</f>
        <v>Ohr</v>
      </c>
      <c r="I198" s="133">
        <f t="array" ref="I198">IF(COUNTIF(Podcasts!$D$10:'Podcasts'!$D$2535,$B198)&lt;COLUMN(B161),"",SMALL(IF(Podcasts!$D$10:'Podcasts'!$D$2535=$B198,Podcasts!$E$10:'Podcasts'!$E$2535),COLUMN(B161)))</f>
        <v>41151</v>
      </c>
      <c r="J198" s="132">
        <f t="array" ref="J198">IF(I198="","",INDEX(Podcasts!$F$10:'Podcasts'!$F$2535,MATCH(I198&amp;$B198,Podcasts!$E$10:'Podcasts'!$E$2535&amp;Podcasts!$D$10:'Podcasts'!$D$2535,0)))</f>
        <v>7.8703703703703705E-4</v>
      </c>
      <c r="K198" s="136" t="str">
        <f t="array" ref="K198">IF(L198="","",INDEX(Podcasts!$J$10:'Podcasts'!$J$2535,MATCH(L198&amp;$B198,Podcasts!$E$10:'Podcasts'!$E$2535&amp;Podcasts!$D$10:'Podcasts'!$D$2535,0)))</f>
        <v>???od</v>
      </c>
      <c r="L198" s="133">
        <f t="array" ref="L198">IF(COUNTIF(Podcasts!$D$10:'Podcasts'!$D$2535,$B198)&lt;COLUMN(C161),"",SMALL(IF(Podcasts!$D$10:'Podcasts'!$D$2535=$B198,Podcasts!$E$10:'Podcasts'!$E$2535),COLUMN(C161)))</f>
        <v>41162</v>
      </c>
      <c r="M198" s="132">
        <f t="array" ref="M198">IF(L198="","",INDEX(Podcasts!$F$10:'Podcasts'!$F$2535,MATCH(L198&amp;$B198,Podcasts!$E$10:'Podcasts'!$E$2535&amp;Podcasts!$D$10:'Podcasts'!$D$2535,0)))</f>
        <v>4.1666666666666664E-2</v>
      </c>
      <c r="N198" s="136" t="str">
        <f t="array" ref="N198">IF(O198="","",INDEX(Podcasts!$J$10:'Podcasts'!$J$2535,MATCH(O198&amp;$B198,Podcasts!$E$10:'Podcasts'!$E$2535&amp;Podcasts!$D$10:'Podcasts'!$D$2535,0)))</f>
        <v>Fürst</v>
      </c>
      <c r="O198" s="133">
        <f t="array" ref="O198">IF(COUNTIF(Podcasts!$D$10:'Podcasts'!$D$2535,$B198)&lt;COLUMN(D161),"",SMALL(IF(Podcasts!$D$10:'Podcasts'!$D$2535=$B198,Podcasts!$E$10:'Podcasts'!$E$2535),COLUMN(D161)))</f>
        <v>41731</v>
      </c>
      <c r="P198" s="132">
        <f t="array" ref="P198">IF(O198="","",INDEX(Podcasts!$F$10:'Podcasts'!$F$2535,MATCH(O198&amp;$B198,Podcasts!$E$10:'Podcasts'!$E$2535&amp;Podcasts!$D$10:'Podcasts'!$D$2535,0)))</f>
        <v>4.3402777777777762E-3</v>
      </c>
      <c r="Q198" s="136" t="str">
        <f t="array" ref="Q198">IF(R198="","",INDEX(Podcasts!$J$10:'Podcasts'!$J$2535,MATCH(R198&amp;$B198,Podcasts!$E$10:'Podcasts'!$E$2535&amp;Podcasts!$D$10:'Podcasts'!$D$2535,0)))</f>
        <v>Zw3i</v>
      </c>
      <c r="R198" s="133">
        <f t="array" ref="R198">IF(COUNTIF(Podcasts!$D$10:'Podcasts'!$D$2535,$B198)&lt;COLUMN(E161),"",SMALL(IF(Podcasts!$D$10:'Podcasts'!$D$2535=$B198,Podcasts!$E$10:'Podcasts'!$E$2535),COLUMN(E161)))</f>
        <v>44449</v>
      </c>
      <c r="S198" s="132">
        <f t="array" ref="S198">IF(R198="","",INDEX(Podcasts!$F$10:'Podcasts'!$F$2535,MATCH(R198&amp;$B198,Podcasts!$E$10:'Podcasts'!$E$2535&amp;Podcasts!$D$10:'Podcasts'!$D$2535,0)))</f>
        <v>6.3518518518518516E-2</v>
      </c>
      <c r="T198" s="136" t="str">
        <f t="array" ref="T198">IF(U198="","",INDEX(Podcasts!$J$10:'Podcasts'!$J$2535,MATCH(U198&amp;$B198,Podcasts!$E$10:'Podcasts'!$E$2535&amp;Podcasts!$D$10:'Podcasts'!$D$2535,0)))</f>
        <v/>
      </c>
      <c r="U198" s="133" t="str">
        <f t="array" ref="U198">IF(COUNTIF(Podcasts!$D$10:'Podcasts'!$D$2535,$B198)&lt;COLUMN(F161),"",SMALL(IF(Podcasts!$D$10:'Podcasts'!$D$2535=$B198,Podcasts!$E$10:'Podcasts'!$E$2535),COLUMN(F161)))</f>
        <v/>
      </c>
      <c r="V198" s="132" t="str">
        <f t="array" ref="V198">IF(U198="","",INDEX(Podcasts!$F$10:'Podcasts'!$F$2535,MATCH(U198&amp;$B198,Podcasts!$E$10:'Podcasts'!$E$2535&amp;Podcasts!$D$10:'Podcasts'!$D$2535,0)))</f>
        <v/>
      </c>
      <c r="W198" s="136" t="str">
        <f t="array" ref="W198">IF(X198="","",INDEX(Podcasts!$J$10:'Podcasts'!$J$2535,MATCH(X198&amp;$B198,Podcasts!$E$10:'Podcasts'!$E$2535&amp;Podcasts!$D$10:'Podcasts'!$D$2535,0)))</f>
        <v/>
      </c>
      <c r="X198" s="133" t="str">
        <f t="array" ref="X198">IF(COUNTIF(Podcasts!$D$10:'Podcasts'!$D$2535,$B198)&lt;COLUMN(G161),"",SMALL(IF(Podcasts!$D$10:'Podcasts'!$D$2535=$B198,Podcasts!$E$10:'Podcasts'!$E$2535),COLUMN(G161)))</f>
        <v/>
      </c>
      <c r="Y198" s="132" t="str">
        <f t="array" ref="Y198">IF(X198="","",INDEX(Podcasts!$F$10:'Podcasts'!$F$2535,MATCH(X198&amp;$B198,Podcasts!$E$10:'Podcasts'!$E$2535&amp;Podcasts!$D$10:'Podcasts'!$D$2535,0)))</f>
        <v/>
      </c>
      <c r="Z198" s="136" t="str">
        <f t="array" ref="Z198">IF(AA198="","",INDEX(Podcasts!$J$10:'Podcasts'!$J$2535,MATCH(AA198&amp;$B198,Podcasts!$E$10:'Podcasts'!$E$2535&amp;Podcasts!$D$10:'Podcasts'!$D$2535,0)))</f>
        <v/>
      </c>
      <c r="AA198" s="134" t="str">
        <f t="array" ref="AA198">IF(COUNTIF(Podcasts!$D$10:'Podcasts'!$D$2535,$B198)&lt;COLUMN(H161),"",SMALL(IF(Podcasts!$D$10:'Podcasts'!$D$2535=$B198,Podcasts!$E$10:'Podcasts'!$E$2535),COLUMN(H161)))</f>
        <v/>
      </c>
      <c r="AB198" s="404" t="str">
        <f t="array" ref="AB198">IF(AA198="","",INDEX(Podcasts!$F$10:'Podcasts'!$F$2535,MATCH(AA198&amp;$B198,Podcasts!$E$10:'Podcasts'!$E$2535&amp;Podcasts!$D$10:'Podcasts'!$D$2535,0)))</f>
        <v/>
      </c>
      <c r="AC198" s="406" t="str">
        <f t="array" ref="AC198">IF(AD198="","",INDEX(Podcasts!$J$10:'Podcasts'!$J$2535,MATCH(AD198&amp;$B198,Podcasts!$E$10:'Podcasts'!$E$2535&amp;Podcasts!$D$10:'Podcasts'!$D$2535,0)))</f>
        <v/>
      </c>
      <c r="AD198" s="400" t="str">
        <f t="array" ref="AD198">IF(COUNTIF(Podcasts!$D$10:'Podcasts'!$D$2535,$B198)&lt;COLUMN(I161),"",SMALL(IF(Podcasts!$D$10:'Podcasts'!$D$2535=$B198,Podcasts!$E$10:'Podcasts'!$E$2535),COLUMN(I161)))</f>
        <v/>
      </c>
      <c r="AE198" s="401" t="str">
        <f t="array" ref="AE198">IF(AD198="","",INDEX(Podcasts!$F$10:'Podcasts'!$F$2535,MATCH(AD198&amp;$B198,Podcasts!$E$10:'Podcasts'!$E$2535&amp;Podcasts!$D$10:'Podcasts'!$D$2535,0)))</f>
        <v/>
      </c>
      <c r="AF198" s="406" t="str">
        <f t="array" ref="AF198">IF(AG198="","",INDEX(Podcasts!$J$10:'Podcasts'!$J$2535,MATCH(AG198&amp;$B198,Podcasts!$E$10:'Podcasts'!$E$2535&amp;Podcasts!$D$10:'Podcasts'!$D$2535,0)))</f>
        <v/>
      </c>
      <c r="AG198" s="400" t="str">
        <f t="array" ref="AG198">IF(COUNTIF(Podcasts!$D$10:'Podcasts'!$D$2535,$B198)&lt;COLUMN(J161),"",SMALL(IF(Podcasts!$D$10:'Podcasts'!$D$2535=$B198,Podcasts!$E$10:'Podcasts'!$E$2535),COLUMN(J161)))</f>
        <v/>
      </c>
      <c r="AH198" s="401" t="str">
        <f t="array" ref="AH198">IF(AG198="","",INDEX(Podcasts!$F$10:'Podcasts'!$F$2535,MATCH(AG198&amp;$B198,Podcasts!$E$10:'Podcasts'!$E$2535&amp;Podcasts!$D$10:'Podcasts'!$D$2535,0)))</f>
        <v/>
      </c>
      <c r="AI198" s="406" t="str">
        <f t="array" ref="AI198">IF(AJ198="","",INDEX(Podcasts!$J$10:'Podcasts'!$J$2535,MATCH(AJ198&amp;$B198,Podcasts!$E$10:'Podcasts'!$E$2535&amp;Podcasts!$D$10:'Podcasts'!$D$2535,0)))</f>
        <v/>
      </c>
      <c r="AJ198" s="400" t="str">
        <f t="array" ref="AJ198">IF(COUNTIF(Podcasts!$D$10:'Podcasts'!$D$2535,$B198)&lt;COLUMN(K161),"",SMALL(IF(Podcasts!$D$10:'Podcasts'!$D$2535=$B198,Podcasts!$E$10:'Podcasts'!$E$2535),COLUMN(K161)))</f>
        <v/>
      </c>
      <c r="AK198" s="401" t="str">
        <f t="array" ref="AK198">IF(AJ198="","",INDEX(Podcasts!$F$10:'Podcasts'!$F$2535,MATCH(AJ198&amp;$B198,Podcasts!$E$10:'Podcasts'!$E$2535&amp;Podcasts!$D$10:'Podcasts'!$D$2535,0)))</f>
        <v/>
      </c>
      <c r="AL198" s="406" t="str">
        <f t="array" ref="AL198">IF(AM198="","",INDEX(Podcasts!$J$10:'Podcasts'!$J$2535,MATCH(AM198&amp;$B198,Podcasts!$E$10:'Podcasts'!$E$2535&amp;Podcasts!$D$10:'Podcasts'!$D$2535,0)))</f>
        <v/>
      </c>
      <c r="AM198" s="400" t="str">
        <f t="array" ref="AM198">IF(COUNTIF(Podcasts!$D$10:'Podcasts'!$D$2535,$B198)&lt;COLUMN(L161),"",SMALL(IF(Podcasts!$D$10:'Podcasts'!$D$2535=$B198,Podcasts!$E$10:'Podcasts'!$E$2535),COLUMN(L161)))</f>
        <v/>
      </c>
      <c r="AN198" s="401" t="str">
        <f t="array" ref="AN198">IF(AM198="","",INDEX(Podcasts!$F$10:'Podcasts'!$F$2535,MATCH(AM198&amp;$B198,Podcasts!$E$10:'Podcasts'!$E$2535&amp;Podcasts!$D$10:'Podcasts'!$D$2535,0)))</f>
        <v/>
      </c>
      <c r="AO198" s="402"/>
      <c r="AP198" s="119"/>
      <c r="AQ198" s="117">
        <f t="array" aca="1" ref="AQ198" ca="1">IFERROR(SMALL(IF(COUNTIF(Podcasts!$D$10:'Podcasts'!$D$107,ROW(INDIRECT("1:"&amp;K$2)))=0,ROW(INDIRECT("1:"&amp;K$2))),ROW($A155)),"")</f>
        <v>202</v>
      </c>
      <c r="AR198" s="117" t="str">
        <f t="array" aca="1" ref="AR198" ca="1">IFERROR(SMALL(IF(COUNTIF(Podcasts!$D$113:'Podcasts'!$D$238,ROW(INDIRECT("1:"&amp;K$2)))=0,ROW(INDIRECT("1:"&amp;K$2))),ROW($A155)),"")</f>
        <v/>
      </c>
      <c r="AS198" s="117">
        <f t="array" aca="1" ref="AS198" ca="1">IFERROR(SMALL(IF(COUNTIF(Podcasts!$D$244:'Podcasts'!$D$299,ROW(INDIRECT("1:"&amp;K$2)))=0,ROW(INDIRECT("1:"&amp;K$2))),ROW($A155)),"")</f>
        <v>192</v>
      </c>
      <c r="AT198" s="117"/>
      <c r="AU198" s="117">
        <f t="array" aca="1" ref="AU198" ca="1">IFERROR(SMALL(IF(COUNTIF(Podcasts!$D$479:'Podcasts'!$D$488,ROW(INDIRECT("1:"&amp;K$2)))=0,ROW(INDIRECT("1:"&amp;K$2))),ROW($A155)),"")</f>
        <v>159</v>
      </c>
      <c r="AV198" s="117">
        <f t="array" aca="1" ref="AV198" ca="1">IFERROR(SMALL(IF(COUNTIF(Podcasts!$D$494:'Podcasts'!$D$518,ROW(INDIRECT("1:"&amp;K$2)))=0,ROW(INDIRECT("1:"&amp;K$2))),ROW($A155)),"")</f>
        <v>179</v>
      </c>
      <c r="AW198" s="117">
        <f t="array" aca="1" ref="AW198" ca="1">IFERROR(SMALL(IF(COUNTIF(Podcasts!$D$524:'Podcasts'!$D$532,ROW(INDIRECT("1:"&amp;K$2)))=0,ROW(INDIRECT("1:"&amp;K$2))),ROW($A155)),"")</f>
        <v>156</v>
      </c>
      <c r="AX198" s="117"/>
      <c r="AY198" s="117">
        <f t="array" aca="1" ref="AY198" ca="1">IFERROR(SMALL(IF(COUNTIF(Podcasts!$D$915:'Podcasts'!$D$981,ROW(INDIRECT("1:"&amp;K$2)))=0,ROW(INDIRECT("1:"&amp;K$2))),ROW($A155)),"")</f>
        <v>211</v>
      </c>
      <c r="AZ198" s="445"/>
      <c r="BA198" s="117">
        <f t="array" aca="1" ref="BA198" ca="1">IFERROR(SMALL(IF(COUNTIF(Podcasts!$D$1001:'Podcasts'!$D$1251,ROW(INDIRECT("1:"&amp;K$2)))=0,ROW(INDIRECT("1:"&amp;K$2))),ROW($A155)),"")</f>
        <v>213</v>
      </c>
      <c r="BB198" s="117">
        <f t="array" aca="1" ref="BB198" ca="1">IFERROR(SMALL(IF(COUNTIF(Podcasts!$D$1257:'Podcasts'!$D$1267,ROW(INDIRECT("1:"&amp;K$2)))=0,ROW(INDIRECT("1:"&amp;K$2))),ROW($A155)),"")</f>
        <v>160</v>
      </c>
      <c r="BC198" s="117">
        <f t="array" aca="1" ref="BC198" ca="1">IFERROR(SMALL(IF(COUNTIF(Podcasts!$D$1273:'Podcasts'!$D$1283,ROW(INDIRECT("1:"&amp;K$2)))=0,ROW(INDIRECT("1:"&amp;K$2))),ROW($A155)),"")</f>
        <v>160</v>
      </c>
      <c r="BD198" s="117">
        <f t="array" aca="1" ref="BD198" ca="1">IFERROR(SMALL(IF(COUNTIF(Podcasts!$D$1289:'Podcasts'!$D$1295,ROW(INDIRECT("1:"&amp;K$2)))=0,ROW(INDIRECT("1:"&amp;K$2))),ROW($A155)),"")</f>
        <v>161</v>
      </c>
      <c r="BE198" s="117">
        <f t="array" aca="1" ref="BE198" ca="1">IFERROR(SMALL(IF(COUNTIF(Podcasts!$D$1301:'Podcasts'!$D$1356,ROW(INDIRECT("1:"&amp;K$2)))=0,ROW(INDIRECT("1:"&amp;K$2))),ROW($A155)),"")</f>
        <v>202</v>
      </c>
      <c r="BF198" s="117">
        <f t="array" aca="1" ref="BF198" ca="1">IFERROR(SMALL(IF(COUNTIF(Podcasts!$D$1362:'Podcasts'!$D$1364,ROW(INDIRECT("1:"&amp;K$2)))=0,ROW(INDIRECT("1:"&amp;K$2))),ROW($A155)),"")</f>
        <v>158</v>
      </c>
      <c r="BG198" s="202">
        <f t="array" aca="1" ref="BG198" ca="1">IFERROR(SMALL(IF(COUNTIF(Podcasts!$D$1370:'Podcasts'!$D$1419,ROW(INDIRECT("1:"&amp;K$2)))=0,ROW(INDIRECT("1:"&amp;K$2))),ROW($A155)),"")</f>
        <v>195</v>
      </c>
      <c r="BH198" s="202">
        <f t="array" aca="1" ref="BH198" ca="1">IFERROR(SMALL(IF(COUNTIF(Podcasts!$D$1425:'Podcasts'!$D$1446,ROW(INDIRECT("1:"&amp;K$2)))=0,ROW(INDIRECT("1:"&amp;K$2))),ROW($A155)),"")</f>
        <v>166</v>
      </c>
      <c r="BI198" s="202"/>
      <c r="BJ198" s="202"/>
      <c r="BK198" s="202"/>
      <c r="BL198" s="202">
        <f t="array" aca="1" ref="BL198" ca="1">IFERROR(SMALL(IF(COUNTIF(Podcasts!$D$1839:'Podcasts'!$D$1855,ROW(INDIRECT("1:"&amp;K$2)))=0,ROW(INDIRECT("1:"&amp;K$2))),ROW($A155)),"")</f>
        <v>164</v>
      </c>
      <c r="BM198" s="567">
        <f t="array" aca="1" ref="BM198" ca="1">IFERROR(SMALL(IF(COUNTIF(Podcasts!$D$1861:'Podcasts'!$D$1994,ROW(INDIRECT("1:"&amp;K$2)))=0,ROW(INDIRECT("1:"&amp;K$2))),ROW($A155)),"")</f>
        <v>205</v>
      </c>
      <c r="BN198" s="567">
        <f t="array" aca="1" ref="BN198" ca="1">IFERROR(SMALL(IF(COUNTIF(Podcasts!$D$2000:'Podcasts'!$D$2057,ROW(INDIRECT("1:"&amp;K$2)))=0,ROW(INDIRECT("1:"&amp;K$2))),ROW($A155)),"")</f>
        <v>210</v>
      </c>
      <c r="BO198" s="567">
        <f t="array" aca="1" ref="BO198" ca="1">IFERROR(SMALL(IF(COUNTIF(Podcasts!$D$2063:'Podcasts'!$D$2071,ROW(INDIRECT("1:"&amp;K$2)))=0,ROW(INDIRECT("1:"&amp;K$2))),ROW($A155)),"")</f>
        <v>163</v>
      </c>
      <c r="BP198" s="202">
        <f t="array" aca="1" ref="BP198" ca="1">IFERROR(SMALL(IF(COUNTIF(Podcasts!$D$2077:'Podcasts'!$D$2092,ROW(INDIRECT("1:"&amp;K$2)))=0,ROW(INDIRECT("1:"&amp;K$2))),ROW($A155)),"")</f>
        <v>166</v>
      </c>
      <c r="BQ198" s="741">
        <f t="array" aca="1" ref="BQ198" ca="1">IFERROR(SMALL(IF(COUNTIF(Podcasts!$D$2098:'Podcasts'!$D$2114,ROW(INDIRECT("1:"&amp;K$2)))=0,ROW(INDIRECT("1:"&amp;K$2))),ROW($A155)),"")</f>
        <v>169</v>
      </c>
      <c r="BR198" s="744">
        <f t="array" aca="1" ref="BR198" ca="1">IFERROR(SMALL(IF(COUNTIF(Podcasts!$D$2120:'Podcasts'!$D$2124,ROW(INDIRECT("1:"&amp;K$2)))=0,ROW(INDIRECT("1:"&amp;K$2))),ROW($A155)),"")</f>
        <v>157</v>
      </c>
      <c r="BS198" s="28"/>
    </row>
    <row r="199" spans="1:71" outlineLevel="1">
      <c r="A199" s="28"/>
      <c r="B199" s="161">
        <v>156</v>
      </c>
      <c r="C199" s="161">
        <f>COUNTIF(Podcasts!$D$10:'Podcasts'!$D$2535,B199)</f>
        <v>4</v>
      </c>
      <c r="D199" s="160" t="s">
        <v>1181</v>
      </c>
      <c r="E199" s="156" t="str">
        <f t="array" ref="E199">IF(F199="","",INDEX(Podcasts!$J$10:'Podcasts'!$J$2535,MATCH(F199&amp;$B199,Podcasts!$E$10:'Podcasts'!$E$2535&amp;Podcasts!$D$10:'Podcasts'!$D$2535,0)))</f>
        <v>Ohr</v>
      </c>
      <c r="F199" s="131">
        <f t="array" ref="F199">IF(COUNTIF(Podcasts!$D$10:'Podcasts'!$D$2535,$B199)&lt;COLUMN(A162),"",SMALL(IF(Podcasts!$D$10:'Podcasts'!$D$2535=$B199,Podcasts!$E$10:'Podcasts'!$E$2535),COLUMN(A162)))</f>
        <v>41151</v>
      </c>
      <c r="G199" s="132">
        <f t="array" ref="G199">IF(F199="","",INDEX(Podcasts!$F$10:'Podcasts'!$F$2535,MATCH(F199&amp;$B199,Podcasts!$E$10:'Podcasts'!$E$2535&amp;Podcasts!$D$10:'Podcasts'!$D$2535,0)))</f>
        <v>8.9120370370370362E-4</v>
      </c>
      <c r="H199" s="136" t="str">
        <f t="array" ref="H199">IF(I199="","",INDEX(Podcasts!$J$10:'Podcasts'!$J$2535,MATCH(I199&amp;$B199,Podcasts!$E$10:'Podcasts'!$E$2535&amp;Podcasts!$D$10:'Podcasts'!$D$2535,0)))</f>
        <v>Talker</v>
      </c>
      <c r="I199" s="133">
        <f t="array" ref="I199">IF(COUNTIF(Podcasts!$D$10:'Podcasts'!$D$2535,$B199)&lt;COLUMN(B162),"",SMALL(IF(Podcasts!$D$10:'Podcasts'!$D$2535=$B199,Podcasts!$E$10:'Podcasts'!$E$2535),COLUMN(B162)))</f>
        <v>41172</v>
      </c>
      <c r="J199" s="132">
        <f t="array" ref="J199">IF(I199="","",INDEX(Podcasts!$F$10:'Podcasts'!$F$2535,MATCH(I199&amp;$B199,Podcasts!$E$10:'Podcasts'!$E$2535&amp;Podcasts!$D$10:'Podcasts'!$D$2535,0)))</f>
        <v>3.0613425925925929E-2</v>
      </c>
      <c r="K199" s="136" t="str">
        <f t="array" ref="K199">IF(L199="","",INDEX(Podcasts!$J$10:'Podcasts'!$J$2535,MATCH(L199&amp;$B199,Podcasts!$E$10:'Podcasts'!$E$2535&amp;Podcasts!$D$10:'Podcasts'!$D$2535,0)))</f>
        <v>Kaffee</v>
      </c>
      <c r="L199" s="133">
        <f t="array" ref="L199">IF(COUNTIF(Podcasts!$D$10:'Podcasts'!$D$2535,$B199)&lt;COLUMN(C162),"",SMALL(IF(Podcasts!$D$10:'Podcasts'!$D$2535=$B199,Podcasts!$E$10:'Podcasts'!$E$2535),COLUMN(C162)))</f>
        <v>44617</v>
      </c>
      <c r="M199" s="132">
        <f t="array" ref="M199">IF(L199="","",INDEX(Podcasts!$F$10:'Podcasts'!$F$2535,MATCH(L199&amp;$B199,Podcasts!$E$10:'Podcasts'!$E$2535&amp;Podcasts!$D$10:'Podcasts'!$D$2535,0)))</f>
        <v>2.6053240740740738E-2</v>
      </c>
      <c r="N199" s="136" t="str">
        <f t="array" ref="N199">IF(O199="","",INDEX(Podcasts!$J$10:'Podcasts'!$J$2535,MATCH(O199&amp;$B199,Podcasts!$E$10:'Podcasts'!$E$2535&amp;Podcasts!$D$10:'Podcasts'!$D$2535,0)))</f>
        <v>SSP</v>
      </c>
      <c r="O199" s="133">
        <f t="array" ref="O199">IF(COUNTIF(Podcasts!$D$10:'Podcasts'!$D$2535,$B199)&lt;COLUMN(D162),"",SMALL(IF(Podcasts!$D$10:'Podcasts'!$D$2535=$B199,Podcasts!$E$10:'Podcasts'!$E$2535),COLUMN(D162)))</f>
        <v>44838</v>
      </c>
      <c r="P199" s="132">
        <f t="array" ref="P199">IF(O199="","",INDEX(Podcasts!$F$10:'Podcasts'!$F$2535,MATCH(O199&amp;$B199,Podcasts!$E$10:'Podcasts'!$E$2535&amp;Podcasts!$D$10:'Podcasts'!$D$2535,0)))</f>
        <v>0.10824074074074075</v>
      </c>
      <c r="Q199" s="136" t="str">
        <f t="array" ref="Q199">IF(R199="","",INDEX(Podcasts!$J$10:'Podcasts'!$J$2535,MATCH(R199&amp;$B199,Podcasts!$E$10:'Podcasts'!$E$2535&amp;Podcasts!$D$10:'Podcasts'!$D$2535,0)))</f>
        <v/>
      </c>
      <c r="R199" s="133" t="str">
        <f t="array" ref="R199">IF(COUNTIF(Podcasts!$D$10:'Podcasts'!$D$2535,$B199)&lt;COLUMN(E162),"",SMALL(IF(Podcasts!$D$10:'Podcasts'!$D$2535=$B199,Podcasts!$E$10:'Podcasts'!$E$2535),COLUMN(E162)))</f>
        <v/>
      </c>
      <c r="S199" s="132" t="str">
        <f t="array" ref="S199">IF(R199="","",INDEX(Podcasts!$F$10:'Podcasts'!$F$2535,MATCH(R199&amp;$B199,Podcasts!$E$10:'Podcasts'!$E$2535&amp;Podcasts!$D$10:'Podcasts'!$D$2535,0)))</f>
        <v/>
      </c>
      <c r="T199" s="136" t="str">
        <f t="array" ref="T199">IF(U199="","",INDEX(Podcasts!$J$10:'Podcasts'!$J$2535,MATCH(U199&amp;$B199,Podcasts!$E$10:'Podcasts'!$E$2535&amp;Podcasts!$D$10:'Podcasts'!$D$2535,0)))</f>
        <v/>
      </c>
      <c r="U199" s="133" t="str">
        <f t="array" ref="U199">IF(COUNTIF(Podcasts!$D$10:'Podcasts'!$D$2535,$B199)&lt;COLUMN(F162),"",SMALL(IF(Podcasts!$D$10:'Podcasts'!$D$2535=$B199,Podcasts!$E$10:'Podcasts'!$E$2535),COLUMN(F162)))</f>
        <v/>
      </c>
      <c r="V199" s="132" t="str">
        <f t="array" ref="V199">IF(U199="","",INDEX(Podcasts!$F$10:'Podcasts'!$F$2535,MATCH(U199&amp;$B199,Podcasts!$E$10:'Podcasts'!$E$2535&amp;Podcasts!$D$10:'Podcasts'!$D$2535,0)))</f>
        <v/>
      </c>
      <c r="W199" s="136" t="str">
        <f t="array" ref="W199">IF(X199="","",INDEX(Podcasts!$J$10:'Podcasts'!$J$2535,MATCH(X199&amp;$B199,Podcasts!$E$10:'Podcasts'!$E$2535&amp;Podcasts!$D$10:'Podcasts'!$D$2535,0)))</f>
        <v/>
      </c>
      <c r="X199" s="133" t="str">
        <f t="array" ref="X199">IF(COUNTIF(Podcasts!$D$10:'Podcasts'!$D$2535,$B199)&lt;COLUMN(G162),"",SMALL(IF(Podcasts!$D$10:'Podcasts'!$D$2535=$B199,Podcasts!$E$10:'Podcasts'!$E$2535),COLUMN(G162)))</f>
        <v/>
      </c>
      <c r="Y199" s="132" t="str">
        <f t="array" ref="Y199">IF(X199="","",INDEX(Podcasts!$F$10:'Podcasts'!$F$2535,MATCH(X199&amp;$B199,Podcasts!$E$10:'Podcasts'!$E$2535&amp;Podcasts!$D$10:'Podcasts'!$D$2535,0)))</f>
        <v/>
      </c>
      <c r="Z199" s="136" t="str">
        <f t="array" ref="Z199">IF(AA199="","",INDEX(Podcasts!$J$10:'Podcasts'!$J$2535,MATCH(AA199&amp;$B199,Podcasts!$E$10:'Podcasts'!$E$2535&amp;Podcasts!$D$10:'Podcasts'!$D$2535,0)))</f>
        <v/>
      </c>
      <c r="AA199" s="134" t="str">
        <f t="array" ref="AA199">IF(COUNTIF(Podcasts!$D$10:'Podcasts'!$D$2535,$B199)&lt;COLUMN(H162),"",SMALL(IF(Podcasts!$D$10:'Podcasts'!$D$2535=$B199,Podcasts!$E$10:'Podcasts'!$E$2535),COLUMN(H162)))</f>
        <v/>
      </c>
      <c r="AB199" s="404" t="str">
        <f t="array" ref="AB199">IF(AA199="","",INDEX(Podcasts!$F$10:'Podcasts'!$F$2535,MATCH(AA199&amp;$B199,Podcasts!$E$10:'Podcasts'!$E$2535&amp;Podcasts!$D$10:'Podcasts'!$D$2535,0)))</f>
        <v/>
      </c>
      <c r="AC199" s="406" t="str">
        <f t="array" ref="AC199">IF(AD199="","",INDEX(Podcasts!$J$10:'Podcasts'!$J$2535,MATCH(AD199&amp;$B199,Podcasts!$E$10:'Podcasts'!$E$2535&amp;Podcasts!$D$10:'Podcasts'!$D$2535,0)))</f>
        <v/>
      </c>
      <c r="AD199" s="400" t="str">
        <f t="array" ref="AD199">IF(COUNTIF(Podcasts!$D$10:'Podcasts'!$D$2535,$B199)&lt;COLUMN(I162),"",SMALL(IF(Podcasts!$D$10:'Podcasts'!$D$2535=$B199,Podcasts!$E$10:'Podcasts'!$E$2535),COLUMN(I162)))</f>
        <v/>
      </c>
      <c r="AE199" s="401" t="str">
        <f t="array" ref="AE199">IF(AD199="","",INDEX(Podcasts!$F$10:'Podcasts'!$F$2535,MATCH(AD199&amp;$B199,Podcasts!$E$10:'Podcasts'!$E$2535&amp;Podcasts!$D$10:'Podcasts'!$D$2535,0)))</f>
        <v/>
      </c>
      <c r="AF199" s="406" t="str">
        <f t="array" ref="AF199">IF(AG199="","",INDEX(Podcasts!$J$10:'Podcasts'!$J$2535,MATCH(AG199&amp;$B199,Podcasts!$E$10:'Podcasts'!$E$2535&amp;Podcasts!$D$10:'Podcasts'!$D$2535,0)))</f>
        <v/>
      </c>
      <c r="AG199" s="400" t="str">
        <f t="array" ref="AG199">IF(COUNTIF(Podcasts!$D$10:'Podcasts'!$D$2535,$B199)&lt;COLUMN(J162),"",SMALL(IF(Podcasts!$D$10:'Podcasts'!$D$2535=$B199,Podcasts!$E$10:'Podcasts'!$E$2535),COLUMN(J162)))</f>
        <v/>
      </c>
      <c r="AH199" s="401" t="str">
        <f t="array" ref="AH199">IF(AG199="","",INDEX(Podcasts!$F$10:'Podcasts'!$F$2535,MATCH(AG199&amp;$B199,Podcasts!$E$10:'Podcasts'!$E$2535&amp;Podcasts!$D$10:'Podcasts'!$D$2535,0)))</f>
        <v/>
      </c>
      <c r="AI199" s="406" t="str">
        <f t="array" ref="AI199">IF(AJ199="","",INDEX(Podcasts!$J$10:'Podcasts'!$J$2535,MATCH(AJ199&amp;$B199,Podcasts!$E$10:'Podcasts'!$E$2535&amp;Podcasts!$D$10:'Podcasts'!$D$2535,0)))</f>
        <v/>
      </c>
      <c r="AJ199" s="400" t="str">
        <f t="array" ref="AJ199">IF(COUNTIF(Podcasts!$D$10:'Podcasts'!$D$2535,$B199)&lt;COLUMN(K162),"",SMALL(IF(Podcasts!$D$10:'Podcasts'!$D$2535=$B199,Podcasts!$E$10:'Podcasts'!$E$2535),COLUMN(K162)))</f>
        <v/>
      </c>
      <c r="AK199" s="401" t="str">
        <f t="array" ref="AK199">IF(AJ199="","",INDEX(Podcasts!$F$10:'Podcasts'!$F$2535,MATCH(AJ199&amp;$B199,Podcasts!$E$10:'Podcasts'!$E$2535&amp;Podcasts!$D$10:'Podcasts'!$D$2535,0)))</f>
        <v/>
      </c>
      <c r="AL199" s="406" t="str">
        <f t="array" ref="AL199">IF(AM199="","",INDEX(Podcasts!$J$10:'Podcasts'!$J$2535,MATCH(AM199&amp;$B199,Podcasts!$E$10:'Podcasts'!$E$2535&amp;Podcasts!$D$10:'Podcasts'!$D$2535,0)))</f>
        <v/>
      </c>
      <c r="AM199" s="400" t="str">
        <f t="array" ref="AM199">IF(COUNTIF(Podcasts!$D$10:'Podcasts'!$D$2535,$B199)&lt;COLUMN(L162),"",SMALL(IF(Podcasts!$D$10:'Podcasts'!$D$2535=$B199,Podcasts!$E$10:'Podcasts'!$E$2535),COLUMN(L162)))</f>
        <v/>
      </c>
      <c r="AN199" s="401" t="str">
        <f t="array" ref="AN199">IF(AM199="","",INDEX(Podcasts!$F$10:'Podcasts'!$F$2535,MATCH(AM199&amp;$B199,Podcasts!$E$10:'Podcasts'!$E$2535&amp;Podcasts!$D$10:'Podcasts'!$D$2535,0)))</f>
        <v/>
      </c>
      <c r="AO199" s="402"/>
      <c r="AP199" s="119"/>
      <c r="AQ199" s="117">
        <f t="array" aca="1" ref="AQ199" ca="1">IFERROR(SMALL(IF(COUNTIF(Podcasts!$D$10:'Podcasts'!$D$107,ROW(INDIRECT("1:"&amp;K$2)))=0,ROW(INDIRECT("1:"&amp;K$2))),ROW($A156)),"")</f>
        <v>203</v>
      </c>
      <c r="AR199" s="117"/>
      <c r="AS199" s="117">
        <f t="array" aca="1" ref="AS199" ca="1">IFERROR(SMALL(IF(COUNTIF(Podcasts!$D$244:'Podcasts'!$D$299,ROW(INDIRECT("1:"&amp;K$2)))=0,ROW(INDIRECT("1:"&amp;K$2))),ROW($A156)),"")</f>
        <v>193</v>
      </c>
      <c r="AT199" s="117"/>
      <c r="AU199" s="117">
        <f t="array" aca="1" ref="AU199" ca="1">IFERROR(SMALL(IF(COUNTIF(Podcasts!$D$479:'Podcasts'!$D$488,ROW(INDIRECT("1:"&amp;K$2)))=0,ROW(INDIRECT("1:"&amp;K$2))),ROW($A156)),"")</f>
        <v>160</v>
      </c>
      <c r="AV199" s="117">
        <f t="array" aca="1" ref="AV199" ca="1">IFERROR(SMALL(IF(COUNTIF(Podcasts!$D$494:'Podcasts'!$D$518,ROW(INDIRECT("1:"&amp;K$2)))=0,ROW(INDIRECT("1:"&amp;K$2))),ROW($A156)),"")</f>
        <v>180</v>
      </c>
      <c r="AW199" s="117">
        <f t="array" aca="1" ref="AW199" ca="1">IFERROR(SMALL(IF(COUNTIF(Podcasts!$D$524:'Podcasts'!$D$532,ROW(INDIRECT("1:"&amp;K$2)))=0,ROW(INDIRECT("1:"&amp;K$2))),ROW($A156)),"")</f>
        <v>157</v>
      </c>
      <c r="AX199" s="117"/>
      <c r="AY199" s="117">
        <f t="array" aca="1" ref="AY199" ca="1">IFERROR(SMALL(IF(COUNTIF(Podcasts!$D$915:'Podcasts'!$D$981,ROW(INDIRECT("1:"&amp;K$2)))=0,ROW(INDIRECT("1:"&amp;K$2))),ROW($A156)),"")</f>
        <v>212</v>
      </c>
      <c r="AZ199" s="445"/>
      <c r="BA199" s="117">
        <f t="array" aca="1" ref="BA199" ca="1">IFERROR(SMALL(IF(COUNTIF(Podcasts!$D$1001:'Podcasts'!$D$1251,ROW(INDIRECT("1:"&amp;K$2)))=0,ROW(INDIRECT("1:"&amp;K$2))),ROW($A156)),"")</f>
        <v>214</v>
      </c>
      <c r="BB199" s="117">
        <f t="array" aca="1" ref="BB199" ca="1">IFERROR(SMALL(IF(COUNTIF(Podcasts!$D$1257:'Podcasts'!$D$1267,ROW(INDIRECT("1:"&amp;K$2)))=0,ROW(INDIRECT("1:"&amp;K$2))),ROW($A156)),"")</f>
        <v>161</v>
      </c>
      <c r="BC199" s="117">
        <f t="array" aca="1" ref="BC199" ca="1">IFERROR(SMALL(IF(COUNTIF(Podcasts!$D$1273:'Podcasts'!$D$1283,ROW(INDIRECT("1:"&amp;K$2)))=0,ROW(INDIRECT("1:"&amp;K$2))),ROW($A156)),"")</f>
        <v>161</v>
      </c>
      <c r="BD199" s="117">
        <f t="array" aca="1" ref="BD199" ca="1">IFERROR(SMALL(IF(COUNTIF(Podcasts!$D$1289:'Podcasts'!$D$1295,ROW(INDIRECT("1:"&amp;K$2)))=0,ROW(INDIRECT("1:"&amp;K$2))),ROW($A156)),"")</f>
        <v>162</v>
      </c>
      <c r="BE199" s="117">
        <f t="array" aca="1" ref="BE199" ca="1">IFERROR(SMALL(IF(COUNTIF(Podcasts!$D$1301:'Podcasts'!$D$1356,ROW(INDIRECT("1:"&amp;K$2)))=0,ROW(INDIRECT("1:"&amp;K$2))),ROW($A156)),"")</f>
        <v>203</v>
      </c>
      <c r="BF199" s="117">
        <f t="array" aca="1" ref="BF199" ca="1">IFERROR(SMALL(IF(COUNTIF(Podcasts!$D$1362:'Podcasts'!$D$1364,ROW(INDIRECT("1:"&amp;K$2)))=0,ROW(INDIRECT("1:"&amp;K$2))),ROW($A156)),"")</f>
        <v>159</v>
      </c>
      <c r="BG199" s="202">
        <f t="array" aca="1" ref="BG199" ca="1">IFERROR(SMALL(IF(COUNTIF(Podcasts!$D$1370:'Podcasts'!$D$1419,ROW(INDIRECT("1:"&amp;K$2)))=0,ROW(INDIRECT("1:"&amp;K$2))),ROW($A156)),"")</f>
        <v>196</v>
      </c>
      <c r="BH199" s="202">
        <f t="array" aca="1" ref="BH199" ca="1">IFERROR(SMALL(IF(COUNTIF(Podcasts!$D$1425:'Podcasts'!$D$1446,ROW(INDIRECT("1:"&amp;K$2)))=0,ROW(INDIRECT("1:"&amp;K$2))),ROW($A156)),"")</f>
        <v>167</v>
      </c>
      <c r="BI199" s="202"/>
      <c r="BJ199" s="202"/>
      <c r="BK199" s="202"/>
      <c r="BL199" s="202">
        <f t="array" aca="1" ref="BL199" ca="1">IFERROR(SMALL(IF(COUNTIF(Podcasts!$D$1839:'Podcasts'!$D$1855,ROW(INDIRECT("1:"&amp;K$2)))=0,ROW(INDIRECT("1:"&amp;K$2))),ROW($A156)),"")</f>
        <v>165</v>
      </c>
      <c r="BM199" s="567">
        <f t="array" aca="1" ref="BM199" ca="1">IFERROR(SMALL(IF(COUNTIF(Podcasts!$D$1861:'Podcasts'!$D$1994,ROW(INDIRECT("1:"&amp;K$2)))=0,ROW(INDIRECT("1:"&amp;K$2))),ROW($A156)),"")</f>
        <v>206</v>
      </c>
      <c r="BN199" s="567">
        <f t="array" aca="1" ref="BN199" ca="1">IFERROR(SMALL(IF(COUNTIF(Podcasts!$D$2000:'Podcasts'!$D$2057,ROW(INDIRECT("1:"&amp;K$2)))=0,ROW(INDIRECT("1:"&amp;K$2))),ROW($A156)),"")</f>
        <v>211</v>
      </c>
      <c r="BO199" s="567">
        <f t="array" aca="1" ref="BO199" ca="1">IFERROR(SMALL(IF(COUNTIF(Podcasts!$D$2063:'Podcasts'!$D$2071,ROW(INDIRECT("1:"&amp;K$2)))=0,ROW(INDIRECT("1:"&amp;K$2))),ROW($A156)),"")</f>
        <v>164</v>
      </c>
      <c r="BP199" s="202">
        <f t="array" aca="1" ref="BP199" ca="1">IFERROR(SMALL(IF(COUNTIF(Podcasts!$D$2077:'Podcasts'!$D$2092,ROW(INDIRECT("1:"&amp;K$2)))=0,ROW(INDIRECT("1:"&amp;K$2))),ROW($A156)),"")</f>
        <v>167</v>
      </c>
      <c r="BQ199" s="741">
        <f t="array" aca="1" ref="BQ199" ca="1">IFERROR(SMALL(IF(COUNTIF(Podcasts!$D$2098:'Podcasts'!$D$2114,ROW(INDIRECT("1:"&amp;K$2)))=0,ROW(INDIRECT("1:"&amp;K$2))),ROW($A156)),"")</f>
        <v>170</v>
      </c>
      <c r="BR199" s="744">
        <f t="array" aca="1" ref="BR199" ca="1">IFERROR(SMALL(IF(COUNTIF(Podcasts!$D$2120:'Podcasts'!$D$2124,ROW(INDIRECT("1:"&amp;K$2)))=0,ROW(INDIRECT("1:"&amp;K$2))),ROW($A156)),"")</f>
        <v>158</v>
      </c>
      <c r="BS199" s="28"/>
    </row>
    <row r="200" spans="1:71" outlineLevel="1">
      <c r="A200" s="28"/>
      <c r="B200" s="161">
        <v>157</v>
      </c>
      <c r="C200" s="161">
        <f>COUNTIF(Podcasts!$D$10:'Podcasts'!$D$2535,B200)</f>
        <v>4</v>
      </c>
      <c r="D200" s="160" t="s">
        <v>1182</v>
      </c>
      <c r="E200" s="156" t="str">
        <f t="array" ref="E200">IF(F200="","",INDEX(Podcasts!$J$10:'Podcasts'!$J$2535,MATCH(F200&amp;$B200,Podcasts!$E$10:'Podcasts'!$E$2535&amp;Podcasts!$D$10:'Podcasts'!$D$2535,0)))</f>
        <v>Ohr</v>
      </c>
      <c r="F200" s="131">
        <f t="array" ref="F200">IF(COUNTIF(Podcasts!$D$10:'Podcasts'!$D$2535,$B200)&lt;COLUMN(A163),"",SMALL(IF(Podcasts!$D$10:'Podcasts'!$D$2535=$B200,Podcasts!$E$10:'Podcasts'!$E$2535),COLUMN(A163)))</f>
        <v>41209</v>
      </c>
      <c r="G200" s="132">
        <f t="array" ref="G200">IF(F200="","",INDEX(Podcasts!$F$10:'Podcasts'!$F$2535,MATCH(F200&amp;$B200,Podcasts!$E$10:'Podcasts'!$E$2535&amp;Podcasts!$D$10:'Podcasts'!$D$2535,0)))</f>
        <v>2.8703703703703708E-3</v>
      </c>
      <c r="H200" s="136" t="str">
        <f t="array" ref="H200">IF(I200="","",INDEX(Podcasts!$J$10:'Podcasts'!$J$2535,MATCH(I200&amp;$B200,Podcasts!$E$10:'Podcasts'!$E$2535&amp;Podcasts!$D$10:'Podcasts'!$D$2535,0)))</f>
        <v>Talker</v>
      </c>
      <c r="I200" s="133">
        <f t="array" ref="I200">IF(COUNTIF(Podcasts!$D$10:'Podcasts'!$D$2535,$B200)&lt;COLUMN(B163),"",SMALL(IF(Podcasts!$D$10:'Podcasts'!$D$2535=$B200,Podcasts!$E$10:'Podcasts'!$E$2535),COLUMN(B163)))</f>
        <v>41210</v>
      </c>
      <c r="J200" s="132">
        <f t="array" ref="J200">IF(I200="","",INDEX(Podcasts!$F$10:'Podcasts'!$F$2535,MATCH(I200&amp;$B200,Podcasts!$E$10:'Podcasts'!$E$2535&amp;Podcasts!$D$10:'Podcasts'!$D$2535,0)))</f>
        <v>1.5694444444444445E-2</v>
      </c>
      <c r="K200" s="136" t="str">
        <f t="array" ref="K200">IF(L200="","",INDEX(Podcasts!$J$10:'Podcasts'!$J$2535,MATCH(L200&amp;$B200,Podcasts!$E$10:'Podcasts'!$E$2535&amp;Podcasts!$D$10:'Podcasts'!$D$2535,0)))</f>
        <v>Fürst</v>
      </c>
      <c r="L200" s="133">
        <f t="array" ref="L200">IF(COUNTIF(Podcasts!$D$10:'Podcasts'!$D$2535,$B200)&lt;COLUMN(C163),"",SMALL(IF(Podcasts!$D$10:'Podcasts'!$D$2535=$B200,Podcasts!$E$10:'Podcasts'!$E$2535),COLUMN(C163)))</f>
        <v>41731</v>
      </c>
      <c r="M200" s="132">
        <f t="array" ref="M200">IF(L200="","",INDEX(Podcasts!$F$10:'Podcasts'!$F$2535,MATCH(L200&amp;$B200,Podcasts!$E$10:'Podcasts'!$E$2535&amp;Podcasts!$D$10:'Podcasts'!$D$2535,0)))</f>
        <v>2.4884259259259287E-3</v>
      </c>
      <c r="N200" s="136" t="str">
        <f t="array" ref="N200">IF(O200="","",INDEX(Podcasts!$J$10:'Podcasts'!$J$2535,MATCH(O200&amp;$B200,Podcasts!$E$10:'Podcasts'!$E$2535&amp;Podcasts!$D$10:'Podcasts'!$D$2535,0)))</f>
        <v>Kuchen</v>
      </c>
      <c r="O200" s="133">
        <f t="array" ref="O200">IF(COUNTIF(Podcasts!$D$10:'Podcasts'!$D$2535,$B200)&lt;COLUMN(D163),"",SMALL(IF(Podcasts!$D$10:'Podcasts'!$D$2535=$B200,Podcasts!$E$10:'Podcasts'!$E$2535),COLUMN(D163)))</f>
        <v>44626.007939814815</v>
      </c>
      <c r="P200" s="132">
        <f t="array" ref="P200">IF(O200="","",INDEX(Podcasts!$F$10:'Podcasts'!$F$2535,MATCH(O200&amp;$B200,Podcasts!$E$10:'Podcasts'!$E$2535&amp;Podcasts!$D$10:'Podcasts'!$D$2535,0)))</f>
        <v>6.9027777777777785E-2</v>
      </c>
      <c r="Q200" s="136" t="str">
        <f t="array" ref="Q200">IF(R200="","",INDEX(Podcasts!$J$10:'Podcasts'!$J$2535,MATCH(R200&amp;$B200,Podcasts!$E$10:'Podcasts'!$E$2535&amp;Podcasts!$D$10:'Podcasts'!$D$2535,0)))</f>
        <v/>
      </c>
      <c r="R200" s="133" t="str">
        <f t="array" ref="R200">IF(COUNTIF(Podcasts!$D$10:'Podcasts'!$D$2535,$B200)&lt;COLUMN(E163),"",SMALL(IF(Podcasts!$D$10:'Podcasts'!$D$2535=$B200,Podcasts!$E$10:'Podcasts'!$E$2535),COLUMN(E163)))</f>
        <v/>
      </c>
      <c r="S200" s="132" t="str">
        <f t="array" ref="S200">IF(R200="","",INDEX(Podcasts!$F$10:'Podcasts'!$F$2535,MATCH(R200&amp;$B200,Podcasts!$E$10:'Podcasts'!$E$2535&amp;Podcasts!$D$10:'Podcasts'!$D$2535,0)))</f>
        <v/>
      </c>
      <c r="T200" s="136" t="str">
        <f t="array" ref="T200">IF(U200="","",INDEX(Podcasts!$J$10:'Podcasts'!$J$2535,MATCH(U200&amp;$B200,Podcasts!$E$10:'Podcasts'!$E$2535&amp;Podcasts!$D$10:'Podcasts'!$D$2535,0)))</f>
        <v/>
      </c>
      <c r="U200" s="133" t="str">
        <f t="array" ref="U200">IF(COUNTIF(Podcasts!$D$10:'Podcasts'!$D$2535,$B200)&lt;COLUMN(F163),"",SMALL(IF(Podcasts!$D$10:'Podcasts'!$D$2535=$B200,Podcasts!$E$10:'Podcasts'!$E$2535),COLUMN(F163)))</f>
        <v/>
      </c>
      <c r="V200" s="132" t="str">
        <f t="array" ref="V200">IF(U200="","",INDEX(Podcasts!$F$10:'Podcasts'!$F$2535,MATCH(U200&amp;$B200,Podcasts!$E$10:'Podcasts'!$E$2535&amp;Podcasts!$D$10:'Podcasts'!$D$2535,0)))</f>
        <v/>
      </c>
      <c r="W200" s="136" t="str">
        <f t="array" ref="W200">IF(X200="","",INDEX(Podcasts!$J$10:'Podcasts'!$J$2535,MATCH(X200&amp;$B200,Podcasts!$E$10:'Podcasts'!$E$2535&amp;Podcasts!$D$10:'Podcasts'!$D$2535,0)))</f>
        <v/>
      </c>
      <c r="X200" s="133" t="str">
        <f t="array" ref="X200">IF(COUNTIF(Podcasts!$D$10:'Podcasts'!$D$2535,$B200)&lt;COLUMN(G163),"",SMALL(IF(Podcasts!$D$10:'Podcasts'!$D$2535=$B200,Podcasts!$E$10:'Podcasts'!$E$2535),COLUMN(G163)))</f>
        <v/>
      </c>
      <c r="Y200" s="132" t="str">
        <f t="array" ref="Y200">IF(X200="","",INDEX(Podcasts!$F$10:'Podcasts'!$F$2535,MATCH(X200&amp;$B200,Podcasts!$E$10:'Podcasts'!$E$2535&amp;Podcasts!$D$10:'Podcasts'!$D$2535,0)))</f>
        <v/>
      </c>
      <c r="Z200" s="136" t="str">
        <f t="array" ref="Z200">IF(AA200="","",INDEX(Podcasts!$J$10:'Podcasts'!$J$2535,MATCH(AA200&amp;$B200,Podcasts!$E$10:'Podcasts'!$E$2535&amp;Podcasts!$D$10:'Podcasts'!$D$2535,0)))</f>
        <v/>
      </c>
      <c r="AA200" s="134" t="str">
        <f t="array" ref="AA200">IF(COUNTIF(Podcasts!$D$10:'Podcasts'!$D$2535,$B200)&lt;COLUMN(H163),"",SMALL(IF(Podcasts!$D$10:'Podcasts'!$D$2535=$B200,Podcasts!$E$10:'Podcasts'!$E$2535),COLUMN(H163)))</f>
        <v/>
      </c>
      <c r="AB200" s="404" t="str">
        <f t="array" ref="AB200">IF(AA200="","",INDEX(Podcasts!$F$10:'Podcasts'!$F$2535,MATCH(AA200&amp;$B200,Podcasts!$E$10:'Podcasts'!$E$2535&amp;Podcasts!$D$10:'Podcasts'!$D$2535,0)))</f>
        <v/>
      </c>
      <c r="AC200" s="406" t="str">
        <f t="array" ref="AC200">IF(AD200="","",INDEX(Podcasts!$J$10:'Podcasts'!$J$2535,MATCH(AD200&amp;$B200,Podcasts!$E$10:'Podcasts'!$E$2535&amp;Podcasts!$D$10:'Podcasts'!$D$2535,0)))</f>
        <v/>
      </c>
      <c r="AD200" s="400" t="str">
        <f t="array" ref="AD200">IF(COUNTIF(Podcasts!$D$10:'Podcasts'!$D$2535,$B200)&lt;COLUMN(I163),"",SMALL(IF(Podcasts!$D$10:'Podcasts'!$D$2535=$B200,Podcasts!$E$10:'Podcasts'!$E$2535),COLUMN(I163)))</f>
        <v/>
      </c>
      <c r="AE200" s="401" t="str">
        <f t="array" ref="AE200">IF(AD200="","",INDEX(Podcasts!$F$10:'Podcasts'!$F$2535,MATCH(AD200&amp;$B200,Podcasts!$E$10:'Podcasts'!$E$2535&amp;Podcasts!$D$10:'Podcasts'!$D$2535,0)))</f>
        <v/>
      </c>
      <c r="AF200" s="406" t="str">
        <f t="array" ref="AF200">IF(AG200="","",INDEX(Podcasts!$J$10:'Podcasts'!$J$2535,MATCH(AG200&amp;$B200,Podcasts!$E$10:'Podcasts'!$E$2535&amp;Podcasts!$D$10:'Podcasts'!$D$2535,0)))</f>
        <v/>
      </c>
      <c r="AG200" s="400" t="str">
        <f t="array" ref="AG200">IF(COUNTIF(Podcasts!$D$10:'Podcasts'!$D$2535,$B200)&lt;COLUMN(J163),"",SMALL(IF(Podcasts!$D$10:'Podcasts'!$D$2535=$B200,Podcasts!$E$10:'Podcasts'!$E$2535),COLUMN(J163)))</f>
        <v/>
      </c>
      <c r="AH200" s="401" t="str">
        <f t="array" ref="AH200">IF(AG200="","",INDEX(Podcasts!$F$10:'Podcasts'!$F$2535,MATCH(AG200&amp;$B200,Podcasts!$E$10:'Podcasts'!$E$2535&amp;Podcasts!$D$10:'Podcasts'!$D$2535,0)))</f>
        <v/>
      </c>
      <c r="AI200" s="406" t="str">
        <f t="array" ref="AI200">IF(AJ200="","",INDEX(Podcasts!$J$10:'Podcasts'!$J$2535,MATCH(AJ200&amp;$B200,Podcasts!$E$10:'Podcasts'!$E$2535&amp;Podcasts!$D$10:'Podcasts'!$D$2535,0)))</f>
        <v/>
      </c>
      <c r="AJ200" s="400" t="str">
        <f t="array" ref="AJ200">IF(COUNTIF(Podcasts!$D$10:'Podcasts'!$D$2535,$B200)&lt;COLUMN(K163),"",SMALL(IF(Podcasts!$D$10:'Podcasts'!$D$2535=$B200,Podcasts!$E$10:'Podcasts'!$E$2535),COLUMN(K163)))</f>
        <v/>
      </c>
      <c r="AK200" s="401" t="str">
        <f t="array" ref="AK200">IF(AJ200="","",INDEX(Podcasts!$F$10:'Podcasts'!$F$2535,MATCH(AJ200&amp;$B200,Podcasts!$E$10:'Podcasts'!$E$2535&amp;Podcasts!$D$10:'Podcasts'!$D$2535,0)))</f>
        <v/>
      </c>
      <c r="AL200" s="406" t="str">
        <f t="array" ref="AL200">IF(AM200="","",INDEX(Podcasts!$J$10:'Podcasts'!$J$2535,MATCH(AM200&amp;$B200,Podcasts!$E$10:'Podcasts'!$E$2535&amp;Podcasts!$D$10:'Podcasts'!$D$2535,0)))</f>
        <v/>
      </c>
      <c r="AM200" s="400" t="str">
        <f t="array" ref="AM200">IF(COUNTIF(Podcasts!$D$10:'Podcasts'!$D$2535,$B200)&lt;COLUMN(L163),"",SMALL(IF(Podcasts!$D$10:'Podcasts'!$D$2535=$B200,Podcasts!$E$10:'Podcasts'!$E$2535),COLUMN(L163)))</f>
        <v/>
      </c>
      <c r="AN200" s="401" t="str">
        <f t="array" ref="AN200">IF(AM200="","",INDEX(Podcasts!$F$10:'Podcasts'!$F$2535,MATCH(AM200&amp;$B200,Podcasts!$E$10:'Podcasts'!$E$2535&amp;Podcasts!$D$10:'Podcasts'!$D$2535,0)))</f>
        <v/>
      </c>
      <c r="AO200" s="402"/>
      <c r="AP200" s="119"/>
      <c r="AQ200" s="117">
        <f t="array" aca="1" ref="AQ200" ca="1">IFERROR(SMALL(IF(COUNTIF(Podcasts!$D$10:'Podcasts'!$D$107,ROW(INDIRECT("1:"&amp;K$2)))=0,ROW(INDIRECT("1:"&amp;K$2))),ROW($A157)),"")</f>
        <v>204</v>
      </c>
      <c r="AR200" s="117"/>
      <c r="AS200" s="117">
        <f t="array" aca="1" ref="AS200" ca="1">IFERROR(SMALL(IF(COUNTIF(Podcasts!$D$244:'Podcasts'!$D$299,ROW(INDIRECT("1:"&amp;K$2)))=0,ROW(INDIRECT("1:"&amp;K$2))),ROW($A157)),"")</f>
        <v>194</v>
      </c>
      <c r="AT200" s="117"/>
      <c r="AU200" s="117">
        <f t="array" aca="1" ref="AU200" ca="1">IFERROR(SMALL(IF(COUNTIF(Podcasts!$D$479:'Podcasts'!$D$488,ROW(INDIRECT("1:"&amp;K$2)))=0,ROW(INDIRECT("1:"&amp;K$2))),ROW($A157)),"")</f>
        <v>161</v>
      </c>
      <c r="AV200" s="117">
        <f t="array" aca="1" ref="AV200" ca="1">IFERROR(SMALL(IF(COUNTIF(Podcasts!$D$494:'Podcasts'!$D$518,ROW(INDIRECT("1:"&amp;K$2)))=0,ROW(INDIRECT("1:"&amp;K$2))),ROW($A157)),"")</f>
        <v>181</v>
      </c>
      <c r="AW200" s="117">
        <f t="array" aca="1" ref="AW200" ca="1">IFERROR(SMALL(IF(COUNTIF(Podcasts!$D$524:'Podcasts'!$D$532,ROW(INDIRECT("1:"&amp;K$2)))=0,ROW(INDIRECT("1:"&amp;K$2))),ROW($A157)),"")</f>
        <v>158</v>
      </c>
      <c r="AX200" s="117"/>
      <c r="AY200" s="117">
        <f t="array" aca="1" ref="AY200" ca="1">IFERROR(SMALL(IF(COUNTIF(Podcasts!$D$915:'Podcasts'!$D$981,ROW(INDIRECT("1:"&amp;K$2)))=0,ROW(INDIRECT("1:"&amp;K$2))),ROW($A157)),"")</f>
        <v>213</v>
      </c>
      <c r="AZ200" s="445"/>
      <c r="BA200" s="117">
        <f t="array" aca="1" ref="BA200" ca="1">IFERROR(SMALL(IF(COUNTIF(Podcasts!$D$1001:'Podcasts'!$D$1251,ROW(INDIRECT("1:"&amp;K$2)))=0,ROW(INDIRECT("1:"&amp;K$2))),ROW($A157)),"")</f>
        <v>215</v>
      </c>
      <c r="BB200" s="117">
        <f t="array" aca="1" ref="BB200" ca="1">IFERROR(SMALL(IF(COUNTIF(Podcasts!$D$1257:'Podcasts'!$D$1267,ROW(INDIRECT("1:"&amp;K$2)))=0,ROW(INDIRECT("1:"&amp;K$2))),ROW($A157)),"")</f>
        <v>162</v>
      </c>
      <c r="BC200" s="117">
        <f t="array" aca="1" ref="BC200" ca="1">IFERROR(SMALL(IF(COUNTIF(Podcasts!$D$1273:'Podcasts'!$D$1283,ROW(INDIRECT("1:"&amp;K$2)))=0,ROW(INDIRECT("1:"&amp;K$2))),ROW($A157)),"")</f>
        <v>162</v>
      </c>
      <c r="BD200" s="117">
        <f t="array" aca="1" ref="BD200" ca="1">IFERROR(SMALL(IF(COUNTIF(Podcasts!$D$1289:'Podcasts'!$D$1295,ROW(INDIRECT("1:"&amp;K$2)))=0,ROW(INDIRECT("1:"&amp;K$2))),ROW($A157)),"")</f>
        <v>163</v>
      </c>
      <c r="BE200" s="117">
        <f t="array" aca="1" ref="BE200" ca="1">IFERROR(SMALL(IF(COUNTIF(Podcasts!$D$1301:'Podcasts'!$D$1356,ROW(INDIRECT("1:"&amp;K$2)))=0,ROW(INDIRECT("1:"&amp;K$2))),ROW($A157)),"")</f>
        <v>204</v>
      </c>
      <c r="BF200" s="117">
        <f t="array" aca="1" ref="BF200" ca="1">IFERROR(SMALL(IF(COUNTIF(Podcasts!$D$1362:'Podcasts'!$D$1364,ROW(INDIRECT("1:"&amp;K$2)))=0,ROW(INDIRECT("1:"&amp;K$2))),ROW($A157)),"")</f>
        <v>160</v>
      </c>
      <c r="BG200" s="202">
        <f t="array" aca="1" ref="BG200" ca="1">IFERROR(SMALL(IF(COUNTIF(Podcasts!$D$1370:'Podcasts'!$D$1419,ROW(INDIRECT("1:"&amp;K$2)))=0,ROW(INDIRECT("1:"&amp;K$2))),ROW($A157)),"")</f>
        <v>197</v>
      </c>
      <c r="BH200" s="202">
        <f t="array" aca="1" ref="BH200" ca="1">IFERROR(SMALL(IF(COUNTIF(Podcasts!$D$1425:'Podcasts'!$D$1446,ROW(INDIRECT("1:"&amp;K$2)))=0,ROW(INDIRECT("1:"&amp;K$2))),ROW($A157)),"")</f>
        <v>168</v>
      </c>
      <c r="BI200" s="202"/>
      <c r="BJ200" s="202"/>
      <c r="BK200" s="202"/>
      <c r="BL200" s="202">
        <f t="array" aca="1" ref="BL200" ca="1">IFERROR(SMALL(IF(COUNTIF(Podcasts!$D$1839:'Podcasts'!$D$1855,ROW(INDIRECT("1:"&amp;K$2)))=0,ROW(INDIRECT("1:"&amp;K$2))),ROW($A157)),"")</f>
        <v>166</v>
      </c>
      <c r="BM200" s="567">
        <f t="array" aca="1" ref="BM200" ca="1">IFERROR(SMALL(IF(COUNTIF(Podcasts!$D$1861:'Podcasts'!$D$1994,ROW(INDIRECT("1:"&amp;K$2)))=0,ROW(INDIRECT("1:"&amp;K$2))),ROW($A157)),"")</f>
        <v>208</v>
      </c>
      <c r="BN200" s="567">
        <f t="array" aca="1" ref="BN200" ca="1">IFERROR(SMALL(IF(COUNTIF(Podcasts!$D$2000:'Podcasts'!$D$2057,ROW(INDIRECT("1:"&amp;K$2)))=0,ROW(INDIRECT("1:"&amp;K$2))),ROW($A157)),"")</f>
        <v>212</v>
      </c>
      <c r="BO200" s="567">
        <f t="array" aca="1" ref="BO200" ca="1">IFERROR(SMALL(IF(COUNTIF(Podcasts!$D$2063:'Podcasts'!$D$2071,ROW(INDIRECT("1:"&amp;K$2)))=0,ROW(INDIRECT("1:"&amp;K$2))),ROW($A157)),"")</f>
        <v>165</v>
      </c>
      <c r="BP200" s="202">
        <f t="array" aca="1" ref="BP200" ca="1">IFERROR(SMALL(IF(COUNTIF(Podcasts!$D$2077:'Podcasts'!$D$2092,ROW(INDIRECT("1:"&amp;K$2)))=0,ROW(INDIRECT("1:"&amp;K$2))),ROW($A157)),"")</f>
        <v>168</v>
      </c>
      <c r="BQ200" s="741">
        <f t="array" aca="1" ref="BQ200" ca="1">IFERROR(SMALL(IF(COUNTIF(Podcasts!$D$2098:'Podcasts'!$D$2114,ROW(INDIRECT("1:"&amp;K$2)))=0,ROW(INDIRECT("1:"&amp;K$2))),ROW($A157)),"")</f>
        <v>171</v>
      </c>
      <c r="BR200" s="744">
        <f t="array" aca="1" ref="BR200" ca="1">IFERROR(SMALL(IF(COUNTIF(Podcasts!$D$2120:'Podcasts'!$D$2124,ROW(INDIRECT("1:"&amp;K$2)))=0,ROW(INDIRECT("1:"&amp;K$2))),ROW($A157)),"")</f>
        <v>159</v>
      </c>
      <c r="BS200" s="28"/>
    </row>
    <row r="201" spans="1:71" outlineLevel="1">
      <c r="A201" s="28"/>
      <c r="B201" s="161">
        <v>158</v>
      </c>
      <c r="C201" s="161">
        <f>COUNTIF(Podcasts!$D$10:'Podcasts'!$D$2535,B201)</f>
        <v>3</v>
      </c>
      <c r="D201" s="160" t="s">
        <v>1183</v>
      </c>
      <c r="E201" s="156" t="str">
        <f t="array" ref="E201">IF(F201="","",INDEX(Podcasts!$J$10:'Podcasts'!$J$2535,MATCH(F201&amp;$B201,Podcasts!$E$10:'Podcasts'!$E$2535&amp;Podcasts!$D$10:'Podcasts'!$D$2535,0)))</f>
        <v>Talker</v>
      </c>
      <c r="F201" s="131">
        <f t="array" ref="F201">IF(COUNTIF(Podcasts!$D$10:'Podcasts'!$D$2535,$B201)&lt;COLUMN(A164),"",SMALL(IF(Podcasts!$D$10:'Podcasts'!$D$2535=$B201,Podcasts!$E$10:'Podcasts'!$E$2535),COLUMN(A164)))</f>
        <v>41252</v>
      </c>
      <c r="G201" s="132">
        <f t="array" ref="G201">IF(F201="","",INDEX(Podcasts!$F$10:'Podcasts'!$F$2535,MATCH(F201&amp;$B201,Podcasts!$E$10:'Podcasts'!$E$2535&amp;Podcasts!$D$10:'Podcasts'!$D$2535,0)))</f>
        <v>2.1087962962962961E-2</v>
      </c>
      <c r="H201" s="136" t="str">
        <f t="array" ref="H201">IF(I201="","",INDEX(Podcasts!$J$10:'Podcasts'!$J$2535,MATCH(I201&amp;$B201,Podcasts!$E$10:'Podcasts'!$E$2535&amp;Podcasts!$D$10:'Podcasts'!$D$2535,0)))</f>
        <v>Ohr</v>
      </c>
      <c r="I201" s="133">
        <f t="array" ref="I201">IF(COUNTIF(Podcasts!$D$10:'Podcasts'!$D$2535,$B201)&lt;COLUMN(B164),"",SMALL(IF(Podcasts!$D$10:'Podcasts'!$D$2535=$B201,Podcasts!$E$10:'Podcasts'!$E$2535),COLUMN(B164)))</f>
        <v>41639</v>
      </c>
      <c r="J201" s="132">
        <f t="array" ref="J201">IF(I201="","",INDEX(Podcasts!$F$10:'Podcasts'!$F$2535,MATCH(I201&amp;$B201,Podcasts!$E$10:'Podcasts'!$E$2535&amp;Podcasts!$D$10:'Podcasts'!$D$2535,0)))</f>
        <v>1.6666666666666668E-3</v>
      </c>
      <c r="K201" s="136" t="str">
        <f t="array" ref="K201">IF(L201="","",INDEX(Podcasts!$J$10:'Podcasts'!$J$2535,MATCH(L201&amp;$B201,Podcasts!$E$10:'Podcasts'!$E$2535&amp;Podcasts!$D$10:'Podcasts'!$D$2535,0)))</f>
        <v>SSP</v>
      </c>
      <c r="L201" s="133">
        <f t="array" ref="L201">IF(COUNTIF(Podcasts!$D$10:'Podcasts'!$D$2535,$B201)&lt;COLUMN(C164),"",SMALL(IF(Podcasts!$D$10:'Podcasts'!$D$2535=$B201,Podcasts!$E$10:'Podcasts'!$E$2535),COLUMN(C164)))</f>
        <v>45344</v>
      </c>
      <c r="M201" s="132">
        <f t="array" ref="M201">IF(L201="","",INDEX(Podcasts!$F$10:'Podcasts'!$F$2535,MATCH(L201&amp;$B201,Podcasts!$E$10:'Podcasts'!$E$2535&amp;Podcasts!$D$10:'Podcasts'!$D$2535,0)))</f>
        <v>0.1034375</v>
      </c>
      <c r="N201" s="136" t="str">
        <f t="array" ref="N201">IF(O201="","",INDEX(Podcasts!$J$10:'Podcasts'!$J$2535,MATCH(O201&amp;$B201,Podcasts!$E$10:'Podcasts'!$E$2535&amp;Podcasts!$D$10:'Podcasts'!$D$2535,0)))</f>
        <v/>
      </c>
      <c r="O201" s="133" t="str">
        <f t="array" ref="O201">IF(COUNTIF(Podcasts!$D$10:'Podcasts'!$D$2535,$B201)&lt;COLUMN(D164),"",SMALL(IF(Podcasts!$D$10:'Podcasts'!$D$2535=$B201,Podcasts!$E$10:'Podcasts'!$E$2535),COLUMN(D164)))</f>
        <v/>
      </c>
      <c r="P201" s="132" t="str">
        <f t="array" ref="P201">IF(O201="","",INDEX(Podcasts!$F$10:'Podcasts'!$F$2535,MATCH(O201&amp;$B201,Podcasts!$E$10:'Podcasts'!$E$2535&amp;Podcasts!$D$10:'Podcasts'!$D$2535,0)))</f>
        <v/>
      </c>
      <c r="Q201" s="136" t="str">
        <f t="array" ref="Q201">IF(R201="","",INDEX(Podcasts!$J$10:'Podcasts'!$J$2535,MATCH(R201&amp;$B201,Podcasts!$E$10:'Podcasts'!$E$2535&amp;Podcasts!$D$10:'Podcasts'!$D$2535,0)))</f>
        <v/>
      </c>
      <c r="R201" s="133" t="str">
        <f t="array" ref="R201">IF(COUNTIF(Podcasts!$D$10:'Podcasts'!$D$2535,$B201)&lt;COLUMN(E164),"",SMALL(IF(Podcasts!$D$10:'Podcasts'!$D$2535=$B201,Podcasts!$E$10:'Podcasts'!$E$2535),COLUMN(E164)))</f>
        <v/>
      </c>
      <c r="S201" s="132" t="str">
        <f t="array" ref="S201">IF(R201="","",INDEX(Podcasts!$F$10:'Podcasts'!$F$2535,MATCH(R201&amp;$B201,Podcasts!$E$10:'Podcasts'!$E$2535&amp;Podcasts!$D$10:'Podcasts'!$D$2535,0)))</f>
        <v/>
      </c>
      <c r="T201" s="136" t="str">
        <f t="array" ref="T201">IF(U201="","",INDEX(Podcasts!$J$10:'Podcasts'!$J$2535,MATCH(U201&amp;$B201,Podcasts!$E$10:'Podcasts'!$E$2535&amp;Podcasts!$D$10:'Podcasts'!$D$2535,0)))</f>
        <v/>
      </c>
      <c r="U201" s="133" t="str">
        <f t="array" ref="U201">IF(COUNTIF(Podcasts!$D$10:'Podcasts'!$D$2535,$B201)&lt;COLUMN(F164),"",SMALL(IF(Podcasts!$D$10:'Podcasts'!$D$2535=$B201,Podcasts!$E$10:'Podcasts'!$E$2535),COLUMN(F164)))</f>
        <v/>
      </c>
      <c r="V201" s="132" t="str">
        <f t="array" ref="V201">IF(U201="","",INDEX(Podcasts!$F$10:'Podcasts'!$F$2535,MATCH(U201&amp;$B201,Podcasts!$E$10:'Podcasts'!$E$2535&amp;Podcasts!$D$10:'Podcasts'!$D$2535,0)))</f>
        <v/>
      </c>
      <c r="W201" s="136" t="str">
        <f t="array" ref="W201">IF(X201="","",INDEX(Podcasts!$J$10:'Podcasts'!$J$2535,MATCH(X201&amp;$B201,Podcasts!$E$10:'Podcasts'!$E$2535&amp;Podcasts!$D$10:'Podcasts'!$D$2535,0)))</f>
        <v/>
      </c>
      <c r="X201" s="133" t="str">
        <f t="array" ref="X201">IF(COUNTIF(Podcasts!$D$10:'Podcasts'!$D$2535,$B201)&lt;COLUMN(G164),"",SMALL(IF(Podcasts!$D$10:'Podcasts'!$D$2535=$B201,Podcasts!$E$10:'Podcasts'!$E$2535),COLUMN(G164)))</f>
        <v/>
      </c>
      <c r="Y201" s="132" t="str">
        <f t="array" ref="Y201">IF(X201="","",INDEX(Podcasts!$F$10:'Podcasts'!$F$2535,MATCH(X201&amp;$B201,Podcasts!$E$10:'Podcasts'!$E$2535&amp;Podcasts!$D$10:'Podcasts'!$D$2535,0)))</f>
        <v/>
      </c>
      <c r="Z201" s="136" t="str">
        <f t="array" ref="Z201">IF(AA201="","",INDEX(Podcasts!$J$10:'Podcasts'!$J$2535,MATCH(AA201&amp;$B201,Podcasts!$E$10:'Podcasts'!$E$2535&amp;Podcasts!$D$10:'Podcasts'!$D$2535,0)))</f>
        <v/>
      </c>
      <c r="AA201" s="134" t="str">
        <f t="array" ref="AA201">IF(COUNTIF(Podcasts!$D$10:'Podcasts'!$D$2535,$B201)&lt;COLUMN(H164),"",SMALL(IF(Podcasts!$D$10:'Podcasts'!$D$2535=$B201,Podcasts!$E$10:'Podcasts'!$E$2535),COLUMN(H164)))</f>
        <v/>
      </c>
      <c r="AB201" s="404" t="str">
        <f t="array" ref="AB201">IF(AA201="","",INDEX(Podcasts!$F$10:'Podcasts'!$F$2535,MATCH(AA201&amp;$B201,Podcasts!$E$10:'Podcasts'!$E$2535&amp;Podcasts!$D$10:'Podcasts'!$D$2535,0)))</f>
        <v/>
      </c>
      <c r="AC201" s="406" t="str">
        <f t="array" ref="AC201">IF(AD201="","",INDEX(Podcasts!$J$10:'Podcasts'!$J$2535,MATCH(AD201&amp;$B201,Podcasts!$E$10:'Podcasts'!$E$2535&amp;Podcasts!$D$10:'Podcasts'!$D$2535,0)))</f>
        <v/>
      </c>
      <c r="AD201" s="400" t="str">
        <f t="array" ref="AD201">IF(COUNTIF(Podcasts!$D$10:'Podcasts'!$D$2535,$B201)&lt;COLUMN(I164),"",SMALL(IF(Podcasts!$D$10:'Podcasts'!$D$2535=$B201,Podcasts!$E$10:'Podcasts'!$E$2535),COLUMN(I164)))</f>
        <v/>
      </c>
      <c r="AE201" s="401" t="str">
        <f t="array" ref="AE201">IF(AD201="","",INDEX(Podcasts!$F$10:'Podcasts'!$F$2535,MATCH(AD201&amp;$B201,Podcasts!$E$10:'Podcasts'!$E$2535&amp;Podcasts!$D$10:'Podcasts'!$D$2535,0)))</f>
        <v/>
      </c>
      <c r="AF201" s="406" t="str">
        <f t="array" ref="AF201">IF(AG201="","",INDEX(Podcasts!$J$10:'Podcasts'!$J$2535,MATCH(AG201&amp;$B201,Podcasts!$E$10:'Podcasts'!$E$2535&amp;Podcasts!$D$10:'Podcasts'!$D$2535,0)))</f>
        <v/>
      </c>
      <c r="AG201" s="400" t="str">
        <f t="array" ref="AG201">IF(COUNTIF(Podcasts!$D$10:'Podcasts'!$D$2535,$B201)&lt;COLUMN(J164),"",SMALL(IF(Podcasts!$D$10:'Podcasts'!$D$2535=$B201,Podcasts!$E$10:'Podcasts'!$E$2535),COLUMN(J164)))</f>
        <v/>
      </c>
      <c r="AH201" s="401" t="str">
        <f t="array" ref="AH201">IF(AG201="","",INDEX(Podcasts!$F$10:'Podcasts'!$F$2535,MATCH(AG201&amp;$B201,Podcasts!$E$10:'Podcasts'!$E$2535&amp;Podcasts!$D$10:'Podcasts'!$D$2535,0)))</f>
        <v/>
      </c>
      <c r="AI201" s="406" t="str">
        <f t="array" ref="AI201">IF(AJ201="","",INDEX(Podcasts!$J$10:'Podcasts'!$J$2535,MATCH(AJ201&amp;$B201,Podcasts!$E$10:'Podcasts'!$E$2535&amp;Podcasts!$D$10:'Podcasts'!$D$2535,0)))</f>
        <v/>
      </c>
      <c r="AJ201" s="400" t="str">
        <f t="array" ref="AJ201">IF(COUNTIF(Podcasts!$D$10:'Podcasts'!$D$2535,$B201)&lt;COLUMN(K164),"",SMALL(IF(Podcasts!$D$10:'Podcasts'!$D$2535=$B201,Podcasts!$E$10:'Podcasts'!$E$2535),COLUMN(K164)))</f>
        <v/>
      </c>
      <c r="AK201" s="401" t="str">
        <f t="array" ref="AK201">IF(AJ201="","",INDEX(Podcasts!$F$10:'Podcasts'!$F$2535,MATCH(AJ201&amp;$B201,Podcasts!$E$10:'Podcasts'!$E$2535&amp;Podcasts!$D$10:'Podcasts'!$D$2535,0)))</f>
        <v/>
      </c>
      <c r="AL201" s="406" t="str">
        <f t="array" ref="AL201">IF(AM201="","",INDEX(Podcasts!$J$10:'Podcasts'!$J$2535,MATCH(AM201&amp;$B201,Podcasts!$E$10:'Podcasts'!$E$2535&amp;Podcasts!$D$10:'Podcasts'!$D$2535,0)))</f>
        <v/>
      </c>
      <c r="AM201" s="400" t="str">
        <f t="array" ref="AM201">IF(COUNTIF(Podcasts!$D$10:'Podcasts'!$D$2535,$B201)&lt;COLUMN(L164),"",SMALL(IF(Podcasts!$D$10:'Podcasts'!$D$2535=$B201,Podcasts!$E$10:'Podcasts'!$E$2535),COLUMN(L164)))</f>
        <v/>
      </c>
      <c r="AN201" s="401" t="str">
        <f t="array" ref="AN201">IF(AM201="","",INDEX(Podcasts!$F$10:'Podcasts'!$F$2535,MATCH(AM201&amp;$B201,Podcasts!$E$10:'Podcasts'!$E$2535&amp;Podcasts!$D$10:'Podcasts'!$D$2535,0)))</f>
        <v/>
      </c>
      <c r="AO201" s="402"/>
      <c r="AP201" s="119"/>
      <c r="AQ201" s="117">
        <f t="array" aca="1" ref="AQ201" ca="1">IFERROR(SMALL(IF(COUNTIF(Podcasts!$D$10:'Podcasts'!$D$107,ROW(INDIRECT("1:"&amp;K$2)))=0,ROW(INDIRECT("1:"&amp;K$2))),ROW($A158)),"")</f>
        <v>205</v>
      </c>
      <c r="AR201" s="117"/>
      <c r="AS201" s="117">
        <f t="array" aca="1" ref="AS201" ca="1">IFERROR(SMALL(IF(COUNTIF(Podcasts!$D$244:'Podcasts'!$D$299,ROW(INDIRECT("1:"&amp;K$2)))=0,ROW(INDIRECT("1:"&amp;K$2))),ROW($A158)),"")</f>
        <v>195</v>
      </c>
      <c r="AT201" s="117"/>
      <c r="AU201" s="117">
        <f t="array" aca="1" ref="AU201" ca="1">IFERROR(SMALL(IF(COUNTIF(Podcasts!$D$479:'Podcasts'!$D$488,ROW(INDIRECT("1:"&amp;K$2)))=0,ROW(INDIRECT("1:"&amp;K$2))),ROW($A158)),"")</f>
        <v>162</v>
      </c>
      <c r="AV201" s="117">
        <f t="array" aca="1" ref="AV201" ca="1">IFERROR(SMALL(IF(COUNTIF(Podcasts!$D$494:'Podcasts'!$D$518,ROW(INDIRECT("1:"&amp;K$2)))=0,ROW(INDIRECT("1:"&amp;K$2))),ROW($A158)),"")</f>
        <v>182</v>
      </c>
      <c r="AW201" s="117">
        <f t="array" aca="1" ref="AW201" ca="1">IFERROR(SMALL(IF(COUNTIF(Podcasts!$D$524:'Podcasts'!$D$532,ROW(INDIRECT("1:"&amp;K$2)))=0,ROW(INDIRECT("1:"&amp;K$2))),ROW($A158)),"")</f>
        <v>159</v>
      </c>
      <c r="AX201" s="117"/>
      <c r="AY201" s="117">
        <f t="array" aca="1" ref="AY201" ca="1">IFERROR(SMALL(IF(COUNTIF(Podcasts!$D$915:'Podcasts'!$D$981,ROW(INDIRECT("1:"&amp;K$2)))=0,ROW(INDIRECT("1:"&amp;K$2))),ROW($A158)),"")</f>
        <v>214</v>
      </c>
      <c r="AZ201" s="445"/>
      <c r="BA201" s="117">
        <f t="array" aca="1" ref="BA201" ca="1">IFERROR(SMALL(IF(COUNTIF(Podcasts!$D$1001:'Podcasts'!$D$1251,ROW(INDIRECT("1:"&amp;K$2)))=0,ROW(INDIRECT("1:"&amp;K$2))),ROW($A158)),"")</f>
        <v>216</v>
      </c>
      <c r="BB201" s="117">
        <f t="array" aca="1" ref="BB201" ca="1">IFERROR(SMALL(IF(COUNTIF(Podcasts!$D$1257:'Podcasts'!$D$1267,ROW(INDIRECT("1:"&amp;K$2)))=0,ROW(INDIRECT("1:"&amp;K$2))),ROW($A158)),"")</f>
        <v>163</v>
      </c>
      <c r="BC201" s="117">
        <f t="array" aca="1" ref="BC201" ca="1">IFERROR(SMALL(IF(COUNTIF(Podcasts!$D$1273:'Podcasts'!$D$1283,ROW(INDIRECT("1:"&amp;K$2)))=0,ROW(INDIRECT("1:"&amp;K$2))),ROW($A158)),"")</f>
        <v>163</v>
      </c>
      <c r="BD201" s="117">
        <f t="array" aca="1" ref="BD201" ca="1">IFERROR(SMALL(IF(COUNTIF(Podcasts!$D$1289:'Podcasts'!$D$1295,ROW(INDIRECT("1:"&amp;K$2)))=0,ROW(INDIRECT("1:"&amp;K$2))),ROW($A158)),"")</f>
        <v>164</v>
      </c>
      <c r="BE201" s="117">
        <f t="array" aca="1" ref="BE201" ca="1">IFERROR(SMALL(IF(COUNTIF(Podcasts!$D$1301:'Podcasts'!$D$1356,ROW(INDIRECT("1:"&amp;K$2)))=0,ROW(INDIRECT("1:"&amp;K$2))),ROW($A158)),"")</f>
        <v>205</v>
      </c>
      <c r="BF201" s="117">
        <f t="array" aca="1" ref="BF201" ca="1">IFERROR(SMALL(IF(COUNTIF(Podcasts!$D$1362:'Podcasts'!$D$1364,ROW(INDIRECT("1:"&amp;K$2)))=0,ROW(INDIRECT("1:"&amp;K$2))),ROW($A158)),"")</f>
        <v>161</v>
      </c>
      <c r="BG201" s="202">
        <f t="array" aca="1" ref="BG201" ca="1">IFERROR(SMALL(IF(COUNTIF(Podcasts!$D$1370:'Podcasts'!$D$1419,ROW(INDIRECT("1:"&amp;K$2)))=0,ROW(INDIRECT("1:"&amp;K$2))),ROW($A158)),"")</f>
        <v>198</v>
      </c>
      <c r="BH201" s="202">
        <f t="array" aca="1" ref="BH201" ca="1">IFERROR(SMALL(IF(COUNTIF(Podcasts!$D$1425:'Podcasts'!$D$1446,ROW(INDIRECT("1:"&amp;K$2)))=0,ROW(INDIRECT("1:"&amp;K$2))),ROW($A158)),"")</f>
        <v>169</v>
      </c>
      <c r="BI201" s="202"/>
      <c r="BJ201" s="202"/>
      <c r="BK201" s="202"/>
      <c r="BL201" s="202">
        <f t="array" aca="1" ref="BL201" ca="1">IFERROR(SMALL(IF(COUNTIF(Podcasts!$D$1839:'Podcasts'!$D$1855,ROW(INDIRECT("1:"&amp;K$2)))=0,ROW(INDIRECT("1:"&amp;K$2))),ROW($A158)),"")</f>
        <v>167</v>
      </c>
      <c r="BM201" s="567">
        <f t="array" aca="1" ref="BM201" ca="1">IFERROR(SMALL(IF(COUNTIF(Podcasts!$D$1861:'Podcasts'!$D$1994,ROW(INDIRECT("1:"&amp;K$2)))=0,ROW(INDIRECT("1:"&amp;K$2))),ROW($A158)),"")</f>
        <v>209</v>
      </c>
      <c r="BN201" s="567">
        <f t="array" aca="1" ref="BN201" ca="1">IFERROR(SMALL(IF(COUNTIF(Podcasts!$D$2000:'Podcasts'!$D$2057,ROW(INDIRECT("1:"&amp;K$2)))=0,ROW(INDIRECT("1:"&amp;K$2))),ROW($A158)),"")</f>
        <v>213</v>
      </c>
      <c r="BO201" s="567">
        <f t="array" aca="1" ref="BO201" ca="1">IFERROR(SMALL(IF(COUNTIF(Podcasts!$D$2063:'Podcasts'!$D$2071,ROW(INDIRECT("1:"&amp;K$2)))=0,ROW(INDIRECT("1:"&amp;K$2))),ROW($A158)),"")</f>
        <v>166</v>
      </c>
      <c r="BP201" s="202">
        <f t="array" aca="1" ref="BP201" ca="1">IFERROR(SMALL(IF(COUNTIF(Podcasts!$D$2077:'Podcasts'!$D$2092,ROW(INDIRECT("1:"&amp;K$2)))=0,ROW(INDIRECT("1:"&amp;K$2))),ROW($A158)),"")</f>
        <v>169</v>
      </c>
      <c r="BQ201" s="741">
        <f t="array" aca="1" ref="BQ201" ca="1">IFERROR(SMALL(IF(COUNTIF(Podcasts!$D$2098:'Podcasts'!$D$2114,ROW(INDIRECT("1:"&amp;K$2)))=0,ROW(INDIRECT("1:"&amp;K$2))),ROW($A158)),"")</f>
        <v>172</v>
      </c>
      <c r="BR201" s="744">
        <f t="array" aca="1" ref="BR201" ca="1">IFERROR(SMALL(IF(COUNTIF(Podcasts!$D$2120:'Podcasts'!$D$2124,ROW(INDIRECT("1:"&amp;K$2)))=0,ROW(INDIRECT("1:"&amp;K$2))),ROW($A158)),"")</f>
        <v>160</v>
      </c>
      <c r="BS201" s="28"/>
    </row>
    <row r="202" spans="1:71" outlineLevel="1">
      <c r="A202" s="28"/>
      <c r="B202" s="161">
        <v>159</v>
      </c>
      <c r="C202" s="161">
        <f>COUNTIF(Podcasts!$D$10:'Podcasts'!$D$2535,B202)</f>
        <v>6</v>
      </c>
      <c r="D202" s="160" t="s">
        <v>1184</v>
      </c>
      <c r="E202" s="156" t="str">
        <f t="array" ref="E202">IF(F202="","",INDEX(Podcasts!$J$10:'Podcasts'!$J$2535,MATCH(F202&amp;$B202,Podcasts!$E$10:'Podcasts'!$E$2535&amp;Podcasts!$D$10:'Podcasts'!$D$2535,0)))</f>
        <v>Ohr</v>
      </c>
      <c r="F202" s="131">
        <f t="array" ref="F202">IF(COUNTIF(Podcasts!$D$10:'Podcasts'!$D$2535,$B202)&lt;COLUMN(A165),"",SMALL(IF(Podcasts!$D$10:'Podcasts'!$D$2535=$B202,Podcasts!$E$10:'Podcasts'!$E$2535),COLUMN(A165)))</f>
        <v>41304</v>
      </c>
      <c r="G202" s="132">
        <f t="array" ref="G202">IF(F202="","",INDEX(Podcasts!$F$10:'Podcasts'!$F$2535,MATCH(F202&amp;$B202,Podcasts!$E$10:'Podcasts'!$E$2535&amp;Podcasts!$D$10:'Podcasts'!$D$2535,0)))</f>
        <v>2.5347222222222221E-3</v>
      </c>
      <c r="H202" s="136" t="str">
        <f t="array" ref="H202">IF(I202="","",INDEX(Podcasts!$J$10:'Podcasts'!$J$2535,MATCH(I202&amp;$B202,Podcasts!$E$10:'Podcasts'!$E$2535&amp;Podcasts!$D$10:'Podcasts'!$D$2535,0)))</f>
        <v>???od</v>
      </c>
      <c r="I202" s="133">
        <f t="array" ref="I202">IF(COUNTIF(Podcasts!$D$10:'Podcasts'!$D$2535,$B202)&lt;COLUMN(B165),"",SMALL(IF(Podcasts!$D$10:'Podcasts'!$D$2535=$B202,Podcasts!$E$10:'Podcasts'!$E$2535),COLUMN(B165)))</f>
        <v>41307</v>
      </c>
      <c r="J202" s="132">
        <f t="array" ref="J202">IF(I202="","",INDEX(Podcasts!$F$10:'Podcasts'!$F$2535,MATCH(I202&amp;$B202,Podcasts!$E$10:'Podcasts'!$E$2535&amp;Podcasts!$D$10:'Podcasts'!$D$2535,0)))</f>
        <v>4.2349537037037033E-2</v>
      </c>
      <c r="K202" s="136" t="str">
        <f t="array" ref="K202">IF(L202="","",INDEX(Podcasts!$J$10:'Podcasts'!$J$2535,MATCH(L202&amp;$B202,Podcasts!$E$10:'Podcasts'!$E$2535&amp;Podcasts!$D$10:'Podcasts'!$D$2535,0)))</f>
        <v>Fan</v>
      </c>
      <c r="L202" s="133">
        <f t="array" ref="L202">IF(COUNTIF(Podcasts!$D$10:'Podcasts'!$D$2535,$B202)&lt;COLUMN(C165),"",SMALL(IF(Podcasts!$D$10:'Podcasts'!$D$2535=$B202,Podcasts!$E$10:'Podcasts'!$E$2535),COLUMN(C165)))</f>
        <v>44419</v>
      </c>
      <c r="M202" s="132">
        <f t="array" ref="M202">IF(L202="","",INDEX(Podcasts!$F$10:'Podcasts'!$F$2535,MATCH(L202&amp;$B202,Podcasts!$E$10:'Podcasts'!$E$2535&amp;Podcasts!$D$10:'Podcasts'!$D$2535,0)))</f>
        <v>0.10457175925925925</v>
      </c>
      <c r="N202" s="136" t="str">
        <f t="array" ref="N202">IF(O202="","",INDEX(Podcasts!$J$10:'Podcasts'!$J$2535,MATCH(O202&amp;$B202,Podcasts!$E$10:'Podcasts'!$E$2535&amp;Podcasts!$D$10:'Podcasts'!$D$2535,0)))</f>
        <v>SSP</v>
      </c>
      <c r="O202" s="133">
        <f t="array" ref="O202">IF(COUNTIF(Podcasts!$D$10:'Podcasts'!$D$2535,$B202)&lt;COLUMN(D165),"",SMALL(IF(Podcasts!$D$10:'Podcasts'!$D$2535=$B202,Podcasts!$E$10:'Podcasts'!$E$2535),COLUMN(D165)))</f>
        <v>44504</v>
      </c>
      <c r="P202" s="132">
        <f t="array" ref="P202">IF(O202="","",INDEX(Podcasts!$F$10:'Podcasts'!$F$2535,MATCH(O202&amp;$B202,Podcasts!$E$10:'Podcasts'!$E$2535&amp;Podcasts!$D$10:'Podcasts'!$D$2535,0)))</f>
        <v>7.12037037037037E-2</v>
      </c>
      <c r="Q202" s="136" t="str">
        <f t="array" ref="Q202">IF(R202="","",INDEX(Podcasts!$J$10:'Podcasts'!$J$2535,MATCH(R202&amp;$B202,Podcasts!$E$10:'Podcasts'!$E$2535&amp;Podcasts!$D$10:'Podcasts'!$D$2535,0)))</f>
        <v>Zw3i</v>
      </c>
      <c r="R202" s="133">
        <f t="array" ref="R202">IF(COUNTIF(Podcasts!$D$10:'Podcasts'!$D$2535,$B202)&lt;COLUMN(E165),"",SMALL(IF(Podcasts!$D$10:'Podcasts'!$D$2535=$B202,Podcasts!$E$10:'Podcasts'!$E$2535),COLUMN(E165)))</f>
        <v>45058</v>
      </c>
      <c r="S202" s="132">
        <f t="array" ref="S202">IF(R202="","",INDEX(Podcasts!$F$10:'Podcasts'!$F$2535,MATCH(R202&amp;$B202,Podcasts!$E$10:'Podcasts'!$E$2535&amp;Podcasts!$D$10:'Podcasts'!$D$2535,0)))</f>
        <v>9.0000000000000011E-2</v>
      </c>
      <c r="T202" s="136" t="str">
        <f t="array" ref="T202">IF(U202="","",INDEX(Podcasts!$J$10:'Podcasts'!$J$2535,MATCH(U202&amp;$B202,Podcasts!$E$10:'Podcasts'!$E$2535&amp;Podcasts!$D$10:'Podcasts'!$D$2535,0)))</f>
        <v>Verstärker</v>
      </c>
      <c r="U202" s="133">
        <f t="array" ref="U202">IF(COUNTIF(Podcasts!$D$10:'Podcasts'!$D$2535,$B202)&lt;COLUMN(F165),"",SMALL(IF(Podcasts!$D$10:'Podcasts'!$D$2535=$B202,Podcasts!$E$10:'Podcasts'!$E$2535),COLUMN(F165)))</f>
        <v>45415</v>
      </c>
      <c r="V202" s="132">
        <f t="array" ref="V202">IF(U202="","",INDEX(Podcasts!$F$10:'Podcasts'!$F$2535,MATCH(U202&amp;$B202,Podcasts!$E$10:'Podcasts'!$E$2535&amp;Podcasts!$D$10:'Podcasts'!$D$2535,0)))</f>
        <v>0</v>
      </c>
      <c r="W202" s="136" t="str">
        <f t="array" ref="W202">IF(X202="","",INDEX(Podcasts!$J$10:'Podcasts'!$J$2535,MATCH(X202&amp;$B202,Podcasts!$E$10:'Podcasts'!$E$2535&amp;Podcasts!$D$10:'Podcasts'!$D$2535,0)))</f>
        <v/>
      </c>
      <c r="X202" s="133" t="str">
        <f t="array" ref="X202">IF(COUNTIF(Podcasts!$D$10:'Podcasts'!$D$2535,$B202)&lt;COLUMN(G165),"",SMALL(IF(Podcasts!$D$10:'Podcasts'!$D$2535=$B202,Podcasts!$E$10:'Podcasts'!$E$2535),COLUMN(G165)))</f>
        <v/>
      </c>
      <c r="Y202" s="132" t="str">
        <f t="array" ref="Y202">IF(X202="","",INDEX(Podcasts!$F$10:'Podcasts'!$F$2535,MATCH(X202&amp;$B202,Podcasts!$E$10:'Podcasts'!$E$2535&amp;Podcasts!$D$10:'Podcasts'!$D$2535,0)))</f>
        <v/>
      </c>
      <c r="Z202" s="136" t="str">
        <f t="array" ref="Z202">IF(AA202="","",INDEX(Podcasts!$J$10:'Podcasts'!$J$2535,MATCH(AA202&amp;$B202,Podcasts!$E$10:'Podcasts'!$E$2535&amp;Podcasts!$D$10:'Podcasts'!$D$2535,0)))</f>
        <v/>
      </c>
      <c r="AA202" s="134" t="str">
        <f t="array" ref="AA202">IF(COUNTIF(Podcasts!$D$10:'Podcasts'!$D$2535,$B202)&lt;COLUMN(H165),"",SMALL(IF(Podcasts!$D$10:'Podcasts'!$D$2535=$B202,Podcasts!$E$10:'Podcasts'!$E$2535),COLUMN(H165)))</f>
        <v/>
      </c>
      <c r="AB202" s="404" t="str">
        <f t="array" ref="AB202">IF(AA202="","",INDEX(Podcasts!$F$10:'Podcasts'!$F$2535,MATCH(AA202&amp;$B202,Podcasts!$E$10:'Podcasts'!$E$2535&amp;Podcasts!$D$10:'Podcasts'!$D$2535,0)))</f>
        <v/>
      </c>
      <c r="AC202" s="406" t="str">
        <f t="array" ref="AC202">IF(AD202="","",INDEX(Podcasts!$J$10:'Podcasts'!$J$2535,MATCH(AD202&amp;$B202,Podcasts!$E$10:'Podcasts'!$E$2535&amp;Podcasts!$D$10:'Podcasts'!$D$2535,0)))</f>
        <v/>
      </c>
      <c r="AD202" s="400" t="str">
        <f t="array" ref="AD202">IF(COUNTIF(Podcasts!$D$10:'Podcasts'!$D$2535,$B202)&lt;COLUMN(I165),"",SMALL(IF(Podcasts!$D$10:'Podcasts'!$D$2535=$B202,Podcasts!$E$10:'Podcasts'!$E$2535),COLUMN(I165)))</f>
        <v/>
      </c>
      <c r="AE202" s="401" t="str">
        <f t="array" ref="AE202">IF(AD202="","",INDEX(Podcasts!$F$10:'Podcasts'!$F$2535,MATCH(AD202&amp;$B202,Podcasts!$E$10:'Podcasts'!$E$2535&amp;Podcasts!$D$10:'Podcasts'!$D$2535,0)))</f>
        <v/>
      </c>
      <c r="AF202" s="406" t="str">
        <f t="array" ref="AF202">IF(AG202="","",INDEX(Podcasts!$J$10:'Podcasts'!$J$2535,MATCH(AG202&amp;$B202,Podcasts!$E$10:'Podcasts'!$E$2535&amp;Podcasts!$D$10:'Podcasts'!$D$2535,0)))</f>
        <v/>
      </c>
      <c r="AG202" s="400" t="str">
        <f t="array" ref="AG202">IF(COUNTIF(Podcasts!$D$10:'Podcasts'!$D$2535,$B202)&lt;COLUMN(J165),"",SMALL(IF(Podcasts!$D$10:'Podcasts'!$D$2535=$B202,Podcasts!$E$10:'Podcasts'!$E$2535),COLUMN(J165)))</f>
        <v/>
      </c>
      <c r="AH202" s="401" t="str">
        <f t="array" ref="AH202">IF(AG202="","",INDEX(Podcasts!$F$10:'Podcasts'!$F$2535,MATCH(AG202&amp;$B202,Podcasts!$E$10:'Podcasts'!$E$2535&amp;Podcasts!$D$10:'Podcasts'!$D$2535,0)))</f>
        <v/>
      </c>
      <c r="AI202" s="406" t="str">
        <f t="array" ref="AI202">IF(AJ202="","",INDEX(Podcasts!$J$10:'Podcasts'!$J$2535,MATCH(AJ202&amp;$B202,Podcasts!$E$10:'Podcasts'!$E$2535&amp;Podcasts!$D$10:'Podcasts'!$D$2535,0)))</f>
        <v/>
      </c>
      <c r="AJ202" s="400" t="str">
        <f t="array" ref="AJ202">IF(COUNTIF(Podcasts!$D$10:'Podcasts'!$D$2535,$B202)&lt;COLUMN(K165),"",SMALL(IF(Podcasts!$D$10:'Podcasts'!$D$2535=$B202,Podcasts!$E$10:'Podcasts'!$E$2535),COLUMN(K165)))</f>
        <v/>
      </c>
      <c r="AK202" s="401" t="str">
        <f t="array" ref="AK202">IF(AJ202="","",INDEX(Podcasts!$F$10:'Podcasts'!$F$2535,MATCH(AJ202&amp;$B202,Podcasts!$E$10:'Podcasts'!$E$2535&amp;Podcasts!$D$10:'Podcasts'!$D$2535,0)))</f>
        <v/>
      </c>
      <c r="AL202" s="406" t="str">
        <f t="array" ref="AL202">IF(AM202="","",INDEX(Podcasts!$J$10:'Podcasts'!$J$2535,MATCH(AM202&amp;$B202,Podcasts!$E$10:'Podcasts'!$E$2535&amp;Podcasts!$D$10:'Podcasts'!$D$2535,0)))</f>
        <v/>
      </c>
      <c r="AM202" s="400" t="str">
        <f t="array" ref="AM202">IF(COUNTIF(Podcasts!$D$10:'Podcasts'!$D$2535,$B202)&lt;COLUMN(L165),"",SMALL(IF(Podcasts!$D$10:'Podcasts'!$D$2535=$B202,Podcasts!$E$10:'Podcasts'!$E$2535),COLUMN(L165)))</f>
        <v/>
      </c>
      <c r="AN202" s="401" t="str">
        <f t="array" ref="AN202">IF(AM202="","",INDEX(Podcasts!$F$10:'Podcasts'!$F$2535,MATCH(AM202&amp;$B202,Podcasts!$E$10:'Podcasts'!$E$2535&amp;Podcasts!$D$10:'Podcasts'!$D$2535,0)))</f>
        <v/>
      </c>
      <c r="AO202" s="402"/>
      <c r="AP202" s="119"/>
      <c r="AQ202" s="117">
        <f t="array" aca="1" ref="AQ202" ca="1">IFERROR(SMALL(IF(COUNTIF(Podcasts!$D$10:'Podcasts'!$D$107,ROW(INDIRECT("1:"&amp;K$2)))=0,ROW(INDIRECT("1:"&amp;K$2))),ROW($A159)),"")</f>
        <v>206</v>
      </c>
      <c r="AR202" s="117"/>
      <c r="AS202" s="117">
        <f t="array" aca="1" ref="AS202" ca="1">IFERROR(SMALL(IF(COUNTIF(Podcasts!$D$244:'Podcasts'!$D$299,ROW(INDIRECT("1:"&amp;K$2)))=0,ROW(INDIRECT("1:"&amp;K$2))),ROW($A159)),"")</f>
        <v>196</v>
      </c>
      <c r="AT202" s="117"/>
      <c r="AU202" s="117">
        <f t="array" aca="1" ref="AU202" ca="1">IFERROR(SMALL(IF(COUNTIF(Podcasts!$D$479:'Podcasts'!$D$488,ROW(INDIRECT("1:"&amp;K$2)))=0,ROW(INDIRECT("1:"&amp;K$2))),ROW($A159)),"")</f>
        <v>163</v>
      </c>
      <c r="AV202" s="117">
        <f t="array" aca="1" ref="AV202" ca="1">IFERROR(SMALL(IF(COUNTIF(Podcasts!$D$494:'Podcasts'!$D$518,ROW(INDIRECT("1:"&amp;K$2)))=0,ROW(INDIRECT("1:"&amp;K$2))),ROW($A159)),"")</f>
        <v>183</v>
      </c>
      <c r="AW202" s="117">
        <f t="array" aca="1" ref="AW202" ca="1">IFERROR(SMALL(IF(COUNTIF(Podcasts!$D$524:'Podcasts'!$D$532,ROW(INDIRECT("1:"&amp;K$2)))=0,ROW(INDIRECT("1:"&amp;K$2))),ROW($A159)),"")</f>
        <v>160</v>
      </c>
      <c r="AX202" s="117"/>
      <c r="AY202" s="117">
        <f t="array" aca="1" ref="AY202" ca="1">IFERROR(SMALL(IF(COUNTIF(Podcasts!$D$915:'Podcasts'!$D$981,ROW(INDIRECT("1:"&amp;K$2)))=0,ROW(INDIRECT("1:"&amp;K$2))),ROW($A159)),"")</f>
        <v>215</v>
      </c>
      <c r="AZ202" s="445"/>
      <c r="BA202" s="117">
        <f t="array" aca="1" ref="BA202" ca="1">IFERROR(SMALL(IF(COUNTIF(Podcasts!$D$1001:'Podcasts'!$D$1251,ROW(INDIRECT("1:"&amp;K$2)))=0,ROW(INDIRECT("1:"&amp;K$2))),ROW($A159)),"")</f>
        <v>217</v>
      </c>
      <c r="BB202" s="117">
        <f t="array" aca="1" ref="BB202" ca="1">IFERROR(SMALL(IF(COUNTIF(Podcasts!$D$1257:'Podcasts'!$D$1267,ROW(INDIRECT("1:"&amp;K$2)))=0,ROW(INDIRECT("1:"&amp;K$2))),ROW($A159)),"")</f>
        <v>164</v>
      </c>
      <c r="BC202" s="117">
        <f t="array" aca="1" ref="BC202" ca="1">IFERROR(SMALL(IF(COUNTIF(Podcasts!$D$1273:'Podcasts'!$D$1283,ROW(INDIRECT("1:"&amp;K$2)))=0,ROW(INDIRECT("1:"&amp;K$2))),ROW($A159)),"")</f>
        <v>164</v>
      </c>
      <c r="BD202" s="117">
        <f t="array" aca="1" ref="BD202" ca="1">IFERROR(SMALL(IF(COUNTIF(Podcasts!$D$1289:'Podcasts'!$D$1295,ROW(INDIRECT("1:"&amp;K$2)))=0,ROW(INDIRECT("1:"&amp;K$2))),ROW($A159)),"")</f>
        <v>165</v>
      </c>
      <c r="BE202" s="117">
        <f t="array" aca="1" ref="BE202" ca="1">IFERROR(SMALL(IF(COUNTIF(Podcasts!$D$1301:'Podcasts'!$D$1356,ROW(INDIRECT("1:"&amp;K$2)))=0,ROW(INDIRECT("1:"&amp;K$2))),ROW($A159)),"")</f>
        <v>206</v>
      </c>
      <c r="BF202" s="117">
        <f t="array" aca="1" ref="BF202" ca="1">IFERROR(SMALL(IF(COUNTIF(Podcasts!$D$1362:'Podcasts'!$D$1364,ROW(INDIRECT("1:"&amp;K$2)))=0,ROW(INDIRECT("1:"&amp;K$2))),ROW($A159)),"")</f>
        <v>162</v>
      </c>
      <c r="BG202" s="202">
        <f t="array" aca="1" ref="BG202" ca="1">IFERROR(SMALL(IF(COUNTIF(Podcasts!$D$1370:'Podcasts'!$D$1419,ROW(INDIRECT("1:"&amp;K$2)))=0,ROW(INDIRECT("1:"&amp;K$2))),ROW($A159)),"")</f>
        <v>199</v>
      </c>
      <c r="BH202" s="202">
        <f t="array" aca="1" ref="BH202" ca="1">IFERROR(SMALL(IF(COUNTIF(Podcasts!$D$1425:'Podcasts'!$D$1446,ROW(INDIRECT("1:"&amp;K$2)))=0,ROW(INDIRECT("1:"&amp;K$2))),ROW($A159)),"")</f>
        <v>170</v>
      </c>
      <c r="BI202" s="202"/>
      <c r="BJ202" s="202"/>
      <c r="BK202" s="202"/>
      <c r="BL202" s="202">
        <f t="array" aca="1" ref="BL202" ca="1">IFERROR(SMALL(IF(COUNTIF(Podcasts!$D$1839:'Podcasts'!$D$1855,ROW(INDIRECT("1:"&amp;K$2)))=0,ROW(INDIRECT("1:"&amp;K$2))),ROW($A159)),"")</f>
        <v>168</v>
      </c>
      <c r="BM202" s="567">
        <f t="array" aca="1" ref="BM202" ca="1">IFERROR(SMALL(IF(COUNTIF(Podcasts!$D$1861:'Podcasts'!$D$1994,ROW(INDIRECT("1:"&amp;K$2)))=0,ROW(INDIRECT("1:"&amp;K$2))),ROW($A159)),"")</f>
        <v>213</v>
      </c>
      <c r="BN202" s="567">
        <f t="array" aca="1" ref="BN202" ca="1">IFERROR(SMALL(IF(COUNTIF(Podcasts!$D$2000:'Podcasts'!$D$2057,ROW(INDIRECT("1:"&amp;K$2)))=0,ROW(INDIRECT("1:"&amp;K$2))),ROW($A159)),"")</f>
        <v>214</v>
      </c>
      <c r="BO202" s="567">
        <f t="array" aca="1" ref="BO202" ca="1">IFERROR(SMALL(IF(COUNTIF(Podcasts!$D$2063:'Podcasts'!$D$2071,ROW(INDIRECT("1:"&amp;K$2)))=0,ROW(INDIRECT("1:"&amp;K$2))),ROW($A159)),"")</f>
        <v>167</v>
      </c>
      <c r="BP202" s="202">
        <f t="array" aca="1" ref="BP202" ca="1">IFERROR(SMALL(IF(COUNTIF(Podcasts!$D$2077:'Podcasts'!$D$2092,ROW(INDIRECT("1:"&amp;K$2)))=0,ROW(INDIRECT("1:"&amp;K$2))),ROW($A159)),"")</f>
        <v>170</v>
      </c>
      <c r="BQ202" s="741">
        <f t="array" aca="1" ref="BQ202" ca="1">IFERROR(SMALL(IF(COUNTIF(Podcasts!$D$2098:'Podcasts'!$D$2114,ROW(INDIRECT("1:"&amp;K$2)))=0,ROW(INDIRECT("1:"&amp;K$2))),ROW($A159)),"")</f>
        <v>173</v>
      </c>
      <c r="BR202" s="744">
        <f t="array" aca="1" ref="BR202" ca="1">IFERROR(SMALL(IF(COUNTIF(Podcasts!$D$2120:'Podcasts'!$D$2124,ROW(INDIRECT("1:"&amp;K$2)))=0,ROW(INDIRECT("1:"&amp;K$2))),ROW($A159)),"")</f>
        <v>161</v>
      </c>
      <c r="BS202" s="28"/>
    </row>
    <row r="203" spans="1:71" outlineLevel="1">
      <c r="A203" s="28"/>
      <c r="B203" s="161">
        <v>160</v>
      </c>
      <c r="C203" s="161">
        <f>COUNTIF(Podcasts!$D$10:'Podcasts'!$D$2535,B203)-1</f>
        <v>2</v>
      </c>
      <c r="D203" s="160" t="s">
        <v>1185</v>
      </c>
      <c r="E203" s="156" t="str">
        <f t="array" ref="E203">IF(F203="","",INDEX(Podcasts!$J$10:'Podcasts'!$J$2535,MATCH(F203&amp;$B203,Podcasts!$E$10:'Podcasts'!$E$2535&amp;Podcasts!$D$10:'Podcasts'!$D$2535,0)))</f>
        <v>Ohr</v>
      </c>
      <c r="F203" s="131">
        <f t="array" ref="F203">IF(COUNTIF(Podcasts!$D$10:'Podcasts'!$D$2535,$B203)&lt;COLUMN(A166),"",SMALL(IF(Podcasts!$D$10:'Podcasts'!$D$2535=$B203,Podcasts!$E$10:'Podcasts'!$E$2535),COLUMN(A166)))</f>
        <v>41363</v>
      </c>
      <c r="G203" s="132">
        <f t="array" ref="G203">IF(F203="","",INDEX(Podcasts!$F$10:'Podcasts'!$F$2535,MATCH(F203&amp;$B203,Podcasts!$E$10:'Podcasts'!$E$2535&amp;Podcasts!$D$10:'Podcasts'!$D$2535,0)))</f>
        <v>1.4467592592592594E-3</v>
      </c>
      <c r="H203" s="136" t="str">
        <f t="array" ref="H203">IF(I203="","",INDEX(Podcasts!$J$10:'Podcasts'!$J$2535,MATCH(I203&amp;$B203,Podcasts!$E$10:'Podcasts'!$E$2535&amp;Podcasts!$D$10:'Podcasts'!$D$2535,0)))</f>
        <v>R&amp;A</v>
      </c>
      <c r="I203" s="133">
        <f t="array" ref="I203">IF(COUNTIF(Podcasts!$D$10:'Podcasts'!$D$2535,$B203)&lt;COLUMN(B166),"",SMALL(IF(Podcasts!$D$10:'Podcasts'!$D$2535=$B203,Podcasts!$E$10:'Podcasts'!$E$2535),COLUMN(B166)))</f>
        <v>43676.914976851855</v>
      </c>
      <c r="J203" s="132">
        <f t="array" ref="J203">IF(I203="","",INDEX(Podcasts!$F$10:'Podcasts'!$F$2535,MATCH(I203&amp;$B203,Podcasts!$E$10:'Podcasts'!$E$2535&amp;Podcasts!$D$10:'Podcasts'!$D$2535,0)))</f>
        <v>7.1956018518518516E-2</v>
      </c>
      <c r="K203" s="136" t="str">
        <f t="array" ref="K203">IF(L203="","",INDEX(Podcasts!$J$10:'Podcasts'!$J$2535,MATCH(L203&amp;$B203,Podcasts!$E$10:'Podcasts'!$E$2535&amp;Podcasts!$D$10:'Podcasts'!$D$2535,0)))</f>
        <v>Schrott</v>
      </c>
      <c r="L203" s="133">
        <f t="array" ref="L203">IF(COUNTIF(Podcasts!$D$10:'Podcasts'!$D$2535,$B203)&lt;COLUMN(C166),"",SMALL(IF(Podcasts!$D$10:'Podcasts'!$D$2535=$B203,Podcasts!$E$10:'Podcasts'!$E$2535),COLUMN(C166)))</f>
        <v>45656</v>
      </c>
      <c r="M203" s="132">
        <f t="array" ref="M203">IF(L203="","",INDEX(Podcasts!$F$10:'Podcasts'!$F$2535,MATCH(L203&amp;$B203,Podcasts!$E$10:'Podcasts'!$E$2535&amp;Podcasts!$D$10:'Podcasts'!$D$2535,0)))</f>
        <v>0</v>
      </c>
      <c r="N203" s="136" t="str">
        <f t="array" ref="N203">IF(O203="","",INDEX(Podcasts!$J$10:'Podcasts'!$J$2535,MATCH(O203&amp;$B203,Podcasts!$E$10:'Podcasts'!$E$2535&amp;Podcasts!$D$10:'Podcasts'!$D$2535,0)))</f>
        <v/>
      </c>
      <c r="O203" s="133" t="str">
        <f t="array" ref="O203">IF(COUNTIF(Podcasts!$D$10:'Podcasts'!$D$2535,$B203)&lt;COLUMN(D166),"",SMALL(IF(Podcasts!$D$10:'Podcasts'!$D$2535=$B203,Podcasts!$E$10:'Podcasts'!$E$2535),COLUMN(D166)))</f>
        <v/>
      </c>
      <c r="P203" s="132" t="str">
        <f t="array" ref="P203">IF(O203="","",INDEX(Podcasts!$F$10:'Podcasts'!$F$2535,MATCH(O203&amp;$B203,Podcasts!$E$10:'Podcasts'!$E$2535&amp;Podcasts!$D$10:'Podcasts'!$D$2535,0)))</f>
        <v/>
      </c>
      <c r="Q203" s="136" t="str">
        <f t="array" ref="Q203">IF(R203="","",INDEX(Podcasts!$J$10:'Podcasts'!$J$2535,MATCH(R203&amp;$B203,Podcasts!$E$10:'Podcasts'!$E$2535&amp;Podcasts!$D$10:'Podcasts'!$D$2535,0)))</f>
        <v/>
      </c>
      <c r="R203" s="133" t="str">
        <f t="array" ref="R203">IF(COUNTIF(Podcasts!$D$10:'Podcasts'!$D$2535,$B203)&lt;COLUMN(E166),"",SMALL(IF(Podcasts!$D$10:'Podcasts'!$D$2535=$B203,Podcasts!$E$10:'Podcasts'!$E$2535),COLUMN(E166)))</f>
        <v/>
      </c>
      <c r="S203" s="132" t="str">
        <f t="array" ref="S203">IF(R203="","",INDEX(Podcasts!$F$10:'Podcasts'!$F$2535,MATCH(R203&amp;$B203,Podcasts!$E$10:'Podcasts'!$E$2535&amp;Podcasts!$D$10:'Podcasts'!$D$2535,0)))</f>
        <v/>
      </c>
      <c r="T203" s="136" t="str">
        <f t="array" ref="T203">IF(U203="","",INDEX(Podcasts!$J$10:'Podcasts'!$J$2535,MATCH(U203&amp;$B203,Podcasts!$E$10:'Podcasts'!$E$2535&amp;Podcasts!$D$10:'Podcasts'!$D$2535,0)))</f>
        <v/>
      </c>
      <c r="U203" s="133" t="str">
        <f t="array" ref="U203">IF(COUNTIF(Podcasts!$D$10:'Podcasts'!$D$2535,$B203)&lt;COLUMN(F166),"",SMALL(IF(Podcasts!$D$10:'Podcasts'!$D$2535=$B203,Podcasts!$E$10:'Podcasts'!$E$2535),COLUMN(F166)))</f>
        <v/>
      </c>
      <c r="V203" s="132" t="str">
        <f t="array" ref="V203">IF(U203="","",INDEX(Podcasts!$F$10:'Podcasts'!$F$2535,MATCH(U203&amp;$B203,Podcasts!$E$10:'Podcasts'!$E$2535&amp;Podcasts!$D$10:'Podcasts'!$D$2535,0)))</f>
        <v/>
      </c>
      <c r="W203" s="136" t="str">
        <f t="array" ref="W203">IF(X203="","",INDEX(Podcasts!$J$10:'Podcasts'!$J$2535,MATCH(X203&amp;$B203,Podcasts!$E$10:'Podcasts'!$E$2535&amp;Podcasts!$D$10:'Podcasts'!$D$2535,0)))</f>
        <v/>
      </c>
      <c r="X203" s="133" t="str">
        <f t="array" ref="X203">IF(COUNTIF(Podcasts!$D$10:'Podcasts'!$D$2535,$B203)&lt;COLUMN(G166),"",SMALL(IF(Podcasts!$D$10:'Podcasts'!$D$2535=$B203,Podcasts!$E$10:'Podcasts'!$E$2535),COLUMN(G166)))</f>
        <v/>
      </c>
      <c r="Y203" s="132" t="str">
        <f t="array" ref="Y203">IF(X203="","",INDEX(Podcasts!$F$10:'Podcasts'!$F$2535,MATCH(X203&amp;$B203,Podcasts!$E$10:'Podcasts'!$E$2535&amp;Podcasts!$D$10:'Podcasts'!$D$2535,0)))</f>
        <v/>
      </c>
      <c r="Z203" s="136" t="str">
        <f t="array" ref="Z203">IF(AA203="","",INDEX(Podcasts!$J$10:'Podcasts'!$J$2535,MATCH(AA203&amp;$B203,Podcasts!$E$10:'Podcasts'!$E$2535&amp;Podcasts!$D$10:'Podcasts'!$D$2535,0)))</f>
        <v/>
      </c>
      <c r="AA203" s="134" t="str">
        <f t="array" ref="AA203">IF(COUNTIF(Podcasts!$D$10:'Podcasts'!$D$2535,$B203)&lt;COLUMN(H166),"",SMALL(IF(Podcasts!$D$10:'Podcasts'!$D$2535=$B203,Podcasts!$E$10:'Podcasts'!$E$2535),COLUMN(H166)))</f>
        <v/>
      </c>
      <c r="AB203" s="404" t="str">
        <f t="array" ref="AB203">IF(AA203="","",INDEX(Podcasts!$F$10:'Podcasts'!$F$2535,MATCH(AA203&amp;$B203,Podcasts!$E$10:'Podcasts'!$E$2535&amp;Podcasts!$D$10:'Podcasts'!$D$2535,0)))</f>
        <v/>
      </c>
      <c r="AC203" s="406" t="str">
        <f t="array" ref="AC203">IF(AD203="","",INDEX(Podcasts!$J$10:'Podcasts'!$J$2535,MATCH(AD203&amp;$B203,Podcasts!$E$10:'Podcasts'!$E$2535&amp;Podcasts!$D$10:'Podcasts'!$D$2535,0)))</f>
        <v/>
      </c>
      <c r="AD203" s="400" t="str">
        <f t="array" ref="AD203">IF(COUNTIF(Podcasts!$D$10:'Podcasts'!$D$2535,$B203)&lt;COLUMN(I166),"",SMALL(IF(Podcasts!$D$10:'Podcasts'!$D$2535=$B203,Podcasts!$E$10:'Podcasts'!$E$2535),COLUMN(I166)))</f>
        <v/>
      </c>
      <c r="AE203" s="401" t="str">
        <f t="array" ref="AE203">IF(AD203="","",INDEX(Podcasts!$F$10:'Podcasts'!$F$2535,MATCH(AD203&amp;$B203,Podcasts!$E$10:'Podcasts'!$E$2535&amp;Podcasts!$D$10:'Podcasts'!$D$2535,0)))</f>
        <v/>
      </c>
      <c r="AF203" s="406" t="str">
        <f t="array" ref="AF203">IF(AG203="","",INDEX(Podcasts!$J$10:'Podcasts'!$J$2535,MATCH(AG203&amp;$B203,Podcasts!$E$10:'Podcasts'!$E$2535&amp;Podcasts!$D$10:'Podcasts'!$D$2535,0)))</f>
        <v/>
      </c>
      <c r="AG203" s="400" t="str">
        <f t="array" ref="AG203">IF(COUNTIF(Podcasts!$D$10:'Podcasts'!$D$2535,$B203)&lt;COLUMN(J166),"",SMALL(IF(Podcasts!$D$10:'Podcasts'!$D$2535=$B203,Podcasts!$E$10:'Podcasts'!$E$2535),COLUMN(J166)))</f>
        <v/>
      </c>
      <c r="AH203" s="401" t="str">
        <f t="array" ref="AH203">IF(AG203="","",INDEX(Podcasts!$F$10:'Podcasts'!$F$2535,MATCH(AG203&amp;$B203,Podcasts!$E$10:'Podcasts'!$E$2535&amp;Podcasts!$D$10:'Podcasts'!$D$2535,0)))</f>
        <v/>
      </c>
      <c r="AI203" s="406" t="str">
        <f t="array" ref="AI203">IF(AJ203="","",INDEX(Podcasts!$J$10:'Podcasts'!$J$2535,MATCH(AJ203&amp;$B203,Podcasts!$E$10:'Podcasts'!$E$2535&amp;Podcasts!$D$10:'Podcasts'!$D$2535,0)))</f>
        <v/>
      </c>
      <c r="AJ203" s="400" t="str">
        <f t="array" ref="AJ203">IF(COUNTIF(Podcasts!$D$10:'Podcasts'!$D$2535,$B203)&lt;COLUMN(K166),"",SMALL(IF(Podcasts!$D$10:'Podcasts'!$D$2535=$B203,Podcasts!$E$10:'Podcasts'!$E$2535),COLUMN(K166)))</f>
        <v/>
      </c>
      <c r="AK203" s="401" t="str">
        <f t="array" ref="AK203">IF(AJ203="","",INDEX(Podcasts!$F$10:'Podcasts'!$F$2535,MATCH(AJ203&amp;$B203,Podcasts!$E$10:'Podcasts'!$E$2535&amp;Podcasts!$D$10:'Podcasts'!$D$2535,0)))</f>
        <v/>
      </c>
      <c r="AL203" s="406" t="str">
        <f t="array" ref="AL203">IF(AM203="","",INDEX(Podcasts!$J$10:'Podcasts'!$J$2535,MATCH(AM203&amp;$B203,Podcasts!$E$10:'Podcasts'!$E$2535&amp;Podcasts!$D$10:'Podcasts'!$D$2535,0)))</f>
        <v/>
      </c>
      <c r="AM203" s="400" t="str">
        <f t="array" ref="AM203">IF(COUNTIF(Podcasts!$D$10:'Podcasts'!$D$2535,$B203)&lt;COLUMN(L166),"",SMALL(IF(Podcasts!$D$10:'Podcasts'!$D$2535=$B203,Podcasts!$E$10:'Podcasts'!$E$2535),COLUMN(L166)))</f>
        <v/>
      </c>
      <c r="AN203" s="401" t="str">
        <f t="array" ref="AN203">IF(AM203="","",INDEX(Podcasts!$F$10:'Podcasts'!$F$2535,MATCH(AM203&amp;$B203,Podcasts!$E$10:'Podcasts'!$E$2535&amp;Podcasts!$D$10:'Podcasts'!$D$2535,0)))</f>
        <v/>
      </c>
      <c r="AO203" s="402"/>
      <c r="AP203" s="119"/>
      <c r="AQ203" s="117">
        <f t="array" aca="1" ref="AQ203" ca="1">IFERROR(SMALL(IF(COUNTIF(Podcasts!$D$10:'Podcasts'!$D$107,ROW(INDIRECT("1:"&amp;K$2)))=0,ROW(INDIRECT("1:"&amp;K$2))),ROW($A160)),"")</f>
        <v>207</v>
      </c>
      <c r="AR203" s="117"/>
      <c r="AS203" s="117">
        <f t="array" aca="1" ref="AS203" ca="1">IFERROR(SMALL(IF(COUNTIF(Podcasts!$D$244:'Podcasts'!$D$299,ROW(INDIRECT("1:"&amp;K$2)))=0,ROW(INDIRECT("1:"&amp;K$2))),ROW($A160)),"")</f>
        <v>197</v>
      </c>
      <c r="AT203" s="117"/>
      <c r="AU203" s="117">
        <f t="array" aca="1" ref="AU203" ca="1">IFERROR(SMALL(IF(COUNTIF(Podcasts!$D$479:'Podcasts'!$D$488,ROW(INDIRECT("1:"&amp;K$2)))=0,ROW(INDIRECT("1:"&amp;K$2))),ROW($A160)),"")</f>
        <v>164</v>
      </c>
      <c r="AV203" s="117">
        <f t="array" aca="1" ref="AV203" ca="1">IFERROR(SMALL(IF(COUNTIF(Podcasts!$D$494:'Podcasts'!$D$518,ROW(INDIRECT("1:"&amp;K$2)))=0,ROW(INDIRECT("1:"&amp;K$2))),ROW($A160)),"")</f>
        <v>184</v>
      </c>
      <c r="AW203" s="117">
        <f t="array" aca="1" ref="AW203" ca="1">IFERROR(SMALL(IF(COUNTIF(Podcasts!$D$524:'Podcasts'!$D$532,ROW(INDIRECT("1:"&amp;K$2)))=0,ROW(INDIRECT("1:"&amp;K$2))),ROW($A160)),"")</f>
        <v>161</v>
      </c>
      <c r="AX203" s="117"/>
      <c r="AY203" s="117">
        <f t="array" aca="1" ref="AY203" ca="1">IFERROR(SMALL(IF(COUNTIF(Podcasts!$D$915:'Podcasts'!$D$981,ROW(INDIRECT("1:"&amp;K$2)))=0,ROW(INDIRECT("1:"&amp;K$2))),ROW($A160)),"")</f>
        <v>217</v>
      </c>
      <c r="AZ203" s="445"/>
      <c r="BA203" s="117">
        <f t="array" aca="1" ref="BA203" ca="1">IFERROR(SMALL(IF(COUNTIF(Podcasts!$D$1001:'Podcasts'!$D$1251,ROW(INDIRECT("1:"&amp;K$2)))=0,ROW(INDIRECT("1:"&amp;K$2))),ROW($A160)),"")</f>
        <v>218</v>
      </c>
      <c r="BB203" s="117">
        <f t="array" aca="1" ref="BB203" ca="1">IFERROR(SMALL(IF(COUNTIF(Podcasts!$D$1257:'Podcasts'!$D$1267,ROW(INDIRECT("1:"&amp;K$2)))=0,ROW(INDIRECT("1:"&amp;K$2))),ROW($A160)),"")</f>
        <v>165</v>
      </c>
      <c r="BC203" s="117">
        <f t="array" aca="1" ref="BC203" ca="1">IFERROR(SMALL(IF(COUNTIF(Podcasts!$D$1273:'Podcasts'!$D$1283,ROW(INDIRECT("1:"&amp;K$2)))=0,ROW(INDIRECT("1:"&amp;K$2))),ROW($A160)),"")</f>
        <v>165</v>
      </c>
      <c r="BD203" s="117">
        <f t="array" aca="1" ref="BD203" ca="1">IFERROR(SMALL(IF(COUNTIF(Podcasts!$D$1289:'Podcasts'!$D$1295,ROW(INDIRECT("1:"&amp;K$2)))=0,ROW(INDIRECT("1:"&amp;K$2))),ROW($A160)),"")</f>
        <v>166</v>
      </c>
      <c r="BE203" s="117">
        <f t="array" aca="1" ref="BE203" ca="1">IFERROR(SMALL(IF(COUNTIF(Podcasts!$D$1301:'Podcasts'!$D$1356,ROW(INDIRECT("1:"&amp;K$2)))=0,ROW(INDIRECT("1:"&amp;K$2))),ROW($A160)),"")</f>
        <v>207</v>
      </c>
      <c r="BF203" s="117">
        <f t="array" aca="1" ref="BF203" ca="1">IFERROR(SMALL(IF(COUNTIF(Podcasts!$D$1362:'Podcasts'!$D$1364,ROW(INDIRECT("1:"&amp;K$2)))=0,ROW(INDIRECT("1:"&amp;K$2))),ROW($A160)),"")</f>
        <v>163</v>
      </c>
      <c r="BG203" s="202">
        <f t="array" aca="1" ref="BG203" ca="1">IFERROR(SMALL(IF(COUNTIF(Podcasts!$D$1370:'Podcasts'!$D$1419,ROW(INDIRECT("1:"&amp;K$2)))=0,ROW(INDIRECT("1:"&amp;K$2))),ROW($A160)),"")</f>
        <v>200</v>
      </c>
      <c r="BH203" s="202">
        <f t="array" aca="1" ref="BH203" ca="1">IFERROR(SMALL(IF(COUNTIF(Podcasts!$D$1425:'Podcasts'!$D$1446,ROW(INDIRECT("1:"&amp;K$2)))=0,ROW(INDIRECT("1:"&amp;K$2))),ROW($A160)),"")</f>
        <v>171</v>
      </c>
      <c r="BI203" s="202"/>
      <c r="BJ203" s="202"/>
      <c r="BK203" s="202"/>
      <c r="BL203" s="202">
        <f t="array" aca="1" ref="BL203" ca="1">IFERROR(SMALL(IF(COUNTIF(Podcasts!$D$1839:'Podcasts'!$D$1855,ROW(INDIRECT("1:"&amp;K$2)))=0,ROW(INDIRECT("1:"&amp;K$2))),ROW($A160)),"")</f>
        <v>169</v>
      </c>
      <c r="BM203" s="567">
        <f t="array" aca="1" ref="BM203" ca="1">IFERROR(SMALL(IF(COUNTIF(Podcasts!$D$1861:'Podcasts'!$D$1994,ROW(INDIRECT("1:"&amp;K$2)))=0,ROW(INDIRECT("1:"&amp;K$2))),ROW($A160)),"")</f>
        <v>214</v>
      </c>
      <c r="BN203" s="567">
        <f t="array" aca="1" ref="BN203" ca="1">IFERROR(SMALL(IF(COUNTIF(Podcasts!$D$2000:'Podcasts'!$D$2057,ROW(INDIRECT("1:"&amp;K$2)))=0,ROW(INDIRECT("1:"&amp;K$2))),ROW($A160)),"")</f>
        <v>215</v>
      </c>
      <c r="BO203" s="567">
        <f t="array" aca="1" ref="BO203" ca="1">IFERROR(SMALL(IF(COUNTIF(Podcasts!$D$2063:'Podcasts'!$D$2071,ROW(INDIRECT("1:"&amp;K$2)))=0,ROW(INDIRECT("1:"&amp;K$2))),ROW($A160)),"")</f>
        <v>168</v>
      </c>
      <c r="BP203" s="202">
        <f t="array" aca="1" ref="BP203" ca="1">IFERROR(SMALL(IF(COUNTIF(Podcasts!$D$2077:'Podcasts'!$D$2092,ROW(INDIRECT("1:"&amp;K$2)))=0,ROW(INDIRECT("1:"&amp;K$2))),ROW($A160)),"")</f>
        <v>171</v>
      </c>
      <c r="BQ203" s="741">
        <f t="array" aca="1" ref="BQ203" ca="1">IFERROR(SMALL(IF(COUNTIF(Podcasts!$D$2098:'Podcasts'!$D$2114,ROW(INDIRECT("1:"&amp;K$2)))=0,ROW(INDIRECT("1:"&amp;K$2))),ROW($A160)),"")</f>
        <v>174</v>
      </c>
      <c r="BR203" s="744">
        <f t="array" aca="1" ref="BR203" ca="1">IFERROR(SMALL(IF(COUNTIF(Podcasts!$D$2120:'Podcasts'!$D$2124,ROW(INDIRECT("1:"&amp;K$2)))=0,ROW(INDIRECT("1:"&amp;K$2))),ROW($A160)),"")</f>
        <v>162</v>
      </c>
      <c r="BS203" s="28"/>
    </row>
    <row r="204" spans="1:71" outlineLevel="1">
      <c r="A204" s="28"/>
      <c r="B204" s="161">
        <v>161</v>
      </c>
      <c r="C204" s="161">
        <f>COUNTIF(Podcasts!$D$10:'Podcasts'!$D$2535,B204)</f>
        <v>5</v>
      </c>
      <c r="D204" s="160" t="s">
        <v>1186</v>
      </c>
      <c r="E204" s="156" t="str">
        <f t="array" ref="E204">IF(F204="","",INDEX(Podcasts!$J$10:'Podcasts'!$J$2535,MATCH(F204&amp;$B204,Podcasts!$E$10:'Podcasts'!$E$2535&amp;Podcasts!$D$10:'Podcasts'!$D$2535,0)))</f>
        <v>Ohr</v>
      </c>
      <c r="F204" s="131">
        <f t="array" ref="F204">IF(COUNTIF(Podcasts!$D$10:'Podcasts'!$D$2535,$B204)&lt;COLUMN(A167),"",SMALL(IF(Podcasts!$D$10:'Podcasts'!$D$2535=$B204,Podcasts!$E$10:'Podcasts'!$E$2535),COLUMN(A167)))</f>
        <v>41423</v>
      </c>
      <c r="G204" s="132">
        <f t="array" ref="G204">IF(F204="","",INDEX(Podcasts!$F$10:'Podcasts'!$F$2535,MATCH(F204&amp;$B204,Podcasts!$E$10:'Podcasts'!$E$2535&amp;Podcasts!$D$10:'Podcasts'!$D$2535,0)))</f>
        <v>9.0277777777777784E-4</v>
      </c>
      <c r="H204" s="136" t="str">
        <f t="array" ref="H204">IF(I204="","",INDEX(Podcasts!$J$10:'Podcasts'!$J$2535,MATCH(I204&amp;$B204,Podcasts!$E$10:'Podcasts'!$E$2535&amp;Podcasts!$D$10:'Podcasts'!$D$2535,0)))</f>
        <v>Zeichen</v>
      </c>
      <c r="I204" s="133">
        <f t="array" ref="I204">IF(COUNTIF(Podcasts!$D$10:'Podcasts'!$D$2535,$B204)&lt;COLUMN(B167),"",SMALL(IF(Podcasts!$D$10:'Podcasts'!$D$2535=$B204,Podcasts!$E$10:'Podcasts'!$E$2535),COLUMN(B167)))</f>
        <v>44104</v>
      </c>
      <c r="J204" s="132">
        <f t="array" ref="J204">IF(I204="","",INDEX(Podcasts!$F$10:'Podcasts'!$F$2535,MATCH(I204&amp;$B204,Podcasts!$E$10:'Podcasts'!$E$2535&amp;Podcasts!$D$10:'Podcasts'!$D$2535,0)))</f>
        <v>8.5844907407407411E-2</v>
      </c>
      <c r="K204" s="136" t="str">
        <f t="array" ref="K204">IF(L204="","",INDEX(Podcasts!$J$10:'Podcasts'!$J$2535,MATCH(L204&amp;$B204,Podcasts!$E$10:'Podcasts'!$E$2535&amp;Podcasts!$D$10:'Podcasts'!$D$2535,0)))</f>
        <v>Verstärker</v>
      </c>
      <c r="L204" s="133">
        <f t="array" ref="L204">IF(COUNTIF(Podcasts!$D$10:'Podcasts'!$D$2535,$B204)&lt;COLUMN(C167),"",SMALL(IF(Podcasts!$D$10:'Podcasts'!$D$2535=$B204,Podcasts!$E$10:'Podcasts'!$E$2535),COLUMN(C167)))</f>
        <v>44837</v>
      </c>
      <c r="M204" s="132">
        <f t="array" ref="M204">IF(L204="","",INDEX(Podcasts!$F$10:'Podcasts'!$F$2535,MATCH(L204&amp;$B204,Podcasts!$E$10:'Podcasts'!$E$2535&amp;Podcasts!$D$10:'Podcasts'!$D$2535,0)))</f>
        <v>2.1666666666666667E-2</v>
      </c>
      <c r="N204" s="136" t="str">
        <f t="array" ref="N204">IF(O204="","",INDEX(Podcasts!$J$10:'Podcasts'!$J$2535,MATCH(O204&amp;$B204,Podcasts!$E$10:'Podcasts'!$E$2535&amp;Podcasts!$D$10:'Podcasts'!$D$2535,0)))</f>
        <v>SSP</v>
      </c>
      <c r="O204" s="133">
        <f t="array" ref="O204">IF(COUNTIF(Podcasts!$D$10:'Podcasts'!$D$2535,$B204)&lt;COLUMN(D167),"",SMALL(IF(Podcasts!$D$10:'Podcasts'!$D$2535=$B204,Podcasts!$E$10:'Podcasts'!$E$2535),COLUMN(D167)))</f>
        <v>45103</v>
      </c>
      <c r="P204" s="132">
        <f t="array" ref="P204">IF(O204="","",INDEX(Podcasts!$F$10:'Podcasts'!$F$2535,MATCH(O204&amp;$B204,Podcasts!$E$10:'Podcasts'!$E$2535&amp;Podcasts!$D$10:'Podcasts'!$D$2535,0)))</f>
        <v>0.10280092592592593</v>
      </c>
      <c r="Q204" s="136" t="str">
        <f t="array" ref="Q204">IF(R204="","",INDEX(Podcasts!$J$10:'Podcasts'!$J$2535,MATCH(R204&amp;$B204,Podcasts!$E$10:'Podcasts'!$E$2535&amp;Podcasts!$D$10:'Podcasts'!$D$2535,0)))</f>
        <v>Zw3i</v>
      </c>
      <c r="R204" s="133">
        <f t="array" ref="R204">IF(COUNTIF(Podcasts!$D$10:'Podcasts'!$D$2535,$B204)&lt;COLUMN(E167),"",SMALL(IF(Podcasts!$D$10:'Podcasts'!$D$2535=$B204,Podcasts!$E$10:'Podcasts'!$E$2535),COLUMN(E167)))</f>
        <v>45345</v>
      </c>
      <c r="S204" s="132">
        <f t="array" ref="S204">IF(R204="","",INDEX(Podcasts!$F$10:'Podcasts'!$F$2535,MATCH(R204&amp;$B204,Podcasts!$E$10:'Podcasts'!$E$2535&amp;Podcasts!$D$10:'Podcasts'!$D$2535,0)))</f>
        <v>0.13598379629629628</v>
      </c>
      <c r="T204" s="136" t="str">
        <f t="array" ref="T204">IF(U204="","",INDEX(Podcasts!$J$10:'Podcasts'!$J$2535,MATCH(U204&amp;$B204,Podcasts!$E$10:'Podcasts'!$E$2535&amp;Podcasts!$D$10:'Podcasts'!$D$2535,0)))</f>
        <v/>
      </c>
      <c r="U204" s="133" t="str">
        <f t="array" ref="U204">IF(COUNTIF(Podcasts!$D$10:'Podcasts'!$D$2535,$B204)&lt;COLUMN(F167),"",SMALL(IF(Podcasts!$D$10:'Podcasts'!$D$2535=$B204,Podcasts!$E$10:'Podcasts'!$E$2535),COLUMN(F167)))</f>
        <v/>
      </c>
      <c r="V204" s="132" t="str">
        <f t="array" ref="V204">IF(U204="","",INDEX(Podcasts!$F$10:'Podcasts'!$F$2535,MATCH(U204&amp;$B204,Podcasts!$E$10:'Podcasts'!$E$2535&amp;Podcasts!$D$10:'Podcasts'!$D$2535,0)))</f>
        <v/>
      </c>
      <c r="W204" s="136" t="str">
        <f t="array" ref="W204">IF(X204="","",INDEX(Podcasts!$J$10:'Podcasts'!$J$2535,MATCH(X204&amp;$B204,Podcasts!$E$10:'Podcasts'!$E$2535&amp;Podcasts!$D$10:'Podcasts'!$D$2535,0)))</f>
        <v/>
      </c>
      <c r="X204" s="133" t="str">
        <f t="array" ref="X204">IF(COUNTIF(Podcasts!$D$10:'Podcasts'!$D$2535,$B204)&lt;COLUMN(G167),"",SMALL(IF(Podcasts!$D$10:'Podcasts'!$D$2535=$B204,Podcasts!$E$10:'Podcasts'!$E$2535),COLUMN(G167)))</f>
        <v/>
      </c>
      <c r="Y204" s="132" t="str">
        <f t="array" ref="Y204">IF(X204="","",INDEX(Podcasts!$F$10:'Podcasts'!$F$2535,MATCH(X204&amp;$B204,Podcasts!$E$10:'Podcasts'!$E$2535&amp;Podcasts!$D$10:'Podcasts'!$D$2535,0)))</f>
        <v/>
      </c>
      <c r="Z204" s="136" t="str">
        <f t="array" ref="Z204">IF(AA204="","",INDEX(Podcasts!$J$10:'Podcasts'!$J$2535,MATCH(AA204&amp;$B204,Podcasts!$E$10:'Podcasts'!$E$2535&amp;Podcasts!$D$10:'Podcasts'!$D$2535,0)))</f>
        <v/>
      </c>
      <c r="AA204" s="134" t="str">
        <f t="array" ref="AA204">IF(COUNTIF(Podcasts!$D$10:'Podcasts'!$D$2535,$B204)&lt;COLUMN(H167),"",SMALL(IF(Podcasts!$D$10:'Podcasts'!$D$2535=$B204,Podcasts!$E$10:'Podcasts'!$E$2535),COLUMN(H167)))</f>
        <v/>
      </c>
      <c r="AB204" s="404" t="str">
        <f t="array" ref="AB204">IF(AA204="","",INDEX(Podcasts!$F$10:'Podcasts'!$F$2535,MATCH(AA204&amp;$B204,Podcasts!$E$10:'Podcasts'!$E$2535&amp;Podcasts!$D$10:'Podcasts'!$D$2535,0)))</f>
        <v/>
      </c>
      <c r="AC204" s="406" t="str">
        <f t="array" ref="AC204">IF(AD204="","",INDEX(Podcasts!$J$10:'Podcasts'!$J$2535,MATCH(AD204&amp;$B204,Podcasts!$E$10:'Podcasts'!$E$2535&amp;Podcasts!$D$10:'Podcasts'!$D$2535,0)))</f>
        <v/>
      </c>
      <c r="AD204" s="400" t="str">
        <f t="array" ref="AD204">IF(COUNTIF(Podcasts!$D$10:'Podcasts'!$D$2535,$B204)&lt;COLUMN(I167),"",SMALL(IF(Podcasts!$D$10:'Podcasts'!$D$2535=$B204,Podcasts!$E$10:'Podcasts'!$E$2535),COLUMN(I167)))</f>
        <v/>
      </c>
      <c r="AE204" s="401" t="str">
        <f t="array" ref="AE204">IF(AD204="","",INDEX(Podcasts!$F$10:'Podcasts'!$F$2535,MATCH(AD204&amp;$B204,Podcasts!$E$10:'Podcasts'!$E$2535&amp;Podcasts!$D$10:'Podcasts'!$D$2535,0)))</f>
        <v/>
      </c>
      <c r="AF204" s="406" t="str">
        <f t="array" ref="AF204">IF(AG204="","",INDEX(Podcasts!$J$10:'Podcasts'!$J$2535,MATCH(AG204&amp;$B204,Podcasts!$E$10:'Podcasts'!$E$2535&amp;Podcasts!$D$10:'Podcasts'!$D$2535,0)))</f>
        <v/>
      </c>
      <c r="AG204" s="400" t="str">
        <f t="array" ref="AG204">IF(COUNTIF(Podcasts!$D$10:'Podcasts'!$D$2535,$B204)&lt;COLUMN(J167),"",SMALL(IF(Podcasts!$D$10:'Podcasts'!$D$2535=$B204,Podcasts!$E$10:'Podcasts'!$E$2535),COLUMN(J167)))</f>
        <v/>
      </c>
      <c r="AH204" s="401" t="str">
        <f t="array" ref="AH204">IF(AG204="","",INDEX(Podcasts!$F$10:'Podcasts'!$F$2535,MATCH(AG204&amp;$B204,Podcasts!$E$10:'Podcasts'!$E$2535&amp;Podcasts!$D$10:'Podcasts'!$D$2535,0)))</f>
        <v/>
      </c>
      <c r="AI204" s="406" t="str">
        <f t="array" ref="AI204">IF(AJ204="","",INDEX(Podcasts!$J$10:'Podcasts'!$J$2535,MATCH(AJ204&amp;$B204,Podcasts!$E$10:'Podcasts'!$E$2535&amp;Podcasts!$D$10:'Podcasts'!$D$2535,0)))</f>
        <v/>
      </c>
      <c r="AJ204" s="400" t="str">
        <f t="array" ref="AJ204">IF(COUNTIF(Podcasts!$D$10:'Podcasts'!$D$2535,$B204)&lt;COLUMN(K167),"",SMALL(IF(Podcasts!$D$10:'Podcasts'!$D$2535=$B204,Podcasts!$E$10:'Podcasts'!$E$2535),COLUMN(K167)))</f>
        <v/>
      </c>
      <c r="AK204" s="401" t="str">
        <f t="array" ref="AK204">IF(AJ204="","",INDEX(Podcasts!$F$10:'Podcasts'!$F$2535,MATCH(AJ204&amp;$B204,Podcasts!$E$10:'Podcasts'!$E$2535&amp;Podcasts!$D$10:'Podcasts'!$D$2535,0)))</f>
        <v/>
      </c>
      <c r="AL204" s="406" t="str">
        <f t="array" ref="AL204">IF(AM204="","",INDEX(Podcasts!$J$10:'Podcasts'!$J$2535,MATCH(AM204&amp;$B204,Podcasts!$E$10:'Podcasts'!$E$2535&amp;Podcasts!$D$10:'Podcasts'!$D$2535,0)))</f>
        <v/>
      </c>
      <c r="AM204" s="400" t="str">
        <f t="array" ref="AM204">IF(COUNTIF(Podcasts!$D$10:'Podcasts'!$D$2535,$B204)&lt;COLUMN(L167),"",SMALL(IF(Podcasts!$D$10:'Podcasts'!$D$2535=$B204,Podcasts!$E$10:'Podcasts'!$E$2535),COLUMN(L167)))</f>
        <v/>
      </c>
      <c r="AN204" s="401" t="str">
        <f t="array" ref="AN204">IF(AM204="","",INDEX(Podcasts!$F$10:'Podcasts'!$F$2535,MATCH(AM204&amp;$B204,Podcasts!$E$10:'Podcasts'!$E$2535&amp;Podcasts!$D$10:'Podcasts'!$D$2535,0)))</f>
        <v/>
      </c>
      <c r="AO204" s="402"/>
      <c r="AP204" s="119"/>
      <c r="AQ204" s="117">
        <f t="array" aca="1" ref="AQ204" ca="1">IFERROR(SMALL(IF(COUNTIF(Podcasts!$D$10:'Podcasts'!$D$107,ROW(INDIRECT("1:"&amp;K$2)))=0,ROW(INDIRECT("1:"&amp;K$2))),ROW($A161)),"")</f>
        <v>208</v>
      </c>
      <c r="AR204" s="117"/>
      <c r="AS204" s="117">
        <f t="array" aca="1" ref="AS204" ca="1">IFERROR(SMALL(IF(COUNTIF(Podcasts!$D$244:'Podcasts'!$D$299,ROW(INDIRECT("1:"&amp;K$2)))=0,ROW(INDIRECT("1:"&amp;K$2))),ROW($A161)),"")</f>
        <v>198</v>
      </c>
      <c r="AT204" s="117"/>
      <c r="AU204" s="117">
        <f t="array" aca="1" ref="AU204" ca="1">IFERROR(SMALL(IF(COUNTIF(Podcasts!$D$479:'Podcasts'!$D$488,ROW(INDIRECT("1:"&amp;K$2)))=0,ROW(INDIRECT("1:"&amp;K$2))),ROW($A161)),"")</f>
        <v>165</v>
      </c>
      <c r="AV204" s="117">
        <f t="array" aca="1" ref="AV204" ca="1">IFERROR(SMALL(IF(COUNTIF(Podcasts!$D$494:'Podcasts'!$D$518,ROW(INDIRECT("1:"&amp;K$2)))=0,ROW(INDIRECT("1:"&amp;K$2))),ROW($A161)),"")</f>
        <v>185</v>
      </c>
      <c r="AW204" s="117">
        <f t="array" aca="1" ref="AW204" ca="1">IFERROR(SMALL(IF(COUNTIF(Podcasts!$D$524:'Podcasts'!$D$532,ROW(INDIRECT("1:"&amp;K$2)))=0,ROW(INDIRECT("1:"&amp;K$2))),ROW($A161)),"")</f>
        <v>162</v>
      </c>
      <c r="AX204" s="117"/>
      <c r="AY204" s="117">
        <f t="array" aca="1" ref="AY204" ca="1">IFERROR(SMALL(IF(COUNTIF(Podcasts!$D$915:'Podcasts'!$D$981,ROW(INDIRECT("1:"&amp;K$2)))=0,ROW(INDIRECT("1:"&amp;K$2))),ROW($A161)),"")</f>
        <v>218</v>
      </c>
      <c r="AZ204" s="445"/>
      <c r="BA204" s="117">
        <f t="array" aca="1" ref="BA204" ca="1">IFERROR(SMALL(IF(COUNTIF(Podcasts!$D$1001:'Podcasts'!$D$1251,ROW(INDIRECT("1:"&amp;K$2)))=0,ROW(INDIRECT("1:"&amp;K$2))),ROW($A161)),"")</f>
        <v>219</v>
      </c>
      <c r="BB204" s="117">
        <f t="array" aca="1" ref="BB204" ca="1">IFERROR(SMALL(IF(COUNTIF(Podcasts!$D$1257:'Podcasts'!$D$1267,ROW(INDIRECT("1:"&amp;K$2)))=0,ROW(INDIRECT("1:"&amp;K$2))),ROW($A161)),"")</f>
        <v>166</v>
      </c>
      <c r="BC204" s="117">
        <f t="array" aca="1" ref="BC204" ca="1">IFERROR(SMALL(IF(COUNTIF(Podcasts!$D$1273:'Podcasts'!$D$1283,ROW(INDIRECT("1:"&amp;K$2)))=0,ROW(INDIRECT("1:"&amp;K$2))),ROW($A161)),"")</f>
        <v>166</v>
      </c>
      <c r="BD204" s="117">
        <f t="array" aca="1" ref="BD204" ca="1">IFERROR(SMALL(IF(COUNTIF(Podcasts!$D$1289:'Podcasts'!$D$1295,ROW(INDIRECT("1:"&amp;K$2)))=0,ROW(INDIRECT("1:"&amp;K$2))),ROW($A161)),"")</f>
        <v>167</v>
      </c>
      <c r="BE204" s="117">
        <f t="array" aca="1" ref="BE204" ca="1">IFERROR(SMALL(IF(COUNTIF(Podcasts!$D$1301:'Podcasts'!$D$1356,ROW(INDIRECT("1:"&amp;K$2)))=0,ROW(INDIRECT("1:"&amp;K$2))),ROW($A161)),"")</f>
        <v>208</v>
      </c>
      <c r="BF204" s="117">
        <f t="array" aca="1" ref="BF204" ca="1">IFERROR(SMALL(IF(COUNTIF(Podcasts!$D$1362:'Podcasts'!$D$1364,ROW(INDIRECT("1:"&amp;K$2)))=0,ROW(INDIRECT("1:"&amp;K$2))),ROW($A161)),"")</f>
        <v>164</v>
      </c>
      <c r="BG204" s="202">
        <f t="array" aca="1" ref="BG204" ca="1">IFERROR(SMALL(IF(COUNTIF(Podcasts!$D$1370:'Podcasts'!$D$1419,ROW(INDIRECT("1:"&amp;K$2)))=0,ROW(INDIRECT("1:"&amp;K$2))),ROW($A161)),"")</f>
        <v>201</v>
      </c>
      <c r="BH204" s="202">
        <f t="array" aca="1" ref="BH204" ca="1">IFERROR(SMALL(IF(COUNTIF(Podcasts!$D$1425:'Podcasts'!$D$1446,ROW(INDIRECT("1:"&amp;K$2)))=0,ROW(INDIRECT("1:"&amp;K$2))),ROW($A161)),"")</f>
        <v>172</v>
      </c>
      <c r="BI204" s="202"/>
      <c r="BJ204" s="202"/>
      <c r="BK204" s="202"/>
      <c r="BL204" s="202">
        <f t="array" aca="1" ref="BL204" ca="1">IFERROR(SMALL(IF(COUNTIF(Podcasts!$D$1839:'Podcasts'!$D$1855,ROW(INDIRECT("1:"&amp;K$2)))=0,ROW(INDIRECT("1:"&amp;K$2))),ROW($A161)),"")</f>
        <v>170</v>
      </c>
      <c r="BM204" s="567">
        <f t="array" aca="1" ref="BM204" ca="1">IFERROR(SMALL(IF(COUNTIF(Podcasts!$D$1861:'Podcasts'!$D$1994,ROW(INDIRECT("1:"&amp;K$2)))=0,ROW(INDIRECT("1:"&amp;K$2))),ROW($A161)),"")</f>
        <v>215</v>
      </c>
      <c r="BN204" s="567">
        <f t="array" aca="1" ref="BN204" ca="1">IFERROR(SMALL(IF(COUNTIF(Podcasts!$D$2000:'Podcasts'!$D$2057,ROW(INDIRECT("1:"&amp;K$2)))=0,ROW(INDIRECT("1:"&amp;K$2))),ROW($A161)),"")</f>
        <v>216</v>
      </c>
      <c r="BO204" s="567">
        <f t="array" aca="1" ref="BO204" ca="1">IFERROR(SMALL(IF(COUNTIF(Podcasts!$D$2063:'Podcasts'!$D$2071,ROW(INDIRECT("1:"&amp;K$2)))=0,ROW(INDIRECT("1:"&amp;K$2))),ROW($A161)),"")</f>
        <v>169</v>
      </c>
      <c r="BP204" s="202">
        <f t="array" aca="1" ref="BP204" ca="1">IFERROR(SMALL(IF(COUNTIF(Podcasts!$D$2077:'Podcasts'!$D$2092,ROW(INDIRECT("1:"&amp;K$2)))=0,ROW(INDIRECT("1:"&amp;K$2))),ROW($A161)),"")</f>
        <v>172</v>
      </c>
      <c r="BQ204" s="741">
        <f t="array" aca="1" ref="BQ204" ca="1">IFERROR(SMALL(IF(COUNTIF(Podcasts!$D$2098:'Podcasts'!$D$2114,ROW(INDIRECT("1:"&amp;K$2)))=0,ROW(INDIRECT("1:"&amp;K$2))),ROW($A161)),"")</f>
        <v>175</v>
      </c>
      <c r="BR204" s="744">
        <f t="array" aca="1" ref="BR204" ca="1">IFERROR(SMALL(IF(COUNTIF(Podcasts!$D$2120:'Podcasts'!$D$2124,ROW(INDIRECT("1:"&amp;K$2)))=0,ROW(INDIRECT("1:"&amp;K$2))),ROW($A161)),"")</f>
        <v>163</v>
      </c>
      <c r="BS204" s="28"/>
    </row>
    <row r="205" spans="1:71" outlineLevel="1">
      <c r="A205" s="28"/>
      <c r="B205" s="161">
        <v>162</v>
      </c>
      <c r="C205" s="161">
        <f>COUNTIF(Podcasts!$D$10:'Podcasts'!$D$2535,B205)</f>
        <v>4</v>
      </c>
      <c r="D205" s="160" t="s">
        <v>1187</v>
      </c>
      <c r="E205" s="156" t="str">
        <f t="array" ref="E205">IF(F205="","",INDEX(Podcasts!$J$10:'Podcasts'!$J$2535,MATCH(F205&amp;$B205,Podcasts!$E$10:'Podcasts'!$E$2535&amp;Podcasts!$D$10:'Podcasts'!$D$2535,0)))</f>
        <v>Ohr</v>
      </c>
      <c r="F205" s="131">
        <f t="array" ref="F205">IF(COUNTIF(Podcasts!$D$10:'Podcasts'!$D$2535,$B205)&lt;COLUMN(A168),"",SMALL(IF(Podcasts!$D$10:'Podcasts'!$D$2535=$B205,Podcasts!$E$10:'Podcasts'!$E$2535),COLUMN(A168)))</f>
        <v>41474</v>
      </c>
      <c r="G205" s="132">
        <f t="array" ref="G205">IF(F205="","",INDEX(Podcasts!$F$10:'Podcasts'!$F$2535,MATCH(F205&amp;$B205,Podcasts!$E$10:'Podcasts'!$E$2535&amp;Podcasts!$D$10:'Podcasts'!$D$2535,0)))</f>
        <v>1.5856481481481479E-3</v>
      </c>
      <c r="H205" s="136" t="str">
        <f t="array" ref="H205">IF(I205="","",INDEX(Podcasts!$J$10:'Podcasts'!$J$2535,MATCH(I205&amp;$B205,Podcasts!$E$10:'Podcasts'!$E$2535&amp;Podcasts!$D$10:'Podcasts'!$D$2535,0)))</f>
        <v>Talker</v>
      </c>
      <c r="I205" s="133">
        <f t="array" ref="I205">IF(COUNTIF(Podcasts!$D$10:'Podcasts'!$D$2535,$B205)&lt;COLUMN(B168),"",SMALL(IF(Podcasts!$D$10:'Podcasts'!$D$2535=$B205,Podcasts!$E$10:'Podcasts'!$E$2535),COLUMN(B168)))</f>
        <v>41578</v>
      </c>
      <c r="J205" s="132">
        <f t="array" ref="J205">IF(I205="","",INDEX(Podcasts!$F$10:'Podcasts'!$F$2535,MATCH(I205&amp;$B205,Podcasts!$E$10:'Podcasts'!$E$2535&amp;Podcasts!$D$10:'Podcasts'!$D$2535,0)))</f>
        <v>1.7569444444444447E-2</v>
      </c>
      <c r="K205" s="136" t="str">
        <f t="array" ref="K205">IF(L205="","",INDEX(Podcasts!$J$10:'Podcasts'!$J$2535,MATCH(L205&amp;$B205,Podcasts!$E$10:'Podcasts'!$E$2535&amp;Podcasts!$D$10:'Podcasts'!$D$2535,0)))</f>
        <v>Fürst</v>
      </c>
      <c r="L205" s="133">
        <f t="array" ref="L205">IF(COUNTIF(Podcasts!$D$10:'Podcasts'!$D$2535,$B205)&lt;COLUMN(C168),"",SMALL(IF(Podcasts!$D$10:'Podcasts'!$D$2535=$B205,Podcasts!$E$10:'Podcasts'!$E$2535),COLUMN(C168)))</f>
        <v>41811</v>
      </c>
      <c r="M205" s="132">
        <f t="array" ref="M205">IF(L205="","",INDEX(Podcasts!$F$10:'Podcasts'!$F$2535,MATCH(L205&amp;$B205,Podcasts!$E$10:'Podcasts'!$E$2535&amp;Podcasts!$D$10:'Podcasts'!$D$2535,0)))</f>
        <v>4.0509259259259231E-3</v>
      </c>
      <c r="N205" s="136" t="str">
        <f t="array" ref="N205">IF(O205="","",INDEX(Podcasts!$J$10:'Podcasts'!$J$2535,MATCH(O205&amp;$B205,Podcasts!$E$10:'Podcasts'!$E$2535&amp;Podcasts!$D$10:'Podcasts'!$D$2535,0)))</f>
        <v>R&amp;A</v>
      </c>
      <c r="O205" s="133">
        <f t="array" ref="O205">IF(COUNTIF(Podcasts!$D$10:'Podcasts'!$D$2535,$B205)&lt;COLUMN(D168),"",SMALL(IF(Podcasts!$D$10:'Podcasts'!$D$2535=$B205,Podcasts!$E$10:'Podcasts'!$E$2535),COLUMN(D168)))</f>
        <v>44105.830972222226</v>
      </c>
      <c r="P205" s="132">
        <f t="array" ref="P205">IF(O205="","",INDEX(Podcasts!$F$10:'Podcasts'!$F$2535,MATCH(O205&amp;$B205,Podcasts!$E$10:'Podcasts'!$E$2535&amp;Podcasts!$D$10:'Podcasts'!$D$2535,0)))</f>
        <v>9.2615740740740748E-2</v>
      </c>
      <c r="Q205" s="136" t="str">
        <f t="array" ref="Q205">IF(R205="","",INDEX(Podcasts!$J$10:'Podcasts'!$J$2535,MATCH(R205&amp;$B205,Podcasts!$E$10:'Podcasts'!$E$2535&amp;Podcasts!$D$10:'Podcasts'!$D$2535,0)))</f>
        <v/>
      </c>
      <c r="R205" s="133" t="str">
        <f t="array" ref="R205">IF(COUNTIF(Podcasts!$D$10:'Podcasts'!$D$2535,$B205)&lt;COLUMN(E168),"",SMALL(IF(Podcasts!$D$10:'Podcasts'!$D$2535=$B205,Podcasts!$E$10:'Podcasts'!$E$2535),COLUMN(E168)))</f>
        <v/>
      </c>
      <c r="S205" s="132" t="str">
        <f t="array" ref="S205">IF(R205="","",INDEX(Podcasts!$F$10:'Podcasts'!$F$2535,MATCH(R205&amp;$B205,Podcasts!$E$10:'Podcasts'!$E$2535&amp;Podcasts!$D$10:'Podcasts'!$D$2535,0)))</f>
        <v/>
      </c>
      <c r="T205" s="136" t="str">
        <f t="array" ref="T205">IF(U205="","",INDEX(Podcasts!$J$10:'Podcasts'!$J$2535,MATCH(U205&amp;$B205,Podcasts!$E$10:'Podcasts'!$E$2535&amp;Podcasts!$D$10:'Podcasts'!$D$2535,0)))</f>
        <v/>
      </c>
      <c r="U205" s="133" t="str">
        <f t="array" ref="U205">IF(COUNTIF(Podcasts!$D$10:'Podcasts'!$D$2535,$B205)&lt;COLUMN(F168),"",SMALL(IF(Podcasts!$D$10:'Podcasts'!$D$2535=$B205,Podcasts!$E$10:'Podcasts'!$E$2535),COLUMN(F168)))</f>
        <v/>
      </c>
      <c r="V205" s="132" t="str">
        <f t="array" ref="V205">IF(U205="","",INDEX(Podcasts!$F$10:'Podcasts'!$F$2535,MATCH(U205&amp;$B205,Podcasts!$E$10:'Podcasts'!$E$2535&amp;Podcasts!$D$10:'Podcasts'!$D$2535,0)))</f>
        <v/>
      </c>
      <c r="W205" s="136" t="str">
        <f t="array" ref="W205">IF(X205="","",INDEX(Podcasts!$J$10:'Podcasts'!$J$2535,MATCH(X205&amp;$B205,Podcasts!$E$10:'Podcasts'!$E$2535&amp;Podcasts!$D$10:'Podcasts'!$D$2535,0)))</f>
        <v/>
      </c>
      <c r="X205" s="133" t="str">
        <f t="array" ref="X205">IF(COUNTIF(Podcasts!$D$10:'Podcasts'!$D$2535,$B205)&lt;COLUMN(G168),"",SMALL(IF(Podcasts!$D$10:'Podcasts'!$D$2535=$B205,Podcasts!$E$10:'Podcasts'!$E$2535),COLUMN(G168)))</f>
        <v/>
      </c>
      <c r="Y205" s="132" t="str">
        <f t="array" ref="Y205">IF(X205="","",INDEX(Podcasts!$F$10:'Podcasts'!$F$2535,MATCH(X205&amp;$B205,Podcasts!$E$10:'Podcasts'!$E$2535&amp;Podcasts!$D$10:'Podcasts'!$D$2535,0)))</f>
        <v/>
      </c>
      <c r="Z205" s="136" t="str">
        <f t="array" ref="Z205">IF(AA205="","",INDEX(Podcasts!$J$10:'Podcasts'!$J$2535,MATCH(AA205&amp;$B205,Podcasts!$E$10:'Podcasts'!$E$2535&amp;Podcasts!$D$10:'Podcasts'!$D$2535,0)))</f>
        <v/>
      </c>
      <c r="AA205" s="134" t="str">
        <f t="array" ref="AA205">IF(COUNTIF(Podcasts!$D$10:'Podcasts'!$D$2535,$B205)&lt;COLUMN(H168),"",SMALL(IF(Podcasts!$D$10:'Podcasts'!$D$2535=$B205,Podcasts!$E$10:'Podcasts'!$E$2535),COLUMN(H168)))</f>
        <v/>
      </c>
      <c r="AB205" s="404" t="str">
        <f t="array" ref="AB205">IF(AA205="","",INDEX(Podcasts!$F$10:'Podcasts'!$F$2535,MATCH(AA205&amp;$B205,Podcasts!$E$10:'Podcasts'!$E$2535&amp;Podcasts!$D$10:'Podcasts'!$D$2535,0)))</f>
        <v/>
      </c>
      <c r="AC205" s="406" t="str">
        <f t="array" ref="AC205">IF(AD205="","",INDEX(Podcasts!$J$10:'Podcasts'!$J$2535,MATCH(AD205&amp;$B205,Podcasts!$E$10:'Podcasts'!$E$2535&amp;Podcasts!$D$10:'Podcasts'!$D$2535,0)))</f>
        <v/>
      </c>
      <c r="AD205" s="400" t="str">
        <f t="array" ref="AD205">IF(COUNTIF(Podcasts!$D$10:'Podcasts'!$D$2535,$B205)&lt;COLUMN(I168),"",SMALL(IF(Podcasts!$D$10:'Podcasts'!$D$2535=$B205,Podcasts!$E$10:'Podcasts'!$E$2535),COLUMN(I168)))</f>
        <v/>
      </c>
      <c r="AE205" s="401" t="str">
        <f t="array" ref="AE205">IF(AD205="","",INDEX(Podcasts!$F$10:'Podcasts'!$F$2535,MATCH(AD205&amp;$B205,Podcasts!$E$10:'Podcasts'!$E$2535&amp;Podcasts!$D$10:'Podcasts'!$D$2535,0)))</f>
        <v/>
      </c>
      <c r="AF205" s="406" t="str">
        <f t="array" ref="AF205">IF(AG205="","",INDEX(Podcasts!$J$10:'Podcasts'!$J$2535,MATCH(AG205&amp;$B205,Podcasts!$E$10:'Podcasts'!$E$2535&amp;Podcasts!$D$10:'Podcasts'!$D$2535,0)))</f>
        <v/>
      </c>
      <c r="AG205" s="400" t="str">
        <f t="array" ref="AG205">IF(COUNTIF(Podcasts!$D$10:'Podcasts'!$D$2535,$B205)&lt;COLUMN(J168),"",SMALL(IF(Podcasts!$D$10:'Podcasts'!$D$2535=$B205,Podcasts!$E$10:'Podcasts'!$E$2535),COLUMN(J168)))</f>
        <v/>
      </c>
      <c r="AH205" s="401" t="str">
        <f t="array" ref="AH205">IF(AG205="","",INDEX(Podcasts!$F$10:'Podcasts'!$F$2535,MATCH(AG205&amp;$B205,Podcasts!$E$10:'Podcasts'!$E$2535&amp;Podcasts!$D$10:'Podcasts'!$D$2535,0)))</f>
        <v/>
      </c>
      <c r="AI205" s="406" t="str">
        <f t="array" ref="AI205">IF(AJ205="","",INDEX(Podcasts!$J$10:'Podcasts'!$J$2535,MATCH(AJ205&amp;$B205,Podcasts!$E$10:'Podcasts'!$E$2535&amp;Podcasts!$D$10:'Podcasts'!$D$2535,0)))</f>
        <v/>
      </c>
      <c r="AJ205" s="400" t="str">
        <f t="array" ref="AJ205">IF(COUNTIF(Podcasts!$D$10:'Podcasts'!$D$2535,$B205)&lt;COLUMN(K168),"",SMALL(IF(Podcasts!$D$10:'Podcasts'!$D$2535=$B205,Podcasts!$E$10:'Podcasts'!$E$2535),COLUMN(K168)))</f>
        <v/>
      </c>
      <c r="AK205" s="401" t="str">
        <f t="array" ref="AK205">IF(AJ205="","",INDEX(Podcasts!$F$10:'Podcasts'!$F$2535,MATCH(AJ205&amp;$B205,Podcasts!$E$10:'Podcasts'!$E$2535&amp;Podcasts!$D$10:'Podcasts'!$D$2535,0)))</f>
        <v/>
      </c>
      <c r="AL205" s="406" t="str">
        <f t="array" ref="AL205">IF(AM205="","",INDEX(Podcasts!$J$10:'Podcasts'!$J$2535,MATCH(AM205&amp;$B205,Podcasts!$E$10:'Podcasts'!$E$2535&amp;Podcasts!$D$10:'Podcasts'!$D$2535,0)))</f>
        <v/>
      </c>
      <c r="AM205" s="400" t="str">
        <f t="array" ref="AM205">IF(COUNTIF(Podcasts!$D$10:'Podcasts'!$D$2535,$B205)&lt;COLUMN(L168),"",SMALL(IF(Podcasts!$D$10:'Podcasts'!$D$2535=$B205,Podcasts!$E$10:'Podcasts'!$E$2535),COLUMN(L168)))</f>
        <v/>
      </c>
      <c r="AN205" s="401" t="str">
        <f t="array" ref="AN205">IF(AM205="","",INDEX(Podcasts!$F$10:'Podcasts'!$F$2535,MATCH(AM205&amp;$B205,Podcasts!$E$10:'Podcasts'!$E$2535&amp;Podcasts!$D$10:'Podcasts'!$D$2535,0)))</f>
        <v/>
      </c>
      <c r="AO205" s="402"/>
      <c r="AP205" s="119"/>
      <c r="AQ205" s="117">
        <f t="array" aca="1" ref="AQ205" ca="1">IFERROR(SMALL(IF(COUNTIF(Podcasts!$D$10:'Podcasts'!$D$107,ROW(INDIRECT("1:"&amp;K$2)))=0,ROW(INDIRECT("1:"&amp;K$2))),ROW($A162)),"")</f>
        <v>209</v>
      </c>
      <c r="AR205" s="117"/>
      <c r="AS205" s="117">
        <f t="array" aca="1" ref="AS205" ca="1">IFERROR(SMALL(IF(COUNTIF(Podcasts!$D$244:'Podcasts'!$D$299,ROW(INDIRECT("1:"&amp;K$2)))=0,ROW(INDIRECT("1:"&amp;K$2))),ROW($A162)),"")</f>
        <v>199</v>
      </c>
      <c r="AT205" s="117"/>
      <c r="AU205" s="117">
        <f t="array" aca="1" ref="AU205" ca="1">IFERROR(SMALL(IF(COUNTIF(Podcasts!$D$479:'Podcasts'!$D$488,ROW(INDIRECT("1:"&amp;K$2)))=0,ROW(INDIRECT("1:"&amp;K$2))),ROW($A162)),"")</f>
        <v>166</v>
      </c>
      <c r="AV205" s="117">
        <f t="array" aca="1" ref="AV205" ca="1">IFERROR(SMALL(IF(COUNTIF(Podcasts!$D$494:'Podcasts'!$D$518,ROW(INDIRECT("1:"&amp;K$2)))=0,ROW(INDIRECT("1:"&amp;K$2))),ROW($A162)),"")</f>
        <v>186</v>
      </c>
      <c r="AW205" s="117">
        <f t="array" aca="1" ref="AW205" ca="1">IFERROR(SMALL(IF(COUNTIF(Podcasts!$D$524:'Podcasts'!$D$532,ROW(INDIRECT("1:"&amp;K$2)))=0,ROW(INDIRECT("1:"&amp;K$2))),ROW($A162)),"")</f>
        <v>163</v>
      </c>
      <c r="AX205" s="117"/>
      <c r="AY205" s="117">
        <f t="array" aca="1" ref="AY205" ca="1">IFERROR(SMALL(IF(COUNTIF(Podcasts!$D$915:'Podcasts'!$D$981,ROW(INDIRECT("1:"&amp;K$2)))=0,ROW(INDIRECT("1:"&amp;K$2))),ROW($A162)),"")</f>
        <v>219</v>
      </c>
      <c r="AZ205" s="445"/>
      <c r="BA205" s="117">
        <f t="array" aca="1" ref="BA205" ca="1">IFERROR(SMALL(IF(COUNTIF(Podcasts!$D$1001:'Podcasts'!$D$1251,ROW(INDIRECT("1:"&amp;K$2)))=0,ROW(INDIRECT("1:"&amp;K$2))),ROW($A162)),"")</f>
        <v>220</v>
      </c>
      <c r="BB205" s="117">
        <f t="array" aca="1" ref="BB205" ca="1">IFERROR(SMALL(IF(COUNTIF(Podcasts!$D$1257:'Podcasts'!$D$1267,ROW(INDIRECT("1:"&amp;K$2)))=0,ROW(INDIRECT("1:"&amp;K$2))),ROW($A162)),"")</f>
        <v>167</v>
      </c>
      <c r="BC205" s="117">
        <f t="array" aca="1" ref="BC205" ca="1">IFERROR(SMALL(IF(COUNTIF(Podcasts!$D$1273:'Podcasts'!$D$1283,ROW(INDIRECT("1:"&amp;K$2)))=0,ROW(INDIRECT("1:"&amp;K$2))),ROW($A162)),"")</f>
        <v>168</v>
      </c>
      <c r="BD205" s="117">
        <f t="array" aca="1" ref="BD205" ca="1">IFERROR(SMALL(IF(COUNTIF(Podcasts!$D$1289:'Podcasts'!$D$1295,ROW(INDIRECT("1:"&amp;K$2)))=0,ROW(INDIRECT("1:"&amp;K$2))),ROW($A162)),"")</f>
        <v>168</v>
      </c>
      <c r="BE205" s="117">
        <f t="array" aca="1" ref="BE205" ca="1">IFERROR(SMALL(IF(COUNTIF(Podcasts!$D$1301:'Podcasts'!$D$1356,ROW(INDIRECT("1:"&amp;K$2)))=0,ROW(INDIRECT("1:"&amp;K$2))),ROW($A162)),"")</f>
        <v>209</v>
      </c>
      <c r="BF205" s="117">
        <f t="array" aca="1" ref="BF205" ca="1">IFERROR(SMALL(IF(COUNTIF(Podcasts!$D$1362:'Podcasts'!$D$1364,ROW(INDIRECT("1:"&amp;K$2)))=0,ROW(INDIRECT("1:"&amp;K$2))),ROW($A162)),"")</f>
        <v>165</v>
      </c>
      <c r="BG205" s="202">
        <f t="array" aca="1" ref="BG205" ca="1">IFERROR(SMALL(IF(COUNTIF(Podcasts!$D$1370:'Podcasts'!$D$1419,ROW(INDIRECT("1:"&amp;K$2)))=0,ROW(INDIRECT("1:"&amp;K$2))),ROW($A162)),"")</f>
        <v>202</v>
      </c>
      <c r="BH205" s="202">
        <f t="array" aca="1" ref="BH205" ca="1">IFERROR(SMALL(IF(COUNTIF(Podcasts!$D$1425:'Podcasts'!$D$1446,ROW(INDIRECT("1:"&amp;K$2)))=0,ROW(INDIRECT("1:"&amp;K$2))),ROW($A162)),"")</f>
        <v>173</v>
      </c>
      <c r="BI205" s="202"/>
      <c r="BJ205" s="202"/>
      <c r="BK205" s="202"/>
      <c r="BL205" s="202">
        <f t="array" aca="1" ref="BL205" ca="1">IFERROR(SMALL(IF(COUNTIF(Podcasts!$D$1839:'Podcasts'!$D$1855,ROW(INDIRECT("1:"&amp;K$2)))=0,ROW(INDIRECT("1:"&amp;K$2))),ROW($A162)),"")</f>
        <v>171</v>
      </c>
      <c r="BM205" s="567">
        <f t="array" aca="1" ref="BM205" ca="1">IFERROR(SMALL(IF(COUNTIF(Podcasts!$D$1861:'Podcasts'!$D$1994,ROW(INDIRECT("1:"&amp;K$2)))=0,ROW(INDIRECT("1:"&amp;K$2))),ROW($A162)),"")</f>
        <v>217</v>
      </c>
      <c r="BN205" s="567">
        <f t="array" aca="1" ref="BN205" ca="1">IFERROR(SMALL(IF(COUNTIF(Podcasts!$D$2000:'Podcasts'!$D$2057,ROW(INDIRECT("1:"&amp;K$2)))=0,ROW(INDIRECT("1:"&amp;K$2))),ROW($A162)),"")</f>
        <v>217</v>
      </c>
      <c r="BO205" s="567">
        <f t="array" aca="1" ref="BO205" ca="1">IFERROR(SMALL(IF(COUNTIF(Podcasts!$D$2063:'Podcasts'!$D$2071,ROW(INDIRECT("1:"&amp;K$2)))=0,ROW(INDIRECT("1:"&amp;K$2))),ROW($A162)),"")</f>
        <v>170</v>
      </c>
      <c r="BP205" s="202">
        <f t="array" aca="1" ref="BP205" ca="1">IFERROR(SMALL(IF(COUNTIF(Podcasts!$D$2077:'Podcasts'!$D$2092,ROW(INDIRECT("1:"&amp;K$2)))=0,ROW(INDIRECT("1:"&amp;K$2))),ROW($A162)),"")</f>
        <v>173</v>
      </c>
      <c r="BQ205" s="741">
        <f t="array" aca="1" ref="BQ205" ca="1">IFERROR(SMALL(IF(COUNTIF(Podcasts!$D$2098:'Podcasts'!$D$2114,ROW(INDIRECT("1:"&amp;K$2)))=0,ROW(INDIRECT("1:"&amp;K$2))),ROW($A162)),"")</f>
        <v>176</v>
      </c>
      <c r="BR205" s="744">
        <f t="array" aca="1" ref="BR205" ca="1">IFERROR(SMALL(IF(COUNTIF(Podcasts!$D$2120:'Podcasts'!$D$2124,ROW(INDIRECT("1:"&amp;K$2)))=0,ROW(INDIRECT("1:"&amp;K$2))),ROW($A162)),"")</f>
        <v>164</v>
      </c>
      <c r="BS205" s="28"/>
    </row>
    <row r="206" spans="1:71" outlineLevel="1">
      <c r="A206" s="28"/>
      <c r="B206" s="161">
        <v>163</v>
      </c>
      <c r="C206" s="161">
        <f>COUNTIF(Podcasts!$D$10:'Podcasts'!$D$2535,B206)</f>
        <v>5</v>
      </c>
      <c r="D206" s="160" t="s">
        <v>1188</v>
      </c>
      <c r="E206" s="156" t="str">
        <f t="array" ref="E206">IF(F206="","",INDEX(Podcasts!$J$10:'Podcasts'!$J$2535,MATCH(F206&amp;$B206,Podcasts!$E$10:'Podcasts'!$E$2535&amp;Podcasts!$D$10:'Podcasts'!$D$2535,0)))</f>
        <v>???od</v>
      </c>
      <c r="F206" s="131">
        <f t="array" ref="F206">IF(COUNTIF(Podcasts!$D$10:'Podcasts'!$D$2535,$B206)&lt;COLUMN(A169),"",SMALL(IF(Podcasts!$D$10:'Podcasts'!$D$2535=$B206,Podcasts!$E$10:'Podcasts'!$E$2535),COLUMN(A169)))</f>
        <v>41518</v>
      </c>
      <c r="G206" s="132">
        <f t="array" ref="G206">IF(F206="","",INDEX(Podcasts!$F$10:'Podcasts'!$F$2535,MATCH(F206&amp;$B206,Podcasts!$E$10:'Podcasts'!$E$2535&amp;Podcasts!$D$10:'Podcasts'!$D$2535,0)))</f>
        <v>4.6006944444444448E-2</v>
      </c>
      <c r="H206" s="136" t="str">
        <f t="array" ref="H206">IF(I206="","",INDEX(Podcasts!$J$10:'Podcasts'!$J$2535,MATCH(I206&amp;$B206,Podcasts!$E$10:'Podcasts'!$E$2535&amp;Podcasts!$D$10:'Podcasts'!$D$2535,0)))</f>
        <v>Ohr</v>
      </c>
      <c r="I206" s="133">
        <f t="array" ref="I206">IF(COUNTIF(Podcasts!$D$10:'Podcasts'!$D$2535,$B206)&lt;COLUMN(B169),"",SMALL(IF(Podcasts!$D$10:'Podcasts'!$D$2535=$B206,Podcasts!$E$10:'Podcasts'!$E$2535),COLUMN(B169)))</f>
        <v>41543</v>
      </c>
      <c r="J206" s="132">
        <f t="array" ref="J206">IF(I206="","",INDEX(Podcasts!$F$10:'Podcasts'!$F$2535,MATCH(I206&amp;$B206,Podcasts!$E$10:'Podcasts'!$E$2535&amp;Podcasts!$D$10:'Podcasts'!$D$2535,0)))</f>
        <v>2.0717592592592593E-3</v>
      </c>
      <c r="K206" s="136" t="str">
        <f t="array" ref="K206">IF(L206="","",INDEX(Podcasts!$J$10:'Podcasts'!$J$2535,MATCH(L206&amp;$B206,Podcasts!$E$10:'Podcasts'!$E$2535&amp;Podcasts!$D$10:'Podcasts'!$D$2535,0)))</f>
        <v>Talker</v>
      </c>
      <c r="L206" s="133">
        <f t="array" ref="L206">IF(COUNTIF(Podcasts!$D$10:'Podcasts'!$D$2535,$B206)&lt;COLUMN(C169),"",SMALL(IF(Podcasts!$D$10:'Podcasts'!$D$2535=$B206,Podcasts!$E$10:'Podcasts'!$E$2535),COLUMN(C169)))</f>
        <v>41691</v>
      </c>
      <c r="M206" s="132">
        <f t="array" ref="M206">IF(L206="","",INDEX(Podcasts!$F$10:'Podcasts'!$F$2535,MATCH(L206&amp;$B206,Podcasts!$E$10:'Podcasts'!$E$2535&amp;Podcasts!$D$10:'Podcasts'!$D$2535,0)))</f>
        <v>1.4513888888888889E-2</v>
      </c>
      <c r="N206" s="136" t="str">
        <f t="array" ref="N206">IF(O206="","",INDEX(Podcasts!$J$10:'Podcasts'!$J$2535,MATCH(O206&amp;$B206,Podcasts!$E$10:'Podcasts'!$E$2535&amp;Podcasts!$D$10:'Podcasts'!$D$2535,0)))</f>
        <v>Kuchen</v>
      </c>
      <c r="O206" s="133">
        <f t="array" ref="O206">IF(COUNTIF(Podcasts!$D$10:'Podcasts'!$D$2535,$B206)&lt;COLUMN(D169),"",SMALL(IF(Podcasts!$D$10:'Podcasts'!$D$2535=$B206,Podcasts!$E$10:'Podcasts'!$E$2535),COLUMN(D169)))</f>
        <v>44339</v>
      </c>
      <c r="P206" s="132">
        <f t="array" ref="P206">IF(O206="","",INDEX(Podcasts!$F$10:'Podcasts'!$F$2535,MATCH(O206&amp;$B206,Podcasts!$E$10:'Podcasts'!$E$2535&amp;Podcasts!$D$10:'Podcasts'!$D$2535,0)))</f>
        <v>4.7199074074074067E-2</v>
      </c>
      <c r="Q206" s="136" t="str">
        <f t="array" ref="Q206">IF(R206="","",INDEX(Podcasts!$J$10:'Podcasts'!$J$2535,MATCH(R206&amp;$B206,Podcasts!$E$10:'Podcasts'!$E$2535&amp;Podcasts!$D$10:'Podcasts'!$D$2535,0)))</f>
        <v>Zentrale</v>
      </c>
      <c r="R206" s="133">
        <f t="array" ref="R206">IF(COUNTIF(Podcasts!$D$10:'Podcasts'!$D$2535,$B206)&lt;COLUMN(E169),"",SMALL(IF(Podcasts!$D$10:'Podcasts'!$D$2535=$B206,Podcasts!$E$10:'Podcasts'!$E$2535),COLUMN(E169)))</f>
        <v>45373</v>
      </c>
      <c r="S206" s="132">
        <f t="array" ref="S206">IF(R206="","",INDEX(Podcasts!$F$10:'Podcasts'!$F$2535,MATCH(R206&amp;$B206,Podcasts!$E$10:'Podcasts'!$E$2535&amp;Podcasts!$D$10:'Podcasts'!$D$2535,0)))</f>
        <v>8.9641203703703709E-2</v>
      </c>
      <c r="T206" s="136" t="str">
        <f t="array" ref="T206">IF(U206="","",INDEX(Podcasts!$J$10:'Podcasts'!$J$2535,MATCH(U206&amp;$B206,Podcasts!$E$10:'Podcasts'!$E$2535&amp;Podcasts!$D$10:'Podcasts'!$D$2535,0)))</f>
        <v/>
      </c>
      <c r="U206" s="133" t="str">
        <f t="array" ref="U206">IF(COUNTIF(Podcasts!$D$10:'Podcasts'!$D$2535,$B206)&lt;COLUMN(F169),"",SMALL(IF(Podcasts!$D$10:'Podcasts'!$D$2535=$B206,Podcasts!$E$10:'Podcasts'!$E$2535),COLUMN(F169)))</f>
        <v/>
      </c>
      <c r="V206" s="132" t="str">
        <f t="array" ref="V206">IF(U206="","",INDEX(Podcasts!$F$10:'Podcasts'!$F$2535,MATCH(U206&amp;$B206,Podcasts!$E$10:'Podcasts'!$E$2535&amp;Podcasts!$D$10:'Podcasts'!$D$2535,0)))</f>
        <v/>
      </c>
      <c r="W206" s="136" t="str">
        <f t="array" ref="W206">IF(X206="","",INDEX(Podcasts!$J$10:'Podcasts'!$J$2535,MATCH(X206&amp;$B206,Podcasts!$E$10:'Podcasts'!$E$2535&amp;Podcasts!$D$10:'Podcasts'!$D$2535,0)))</f>
        <v/>
      </c>
      <c r="X206" s="133" t="str">
        <f t="array" ref="X206">IF(COUNTIF(Podcasts!$D$10:'Podcasts'!$D$2535,$B206)&lt;COLUMN(G169),"",SMALL(IF(Podcasts!$D$10:'Podcasts'!$D$2535=$B206,Podcasts!$E$10:'Podcasts'!$E$2535),COLUMN(G169)))</f>
        <v/>
      </c>
      <c r="Y206" s="132" t="str">
        <f t="array" ref="Y206">IF(X206="","",INDEX(Podcasts!$F$10:'Podcasts'!$F$2535,MATCH(X206&amp;$B206,Podcasts!$E$10:'Podcasts'!$E$2535&amp;Podcasts!$D$10:'Podcasts'!$D$2535,0)))</f>
        <v/>
      </c>
      <c r="Z206" s="136" t="str">
        <f t="array" ref="Z206">IF(AA206="","",INDEX(Podcasts!$J$10:'Podcasts'!$J$2535,MATCH(AA206&amp;$B206,Podcasts!$E$10:'Podcasts'!$E$2535&amp;Podcasts!$D$10:'Podcasts'!$D$2535,0)))</f>
        <v/>
      </c>
      <c r="AA206" s="134" t="str">
        <f t="array" ref="AA206">IF(COUNTIF(Podcasts!$D$10:'Podcasts'!$D$2535,$B206)&lt;COLUMN(H169),"",SMALL(IF(Podcasts!$D$10:'Podcasts'!$D$2535=$B206,Podcasts!$E$10:'Podcasts'!$E$2535),COLUMN(H169)))</f>
        <v/>
      </c>
      <c r="AB206" s="404" t="str">
        <f t="array" ref="AB206">IF(AA206="","",INDEX(Podcasts!$F$10:'Podcasts'!$F$2535,MATCH(AA206&amp;$B206,Podcasts!$E$10:'Podcasts'!$E$2535&amp;Podcasts!$D$10:'Podcasts'!$D$2535,0)))</f>
        <v/>
      </c>
      <c r="AC206" s="406" t="str">
        <f t="array" ref="AC206">IF(AD206="","",INDEX(Podcasts!$J$10:'Podcasts'!$J$2535,MATCH(AD206&amp;$B206,Podcasts!$E$10:'Podcasts'!$E$2535&amp;Podcasts!$D$10:'Podcasts'!$D$2535,0)))</f>
        <v/>
      </c>
      <c r="AD206" s="400" t="str">
        <f t="array" ref="AD206">IF(COUNTIF(Podcasts!$D$10:'Podcasts'!$D$2535,$B206)&lt;COLUMN(I169),"",SMALL(IF(Podcasts!$D$10:'Podcasts'!$D$2535=$B206,Podcasts!$E$10:'Podcasts'!$E$2535),COLUMN(I169)))</f>
        <v/>
      </c>
      <c r="AE206" s="401" t="str">
        <f t="array" ref="AE206">IF(AD206="","",INDEX(Podcasts!$F$10:'Podcasts'!$F$2535,MATCH(AD206&amp;$B206,Podcasts!$E$10:'Podcasts'!$E$2535&amp;Podcasts!$D$10:'Podcasts'!$D$2535,0)))</f>
        <v/>
      </c>
      <c r="AF206" s="406" t="str">
        <f t="array" ref="AF206">IF(AG206="","",INDEX(Podcasts!$J$10:'Podcasts'!$J$2535,MATCH(AG206&amp;$B206,Podcasts!$E$10:'Podcasts'!$E$2535&amp;Podcasts!$D$10:'Podcasts'!$D$2535,0)))</f>
        <v/>
      </c>
      <c r="AG206" s="400" t="str">
        <f t="array" ref="AG206">IF(COUNTIF(Podcasts!$D$10:'Podcasts'!$D$2535,$B206)&lt;COLUMN(J169),"",SMALL(IF(Podcasts!$D$10:'Podcasts'!$D$2535=$B206,Podcasts!$E$10:'Podcasts'!$E$2535),COLUMN(J169)))</f>
        <v/>
      </c>
      <c r="AH206" s="401" t="str">
        <f t="array" ref="AH206">IF(AG206="","",INDEX(Podcasts!$F$10:'Podcasts'!$F$2535,MATCH(AG206&amp;$B206,Podcasts!$E$10:'Podcasts'!$E$2535&amp;Podcasts!$D$10:'Podcasts'!$D$2535,0)))</f>
        <v/>
      </c>
      <c r="AI206" s="406" t="str">
        <f t="array" ref="AI206">IF(AJ206="","",INDEX(Podcasts!$J$10:'Podcasts'!$J$2535,MATCH(AJ206&amp;$B206,Podcasts!$E$10:'Podcasts'!$E$2535&amp;Podcasts!$D$10:'Podcasts'!$D$2535,0)))</f>
        <v/>
      </c>
      <c r="AJ206" s="400" t="str">
        <f t="array" ref="AJ206">IF(COUNTIF(Podcasts!$D$10:'Podcasts'!$D$2535,$B206)&lt;COLUMN(K169),"",SMALL(IF(Podcasts!$D$10:'Podcasts'!$D$2535=$B206,Podcasts!$E$10:'Podcasts'!$E$2535),COLUMN(K169)))</f>
        <v/>
      </c>
      <c r="AK206" s="401" t="str">
        <f t="array" ref="AK206">IF(AJ206="","",INDEX(Podcasts!$F$10:'Podcasts'!$F$2535,MATCH(AJ206&amp;$B206,Podcasts!$E$10:'Podcasts'!$E$2535&amp;Podcasts!$D$10:'Podcasts'!$D$2535,0)))</f>
        <v/>
      </c>
      <c r="AL206" s="406" t="str">
        <f t="array" ref="AL206">IF(AM206="","",INDEX(Podcasts!$J$10:'Podcasts'!$J$2535,MATCH(AM206&amp;$B206,Podcasts!$E$10:'Podcasts'!$E$2535&amp;Podcasts!$D$10:'Podcasts'!$D$2535,0)))</f>
        <v/>
      </c>
      <c r="AM206" s="400" t="str">
        <f t="array" ref="AM206">IF(COUNTIF(Podcasts!$D$10:'Podcasts'!$D$2535,$B206)&lt;COLUMN(L169),"",SMALL(IF(Podcasts!$D$10:'Podcasts'!$D$2535=$B206,Podcasts!$E$10:'Podcasts'!$E$2535),COLUMN(L169)))</f>
        <v/>
      </c>
      <c r="AN206" s="401" t="str">
        <f t="array" ref="AN206">IF(AM206="","",INDEX(Podcasts!$F$10:'Podcasts'!$F$2535,MATCH(AM206&amp;$B206,Podcasts!$E$10:'Podcasts'!$E$2535&amp;Podcasts!$D$10:'Podcasts'!$D$2535,0)))</f>
        <v/>
      </c>
      <c r="AO206" s="402"/>
      <c r="AP206" s="119"/>
      <c r="AQ206" s="117">
        <f t="array" aca="1" ref="AQ206" ca="1">IFERROR(SMALL(IF(COUNTIF(Podcasts!$D$10:'Podcasts'!$D$107,ROW(INDIRECT("1:"&amp;K$2)))=0,ROW(INDIRECT("1:"&amp;K$2))),ROW($A163)),"")</f>
        <v>210</v>
      </c>
      <c r="AR206" s="117"/>
      <c r="AS206" s="117">
        <f t="array" aca="1" ref="AS206" ca="1">IFERROR(SMALL(IF(COUNTIF(Podcasts!$D$244:'Podcasts'!$D$299,ROW(INDIRECT("1:"&amp;K$2)))=0,ROW(INDIRECT("1:"&amp;K$2))),ROW($A163)),"")</f>
        <v>200</v>
      </c>
      <c r="AT206" s="117"/>
      <c r="AU206" s="117">
        <f t="array" aca="1" ref="AU206" ca="1">IFERROR(SMALL(IF(COUNTIF(Podcasts!$D$479:'Podcasts'!$D$488,ROW(INDIRECT("1:"&amp;K$2)))=0,ROW(INDIRECT("1:"&amp;K$2))),ROW($A163)),"")</f>
        <v>167</v>
      </c>
      <c r="AV206" s="117">
        <f t="array" aca="1" ref="AV206" ca="1">IFERROR(SMALL(IF(COUNTIF(Podcasts!$D$494:'Podcasts'!$D$518,ROW(INDIRECT("1:"&amp;K$2)))=0,ROW(INDIRECT("1:"&amp;K$2))),ROW($A163)),"")</f>
        <v>187</v>
      </c>
      <c r="AW206" s="117">
        <f t="array" aca="1" ref="AW206" ca="1">IFERROR(SMALL(IF(COUNTIF(Podcasts!$D$524:'Podcasts'!$D$532,ROW(INDIRECT("1:"&amp;K$2)))=0,ROW(INDIRECT("1:"&amp;K$2))),ROW($A163)),"")</f>
        <v>164</v>
      </c>
      <c r="AX206" s="117"/>
      <c r="AY206" s="117">
        <f t="array" aca="1" ref="AY206" ca="1">IFERROR(SMALL(IF(COUNTIF(Podcasts!$D$915:'Podcasts'!$D$981,ROW(INDIRECT("1:"&amp;K$2)))=0,ROW(INDIRECT("1:"&amp;K$2))),ROW($A163)),"")</f>
        <v>220</v>
      </c>
      <c r="AZ206" s="445"/>
      <c r="BA206" s="117">
        <f t="array" aca="1" ref="BA206" ca="1">IFERROR(SMALL(IF(COUNTIF(Podcasts!$D$1001:'Podcasts'!$D$1251,ROW(INDIRECT("1:"&amp;K$2)))=0,ROW(INDIRECT("1:"&amp;K$2))),ROW($A163)),"")</f>
        <v>221</v>
      </c>
      <c r="BB206" s="117">
        <f t="array" aca="1" ref="BB206" ca="1">IFERROR(SMALL(IF(COUNTIF(Podcasts!$D$1257:'Podcasts'!$D$1267,ROW(INDIRECT("1:"&amp;K$2)))=0,ROW(INDIRECT("1:"&amp;K$2))),ROW($A163)),"")</f>
        <v>168</v>
      </c>
      <c r="BC206" s="117">
        <f t="array" aca="1" ref="BC206" ca="1">IFERROR(SMALL(IF(COUNTIF(Podcasts!$D$1273:'Podcasts'!$D$1283,ROW(INDIRECT("1:"&amp;K$2)))=0,ROW(INDIRECT("1:"&amp;K$2))),ROW($A163)),"")</f>
        <v>169</v>
      </c>
      <c r="BD206" s="117">
        <f t="array" aca="1" ref="BD206" ca="1">IFERROR(SMALL(IF(COUNTIF(Podcasts!$D$1289:'Podcasts'!$D$1295,ROW(INDIRECT("1:"&amp;K$2)))=0,ROW(INDIRECT("1:"&amp;K$2))),ROW($A163)),"")</f>
        <v>169</v>
      </c>
      <c r="BE206" s="117">
        <f t="array" aca="1" ref="BE206" ca="1">IFERROR(SMALL(IF(COUNTIF(Podcasts!$D$1301:'Podcasts'!$D$1356,ROW(INDIRECT("1:"&amp;K$2)))=0,ROW(INDIRECT("1:"&amp;K$2))),ROW($A163)),"")</f>
        <v>210</v>
      </c>
      <c r="BF206" s="117">
        <f t="array" aca="1" ref="BF206" ca="1">IFERROR(SMALL(IF(COUNTIF(Podcasts!$D$1362:'Podcasts'!$D$1364,ROW(INDIRECT("1:"&amp;K$2)))=0,ROW(INDIRECT("1:"&amp;K$2))),ROW($A163)),"")</f>
        <v>166</v>
      </c>
      <c r="BG206" s="202">
        <f t="array" aca="1" ref="BG206" ca="1">IFERROR(SMALL(IF(COUNTIF(Podcasts!$D$1370:'Podcasts'!$D$1419,ROW(INDIRECT("1:"&amp;K$2)))=0,ROW(INDIRECT("1:"&amp;K$2))),ROW($A163)),"")</f>
        <v>203</v>
      </c>
      <c r="BH206" s="202">
        <f t="array" aca="1" ref="BH206" ca="1">IFERROR(SMALL(IF(COUNTIF(Podcasts!$D$1425:'Podcasts'!$D$1446,ROW(INDIRECT("1:"&amp;K$2)))=0,ROW(INDIRECT("1:"&amp;K$2))),ROW($A163)),"")</f>
        <v>174</v>
      </c>
      <c r="BI206" s="202"/>
      <c r="BJ206" s="202"/>
      <c r="BK206" s="202"/>
      <c r="BL206" s="202">
        <f t="array" aca="1" ref="BL206" ca="1">IFERROR(SMALL(IF(COUNTIF(Podcasts!$D$1839:'Podcasts'!$D$1855,ROW(INDIRECT("1:"&amp;K$2)))=0,ROW(INDIRECT("1:"&amp;K$2))),ROW($A163)),"")</f>
        <v>172</v>
      </c>
      <c r="BM206" s="567">
        <f t="array" aca="1" ref="BM206" ca="1">IFERROR(SMALL(IF(COUNTIF(Podcasts!$D$1861:'Podcasts'!$D$1994,ROW(INDIRECT("1:"&amp;K$2)))=0,ROW(INDIRECT("1:"&amp;K$2))),ROW($A163)),"")</f>
        <v>218</v>
      </c>
      <c r="BN206" s="567">
        <f t="array" aca="1" ref="BN206" ca="1">IFERROR(SMALL(IF(COUNTIF(Podcasts!$D$2000:'Podcasts'!$D$2057,ROW(INDIRECT("1:"&amp;K$2)))=0,ROW(INDIRECT("1:"&amp;K$2))),ROW($A163)),"")</f>
        <v>218</v>
      </c>
      <c r="BO206" s="567">
        <f t="array" aca="1" ref="BO206" ca="1">IFERROR(SMALL(IF(COUNTIF(Podcasts!$D$2063:'Podcasts'!$D$2071,ROW(INDIRECT("1:"&amp;K$2)))=0,ROW(INDIRECT("1:"&amp;K$2))),ROW($A163)),"")</f>
        <v>171</v>
      </c>
      <c r="BP206" s="202">
        <f t="array" aca="1" ref="BP206" ca="1">IFERROR(SMALL(IF(COUNTIF(Podcasts!$D$2077:'Podcasts'!$D$2092,ROW(INDIRECT("1:"&amp;K$2)))=0,ROW(INDIRECT("1:"&amp;K$2))),ROW($A163)),"")</f>
        <v>174</v>
      </c>
      <c r="BQ206" s="741">
        <f t="array" aca="1" ref="BQ206" ca="1">IFERROR(SMALL(IF(COUNTIF(Podcasts!$D$2098:'Podcasts'!$D$2114,ROW(INDIRECT("1:"&amp;K$2)))=0,ROW(INDIRECT("1:"&amp;K$2))),ROW($A163)),"")</f>
        <v>177</v>
      </c>
      <c r="BR206" s="744">
        <f t="array" aca="1" ref="BR206" ca="1">IFERROR(SMALL(IF(COUNTIF(Podcasts!$D$2120:'Podcasts'!$D$2124,ROW(INDIRECT("1:"&amp;K$2)))=0,ROW(INDIRECT("1:"&amp;K$2))),ROW($A163)),"")</f>
        <v>165</v>
      </c>
      <c r="BS206" s="28"/>
    </row>
    <row r="207" spans="1:71" outlineLevel="1">
      <c r="A207" s="28"/>
      <c r="B207" s="161">
        <v>164</v>
      </c>
      <c r="C207" s="161">
        <f>COUNTIF(Podcasts!$D$10:'Podcasts'!$D$2535,B207)</f>
        <v>4</v>
      </c>
      <c r="D207" s="160" t="s">
        <v>1189</v>
      </c>
      <c r="E207" s="156" t="str">
        <f t="array" ref="E207">IF(F207="","",INDEX(Podcasts!$J$10:'Podcasts'!$J$2535,MATCH(F207&amp;$B207,Podcasts!$E$10:'Podcasts'!$E$2535&amp;Podcasts!$D$10:'Podcasts'!$D$2535,0)))</f>
        <v>???od</v>
      </c>
      <c r="F207" s="131">
        <f t="array" ref="F207">IF(COUNTIF(Podcasts!$D$10:'Podcasts'!$D$2535,$B207)&lt;COLUMN(A170),"",SMALL(IF(Podcasts!$D$10:'Podcasts'!$D$2535=$B207,Podcasts!$E$10:'Podcasts'!$E$2535),COLUMN(A170)))</f>
        <v>41576</v>
      </c>
      <c r="G207" s="132">
        <f t="array" ref="G207">IF(F207="","",INDEX(Podcasts!$F$10:'Podcasts'!$F$2535,MATCH(F207&amp;$B207,Podcasts!$E$10:'Podcasts'!$E$2535&amp;Podcasts!$D$10:'Podcasts'!$D$2535,0)))</f>
        <v>4.1539351851851855E-2</v>
      </c>
      <c r="H207" s="136" t="str">
        <f t="array" ref="H207">IF(I207="","",INDEX(Podcasts!$J$10:'Podcasts'!$J$2535,MATCH(I207&amp;$B207,Podcasts!$E$10:'Podcasts'!$E$2535&amp;Podcasts!$D$10:'Podcasts'!$D$2535,0)))</f>
        <v>Ohr</v>
      </c>
      <c r="I207" s="133">
        <f t="array" ref="I207">IF(COUNTIF(Podcasts!$D$10:'Podcasts'!$D$2535,$B207)&lt;COLUMN(B170),"",SMALL(IF(Podcasts!$D$10:'Podcasts'!$D$2535=$B207,Podcasts!$E$10:'Podcasts'!$E$2535),COLUMN(B170)))</f>
        <v>41578</v>
      </c>
      <c r="J207" s="132">
        <f t="array" ref="J207">IF(I207="","",INDEX(Podcasts!$F$10:'Podcasts'!$F$2535,MATCH(I207&amp;$B207,Podcasts!$E$10:'Podcasts'!$E$2535&amp;Podcasts!$D$10:'Podcasts'!$D$2535,0)))</f>
        <v>2.5578703703703705E-3</v>
      </c>
      <c r="K207" s="136" t="str">
        <f t="array" ref="K207">IF(L207="","",INDEX(Podcasts!$J$10:'Podcasts'!$J$2535,MATCH(L207&amp;$B207,Podcasts!$E$10:'Podcasts'!$E$2535&amp;Podcasts!$D$10:'Podcasts'!$D$2535,0)))</f>
        <v>Fürst</v>
      </c>
      <c r="L207" s="133">
        <f t="array" ref="L207">IF(COUNTIF(Podcasts!$D$10:'Podcasts'!$D$2535,$B207)&lt;COLUMN(C170),"",SMALL(IF(Podcasts!$D$10:'Podcasts'!$D$2535=$B207,Podcasts!$E$10:'Podcasts'!$E$2535),COLUMN(C170)))</f>
        <v>41731</v>
      </c>
      <c r="M207" s="132">
        <f t="array" ref="M207">IF(L207="","",INDEX(Podcasts!$F$10:'Podcasts'!$F$2535,MATCH(L207&amp;$B207,Podcasts!$E$10:'Podcasts'!$E$2535&amp;Podcasts!$D$10:'Podcasts'!$D$2535,0)))</f>
        <v>6.0185185185185168E-3</v>
      </c>
      <c r="N207" s="136" t="str">
        <f t="array" ref="N207">IF(O207="","",INDEX(Podcasts!$J$10:'Podcasts'!$J$2535,MATCH(O207&amp;$B207,Podcasts!$E$10:'Podcasts'!$E$2535&amp;Podcasts!$D$10:'Podcasts'!$D$2535,0)))</f>
        <v>Talker</v>
      </c>
      <c r="O207" s="133">
        <f t="array" ref="O207">IF(COUNTIF(Podcasts!$D$10:'Podcasts'!$D$2535,$B207)&lt;COLUMN(D170),"",SMALL(IF(Podcasts!$D$10:'Podcasts'!$D$2535=$B207,Podcasts!$E$10:'Podcasts'!$E$2535),COLUMN(D170)))</f>
        <v>41852</v>
      </c>
      <c r="P207" s="132">
        <f t="array" ref="P207">IF(O207="","",INDEX(Podcasts!$F$10:'Podcasts'!$F$2535,MATCH(O207&amp;$B207,Podcasts!$E$10:'Podcasts'!$E$2535&amp;Podcasts!$D$10:'Podcasts'!$D$2535,0)))</f>
        <v>1.8680555555555554E-2</v>
      </c>
      <c r="Q207" s="136" t="str">
        <f t="array" ref="Q207">IF(R207="","",INDEX(Podcasts!$J$10:'Podcasts'!$J$2535,MATCH(R207&amp;$B207,Podcasts!$E$10:'Podcasts'!$E$2535&amp;Podcasts!$D$10:'Podcasts'!$D$2535,0)))</f>
        <v/>
      </c>
      <c r="R207" s="133" t="str">
        <f t="array" ref="R207">IF(COUNTIF(Podcasts!$D$10:'Podcasts'!$D$2535,$B207)&lt;COLUMN(E170),"",SMALL(IF(Podcasts!$D$10:'Podcasts'!$D$2535=$B207,Podcasts!$E$10:'Podcasts'!$E$2535),COLUMN(E170)))</f>
        <v/>
      </c>
      <c r="S207" s="132" t="str">
        <f t="array" ref="S207">IF(R207="","",INDEX(Podcasts!$F$10:'Podcasts'!$F$2535,MATCH(R207&amp;$B207,Podcasts!$E$10:'Podcasts'!$E$2535&amp;Podcasts!$D$10:'Podcasts'!$D$2535,0)))</f>
        <v/>
      </c>
      <c r="T207" s="136" t="str">
        <f t="array" ref="T207">IF(U207="","",INDEX(Podcasts!$J$10:'Podcasts'!$J$2535,MATCH(U207&amp;$B207,Podcasts!$E$10:'Podcasts'!$E$2535&amp;Podcasts!$D$10:'Podcasts'!$D$2535,0)))</f>
        <v/>
      </c>
      <c r="U207" s="133" t="str">
        <f t="array" ref="U207">IF(COUNTIF(Podcasts!$D$10:'Podcasts'!$D$2535,$B207)&lt;COLUMN(F170),"",SMALL(IF(Podcasts!$D$10:'Podcasts'!$D$2535=$B207,Podcasts!$E$10:'Podcasts'!$E$2535),COLUMN(F170)))</f>
        <v/>
      </c>
      <c r="V207" s="132" t="str">
        <f t="array" ref="V207">IF(U207="","",INDEX(Podcasts!$F$10:'Podcasts'!$F$2535,MATCH(U207&amp;$B207,Podcasts!$E$10:'Podcasts'!$E$2535&amp;Podcasts!$D$10:'Podcasts'!$D$2535,0)))</f>
        <v/>
      </c>
      <c r="W207" s="136" t="str">
        <f t="array" ref="W207">IF(X207="","",INDEX(Podcasts!$J$10:'Podcasts'!$J$2535,MATCH(X207&amp;$B207,Podcasts!$E$10:'Podcasts'!$E$2535&amp;Podcasts!$D$10:'Podcasts'!$D$2535,0)))</f>
        <v/>
      </c>
      <c r="X207" s="133" t="str">
        <f t="array" ref="X207">IF(COUNTIF(Podcasts!$D$10:'Podcasts'!$D$2535,$B207)&lt;COLUMN(G170),"",SMALL(IF(Podcasts!$D$10:'Podcasts'!$D$2535=$B207,Podcasts!$E$10:'Podcasts'!$E$2535),COLUMN(G170)))</f>
        <v/>
      </c>
      <c r="Y207" s="132" t="str">
        <f t="array" ref="Y207">IF(X207="","",INDEX(Podcasts!$F$10:'Podcasts'!$F$2535,MATCH(X207&amp;$B207,Podcasts!$E$10:'Podcasts'!$E$2535&amp;Podcasts!$D$10:'Podcasts'!$D$2535,0)))</f>
        <v/>
      </c>
      <c r="Z207" s="136" t="str">
        <f t="array" ref="Z207">IF(AA207="","",INDEX(Podcasts!$J$10:'Podcasts'!$J$2535,MATCH(AA207&amp;$B207,Podcasts!$E$10:'Podcasts'!$E$2535&amp;Podcasts!$D$10:'Podcasts'!$D$2535,0)))</f>
        <v/>
      </c>
      <c r="AA207" s="134" t="str">
        <f t="array" ref="AA207">IF(COUNTIF(Podcasts!$D$10:'Podcasts'!$D$2535,$B207)&lt;COLUMN(H170),"",SMALL(IF(Podcasts!$D$10:'Podcasts'!$D$2535=$B207,Podcasts!$E$10:'Podcasts'!$E$2535),COLUMN(H170)))</f>
        <v/>
      </c>
      <c r="AB207" s="404" t="str">
        <f t="array" ref="AB207">IF(AA207="","",INDEX(Podcasts!$F$10:'Podcasts'!$F$2535,MATCH(AA207&amp;$B207,Podcasts!$E$10:'Podcasts'!$E$2535&amp;Podcasts!$D$10:'Podcasts'!$D$2535,0)))</f>
        <v/>
      </c>
      <c r="AC207" s="406" t="str">
        <f t="array" ref="AC207">IF(AD207="","",INDEX(Podcasts!$J$10:'Podcasts'!$J$2535,MATCH(AD207&amp;$B207,Podcasts!$E$10:'Podcasts'!$E$2535&amp;Podcasts!$D$10:'Podcasts'!$D$2535,0)))</f>
        <v/>
      </c>
      <c r="AD207" s="400" t="str">
        <f t="array" ref="AD207">IF(COUNTIF(Podcasts!$D$10:'Podcasts'!$D$2535,$B207)&lt;COLUMN(I170),"",SMALL(IF(Podcasts!$D$10:'Podcasts'!$D$2535=$B207,Podcasts!$E$10:'Podcasts'!$E$2535),COLUMN(I170)))</f>
        <v/>
      </c>
      <c r="AE207" s="401" t="str">
        <f t="array" ref="AE207">IF(AD207="","",INDEX(Podcasts!$F$10:'Podcasts'!$F$2535,MATCH(AD207&amp;$B207,Podcasts!$E$10:'Podcasts'!$E$2535&amp;Podcasts!$D$10:'Podcasts'!$D$2535,0)))</f>
        <v/>
      </c>
      <c r="AF207" s="406" t="str">
        <f t="array" ref="AF207">IF(AG207="","",INDEX(Podcasts!$J$10:'Podcasts'!$J$2535,MATCH(AG207&amp;$B207,Podcasts!$E$10:'Podcasts'!$E$2535&amp;Podcasts!$D$10:'Podcasts'!$D$2535,0)))</f>
        <v/>
      </c>
      <c r="AG207" s="400" t="str">
        <f t="array" ref="AG207">IF(COUNTIF(Podcasts!$D$10:'Podcasts'!$D$2535,$B207)&lt;COLUMN(J170),"",SMALL(IF(Podcasts!$D$10:'Podcasts'!$D$2535=$B207,Podcasts!$E$10:'Podcasts'!$E$2535),COLUMN(J170)))</f>
        <v/>
      </c>
      <c r="AH207" s="401" t="str">
        <f t="array" ref="AH207">IF(AG207="","",INDEX(Podcasts!$F$10:'Podcasts'!$F$2535,MATCH(AG207&amp;$B207,Podcasts!$E$10:'Podcasts'!$E$2535&amp;Podcasts!$D$10:'Podcasts'!$D$2535,0)))</f>
        <v/>
      </c>
      <c r="AI207" s="406" t="str">
        <f t="array" ref="AI207">IF(AJ207="","",INDEX(Podcasts!$J$10:'Podcasts'!$J$2535,MATCH(AJ207&amp;$B207,Podcasts!$E$10:'Podcasts'!$E$2535&amp;Podcasts!$D$10:'Podcasts'!$D$2535,0)))</f>
        <v/>
      </c>
      <c r="AJ207" s="400" t="str">
        <f t="array" ref="AJ207">IF(COUNTIF(Podcasts!$D$10:'Podcasts'!$D$2535,$B207)&lt;COLUMN(K170),"",SMALL(IF(Podcasts!$D$10:'Podcasts'!$D$2535=$B207,Podcasts!$E$10:'Podcasts'!$E$2535),COLUMN(K170)))</f>
        <v/>
      </c>
      <c r="AK207" s="401" t="str">
        <f t="array" ref="AK207">IF(AJ207="","",INDEX(Podcasts!$F$10:'Podcasts'!$F$2535,MATCH(AJ207&amp;$B207,Podcasts!$E$10:'Podcasts'!$E$2535&amp;Podcasts!$D$10:'Podcasts'!$D$2535,0)))</f>
        <v/>
      </c>
      <c r="AL207" s="406" t="str">
        <f t="array" ref="AL207">IF(AM207="","",INDEX(Podcasts!$J$10:'Podcasts'!$J$2535,MATCH(AM207&amp;$B207,Podcasts!$E$10:'Podcasts'!$E$2535&amp;Podcasts!$D$10:'Podcasts'!$D$2535,0)))</f>
        <v/>
      </c>
      <c r="AM207" s="400" t="str">
        <f t="array" ref="AM207">IF(COUNTIF(Podcasts!$D$10:'Podcasts'!$D$2535,$B207)&lt;COLUMN(L170),"",SMALL(IF(Podcasts!$D$10:'Podcasts'!$D$2535=$B207,Podcasts!$E$10:'Podcasts'!$E$2535),COLUMN(L170)))</f>
        <v/>
      </c>
      <c r="AN207" s="401" t="str">
        <f t="array" ref="AN207">IF(AM207="","",INDEX(Podcasts!$F$10:'Podcasts'!$F$2535,MATCH(AM207&amp;$B207,Podcasts!$E$10:'Podcasts'!$E$2535&amp;Podcasts!$D$10:'Podcasts'!$D$2535,0)))</f>
        <v/>
      </c>
      <c r="AO207" s="402"/>
      <c r="AP207" s="119"/>
      <c r="AQ207" s="117">
        <f t="array" aca="1" ref="AQ207" ca="1">IFERROR(SMALL(IF(COUNTIF(Podcasts!$D$10:'Podcasts'!$D$107,ROW(INDIRECT("1:"&amp;K$2)))=0,ROW(INDIRECT("1:"&amp;K$2))),ROW($A164)),"")</f>
        <v>211</v>
      </c>
      <c r="AR207" s="117"/>
      <c r="AS207" s="117">
        <f t="array" aca="1" ref="AS207" ca="1">IFERROR(SMALL(IF(COUNTIF(Podcasts!$D$244:'Podcasts'!$D$299,ROW(INDIRECT("1:"&amp;K$2)))=0,ROW(INDIRECT("1:"&amp;K$2))),ROW($A164)),"")</f>
        <v>201</v>
      </c>
      <c r="AT207" s="117"/>
      <c r="AU207" s="117">
        <f t="array" aca="1" ref="AU207" ca="1">IFERROR(SMALL(IF(COUNTIF(Podcasts!$D$479:'Podcasts'!$D$488,ROW(INDIRECT("1:"&amp;K$2)))=0,ROW(INDIRECT("1:"&amp;K$2))),ROW($A164)),"")</f>
        <v>168</v>
      </c>
      <c r="AV207" s="117">
        <f t="array" aca="1" ref="AV207" ca="1">IFERROR(SMALL(IF(COUNTIF(Podcasts!$D$494:'Podcasts'!$D$518,ROW(INDIRECT("1:"&amp;K$2)))=0,ROW(INDIRECT("1:"&amp;K$2))),ROW($A164)),"")</f>
        <v>188</v>
      </c>
      <c r="AW207" s="117">
        <f t="array" aca="1" ref="AW207" ca="1">IFERROR(SMALL(IF(COUNTIF(Podcasts!$D$524:'Podcasts'!$D$532,ROW(INDIRECT("1:"&amp;K$2)))=0,ROW(INDIRECT("1:"&amp;K$2))),ROW($A164)),"")</f>
        <v>165</v>
      </c>
      <c r="AX207" s="117"/>
      <c r="AY207" s="117">
        <f t="array" aca="1" ref="AY207" ca="1">IFERROR(SMALL(IF(COUNTIF(Podcasts!$D$915:'Podcasts'!$D$981,ROW(INDIRECT("1:"&amp;K$2)))=0,ROW(INDIRECT("1:"&amp;K$2))),ROW($A164)),"")</f>
        <v>221</v>
      </c>
      <c r="AZ207" s="445"/>
      <c r="BA207" s="117">
        <f t="array" aca="1" ref="BA207" ca="1">IFERROR(SMALL(IF(COUNTIF(Podcasts!$D$1001:'Podcasts'!$D$1251,ROW(INDIRECT("1:"&amp;K$2)))=0,ROW(INDIRECT("1:"&amp;K$2))),ROW($A164)),"")</f>
        <v>222</v>
      </c>
      <c r="BB207" s="117">
        <f t="array" aca="1" ref="BB207" ca="1">IFERROR(SMALL(IF(COUNTIF(Podcasts!$D$1257:'Podcasts'!$D$1267,ROW(INDIRECT("1:"&amp;K$2)))=0,ROW(INDIRECT("1:"&amp;K$2))),ROW($A164)),"")</f>
        <v>170</v>
      </c>
      <c r="BC207" s="117">
        <f t="array" aca="1" ref="BC207" ca="1">IFERROR(SMALL(IF(COUNTIF(Podcasts!$D$1273:'Podcasts'!$D$1283,ROW(INDIRECT("1:"&amp;K$2)))=0,ROW(INDIRECT("1:"&amp;K$2))),ROW($A164)),"")</f>
        <v>170</v>
      </c>
      <c r="BD207" s="117">
        <f t="array" aca="1" ref="BD207" ca="1">IFERROR(SMALL(IF(COUNTIF(Podcasts!$D$1289:'Podcasts'!$D$1295,ROW(INDIRECT("1:"&amp;K$2)))=0,ROW(INDIRECT("1:"&amp;K$2))),ROW($A164)),"")</f>
        <v>170</v>
      </c>
      <c r="BE207" s="117">
        <f t="array" aca="1" ref="BE207" ca="1">IFERROR(SMALL(IF(COUNTIF(Podcasts!$D$1301:'Podcasts'!$D$1356,ROW(INDIRECT("1:"&amp;K$2)))=0,ROW(INDIRECT("1:"&amp;K$2))),ROW($A164)),"")</f>
        <v>211</v>
      </c>
      <c r="BF207" s="117">
        <f t="array" aca="1" ref="BF207" ca="1">IFERROR(SMALL(IF(COUNTIF(Podcasts!$D$1362:'Podcasts'!$D$1364,ROW(INDIRECT("1:"&amp;K$2)))=0,ROW(INDIRECT("1:"&amp;K$2))),ROW($A164)),"")</f>
        <v>167</v>
      </c>
      <c r="BG207" s="202">
        <f t="array" aca="1" ref="BG207" ca="1">IFERROR(SMALL(IF(COUNTIF(Podcasts!$D$1370:'Podcasts'!$D$1419,ROW(INDIRECT("1:"&amp;K$2)))=0,ROW(INDIRECT("1:"&amp;K$2))),ROW($A164)),"")</f>
        <v>204</v>
      </c>
      <c r="BH207" s="202">
        <f t="array" aca="1" ref="BH207" ca="1">IFERROR(SMALL(IF(COUNTIF(Podcasts!$D$1425:'Podcasts'!$D$1446,ROW(INDIRECT("1:"&amp;K$2)))=0,ROW(INDIRECT("1:"&amp;K$2))),ROW($A164)),"")</f>
        <v>175</v>
      </c>
      <c r="BI207" s="202"/>
      <c r="BJ207" s="202"/>
      <c r="BK207" s="202"/>
      <c r="BL207" s="202">
        <f t="array" aca="1" ref="BL207" ca="1">IFERROR(SMALL(IF(COUNTIF(Podcasts!$D$1839:'Podcasts'!$D$1855,ROW(INDIRECT("1:"&amp;K$2)))=0,ROW(INDIRECT("1:"&amp;K$2))),ROW($A164)),"")</f>
        <v>173</v>
      </c>
      <c r="BM207" s="567">
        <f t="array" aca="1" ref="BM207" ca="1">IFERROR(SMALL(IF(COUNTIF(Podcasts!$D$1861:'Podcasts'!$D$1994,ROW(INDIRECT("1:"&amp;K$2)))=0,ROW(INDIRECT("1:"&amp;K$2))),ROW($A164)),"")</f>
        <v>219</v>
      </c>
      <c r="BN207" s="567">
        <f t="array" aca="1" ref="BN207" ca="1">IFERROR(SMALL(IF(COUNTIF(Podcasts!$D$2000:'Podcasts'!$D$2057,ROW(INDIRECT("1:"&amp;K$2)))=0,ROW(INDIRECT("1:"&amp;K$2))),ROW($A164)),"")</f>
        <v>219</v>
      </c>
      <c r="BO207" s="567">
        <f t="array" aca="1" ref="BO207" ca="1">IFERROR(SMALL(IF(COUNTIF(Podcasts!$D$2063:'Podcasts'!$D$2071,ROW(INDIRECT("1:"&amp;K$2)))=0,ROW(INDIRECT("1:"&amp;K$2))),ROW($A164)),"")</f>
        <v>172</v>
      </c>
      <c r="BP207" s="202">
        <f t="array" aca="1" ref="BP207" ca="1">IFERROR(SMALL(IF(COUNTIF(Podcasts!$D$2077:'Podcasts'!$D$2092,ROW(INDIRECT("1:"&amp;K$2)))=0,ROW(INDIRECT("1:"&amp;K$2))),ROW($A164)),"")</f>
        <v>175</v>
      </c>
      <c r="BQ207" s="741">
        <f t="array" aca="1" ref="BQ207" ca="1">IFERROR(SMALL(IF(COUNTIF(Podcasts!$D$2098:'Podcasts'!$D$2114,ROW(INDIRECT("1:"&amp;K$2)))=0,ROW(INDIRECT("1:"&amp;K$2))),ROW($A164)),"")</f>
        <v>178</v>
      </c>
      <c r="BR207" s="744">
        <f t="array" aca="1" ref="BR207" ca="1">IFERROR(SMALL(IF(COUNTIF(Podcasts!$D$2120:'Podcasts'!$D$2124,ROW(INDIRECT("1:"&amp;K$2)))=0,ROW(INDIRECT("1:"&amp;K$2))),ROW($A164)),"")</f>
        <v>166</v>
      </c>
      <c r="BS207" s="28"/>
    </row>
    <row r="208" spans="1:71" outlineLevel="1">
      <c r="A208" s="28"/>
      <c r="B208" s="161">
        <v>165</v>
      </c>
      <c r="C208" s="161">
        <f>COUNTIF(Podcasts!$D$10:'Podcasts'!$D$2535,B208)</f>
        <v>6</v>
      </c>
      <c r="D208" s="160" t="s">
        <v>1190</v>
      </c>
      <c r="E208" s="156" t="str">
        <f t="array" ref="E208">IF(F208="","",INDEX(Podcasts!$J$10:'Podcasts'!$J$2535,MATCH(F208&amp;$B208,Podcasts!$E$10:'Podcasts'!$E$2535&amp;Podcasts!$D$10:'Podcasts'!$D$2535,0)))</f>
        <v>???od</v>
      </c>
      <c r="F208" s="131">
        <f t="array" ref="F208">IF(COUNTIF(Podcasts!$D$10:'Podcasts'!$D$2535,$B208)&lt;COLUMN(A171),"",SMALL(IF(Podcasts!$D$10:'Podcasts'!$D$2535=$B208,Podcasts!$E$10:'Podcasts'!$E$2535),COLUMN(A171)))</f>
        <v>41609</v>
      </c>
      <c r="G208" s="132">
        <f t="array" ref="G208">IF(F208="","",INDEX(Podcasts!$F$10:'Podcasts'!$F$2535,MATCH(F208&amp;$B208,Podcasts!$E$10:'Podcasts'!$E$2535&amp;Podcasts!$D$10:'Podcasts'!$D$2535,0)))</f>
        <v>4.1666666666666664E-2</v>
      </c>
      <c r="H208" s="136" t="str">
        <f t="array" ref="H208">IF(I208="","",INDEX(Podcasts!$J$10:'Podcasts'!$J$2535,MATCH(I208&amp;$B208,Podcasts!$E$10:'Podcasts'!$E$2535&amp;Podcasts!$D$10:'Podcasts'!$D$2535,0)))</f>
        <v>Ohr</v>
      </c>
      <c r="I208" s="133">
        <f t="array" ref="I208">IF(COUNTIF(Podcasts!$D$10:'Podcasts'!$D$2535,$B208)&lt;COLUMN(B171),"",SMALL(IF(Podcasts!$D$10:'Podcasts'!$D$2535=$B208,Podcasts!$E$10:'Podcasts'!$E$2535),COLUMN(B171)))</f>
        <v>41636</v>
      </c>
      <c r="J208" s="132">
        <f t="array" ref="J208">IF(I208="","",INDEX(Podcasts!$F$10:'Podcasts'!$F$2535,MATCH(I208&amp;$B208,Podcasts!$E$10:'Podcasts'!$E$2535&amp;Podcasts!$D$10:'Podcasts'!$D$2535,0)))</f>
        <v>1.6203703703703703E-3</v>
      </c>
      <c r="K208" s="136" t="str">
        <f t="array" ref="K208">IF(L208="","",INDEX(Podcasts!$J$10:'Podcasts'!$J$2535,MATCH(L208&amp;$B208,Podcasts!$E$10:'Podcasts'!$E$2535&amp;Podcasts!$D$10:'Podcasts'!$D$2535,0)))</f>
        <v>Fürst</v>
      </c>
      <c r="L208" s="133">
        <f t="array" ref="L208">IF(COUNTIF(Podcasts!$D$10:'Podcasts'!$D$2535,$B208)&lt;COLUMN(C171),"",SMALL(IF(Podcasts!$D$10:'Podcasts'!$D$2535=$B208,Podcasts!$E$10:'Podcasts'!$E$2535),COLUMN(C171)))</f>
        <v>41731</v>
      </c>
      <c r="M208" s="132">
        <f t="array" ref="M208">IF(L208="","",INDEX(Podcasts!$F$10:'Podcasts'!$F$2535,MATCH(L208&amp;$B208,Podcasts!$E$10:'Podcasts'!$E$2535&amp;Podcasts!$D$10:'Podcasts'!$D$2535,0)))</f>
        <v>4.6874999999999998E-3</v>
      </c>
      <c r="N208" s="136" t="str">
        <f t="array" ref="N208">IF(O208="","",INDEX(Podcasts!$J$10:'Podcasts'!$J$2535,MATCH(O208&amp;$B208,Podcasts!$E$10:'Podcasts'!$E$2535&amp;Podcasts!$D$10:'Podcasts'!$D$2535,0)))</f>
        <v>R&amp;A</v>
      </c>
      <c r="O208" s="133">
        <f t="array" ref="O208">IF(COUNTIF(Podcasts!$D$10:'Podcasts'!$D$2535,$B208)&lt;COLUMN(D171),"",SMALL(IF(Podcasts!$D$10:'Podcasts'!$D$2535=$B208,Podcasts!$E$10:'Podcasts'!$E$2535),COLUMN(D171)))</f>
        <v>44286.25</v>
      </c>
      <c r="P208" s="132">
        <f t="array" ref="P208">IF(O208="","",INDEX(Podcasts!$F$10:'Podcasts'!$F$2535,MATCH(O208&amp;$B208,Podcasts!$E$10:'Podcasts'!$E$2535&amp;Podcasts!$D$10:'Podcasts'!$D$2535,0)))</f>
        <v>0.10032407407407407</v>
      </c>
      <c r="Q208" s="136" t="str">
        <f t="array" ref="Q208">IF(R208="","",INDEX(Podcasts!$J$10:'Podcasts'!$J$2535,MATCH(R208&amp;$B208,Podcasts!$E$10:'Podcasts'!$E$2535&amp;Podcasts!$D$10:'Podcasts'!$D$2535,0)))</f>
        <v>Kaffee</v>
      </c>
      <c r="R208" s="133">
        <f t="array" ref="R208">IF(COUNTIF(Podcasts!$D$10:'Podcasts'!$D$2535,$B208)&lt;COLUMN(E171),"",SMALL(IF(Podcasts!$D$10:'Podcasts'!$D$2535=$B208,Podcasts!$E$10:'Podcasts'!$E$2535),COLUMN(E171)))</f>
        <v>44547</v>
      </c>
      <c r="S208" s="132">
        <f t="array" ref="S208">IF(R208="","",INDEX(Podcasts!$F$10:'Podcasts'!$F$2535,MATCH(R208&amp;$B208,Podcasts!$E$10:'Podcasts'!$E$2535&amp;Podcasts!$D$10:'Podcasts'!$D$2535,0)))</f>
        <v>3.8090277777777778E-2</v>
      </c>
      <c r="T208" s="136" t="str">
        <f t="array" ref="T208">IF(U208="","",INDEX(Podcasts!$J$10:'Podcasts'!$J$2535,MATCH(U208&amp;$B208,Podcasts!$E$10:'Podcasts'!$E$2535&amp;Podcasts!$D$10:'Podcasts'!$D$2535,0)))</f>
        <v>Verstärker</v>
      </c>
      <c r="U208" s="133">
        <f t="array" ref="U208">IF(COUNTIF(Podcasts!$D$10:'Podcasts'!$D$2535,$B208)&lt;COLUMN(F171),"",SMALL(IF(Podcasts!$D$10:'Podcasts'!$D$2535=$B208,Podcasts!$E$10:'Podcasts'!$E$2535),COLUMN(F171)))</f>
        <v>44776</v>
      </c>
      <c r="V208" s="132">
        <f t="array" ref="V208">IF(U208="","",INDEX(Podcasts!$F$10:'Podcasts'!$F$2535,MATCH(U208&amp;$B208,Podcasts!$E$10:'Podcasts'!$E$2535&amp;Podcasts!$D$10:'Podcasts'!$D$2535,0)))</f>
        <v>2.0682870370370372E-2</v>
      </c>
      <c r="W208" s="136" t="str">
        <f t="array" ref="W208">IF(X208="","",INDEX(Podcasts!$J$10:'Podcasts'!$J$2535,MATCH(X208&amp;$B208,Podcasts!$E$10:'Podcasts'!$E$2535&amp;Podcasts!$D$10:'Podcasts'!$D$2535,0)))</f>
        <v/>
      </c>
      <c r="X208" s="133" t="str">
        <f t="array" ref="X208">IF(COUNTIF(Podcasts!$D$10:'Podcasts'!$D$2535,$B208)&lt;COLUMN(G171),"",SMALL(IF(Podcasts!$D$10:'Podcasts'!$D$2535=$B208,Podcasts!$E$10:'Podcasts'!$E$2535),COLUMN(G171)))</f>
        <v/>
      </c>
      <c r="Y208" s="132" t="str">
        <f t="array" ref="Y208">IF(X208="","",INDEX(Podcasts!$F$10:'Podcasts'!$F$2535,MATCH(X208&amp;$B208,Podcasts!$E$10:'Podcasts'!$E$2535&amp;Podcasts!$D$10:'Podcasts'!$D$2535,0)))</f>
        <v/>
      </c>
      <c r="Z208" s="136" t="str">
        <f t="array" ref="Z208">IF(AA208="","",INDEX(Podcasts!$J$10:'Podcasts'!$J$2535,MATCH(AA208&amp;$B208,Podcasts!$E$10:'Podcasts'!$E$2535&amp;Podcasts!$D$10:'Podcasts'!$D$2535,0)))</f>
        <v/>
      </c>
      <c r="AA208" s="134" t="str">
        <f t="array" ref="AA208">IF(COUNTIF(Podcasts!$D$10:'Podcasts'!$D$2535,$B208)&lt;COLUMN(H171),"",SMALL(IF(Podcasts!$D$10:'Podcasts'!$D$2535=$B208,Podcasts!$E$10:'Podcasts'!$E$2535),COLUMN(H171)))</f>
        <v/>
      </c>
      <c r="AB208" s="404" t="str">
        <f t="array" ref="AB208">IF(AA208="","",INDEX(Podcasts!$F$10:'Podcasts'!$F$2535,MATCH(AA208&amp;$B208,Podcasts!$E$10:'Podcasts'!$E$2535&amp;Podcasts!$D$10:'Podcasts'!$D$2535,0)))</f>
        <v/>
      </c>
      <c r="AC208" s="406" t="str">
        <f t="array" ref="AC208">IF(AD208="","",INDEX(Podcasts!$J$10:'Podcasts'!$J$2535,MATCH(AD208&amp;$B208,Podcasts!$E$10:'Podcasts'!$E$2535&amp;Podcasts!$D$10:'Podcasts'!$D$2535,0)))</f>
        <v/>
      </c>
      <c r="AD208" s="400" t="str">
        <f t="array" ref="AD208">IF(COUNTIF(Podcasts!$D$10:'Podcasts'!$D$2535,$B208)&lt;COLUMN(I171),"",SMALL(IF(Podcasts!$D$10:'Podcasts'!$D$2535=$B208,Podcasts!$E$10:'Podcasts'!$E$2535),COLUMN(I171)))</f>
        <v/>
      </c>
      <c r="AE208" s="401" t="str">
        <f t="array" ref="AE208">IF(AD208="","",INDEX(Podcasts!$F$10:'Podcasts'!$F$2535,MATCH(AD208&amp;$B208,Podcasts!$E$10:'Podcasts'!$E$2535&amp;Podcasts!$D$10:'Podcasts'!$D$2535,0)))</f>
        <v/>
      </c>
      <c r="AF208" s="406" t="str">
        <f t="array" ref="AF208">IF(AG208="","",INDEX(Podcasts!$J$10:'Podcasts'!$J$2535,MATCH(AG208&amp;$B208,Podcasts!$E$10:'Podcasts'!$E$2535&amp;Podcasts!$D$10:'Podcasts'!$D$2535,0)))</f>
        <v/>
      </c>
      <c r="AG208" s="400" t="str">
        <f t="array" ref="AG208">IF(COUNTIF(Podcasts!$D$10:'Podcasts'!$D$2535,$B208)&lt;COLUMN(J171),"",SMALL(IF(Podcasts!$D$10:'Podcasts'!$D$2535=$B208,Podcasts!$E$10:'Podcasts'!$E$2535),COLUMN(J171)))</f>
        <v/>
      </c>
      <c r="AH208" s="401" t="str">
        <f t="array" ref="AH208">IF(AG208="","",INDEX(Podcasts!$F$10:'Podcasts'!$F$2535,MATCH(AG208&amp;$B208,Podcasts!$E$10:'Podcasts'!$E$2535&amp;Podcasts!$D$10:'Podcasts'!$D$2535,0)))</f>
        <v/>
      </c>
      <c r="AI208" s="406" t="str">
        <f t="array" ref="AI208">IF(AJ208="","",INDEX(Podcasts!$J$10:'Podcasts'!$J$2535,MATCH(AJ208&amp;$B208,Podcasts!$E$10:'Podcasts'!$E$2535&amp;Podcasts!$D$10:'Podcasts'!$D$2535,0)))</f>
        <v/>
      </c>
      <c r="AJ208" s="400" t="str">
        <f t="array" ref="AJ208">IF(COUNTIF(Podcasts!$D$10:'Podcasts'!$D$2535,$B208)&lt;COLUMN(K171),"",SMALL(IF(Podcasts!$D$10:'Podcasts'!$D$2535=$B208,Podcasts!$E$10:'Podcasts'!$E$2535),COLUMN(K171)))</f>
        <v/>
      </c>
      <c r="AK208" s="401" t="str">
        <f t="array" ref="AK208">IF(AJ208="","",INDEX(Podcasts!$F$10:'Podcasts'!$F$2535,MATCH(AJ208&amp;$B208,Podcasts!$E$10:'Podcasts'!$E$2535&amp;Podcasts!$D$10:'Podcasts'!$D$2535,0)))</f>
        <v/>
      </c>
      <c r="AL208" s="406" t="str">
        <f t="array" ref="AL208">IF(AM208="","",INDEX(Podcasts!$J$10:'Podcasts'!$J$2535,MATCH(AM208&amp;$B208,Podcasts!$E$10:'Podcasts'!$E$2535&amp;Podcasts!$D$10:'Podcasts'!$D$2535,0)))</f>
        <v/>
      </c>
      <c r="AM208" s="400" t="str">
        <f t="array" ref="AM208">IF(COUNTIF(Podcasts!$D$10:'Podcasts'!$D$2535,$B208)&lt;COLUMN(L171),"",SMALL(IF(Podcasts!$D$10:'Podcasts'!$D$2535=$B208,Podcasts!$E$10:'Podcasts'!$E$2535),COLUMN(L171)))</f>
        <v/>
      </c>
      <c r="AN208" s="401" t="str">
        <f t="array" ref="AN208">IF(AM208="","",INDEX(Podcasts!$F$10:'Podcasts'!$F$2535,MATCH(AM208&amp;$B208,Podcasts!$E$10:'Podcasts'!$E$2535&amp;Podcasts!$D$10:'Podcasts'!$D$2535,0)))</f>
        <v/>
      </c>
      <c r="AO208" s="402"/>
      <c r="AP208" s="119"/>
      <c r="AQ208" s="117">
        <f t="array" aca="1" ref="AQ208" ca="1">IFERROR(SMALL(IF(COUNTIF(Podcasts!$D$10:'Podcasts'!$D$107,ROW(INDIRECT("1:"&amp;K$2)))=0,ROW(INDIRECT("1:"&amp;K$2))),ROW($A165)),"")</f>
        <v>212</v>
      </c>
      <c r="AR208" s="117"/>
      <c r="AS208" s="117">
        <f t="array" aca="1" ref="AS208" ca="1">IFERROR(SMALL(IF(COUNTIF(Podcasts!$D$244:'Podcasts'!$D$299,ROW(INDIRECT("1:"&amp;K$2)))=0,ROW(INDIRECT("1:"&amp;K$2))),ROW($A165)),"")</f>
        <v>202</v>
      </c>
      <c r="AT208" s="117"/>
      <c r="AU208" s="117">
        <f t="array" aca="1" ref="AU208" ca="1">IFERROR(SMALL(IF(COUNTIF(Podcasts!$D$479:'Podcasts'!$D$488,ROW(INDIRECT("1:"&amp;K$2)))=0,ROW(INDIRECT("1:"&amp;K$2))),ROW($A165)),"")</f>
        <v>169</v>
      </c>
      <c r="AV208" s="117">
        <f t="array" aca="1" ref="AV208" ca="1">IFERROR(SMALL(IF(COUNTIF(Podcasts!$D$494:'Podcasts'!$D$518,ROW(INDIRECT("1:"&amp;K$2)))=0,ROW(INDIRECT("1:"&amp;K$2))),ROW($A165)),"")</f>
        <v>189</v>
      </c>
      <c r="AW208" s="117">
        <f t="array" aca="1" ref="AW208" ca="1">IFERROR(SMALL(IF(COUNTIF(Podcasts!$D$524:'Podcasts'!$D$532,ROW(INDIRECT("1:"&amp;K$2)))=0,ROW(INDIRECT("1:"&amp;K$2))),ROW($A165)),"")</f>
        <v>166</v>
      </c>
      <c r="AX208" s="117"/>
      <c r="AY208" s="117">
        <f t="array" aca="1" ref="AY208" ca="1">IFERROR(SMALL(IF(COUNTIF(Podcasts!$D$915:'Podcasts'!$D$981,ROW(INDIRECT("1:"&amp;K$2)))=0,ROW(INDIRECT("1:"&amp;K$2))),ROW($A165)),"")</f>
        <v>222</v>
      </c>
      <c r="AZ208" s="445"/>
      <c r="BA208" s="117">
        <f t="array" aca="1" ref="BA208" ca="1">IFERROR(SMALL(IF(COUNTIF(Podcasts!$D$1001:'Podcasts'!$D$1251,ROW(INDIRECT("1:"&amp;K$2)))=0,ROW(INDIRECT("1:"&amp;K$2))),ROW($A165)),"")</f>
        <v>223</v>
      </c>
      <c r="BB208" s="117">
        <f t="array" aca="1" ref="BB208" ca="1">IFERROR(SMALL(IF(COUNTIF(Podcasts!$D$1257:'Podcasts'!$D$1267,ROW(INDIRECT("1:"&amp;K$2)))=0,ROW(INDIRECT("1:"&amp;K$2))),ROW($A165)),"")</f>
        <v>171</v>
      </c>
      <c r="BC208" s="117">
        <f t="array" aca="1" ref="BC208" ca="1">IFERROR(SMALL(IF(COUNTIF(Podcasts!$D$1273:'Podcasts'!$D$1283,ROW(INDIRECT("1:"&amp;K$2)))=0,ROW(INDIRECT("1:"&amp;K$2))),ROW($A165)),"")</f>
        <v>171</v>
      </c>
      <c r="BD208" s="117">
        <f t="array" aca="1" ref="BD208" ca="1">IFERROR(SMALL(IF(COUNTIF(Podcasts!$D$1289:'Podcasts'!$D$1295,ROW(INDIRECT("1:"&amp;K$2)))=0,ROW(INDIRECT("1:"&amp;K$2))),ROW($A165)),"")</f>
        <v>171</v>
      </c>
      <c r="BE208" s="117">
        <f t="array" aca="1" ref="BE208" ca="1">IFERROR(SMALL(IF(COUNTIF(Podcasts!$D$1301:'Podcasts'!$D$1356,ROW(INDIRECT("1:"&amp;K$2)))=0,ROW(INDIRECT("1:"&amp;K$2))),ROW($A165)),"")</f>
        <v>212</v>
      </c>
      <c r="BF208" s="117">
        <f t="array" aca="1" ref="BF208" ca="1">IFERROR(SMALL(IF(COUNTIF(Podcasts!$D$1362:'Podcasts'!$D$1364,ROW(INDIRECT("1:"&amp;K$2)))=0,ROW(INDIRECT("1:"&amp;K$2))),ROW($A165)),"")</f>
        <v>168</v>
      </c>
      <c r="BG208" s="202">
        <f t="array" aca="1" ref="BG208" ca="1">IFERROR(SMALL(IF(COUNTIF(Podcasts!$D$1370:'Podcasts'!$D$1419,ROW(INDIRECT("1:"&amp;K$2)))=0,ROW(INDIRECT("1:"&amp;K$2))),ROW($A165)),"")</f>
        <v>205</v>
      </c>
      <c r="BH208" s="202">
        <f t="array" aca="1" ref="BH208" ca="1">IFERROR(SMALL(IF(COUNTIF(Podcasts!$D$1425:'Podcasts'!$D$1446,ROW(INDIRECT("1:"&amp;K$2)))=0,ROW(INDIRECT("1:"&amp;K$2))),ROW($A165)),"")</f>
        <v>176</v>
      </c>
      <c r="BI208" s="202"/>
      <c r="BJ208" s="202"/>
      <c r="BK208" s="202"/>
      <c r="BL208" s="202">
        <f t="array" aca="1" ref="BL208" ca="1">IFERROR(SMALL(IF(COUNTIF(Podcasts!$D$1839:'Podcasts'!$D$1855,ROW(INDIRECT("1:"&amp;K$2)))=0,ROW(INDIRECT("1:"&amp;K$2))),ROW($A165)),"")</f>
        <v>174</v>
      </c>
      <c r="BM208" s="567">
        <f t="array" aca="1" ref="BM208" ca="1">IFERROR(SMALL(IF(COUNTIF(Podcasts!$D$1861:'Podcasts'!$D$1994,ROW(INDIRECT("1:"&amp;K$2)))=0,ROW(INDIRECT("1:"&amp;K$2))),ROW($A165)),"")</f>
        <v>220</v>
      </c>
      <c r="BN208" s="567">
        <f t="array" aca="1" ref="BN208" ca="1">IFERROR(SMALL(IF(COUNTIF(Podcasts!$D$2000:'Podcasts'!$D$2057,ROW(INDIRECT("1:"&amp;K$2)))=0,ROW(INDIRECT("1:"&amp;K$2))),ROW($A165)),"")</f>
        <v>220</v>
      </c>
      <c r="BO208" s="567">
        <f t="array" aca="1" ref="BO208" ca="1">IFERROR(SMALL(IF(COUNTIF(Podcasts!$D$2063:'Podcasts'!$D$2071,ROW(INDIRECT("1:"&amp;K$2)))=0,ROW(INDIRECT("1:"&amp;K$2))),ROW($A165)),"")</f>
        <v>173</v>
      </c>
      <c r="BP208" s="202">
        <f t="array" aca="1" ref="BP208" ca="1">IFERROR(SMALL(IF(COUNTIF(Podcasts!$D$2077:'Podcasts'!$D$2092,ROW(INDIRECT("1:"&amp;K$2)))=0,ROW(INDIRECT("1:"&amp;K$2))),ROW($A165)),"")</f>
        <v>176</v>
      </c>
      <c r="BQ208" s="741">
        <f t="array" aca="1" ref="BQ208" ca="1">IFERROR(SMALL(IF(COUNTIF(Podcasts!$D$2098:'Podcasts'!$D$2114,ROW(INDIRECT("1:"&amp;K$2)))=0,ROW(INDIRECT("1:"&amp;K$2))),ROW($A165)),"")</f>
        <v>179</v>
      </c>
      <c r="BR208" s="744">
        <f t="array" aca="1" ref="BR208" ca="1">IFERROR(SMALL(IF(COUNTIF(Podcasts!$D$2120:'Podcasts'!$D$2124,ROW(INDIRECT("1:"&amp;K$2)))=0,ROW(INDIRECT("1:"&amp;K$2))),ROW($A165)),"")</f>
        <v>167</v>
      </c>
      <c r="BS208" s="28"/>
    </row>
    <row r="209" spans="1:71" outlineLevel="1">
      <c r="A209" s="28"/>
      <c r="B209" s="161">
        <v>166</v>
      </c>
      <c r="C209" s="161">
        <f>COUNTIF(Podcasts!$D$10:'Podcasts'!$D$2535,B209)</f>
        <v>4</v>
      </c>
      <c r="D209" s="160" t="s">
        <v>1191</v>
      </c>
      <c r="E209" s="156" t="str">
        <f t="array" ref="E209">IF(F209="","",INDEX(Podcasts!$J$10:'Podcasts'!$J$2535,MATCH(F209&amp;$B209,Podcasts!$E$10:'Podcasts'!$E$2535&amp;Podcasts!$D$10:'Podcasts'!$D$2535,0)))</f>
        <v>Ohr</v>
      </c>
      <c r="F209" s="131">
        <f t="array" ref="F209">IF(COUNTIF(Podcasts!$D$10:'Podcasts'!$D$2535,$B209)&lt;COLUMN(A172),"",SMALL(IF(Podcasts!$D$10:'Podcasts'!$D$2535=$B209,Podcasts!$E$10:'Podcasts'!$E$2535),COLUMN(A172)))</f>
        <v>41671</v>
      </c>
      <c r="G209" s="132">
        <f t="array" ref="G209">IF(F209="","",INDEX(Podcasts!$F$10:'Podcasts'!$F$2535,MATCH(F209&amp;$B209,Podcasts!$E$10:'Podcasts'!$E$2535&amp;Podcasts!$D$10:'Podcasts'!$D$2535,0)))</f>
        <v>2.4074074074074076E-3</v>
      </c>
      <c r="H209" s="136" t="str">
        <f t="array" ref="H209">IF(I209="","",INDEX(Podcasts!$J$10:'Podcasts'!$J$2535,MATCH(I209&amp;$B209,Podcasts!$E$10:'Podcasts'!$E$2535&amp;Podcasts!$D$10:'Podcasts'!$D$2535,0)))</f>
        <v>Talker</v>
      </c>
      <c r="I209" s="133">
        <f t="array" ref="I209">IF(COUNTIF(Podcasts!$D$10:'Podcasts'!$D$2535,$B209)&lt;COLUMN(B172),"",SMALL(IF(Podcasts!$D$10:'Podcasts'!$D$2535=$B209,Podcasts!$E$10:'Podcasts'!$E$2535),COLUMN(B172)))</f>
        <v>42321</v>
      </c>
      <c r="J209" s="132">
        <f t="array" ref="J209">IF(I209="","",INDEX(Podcasts!$F$10:'Podcasts'!$F$2535,MATCH(I209&amp;$B209,Podcasts!$E$10:'Podcasts'!$E$2535&amp;Podcasts!$D$10:'Podcasts'!$D$2535,0)))</f>
        <v>2.4884259259259259E-2</v>
      </c>
      <c r="K209" s="136" t="str">
        <f t="array" ref="K209">IF(L209="","",INDEX(Podcasts!$J$10:'Podcasts'!$J$2535,MATCH(L209&amp;$B209,Podcasts!$E$10:'Podcasts'!$E$2535&amp;Podcasts!$D$10:'Podcasts'!$D$2535,0)))</f>
        <v>SSP</v>
      </c>
      <c r="L209" s="133">
        <f t="array" ref="L209">IF(COUNTIF(Podcasts!$D$10:'Podcasts'!$D$2535,$B209)&lt;COLUMN(C172),"",SMALL(IF(Podcasts!$D$10:'Podcasts'!$D$2535=$B209,Podcasts!$E$10:'Podcasts'!$E$2535),COLUMN(C172)))</f>
        <v>44112</v>
      </c>
      <c r="M209" s="132">
        <f t="array" ref="M209">IF(L209="","",INDEX(Podcasts!$F$10:'Podcasts'!$F$2535,MATCH(L209&amp;$B209,Podcasts!$E$10:'Podcasts'!$E$2535&amp;Podcasts!$D$10:'Podcasts'!$D$2535,0)))</f>
        <v>7.3287037037037039E-2</v>
      </c>
      <c r="N209" s="136" t="str">
        <f t="array" ref="N209">IF(O209="","",INDEX(Podcasts!$J$10:'Podcasts'!$J$2535,MATCH(O209&amp;$B209,Podcasts!$E$10:'Podcasts'!$E$2535&amp;Podcasts!$D$10:'Podcasts'!$D$2535,0)))</f>
        <v>Kuchen</v>
      </c>
      <c r="O209" s="133">
        <f t="array" ref="O209">IF(COUNTIF(Podcasts!$D$10:'Podcasts'!$D$2535,$B209)&lt;COLUMN(D172),"",SMALL(IF(Podcasts!$D$10:'Podcasts'!$D$2535=$B209,Podcasts!$E$10:'Podcasts'!$E$2535),COLUMN(D172)))</f>
        <v>45060</v>
      </c>
      <c r="P209" s="132">
        <f t="array" ref="P209">IF(O209="","",INDEX(Podcasts!$F$10:'Podcasts'!$F$2535,MATCH(O209&amp;$B209,Podcasts!$E$10:'Podcasts'!$E$2535&amp;Podcasts!$D$10:'Podcasts'!$D$2535,0)))</f>
        <v>4.8819444444444443E-2</v>
      </c>
      <c r="Q209" s="136" t="str">
        <f t="array" ref="Q209">IF(R209="","",INDEX(Podcasts!$J$10:'Podcasts'!$J$2535,MATCH(R209&amp;$B209,Podcasts!$E$10:'Podcasts'!$E$2535&amp;Podcasts!$D$10:'Podcasts'!$D$2535,0)))</f>
        <v/>
      </c>
      <c r="R209" s="133" t="str">
        <f t="array" ref="R209">IF(COUNTIF(Podcasts!$D$10:'Podcasts'!$D$2535,$B209)&lt;COLUMN(E172),"",SMALL(IF(Podcasts!$D$10:'Podcasts'!$D$2535=$B209,Podcasts!$E$10:'Podcasts'!$E$2535),COLUMN(E172)))</f>
        <v/>
      </c>
      <c r="S209" s="132" t="str">
        <f t="array" ref="S209">IF(R209="","",INDEX(Podcasts!$F$10:'Podcasts'!$F$2535,MATCH(R209&amp;$B209,Podcasts!$E$10:'Podcasts'!$E$2535&amp;Podcasts!$D$10:'Podcasts'!$D$2535,0)))</f>
        <v/>
      </c>
      <c r="T209" s="136" t="str">
        <f t="array" ref="T209">IF(U209="","",INDEX(Podcasts!$J$10:'Podcasts'!$J$2535,MATCH(U209&amp;$B209,Podcasts!$E$10:'Podcasts'!$E$2535&amp;Podcasts!$D$10:'Podcasts'!$D$2535,0)))</f>
        <v/>
      </c>
      <c r="U209" s="133" t="str">
        <f t="array" ref="U209">IF(COUNTIF(Podcasts!$D$10:'Podcasts'!$D$2535,$B209)&lt;COLUMN(F172),"",SMALL(IF(Podcasts!$D$10:'Podcasts'!$D$2535=$B209,Podcasts!$E$10:'Podcasts'!$E$2535),COLUMN(F172)))</f>
        <v/>
      </c>
      <c r="V209" s="132" t="str">
        <f t="array" ref="V209">IF(U209="","",INDEX(Podcasts!$F$10:'Podcasts'!$F$2535,MATCH(U209&amp;$B209,Podcasts!$E$10:'Podcasts'!$E$2535&amp;Podcasts!$D$10:'Podcasts'!$D$2535,0)))</f>
        <v/>
      </c>
      <c r="W209" s="136" t="str">
        <f t="array" ref="W209">IF(X209="","",INDEX(Podcasts!$J$10:'Podcasts'!$J$2535,MATCH(X209&amp;$B209,Podcasts!$E$10:'Podcasts'!$E$2535&amp;Podcasts!$D$10:'Podcasts'!$D$2535,0)))</f>
        <v/>
      </c>
      <c r="X209" s="133" t="str">
        <f t="array" ref="X209">IF(COUNTIF(Podcasts!$D$10:'Podcasts'!$D$2535,$B209)&lt;COLUMN(G172),"",SMALL(IF(Podcasts!$D$10:'Podcasts'!$D$2535=$B209,Podcasts!$E$10:'Podcasts'!$E$2535),COLUMN(G172)))</f>
        <v/>
      </c>
      <c r="Y209" s="132" t="str">
        <f t="array" ref="Y209">IF(X209="","",INDEX(Podcasts!$F$10:'Podcasts'!$F$2535,MATCH(X209&amp;$B209,Podcasts!$E$10:'Podcasts'!$E$2535&amp;Podcasts!$D$10:'Podcasts'!$D$2535,0)))</f>
        <v/>
      </c>
      <c r="Z209" s="136" t="str">
        <f t="array" ref="Z209">IF(AA209="","",INDEX(Podcasts!$J$10:'Podcasts'!$J$2535,MATCH(AA209&amp;$B209,Podcasts!$E$10:'Podcasts'!$E$2535&amp;Podcasts!$D$10:'Podcasts'!$D$2535,0)))</f>
        <v/>
      </c>
      <c r="AA209" s="134" t="str">
        <f t="array" ref="AA209">IF(COUNTIF(Podcasts!$D$10:'Podcasts'!$D$2535,$B209)&lt;COLUMN(H172),"",SMALL(IF(Podcasts!$D$10:'Podcasts'!$D$2535=$B209,Podcasts!$E$10:'Podcasts'!$E$2535),COLUMN(H172)))</f>
        <v/>
      </c>
      <c r="AB209" s="404" t="str">
        <f t="array" ref="AB209">IF(AA209="","",INDEX(Podcasts!$F$10:'Podcasts'!$F$2535,MATCH(AA209&amp;$B209,Podcasts!$E$10:'Podcasts'!$E$2535&amp;Podcasts!$D$10:'Podcasts'!$D$2535,0)))</f>
        <v/>
      </c>
      <c r="AC209" s="406" t="str">
        <f t="array" ref="AC209">IF(AD209="","",INDEX(Podcasts!$J$10:'Podcasts'!$J$2535,MATCH(AD209&amp;$B209,Podcasts!$E$10:'Podcasts'!$E$2535&amp;Podcasts!$D$10:'Podcasts'!$D$2535,0)))</f>
        <v/>
      </c>
      <c r="AD209" s="400" t="str">
        <f t="array" ref="AD209">IF(COUNTIF(Podcasts!$D$10:'Podcasts'!$D$2535,$B209)&lt;COLUMN(I172),"",SMALL(IF(Podcasts!$D$10:'Podcasts'!$D$2535=$B209,Podcasts!$E$10:'Podcasts'!$E$2535),COLUMN(I172)))</f>
        <v/>
      </c>
      <c r="AE209" s="401" t="str">
        <f t="array" ref="AE209">IF(AD209="","",INDEX(Podcasts!$F$10:'Podcasts'!$F$2535,MATCH(AD209&amp;$B209,Podcasts!$E$10:'Podcasts'!$E$2535&amp;Podcasts!$D$10:'Podcasts'!$D$2535,0)))</f>
        <v/>
      </c>
      <c r="AF209" s="406" t="str">
        <f t="array" ref="AF209">IF(AG209="","",INDEX(Podcasts!$J$10:'Podcasts'!$J$2535,MATCH(AG209&amp;$B209,Podcasts!$E$10:'Podcasts'!$E$2535&amp;Podcasts!$D$10:'Podcasts'!$D$2535,0)))</f>
        <v/>
      </c>
      <c r="AG209" s="400" t="str">
        <f t="array" ref="AG209">IF(COUNTIF(Podcasts!$D$10:'Podcasts'!$D$2535,$B209)&lt;COLUMN(J172),"",SMALL(IF(Podcasts!$D$10:'Podcasts'!$D$2535=$B209,Podcasts!$E$10:'Podcasts'!$E$2535),COLUMN(J172)))</f>
        <v/>
      </c>
      <c r="AH209" s="401" t="str">
        <f t="array" ref="AH209">IF(AG209="","",INDEX(Podcasts!$F$10:'Podcasts'!$F$2535,MATCH(AG209&amp;$B209,Podcasts!$E$10:'Podcasts'!$E$2535&amp;Podcasts!$D$10:'Podcasts'!$D$2535,0)))</f>
        <v/>
      </c>
      <c r="AI209" s="406" t="str">
        <f t="array" ref="AI209">IF(AJ209="","",INDEX(Podcasts!$J$10:'Podcasts'!$J$2535,MATCH(AJ209&amp;$B209,Podcasts!$E$10:'Podcasts'!$E$2535&amp;Podcasts!$D$10:'Podcasts'!$D$2535,0)))</f>
        <v/>
      </c>
      <c r="AJ209" s="400" t="str">
        <f t="array" ref="AJ209">IF(COUNTIF(Podcasts!$D$10:'Podcasts'!$D$2535,$B209)&lt;COLUMN(K172),"",SMALL(IF(Podcasts!$D$10:'Podcasts'!$D$2535=$B209,Podcasts!$E$10:'Podcasts'!$E$2535),COLUMN(K172)))</f>
        <v/>
      </c>
      <c r="AK209" s="401" t="str">
        <f t="array" ref="AK209">IF(AJ209="","",INDEX(Podcasts!$F$10:'Podcasts'!$F$2535,MATCH(AJ209&amp;$B209,Podcasts!$E$10:'Podcasts'!$E$2535&amp;Podcasts!$D$10:'Podcasts'!$D$2535,0)))</f>
        <v/>
      </c>
      <c r="AL209" s="406" t="str">
        <f t="array" ref="AL209">IF(AM209="","",INDEX(Podcasts!$J$10:'Podcasts'!$J$2535,MATCH(AM209&amp;$B209,Podcasts!$E$10:'Podcasts'!$E$2535&amp;Podcasts!$D$10:'Podcasts'!$D$2535,0)))</f>
        <v/>
      </c>
      <c r="AM209" s="400" t="str">
        <f t="array" ref="AM209">IF(COUNTIF(Podcasts!$D$10:'Podcasts'!$D$2535,$B209)&lt;COLUMN(L172),"",SMALL(IF(Podcasts!$D$10:'Podcasts'!$D$2535=$B209,Podcasts!$E$10:'Podcasts'!$E$2535),COLUMN(L172)))</f>
        <v/>
      </c>
      <c r="AN209" s="401" t="str">
        <f t="array" ref="AN209">IF(AM209="","",INDEX(Podcasts!$F$10:'Podcasts'!$F$2535,MATCH(AM209&amp;$B209,Podcasts!$E$10:'Podcasts'!$E$2535&amp;Podcasts!$D$10:'Podcasts'!$D$2535,0)))</f>
        <v/>
      </c>
      <c r="AO209" s="402"/>
      <c r="AP209" s="119"/>
      <c r="AQ209" s="117">
        <f t="array" aca="1" ref="AQ209" ca="1">IFERROR(SMALL(IF(COUNTIF(Podcasts!$D$10:'Podcasts'!$D$107,ROW(INDIRECT("1:"&amp;K$2)))=0,ROW(INDIRECT("1:"&amp;K$2))),ROW($A166)),"")</f>
        <v>213</v>
      </c>
      <c r="AR209" s="117"/>
      <c r="AS209" s="117">
        <f t="array" aca="1" ref="AS209" ca="1">IFERROR(SMALL(IF(COUNTIF(Podcasts!$D$244:'Podcasts'!$D$299,ROW(INDIRECT("1:"&amp;K$2)))=0,ROW(INDIRECT("1:"&amp;K$2))),ROW($A166)),"")</f>
        <v>203</v>
      </c>
      <c r="AT209" s="117"/>
      <c r="AU209" s="117">
        <f t="array" aca="1" ref="AU209" ca="1">IFERROR(SMALL(IF(COUNTIF(Podcasts!$D$479:'Podcasts'!$D$488,ROW(INDIRECT("1:"&amp;K$2)))=0,ROW(INDIRECT("1:"&amp;K$2))),ROW($A166)),"")</f>
        <v>170</v>
      </c>
      <c r="AV209" s="117">
        <f t="array" aca="1" ref="AV209" ca="1">IFERROR(SMALL(IF(COUNTIF(Podcasts!$D$494:'Podcasts'!$D$518,ROW(INDIRECT("1:"&amp;K$2)))=0,ROW(INDIRECT("1:"&amp;K$2))),ROW($A166)),"")</f>
        <v>190</v>
      </c>
      <c r="AW209" s="117">
        <f t="array" aca="1" ref="AW209" ca="1">IFERROR(SMALL(IF(COUNTIF(Podcasts!$D$524:'Podcasts'!$D$532,ROW(INDIRECT("1:"&amp;K$2)))=0,ROW(INDIRECT("1:"&amp;K$2))),ROW($A166)),"")</f>
        <v>167</v>
      </c>
      <c r="AX209" s="117"/>
      <c r="AY209" s="117">
        <f t="array" aca="1" ref="AY209" ca="1">IFERROR(SMALL(IF(COUNTIF(Podcasts!$D$915:'Podcasts'!$D$981,ROW(INDIRECT("1:"&amp;K$2)))=0,ROW(INDIRECT("1:"&amp;K$2))),ROW($A166)),"")</f>
        <v>223</v>
      </c>
      <c r="AZ209" s="445"/>
      <c r="BA209" s="117">
        <f t="array" aca="1" ref="BA209" ca="1">IFERROR(SMALL(IF(COUNTIF(Podcasts!$D$1001:'Podcasts'!$D$1251,ROW(INDIRECT("1:"&amp;K$2)))=0,ROW(INDIRECT("1:"&amp;K$2))),ROW($A166)),"")</f>
        <v>225</v>
      </c>
      <c r="BB209" s="117">
        <f t="array" aca="1" ref="BB209" ca="1">IFERROR(SMALL(IF(COUNTIF(Podcasts!$D$1257:'Podcasts'!$D$1267,ROW(INDIRECT("1:"&amp;K$2)))=0,ROW(INDIRECT("1:"&amp;K$2))),ROW($A166)),"")</f>
        <v>172</v>
      </c>
      <c r="BC209" s="117">
        <f t="array" aca="1" ref="BC209" ca="1">IFERROR(SMALL(IF(COUNTIF(Podcasts!$D$1273:'Podcasts'!$D$1283,ROW(INDIRECT("1:"&amp;K$2)))=0,ROW(INDIRECT("1:"&amp;K$2))),ROW($A166)),"")</f>
        <v>172</v>
      </c>
      <c r="BD209" s="117">
        <f t="array" aca="1" ref="BD209" ca="1">IFERROR(SMALL(IF(COUNTIF(Podcasts!$D$1289:'Podcasts'!$D$1295,ROW(INDIRECT("1:"&amp;K$2)))=0,ROW(INDIRECT("1:"&amp;K$2))),ROW($A166)),"")</f>
        <v>172</v>
      </c>
      <c r="BE209" s="117">
        <f t="array" aca="1" ref="BE209" ca="1">IFERROR(SMALL(IF(COUNTIF(Podcasts!$D$1301:'Podcasts'!$D$1356,ROW(INDIRECT("1:"&amp;K$2)))=0,ROW(INDIRECT("1:"&amp;K$2))),ROW($A166)),"")</f>
        <v>213</v>
      </c>
      <c r="BF209" s="117">
        <f t="array" aca="1" ref="BF209" ca="1">IFERROR(SMALL(IF(COUNTIF(Podcasts!$D$1362:'Podcasts'!$D$1364,ROW(INDIRECT("1:"&amp;K$2)))=0,ROW(INDIRECT("1:"&amp;K$2))),ROW($A166)),"")</f>
        <v>169</v>
      </c>
      <c r="BG209" s="202">
        <f t="array" aca="1" ref="BG209" ca="1">IFERROR(SMALL(IF(COUNTIF(Podcasts!$D$1370:'Podcasts'!$D$1419,ROW(INDIRECT("1:"&amp;K$2)))=0,ROW(INDIRECT("1:"&amp;K$2))),ROW($A166)),"")</f>
        <v>206</v>
      </c>
      <c r="BH209" s="202">
        <f t="array" aca="1" ref="BH209" ca="1">IFERROR(SMALL(IF(COUNTIF(Podcasts!$D$1425:'Podcasts'!$D$1446,ROW(INDIRECT("1:"&amp;K$2)))=0,ROW(INDIRECT("1:"&amp;K$2))),ROW($A166)),"")</f>
        <v>177</v>
      </c>
      <c r="BI209" s="202"/>
      <c r="BJ209" s="202"/>
      <c r="BK209" s="202"/>
      <c r="BL209" s="202">
        <f t="array" aca="1" ref="BL209" ca="1">IFERROR(SMALL(IF(COUNTIF(Podcasts!$D$1839:'Podcasts'!$D$1855,ROW(INDIRECT("1:"&amp;K$2)))=0,ROW(INDIRECT("1:"&amp;K$2))),ROW($A166)),"")</f>
        <v>175</v>
      </c>
      <c r="BM209" s="567">
        <f t="array" aca="1" ref="BM209" ca="1">IFERROR(SMALL(IF(COUNTIF(Podcasts!$D$1861:'Podcasts'!$D$1994,ROW(INDIRECT("1:"&amp;K$2)))=0,ROW(INDIRECT("1:"&amp;K$2))),ROW($A166)),"")</f>
        <v>221</v>
      </c>
      <c r="BN209" s="567">
        <f t="array" aca="1" ref="BN209" ca="1">IFERROR(SMALL(IF(COUNTIF(Podcasts!$D$2000:'Podcasts'!$D$2057,ROW(INDIRECT("1:"&amp;K$2)))=0,ROW(INDIRECT("1:"&amp;K$2))),ROW($A166)),"")</f>
        <v>221</v>
      </c>
      <c r="BO209" s="567">
        <f t="array" aca="1" ref="BO209" ca="1">IFERROR(SMALL(IF(COUNTIF(Podcasts!$D$2063:'Podcasts'!$D$2071,ROW(INDIRECT("1:"&amp;K$2)))=0,ROW(INDIRECT("1:"&amp;K$2))),ROW($A166)),"")</f>
        <v>174</v>
      </c>
      <c r="BP209" s="202">
        <f t="array" aca="1" ref="BP209" ca="1">IFERROR(SMALL(IF(COUNTIF(Podcasts!$D$2077:'Podcasts'!$D$2092,ROW(INDIRECT("1:"&amp;K$2)))=0,ROW(INDIRECT("1:"&amp;K$2))),ROW($A166)),"")</f>
        <v>177</v>
      </c>
      <c r="BQ209" s="741">
        <f t="array" aca="1" ref="BQ209" ca="1">IFERROR(SMALL(IF(COUNTIF(Podcasts!$D$2098:'Podcasts'!$D$2114,ROW(INDIRECT("1:"&amp;K$2)))=0,ROW(INDIRECT("1:"&amp;K$2))),ROW($A166)),"")</f>
        <v>181</v>
      </c>
      <c r="BR209" s="744">
        <f t="array" aca="1" ref="BR209" ca="1">IFERROR(SMALL(IF(COUNTIF(Podcasts!$D$2120:'Podcasts'!$D$2124,ROW(INDIRECT("1:"&amp;K$2)))=0,ROW(INDIRECT("1:"&amp;K$2))),ROW($A166)),"")</f>
        <v>168</v>
      </c>
      <c r="BS209" s="28"/>
    </row>
    <row r="210" spans="1:71" outlineLevel="1">
      <c r="A210" s="28"/>
      <c r="B210" s="161">
        <v>167</v>
      </c>
      <c r="C210" s="161">
        <f>COUNTIF(Podcasts!$D$10:'Podcasts'!$D$2535,B210)</f>
        <v>7</v>
      </c>
      <c r="D210" s="160" t="s">
        <v>1192</v>
      </c>
      <c r="E210" s="156" t="str">
        <f t="array" ref="E210">IF(F210="","",INDEX(Podcasts!$J$10:'Podcasts'!$J$2535,MATCH(F210&amp;$B210,Podcasts!$E$10:'Podcasts'!$E$2535&amp;Podcasts!$D$10:'Podcasts'!$D$2535,0)))</f>
        <v>Ohr</v>
      </c>
      <c r="F210" s="131">
        <f t="array" ref="F210">IF(COUNTIF(Podcasts!$D$10:'Podcasts'!$D$2535,$B210)&lt;COLUMN(A173),"",SMALL(IF(Podcasts!$D$10:'Podcasts'!$D$2535=$B210,Podcasts!$E$10:'Podcasts'!$E$2535),COLUMN(A173)))</f>
        <v>41729</v>
      </c>
      <c r="G210" s="132">
        <f t="array" ref="G210">IF(F210="","",INDEX(Podcasts!$F$10:'Podcasts'!$F$2535,MATCH(F210&amp;$B210,Podcasts!$E$10:'Podcasts'!$E$2535&amp;Podcasts!$D$10:'Podcasts'!$D$2535,0)))</f>
        <v>2.1759259259259258E-3</v>
      </c>
      <c r="H210" s="136" t="str">
        <f t="array" ref="H210">IF(I210="","",INDEX(Podcasts!$J$10:'Podcasts'!$J$2535,MATCH(I210&amp;$B210,Podcasts!$E$10:'Podcasts'!$E$2535&amp;Podcasts!$D$10:'Podcasts'!$D$2535,0)))</f>
        <v>SSP</v>
      </c>
      <c r="I210" s="133">
        <f t="array" ref="I210">IF(COUNTIF(Podcasts!$D$10:'Podcasts'!$D$2535,$B210)&lt;COLUMN(B173),"",SMALL(IF(Podcasts!$D$10:'Podcasts'!$D$2535=$B210,Podcasts!$E$10:'Podcasts'!$E$2535),COLUMN(B173)))</f>
        <v>43250</v>
      </c>
      <c r="J210" s="132">
        <f t="array" ref="J210">IF(I210="","",INDEX(Podcasts!$F$10:'Podcasts'!$F$2535,MATCH(I210&amp;$B210,Podcasts!$E$10:'Podcasts'!$E$2535&amp;Podcasts!$D$10:'Podcasts'!$D$2535,0)))</f>
        <v>7.3275462962962959E-2</v>
      </c>
      <c r="K210" s="136" t="str">
        <f t="array" ref="K210">IF(L210="","",INDEX(Podcasts!$J$10:'Podcasts'!$J$2535,MATCH(L210&amp;$B210,Podcasts!$E$10:'Podcasts'!$E$2535&amp;Podcasts!$D$10:'Podcasts'!$D$2535,0)))</f>
        <v>Retro</v>
      </c>
      <c r="L210" s="133">
        <f t="array" ref="L210">IF(COUNTIF(Podcasts!$D$10:'Podcasts'!$D$2535,$B210)&lt;COLUMN(C173),"",SMALL(IF(Podcasts!$D$10:'Podcasts'!$D$2535=$B210,Podcasts!$E$10:'Podcasts'!$E$2535),COLUMN(C173)))</f>
        <v>43917</v>
      </c>
      <c r="M210" s="132">
        <f t="array" ref="M210">IF(L210="","",INDEX(Podcasts!$F$10:'Podcasts'!$F$2535,MATCH(L210&amp;$B210,Podcasts!$E$10:'Podcasts'!$E$2535&amp;Podcasts!$D$10:'Podcasts'!$D$2535,0)))</f>
        <v>9.2175925925925925E-2</v>
      </c>
      <c r="N210" s="136" t="str">
        <f t="array" ref="N210">IF(O210="","",INDEX(Podcasts!$J$10:'Podcasts'!$J$2535,MATCH(O210&amp;$B210,Podcasts!$E$10:'Podcasts'!$E$2535&amp;Podcasts!$D$10:'Podcasts'!$D$2535,0)))</f>
        <v>Kaffee</v>
      </c>
      <c r="O210" s="133">
        <f t="array" ref="O210">IF(COUNTIF(Podcasts!$D$10:'Podcasts'!$D$2535,$B210)&lt;COLUMN(D173),"",SMALL(IF(Podcasts!$D$10:'Podcasts'!$D$2535=$B210,Podcasts!$E$10:'Podcasts'!$E$2535),COLUMN(D173)))</f>
        <v>44316</v>
      </c>
      <c r="P210" s="132">
        <f t="array" ref="P210">IF(O210="","",INDEX(Podcasts!$F$10:'Podcasts'!$F$2535,MATCH(O210&amp;$B210,Podcasts!$E$10:'Podcasts'!$E$2535&amp;Podcasts!$D$10:'Podcasts'!$D$2535,0)))</f>
        <v>2.8703703703703703E-2</v>
      </c>
      <c r="Q210" s="136" t="str">
        <f t="array" ref="Q210">IF(R210="","",INDEX(Podcasts!$J$10:'Podcasts'!$J$2535,MATCH(R210&amp;$B210,Podcasts!$E$10:'Podcasts'!$E$2535&amp;Podcasts!$D$10:'Podcasts'!$D$2535,0)))</f>
        <v>Verstärker</v>
      </c>
      <c r="R210" s="133">
        <f t="array" ref="R210">IF(COUNTIF(Podcasts!$D$10:'Podcasts'!$D$2535,$B210)&lt;COLUMN(E173),"",SMALL(IF(Podcasts!$D$10:'Podcasts'!$D$2535=$B210,Podcasts!$E$10:'Podcasts'!$E$2535),COLUMN(E173)))</f>
        <v>44654</v>
      </c>
      <c r="S210" s="132">
        <f t="array" ref="S210">IF(R210="","",INDEX(Podcasts!$F$10:'Podcasts'!$F$2535,MATCH(R210&amp;$B210,Podcasts!$E$10:'Podcasts'!$E$2535&amp;Podcasts!$D$10:'Podcasts'!$D$2535,0)))</f>
        <v>1.951388888888889E-2</v>
      </c>
      <c r="T210" s="136" t="str">
        <f t="array" ref="T210">IF(U210="","",INDEX(Podcasts!$J$10:'Podcasts'!$J$2535,MATCH(U210&amp;$B210,Podcasts!$E$10:'Podcasts'!$E$2535&amp;Podcasts!$D$10:'Podcasts'!$D$2535,0)))</f>
        <v>Kuchen</v>
      </c>
      <c r="U210" s="133">
        <f t="array" ref="U210">IF(COUNTIF(Podcasts!$D$10:'Podcasts'!$D$2535,$B210)&lt;COLUMN(F173),"",SMALL(IF(Podcasts!$D$10:'Podcasts'!$D$2535=$B210,Podcasts!$E$10:'Podcasts'!$E$2535),COLUMN(F173)))</f>
        <v>44808</v>
      </c>
      <c r="V210" s="132">
        <f t="array" ref="V210">IF(U210="","",INDEX(Podcasts!$F$10:'Podcasts'!$F$2535,MATCH(U210&amp;$B210,Podcasts!$E$10:'Podcasts'!$E$2535&amp;Podcasts!$D$10:'Podcasts'!$D$2535,0)))</f>
        <v>7.2141203703703707E-2</v>
      </c>
      <c r="W210" s="136" t="str">
        <f t="array" ref="W210">IF(X210="","",INDEX(Podcasts!$J$10:'Podcasts'!$J$2535,MATCH(X210&amp;$B210,Podcasts!$E$10:'Podcasts'!$E$2535&amp;Podcasts!$D$10:'Podcasts'!$D$2535,0)))</f>
        <v>DGdB</v>
      </c>
      <c r="X210" s="133">
        <f t="array" ref="X210">IF(COUNTIF(Podcasts!$D$10:'Podcasts'!$D$2535,$B210)&lt;COLUMN(G173),"",SMALL(IF(Podcasts!$D$10:'Podcasts'!$D$2535=$B210,Podcasts!$E$10:'Podcasts'!$E$2535),COLUMN(G173)))</f>
        <v>45047</v>
      </c>
      <c r="Y210" s="132">
        <f t="array" ref="Y210">IF(X210="","",INDEX(Podcasts!$F$10:'Podcasts'!$F$2535,MATCH(X210&amp;$B210,Podcasts!$E$10:'Podcasts'!$E$2535&amp;Podcasts!$D$10:'Podcasts'!$D$2535,0)))</f>
        <v>0.11280092592592593</v>
      </c>
      <c r="Z210" s="136" t="str">
        <f t="array" ref="Z210">IF(AA210="","",INDEX(Podcasts!$J$10:'Podcasts'!$J$2535,MATCH(AA210&amp;$B210,Podcasts!$E$10:'Podcasts'!$E$2535&amp;Podcasts!$D$10:'Podcasts'!$D$2535,0)))</f>
        <v/>
      </c>
      <c r="AA210" s="134" t="str">
        <f t="array" ref="AA210">IF(COUNTIF(Podcasts!$D$10:'Podcasts'!$D$2535,$B210)&lt;COLUMN(H173),"",SMALL(IF(Podcasts!$D$10:'Podcasts'!$D$2535=$B210,Podcasts!$E$10:'Podcasts'!$E$2535),COLUMN(H173)))</f>
        <v/>
      </c>
      <c r="AB210" s="404" t="str">
        <f t="array" ref="AB210">IF(AA210="","",INDEX(Podcasts!$F$10:'Podcasts'!$F$2535,MATCH(AA210&amp;$B210,Podcasts!$E$10:'Podcasts'!$E$2535&amp;Podcasts!$D$10:'Podcasts'!$D$2535,0)))</f>
        <v/>
      </c>
      <c r="AC210" s="406" t="str">
        <f t="array" ref="AC210">IF(AD210="","",INDEX(Podcasts!$J$10:'Podcasts'!$J$2535,MATCH(AD210&amp;$B210,Podcasts!$E$10:'Podcasts'!$E$2535&amp;Podcasts!$D$10:'Podcasts'!$D$2535,0)))</f>
        <v/>
      </c>
      <c r="AD210" s="400" t="str">
        <f t="array" ref="AD210">IF(COUNTIF(Podcasts!$D$10:'Podcasts'!$D$2535,$B210)&lt;COLUMN(I173),"",SMALL(IF(Podcasts!$D$10:'Podcasts'!$D$2535=$B210,Podcasts!$E$10:'Podcasts'!$E$2535),COLUMN(I173)))</f>
        <v/>
      </c>
      <c r="AE210" s="401" t="str">
        <f t="array" ref="AE210">IF(AD210="","",INDEX(Podcasts!$F$10:'Podcasts'!$F$2535,MATCH(AD210&amp;$B210,Podcasts!$E$10:'Podcasts'!$E$2535&amp;Podcasts!$D$10:'Podcasts'!$D$2535,0)))</f>
        <v/>
      </c>
      <c r="AF210" s="406" t="str">
        <f t="array" ref="AF210">IF(AG210="","",INDEX(Podcasts!$J$10:'Podcasts'!$J$2535,MATCH(AG210&amp;$B210,Podcasts!$E$10:'Podcasts'!$E$2535&amp;Podcasts!$D$10:'Podcasts'!$D$2535,0)))</f>
        <v/>
      </c>
      <c r="AG210" s="400" t="str">
        <f t="array" ref="AG210">IF(COUNTIF(Podcasts!$D$10:'Podcasts'!$D$2535,$B210)&lt;COLUMN(J173),"",SMALL(IF(Podcasts!$D$10:'Podcasts'!$D$2535=$B210,Podcasts!$E$10:'Podcasts'!$E$2535),COLUMN(J173)))</f>
        <v/>
      </c>
      <c r="AH210" s="401" t="str">
        <f t="array" ref="AH210">IF(AG210="","",INDEX(Podcasts!$F$10:'Podcasts'!$F$2535,MATCH(AG210&amp;$B210,Podcasts!$E$10:'Podcasts'!$E$2535&amp;Podcasts!$D$10:'Podcasts'!$D$2535,0)))</f>
        <v/>
      </c>
      <c r="AI210" s="406" t="str">
        <f t="array" ref="AI210">IF(AJ210="","",INDEX(Podcasts!$J$10:'Podcasts'!$J$2535,MATCH(AJ210&amp;$B210,Podcasts!$E$10:'Podcasts'!$E$2535&amp;Podcasts!$D$10:'Podcasts'!$D$2535,0)))</f>
        <v/>
      </c>
      <c r="AJ210" s="400" t="str">
        <f t="array" ref="AJ210">IF(COUNTIF(Podcasts!$D$10:'Podcasts'!$D$2535,$B210)&lt;COLUMN(K173),"",SMALL(IF(Podcasts!$D$10:'Podcasts'!$D$2535=$B210,Podcasts!$E$10:'Podcasts'!$E$2535),COLUMN(K173)))</f>
        <v/>
      </c>
      <c r="AK210" s="401" t="str">
        <f t="array" ref="AK210">IF(AJ210="","",INDEX(Podcasts!$F$10:'Podcasts'!$F$2535,MATCH(AJ210&amp;$B210,Podcasts!$E$10:'Podcasts'!$E$2535&amp;Podcasts!$D$10:'Podcasts'!$D$2535,0)))</f>
        <v/>
      </c>
      <c r="AL210" s="406" t="str">
        <f t="array" ref="AL210">IF(AM210="","",INDEX(Podcasts!$J$10:'Podcasts'!$J$2535,MATCH(AM210&amp;$B210,Podcasts!$E$10:'Podcasts'!$E$2535&amp;Podcasts!$D$10:'Podcasts'!$D$2535,0)))</f>
        <v/>
      </c>
      <c r="AM210" s="400" t="str">
        <f t="array" ref="AM210">IF(COUNTIF(Podcasts!$D$10:'Podcasts'!$D$2535,$B210)&lt;COLUMN(L173),"",SMALL(IF(Podcasts!$D$10:'Podcasts'!$D$2535=$B210,Podcasts!$E$10:'Podcasts'!$E$2535),COLUMN(L173)))</f>
        <v/>
      </c>
      <c r="AN210" s="401" t="str">
        <f t="array" ref="AN210">IF(AM210="","",INDEX(Podcasts!$F$10:'Podcasts'!$F$2535,MATCH(AM210&amp;$B210,Podcasts!$E$10:'Podcasts'!$E$2535&amp;Podcasts!$D$10:'Podcasts'!$D$2535,0)))</f>
        <v/>
      </c>
      <c r="AO210" s="402"/>
      <c r="AP210" s="119"/>
      <c r="AQ210" s="117">
        <f t="array" aca="1" ref="AQ210" ca="1">IFERROR(SMALL(IF(COUNTIF(Podcasts!$D$10:'Podcasts'!$D$107,ROW(INDIRECT("1:"&amp;K$2)))=0,ROW(INDIRECT("1:"&amp;K$2))),ROW($A167)),"")</f>
        <v>214</v>
      </c>
      <c r="AR210" s="117"/>
      <c r="AS210" s="117">
        <f t="array" aca="1" ref="AS210" ca="1">IFERROR(SMALL(IF(COUNTIF(Podcasts!$D$244:'Podcasts'!$D$299,ROW(INDIRECT("1:"&amp;K$2)))=0,ROW(INDIRECT("1:"&amp;K$2))),ROW($A167)),"")</f>
        <v>204</v>
      </c>
      <c r="AT210" s="117"/>
      <c r="AU210" s="117">
        <f t="array" aca="1" ref="AU210" ca="1">IFERROR(SMALL(IF(COUNTIF(Podcasts!$D$479:'Podcasts'!$D$488,ROW(INDIRECT("1:"&amp;K$2)))=0,ROW(INDIRECT("1:"&amp;K$2))),ROW($A167)),"")</f>
        <v>171</v>
      </c>
      <c r="AV210" s="117">
        <f t="array" aca="1" ref="AV210" ca="1">IFERROR(SMALL(IF(COUNTIF(Podcasts!$D$494:'Podcasts'!$D$518,ROW(INDIRECT("1:"&amp;K$2)))=0,ROW(INDIRECT("1:"&amp;K$2))),ROW($A167)),"")</f>
        <v>191</v>
      </c>
      <c r="AW210" s="117">
        <f t="array" aca="1" ref="AW210" ca="1">IFERROR(SMALL(IF(COUNTIF(Podcasts!$D$524:'Podcasts'!$D$532,ROW(INDIRECT("1:"&amp;K$2)))=0,ROW(INDIRECT("1:"&amp;K$2))),ROW($A167)),"")</f>
        <v>168</v>
      </c>
      <c r="AX210" s="117"/>
      <c r="AY210" s="117">
        <f t="array" aca="1" ref="AY210" ca="1">IFERROR(SMALL(IF(COUNTIF(Podcasts!$D$915:'Podcasts'!$D$981,ROW(INDIRECT("1:"&amp;K$2)))=0,ROW(INDIRECT("1:"&amp;K$2))),ROW($A167)),"")</f>
        <v>224</v>
      </c>
      <c r="AZ210" s="445"/>
      <c r="BA210" s="117">
        <f t="array" aca="1" ref="BA210" ca="1">IFERROR(SMALL(IF(COUNTIF(Podcasts!$D$1001:'Podcasts'!$D$1251,ROW(INDIRECT("1:"&amp;K$2)))=0,ROW(INDIRECT("1:"&amp;K$2))),ROW($A167)),"")</f>
        <v>226</v>
      </c>
      <c r="BB210" s="117">
        <f t="array" aca="1" ref="BB210" ca="1">IFERROR(SMALL(IF(COUNTIF(Podcasts!$D$1257:'Podcasts'!$D$1267,ROW(INDIRECT("1:"&amp;K$2)))=0,ROW(INDIRECT("1:"&amp;K$2))),ROW($A167)),"")</f>
        <v>173</v>
      </c>
      <c r="BC210" s="117">
        <f t="array" aca="1" ref="BC210" ca="1">IFERROR(SMALL(IF(COUNTIF(Podcasts!$D$1273:'Podcasts'!$D$1283,ROW(INDIRECT("1:"&amp;K$2)))=0,ROW(INDIRECT("1:"&amp;K$2))),ROW($A167)),"")</f>
        <v>173</v>
      </c>
      <c r="BD210" s="117">
        <f t="array" aca="1" ref="BD210" ca="1">IFERROR(SMALL(IF(COUNTIF(Podcasts!$D$1289:'Podcasts'!$D$1295,ROW(INDIRECT("1:"&amp;K$2)))=0,ROW(INDIRECT("1:"&amp;K$2))),ROW($A167)),"")</f>
        <v>173</v>
      </c>
      <c r="BE210" s="117">
        <f t="array" aca="1" ref="BE210" ca="1">IFERROR(SMALL(IF(COUNTIF(Podcasts!$D$1301:'Podcasts'!$D$1356,ROW(INDIRECT("1:"&amp;K$2)))=0,ROW(INDIRECT("1:"&amp;K$2))),ROW($A167)),"")</f>
        <v>214</v>
      </c>
      <c r="BF210" s="117">
        <f t="array" aca="1" ref="BF210" ca="1">IFERROR(SMALL(IF(COUNTIF(Podcasts!$D$1362:'Podcasts'!$D$1364,ROW(INDIRECT("1:"&amp;K$2)))=0,ROW(INDIRECT("1:"&amp;K$2))),ROW($A167)),"")</f>
        <v>170</v>
      </c>
      <c r="BG210" s="202">
        <f t="array" aca="1" ref="BG210" ca="1">IFERROR(SMALL(IF(COUNTIF(Podcasts!$D$1370:'Podcasts'!$D$1419,ROW(INDIRECT("1:"&amp;K$2)))=0,ROW(INDIRECT("1:"&amp;K$2))),ROW($A167)),"")</f>
        <v>207</v>
      </c>
      <c r="BH210" s="202">
        <f t="array" aca="1" ref="BH210" ca="1">IFERROR(SMALL(IF(COUNTIF(Podcasts!$D$1425:'Podcasts'!$D$1446,ROW(INDIRECT("1:"&amp;K$2)))=0,ROW(INDIRECT("1:"&amp;K$2))),ROW($A167)),"")</f>
        <v>178</v>
      </c>
      <c r="BI210" s="202"/>
      <c r="BJ210" s="202"/>
      <c r="BK210" s="202"/>
      <c r="BL210" s="202">
        <f t="array" aca="1" ref="BL210" ca="1">IFERROR(SMALL(IF(COUNTIF(Podcasts!$D$1839:'Podcasts'!$D$1855,ROW(INDIRECT("1:"&amp;K$2)))=0,ROW(INDIRECT("1:"&amp;K$2))),ROW($A167)),"")</f>
        <v>176</v>
      </c>
      <c r="BM210" s="567">
        <f t="array" aca="1" ref="BM210" ca="1">IFERROR(SMALL(IF(COUNTIF(Podcasts!$D$1861:'Podcasts'!$D$1994,ROW(INDIRECT("1:"&amp;K$2)))=0,ROW(INDIRECT("1:"&amp;K$2))),ROW($A167)),"")</f>
        <v>222</v>
      </c>
      <c r="BN210" s="567">
        <f t="array" aca="1" ref="BN210" ca="1">IFERROR(SMALL(IF(COUNTIF(Podcasts!$D$2000:'Podcasts'!$D$2057,ROW(INDIRECT("1:"&amp;K$2)))=0,ROW(INDIRECT("1:"&amp;K$2))),ROW($A167)),"")</f>
        <v>222</v>
      </c>
      <c r="BO210" s="567">
        <f t="array" aca="1" ref="BO210" ca="1">IFERROR(SMALL(IF(COUNTIF(Podcasts!$D$2063:'Podcasts'!$D$2071,ROW(INDIRECT("1:"&amp;K$2)))=0,ROW(INDIRECT("1:"&amp;K$2))),ROW($A167)),"")</f>
        <v>175</v>
      </c>
      <c r="BP210" s="202">
        <f t="array" aca="1" ref="BP210" ca="1">IFERROR(SMALL(IF(COUNTIF(Podcasts!$D$2077:'Podcasts'!$D$2092,ROW(INDIRECT("1:"&amp;K$2)))=0,ROW(INDIRECT("1:"&amp;K$2))),ROW($A167)),"")</f>
        <v>178</v>
      </c>
      <c r="BQ210" s="741">
        <f t="array" aca="1" ref="BQ210" ca="1">IFERROR(SMALL(IF(COUNTIF(Podcasts!$D$2098:'Podcasts'!$D$2114,ROW(INDIRECT("1:"&amp;K$2)))=0,ROW(INDIRECT("1:"&amp;K$2))),ROW($A167)),"")</f>
        <v>182</v>
      </c>
      <c r="BR210" s="744">
        <f t="array" aca="1" ref="BR210" ca="1">IFERROR(SMALL(IF(COUNTIF(Podcasts!$D$2120:'Podcasts'!$D$2124,ROW(INDIRECT("1:"&amp;K$2)))=0,ROW(INDIRECT("1:"&amp;K$2))),ROW($A167)),"")</f>
        <v>169</v>
      </c>
      <c r="BS210" s="28"/>
    </row>
    <row r="211" spans="1:71" outlineLevel="1">
      <c r="A211" s="28"/>
      <c r="B211" s="161">
        <v>168</v>
      </c>
      <c r="C211" s="161">
        <f>COUNTIF(Podcasts!$D$10:'Podcasts'!$D$2535,B211)</f>
        <v>2</v>
      </c>
      <c r="D211" s="160" t="s">
        <v>1193</v>
      </c>
      <c r="E211" s="156" t="str">
        <f t="array" ref="E211">IF(F211="","",INDEX(Podcasts!$J$10:'Podcasts'!$J$2535,MATCH(F211&amp;$B211,Podcasts!$E$10:'Podcasts'!$E$2535&amp;Podcasts!$D$10:'Podcasts'!$D$2535,0)))</f>
        <v>Ohr</v>
      </c>
      <c r="F211" s="131">
        <f t="array" ref="F211">IF(COUNTIF(Podcasts!$D$10:'Podcasts'!$D$2535,$B211)&lt;COLUMN(A174),"",SMALL(IF(Podcasts!$D$10:'Podcasts'!$D$2535=$B211,Podcasts!$E$10:'Podcasts'!$E$2535),COLUMN(A174)))</f>
        <v>41788</v>
      </c>
      <c r="G211" s="132">
        <f t="array" ref="G211">IF(F211="","",INDEX(Podcasts!$F$10:'Podcasts'!$F$2535,MATCH(F211&amp;$B211,Podcasts!$E$10:'Podcasts'!$E$2535&amp;Podcasts!$D$10:'Podcasts'!$D$2535,0)))</f>
        <v>3.9930555555555561E-3</v>
      </c>
      <c r="H211" s="136" t="str">
        <f t="array" ref="H211">IF(I211="","",INDEX(Podcasts!$J$10:'Podcasts'!$J$2535,MATCH(I211&amp;$B211,Podcasts!$E$10:'Podcasts'!$E$2535&amp;Podcasts!$D$10:'Podcasts'!$D$2535,0)))</f>
        <v>SSP</v>
      </c>
      <c r="I211" s="133">
        <f t="array" ref="I211">IF(COUNTIF(Podcasts!$D$10:'Podcasts'!$D$2535,$B211)&lt;COLUMN(B174),"",SMALL(IF(Podcasts!$D$10:'Podcasts'!$D$2535=$B211,Podcasts!$E$10:'Podcasts'!$E$2535),COLUMN(B174)))</f>
        <v>44670</v>
      </c>
      <c r="J211" s="132">
        <f t="array" ref="J211">IF(I211="","",INDEX(Podcasts!$F$10:'Podcasts'!$F$2535,MATCH(I211&amp;$B211,Podcasts!$E$10:'Podcasts'!$E$2535&amp;Podcasts!$D$10:'Podcasts'!$D$2535,0)))</f>
        <v>8.7037037037037038E-2</v>
      </c>
      <c r="K211" s="136" t="str">
        <f t="array" ref="K211">IF(L211="","",INDEX(Podcasts!$J$10:'Podcasts'!$J$2535,MATCH(L211&amp;$B211,Podcasts!$E$10:'Podcasts'!$E$2535&amp;Podcasts!$D$10:'Podcasts'!$D$2535,0)))</f>
        <v/>
      </c>
      <c r="L211" s="133" t="str">
        <f t="array" ref="L211">IF(COUNTIF(Podcasts!$D$10:'Podcasts'!$D$2535,$B211)&lt;COLUMN(C174),"",SMALL(IF(Podcasts!$D$10:'Podcasts'!$D$2535=$B211,Podcasts!$E$10:'Podcasts'!$E$2535),COLUMN(C174)))</f>
        <v/>
      </c>
      <c r="M211" s="132" t="str">
        <f t="array" ref="M211">IF(L211="","",INDEX(Podcasts!$F$10:'Podcasts'!$F$2535,MATCH(L211&amp;$B211,Podcasts!$E$10:'Podcasts'!$E$2535&amp;Podcasts!$D$10:'Podcasts'!$D$2535,0)))</f>
        <v/>
      </c>
      <c r="N211" s="136" t="str">
        <f t="array" ref="N211">IF(O211="","",INDEX(Podcasts!$J$10:'Podcasts'!$J$2535,MATCH(O211&amp;$B211,Podcasts!$E$10:'Podcasts'!$E$2535&amp;Podcasts!$D$10:'Podcasts'!$D$2535,0)))</f>
        <v/>
      </c>
      <c r="O211" s="133" t="str">
        <f t="array" ref="O211">IF(COUNTIF(Podcasts!$D$10:'Podcasts'!$D$2535,$B211)&lt;COLUMN(D174),"",SMALL(IF(Podcasts!$D$10:'Podcasts'!$D$2535=$B211,Podcasts!$E$10:'Podcasts'!$E$2535),COLUMN(D174)))</f>
        <v/>
      </c>
      <c r="P211" s="132" t="str">
        <f t="array" ref="P211">IF(O211="","",INDEX(Podcasts!$F$10:'Podcasts'!$F$2535,MATCH(O211&amp;$B211,Podcasts!$E$10:'Podcasts'!$E$2535&amp;Podcasts!$D$10:'Podcasts'!$D$2535,0)))</f>
        <v/>
      </c>
      <c r="Q211" s="136" t="str">
        <f t="array" ref="Q211">IF(R211="","",INDEX(Podcasts!$J$10:'Podcasts'!$J$2535,MATCH(R211&amp;$B211,Podcasts!$E$10:'Podcasts'!$E$2535&amp;Podcasts!$D$10:'Podcasts'!$D$2535,0)))</f>
        <v/>
      </c>
      <c r="R211" s="133" t="str">
        <f t="array" ref="R211">IF(COUNTIF(Podcasts!$D$10:'Podcasts'!$D$2535,$B211)&lt;COLUMN(E174),"",SMALL(IF(Podcasts!$D$10:'Podcasts'!$D$2535=$B211,Podcasts!$E$10:'Podcasts'!$E$2535),COLUMN(E174)))</f>
        <v/>
      </c>
      <c r="S211" s="132" t="str">
        <f t="array" ref="S211">IF(R211="","",INDEX(Podcasts!$F$10:'Podcasts'!$F$2535,MATCH(R211&amp;$B211,Podcasts!$E$10:'Podcasts'!$E$2535&amp;Podcasts!$D$10:'Podcasts'!$D$2535,0)))</f>
        <v/>
      </c>
      <c r="T211" s="136" t="str">
        <f t="array" ref="T211">IF(U211="","",INDEX(Podcasts!$J$10:'Podcasts'!$J$2535,MATCH(U211&amp;$B211,Podcasts!$E$10:'Podcasts'!$E$2535&amp;Podcasts!$D$10:'Podcasts'!$D$2535,0)))</f>
        <v/>
      </c>
      <c r="U211" s="133" t="str">
        <f t="array" ref="U211">IF(COUNTIF(Podcasts!$D$10:'Podcasts'!$D$2535,$B211)&lt;COLUMN(F174),"",SMALL(IF(Podcasts!$D$10:'Podcasts'!$D$2535=$B211,Podcasts!$E$10:'Podcasts'!$E$2535),COLUMN(F174)))</f>
        <v/>
      </c>
      <c r="V211" s="132" t="str">
        <f t="array" ref="V211">IF(U211="","",INDEX(Podcasts!$F$10:'Podcasts'!$F$2535,MATCH(U211&amp;$B211,Podcasts!$E$10:'Podcasts'!$E$2535&amp;Podcasts!$D$10:'Podcasts'!$D$2535,0)))</f>
        <v/>
      </c>
      <c r="W211" s="136" t="str">
        <f t="array" ref="W211">IF(X211="","",INDEX(Podcasts!$J$10:'Podcasts'!$J$2535,MATCH(X211&amp;$B211,Podcasts!$E$10:'Podcasts'!$E$2535&amp;Podcasts!$D$10:'Podcasts'!$D$2535,0)))</f>
        <v/>
      </c>
      <c r="X211" s="133" t="str">
        <f t="array" ref="X211">IF(COUNTIF(Podcasts!$D$10:'Podcasts'!$D$2535,$B211)&lt;COLUMN(G174),"",SMALL(IF(Podcasts!$D$10:'Podcasts'!$D$2535=$B211,Podcasts!$E$10:'Podcasts'!$E$2535),COLUMN(G174)))</f>
        <v/>
      </c>
      <c r="Y211" s="132" t="str">
        <f t="array" ref="Y211">IF(X211="","",INDEX(Podcasts!$F$10:'Podcasts'!$F$2535,MATCH(X211&amp;$B211,Podcasts!$E$10:'Podcasts'!$E$2535&amp;Podcasts!$D$10:'Podcasts'!$D$2535,0)))</f>
        <v/>
      </c>
      <c r="Z211" s="136" t="str">
        <f t="array" ref="Z211">IF(AA211="","",INDEX(Podcasts!$J$10:'Podcasts'!$J$2535,MATCH(AA211&amp;$B211,Podcasts!$E$10:'Podcasts'!$E$2535&amp;Podcasts!$D$10:'Podcasts'!$D$2535,0)))</f>
        <v/>
      </c>
      <c r="AA211" s="134" t="str">
        <f t="array" ref="AA211">IF(COUNTIF(Podcasts!$D$10:'Podcasts'!$D$2535,$B211)&lt;COLUMN(H174),"",SMALL(IF(Podcasts!$D$10:'Podcasts'!$D$2535=$B211,Podcasts!$E$10:'Podcasts'!$E$2535),COLUMN(H174)))</f>
        <v/>
      </c>
      <c r="AB211" s="404" t="str">
        <f t="array" ref="AB211">IF(AA211="","",INDEX(Podcasts!$F$10:'Podcasts'!$F$2535,MATCH(AA211&amp;$B211,Podcasts!$E$10:'Podcasts'!$E$2535&amp;Podcasts!$D$10:'Podcasts'!$D$2535,0)))</f>
        <v/>
      </c>
      <c r="AC211" s="406" t="str">
        <f t="array" ref="AC211">IF(AD211="","",INDEX(Podcasts!$J$10:'Podcasts'!$J$2535,MATCH(AD211&amp;$B211,Podcasts!$E$10:'Podcasts'!$E$2535&amp;Podcasts!$D$10:'Podcasts'!$D$2535,0)))</f>
        <v/>
      </c>
      <c r="AD211" s="400" t="str">
        <f t="array" ref="AD211">IF(COUNTIF(Podcasts!$D$10:'Podcasts'!$D$2535,$B211)&lt;COLUMN(I174),"",SMALL(IF(Podcasts!$D$10:'Podcasts'!$D$2535=$B211,Podcasts!$E$10:'Podcasts'!$E$2535),COLUMN(I174)))</f>
        <v/>
      </c>
      <c r="AE211" s="401" t="str">
        <f t="array" ref="AE211">IF(AD211="","",INDEX(Podcasts!$F$10:'Podcasts'!$F$2535,MATCH(AD211&amp;$B211,Podcasts!$E$10:'Podcasts'!$E$2535&amp;Podcasts!$D$10:'Podcasts'!$D$2535,0)))</f>
        <v/>
      </c>
      <c r="AF211" s="406" t="str">
        <f t="array" ref="AF211">IF(AG211="","",INDEX(Podcasts!$J$10:'Podcasts'!$J$2535,MATCH(AG211&amp;$B211,Podcasts!$E$10:'Podcasts'!$E$2535&amp;Podcasts!$D$10:'Podcasts'!$D$2535,0)))</f>
        <v/>
      </c>
      <c r="AG211" s="400" t="str">
        <f t="array" ref="AG211">IF(COUNTIF(Podcasts!$D$10:'Podcasts'!$D$2535,$B211)&lt;COLUMN(J174),"",SMALL(IF(Podcasts!$D$10:'Podcasts'!$D$2535=$B211,Podcasts!$E$10:'Podcasts'!$E$2535),COLUMN(J174)))</f>
        <v/>
      </c>
      <c r="AH211" s="401" t="str">
        <f t="array" ref="AH211">IF(AG211="","",INDEX(Podcasts!$F$10:'Podcasts'!$F$2535,MATCH(AG211&amp;$B211,Podcasts!$E$10:'Podcasts'!$E$2535&amp;Podcasts!$D$10:'Podcasts'!$D$2535,0)))</f>
        <v/>
      </c>
      <c r="AI211" s="406" t="str">
        <f t="array" ref="AI211">IF(AJ211="","",INDEX(Podcasts!$J$10:'Podcasts'!$J$2535,MATCH(AJ211&amp;$B211,Podcasts!$E$10:'Podcasts'!$E$2535&amp;Podcasts!$D$10:'Podcasts'!$D$2535,0)))</f>
        <v/>
      </c>
      <c r="AJ211" s="400" t="str">
        <f t="array" ref="AJ211">IF(COUNTIF(Podcasts!$D$10:'Podcasts'!$D$2535,$B211)&lt;COLUMN(K174),"",SMALL(IF(Podcasts!$D$10:'Podcasts'!$D$2535=$B211,Podcasts!$E$10:'Podcasts'!$E$2535),COLUMN(K174)))</f>
        <v/>
      </c>
      <c r="AK211" s="401" t="str">
        <f t="array" ref="AK211">IF(AJ211="","",INDEX(Podcasts!$F$10:'Podcasts'!$F$2535,MATCH(AJ211&amp;$B211,Podcasts!$E$10:'Podcasts'!$E$2535&amp;Podcasts!$D$10:'Podcasts'!$D$2535,0)))</f>
        <v/>
      </c>
      <c r="AL211" s="406" t="str">
        <f t="array" ref="AL211">IF(AM211="","",INDEX(Podcasts!$J$10:'Podcasts'!$J$2535,MATCH(AM211&amp;$B211,Podcasts!$E$10:'Podcasts'!$E$2535&amp;Podcasts!$D$10:'Podcasts'!$D$2535,0)))</f>
        <v/>
      </c>
      <c r="AM211" s="400" t="str">
        <f t="array" ref="AM211">IF(COUNTIF(Podcasts!$D$10:'Podcasts'!$D$2535,$B211)&lt;COLUMN(L174),"",SMALL(IF(Podcasts!$D$10:'Podcasts'!$D$2535=$B211,Podcasts!$E$10:'Podcasts'!$E$2535),COLUMN(L174)))</f>
        <v/>
      </c>
      <c r="AN211" s="401" t="str">
        <f t="array" ref="AN211">IF(AM211="","",INDEX(Podcasts!$F$10:'Podcasts'!$F$2535,MATCH(AM211&amp;$B211,Podcasts!$E$10:'Podcasts'!$E$2535&amp;Podcasts!$D$10:'Podcasts'!$D$2535,0)))</f>
        <v/>
      </c>
      <c r="AO211" s="402"/>
      <c r="AP211" s="119"/>
      <c r="AQ211" s="117">
        <f t="array" aca="1" ref="AQ211" ca="1">IFERROR(SMALL(IF(COUNTIF(Podcasts!$D$10:'Podcasts'!$D$107,ROW(INDIRECT("1:"&amp;K$2)))=0,ROW(INDIRECT("1:"&amp;K$2))),ROW($A168)),"")</f>
        <v>215</v>
      </c>
      <c r="AR211" s="117"/>
      <c r="AS211" s="117">
        <f t="array" aca="1" ref="AS211" ca="1">IFERROR(SMALL(IF(COUNTIF(Podcasts!$D$244:'Podcasts'!$D$299,ROW(INDIRECT("1:"&amp;K$2)))=0,ROW(INDIRECT("1:"&amp;K$2))),ROW($A168)),"")</f>
        <v>205</v>
      </c>
      <c r="AT211" s="117"/>
      <c r="AU211" s="117">
        <f t="array" aca="1" ref="AU211" ca="1">IFERROR(SMALL(IF(COUNTIF(Podcasts!$D$479:'Podcasts'!$D$488,ROW(INDIRECT("1:"&amp;K$2)))=0,ROW(INDIRECT("1:"&amp;K$2))),ROW($A168)),"")</f>
        <v>172</v>
      </c>
      <c r="AV211" s="117">
        <f t="array" aca="1" ref="AV211" ca="1">IFERROR(SMALL(IF(COUNTIF(Podcasts!$D$494:'Podcasts'!$D$518,ROW(INDIRECT("1:"&amp;K$2)))=0,ROW(INDIRECT("1:"&amp;K$2))),ROW($A168)),"")</f>
        <v>193</v>
      </c>
      <c r="AW211" s="117">
        <f t="array" aca="1" ref="AW211" ca="1">IFERROR(SMALL(IF(COUNTIF(Podcasts!$D$524:'Podcasts'!$D$532,ROW(INDIRECT("1:"&amp;K$2)))=0,ROW(INDIRECT("1:"&amp;K$2))),ROW($A168)),"")</f>
        <v>169</v>
      </c>
      <c r="AX211" s="117"/>
      <c r="AY211" s="117">
        <f t="array" aca="1" ref="AY211" ca="1">IFERROR(SMALL(IF(COUNTIF(Podcasts!$D$915:'Podcasts'!$D$981,ROW(INDIRECT("1:"&amp;K$2)))=0,ROW(INDIRECT("1:"&amp;K$2))),ROW($A168)),"")</f>
        <v>225</v>
      </c>
      <c r="AZ211" s="445"/>
      <c r="BA211" s="117" t="str">
        <f t="array" aca="1" ref="BA211" ca="1">IFERROR(SMALL(IF(COUNTIF(Podcasts!$D$1001:'Podcasts'!$D$1251,ROW(INDIRECT("1:"&amp;K$2)))=0,ROW(INDIRECT("1:"&amp;K$2))),ROW($A168)),"")</f>
        <v/>
      </c>
      <c r="BB211" s="117">
        <f t="array" aca="1" ref="BB211" ca="1">IFERROR(SMALL(IF(COUNTIF(Podcasts!$D$1257:'Podcasts'!$D$1267,ROW(INDIRECT("1:"&amp;K$2)))=0,ROW(INDIRECT("1:"&amp;K$2))),ROW($A168)),"")</f>
        <v>174</v>
      </c>
      <c r="BC211" s="117">
        <f t="array" aca="1" ref="BC211" ca="1">IFERROR(SMALL(IF(COUNTIF(Podcasts!$D$1273:'Podcasts'!$D$1283,ROW(INDIRECT("1:"&amp;K$2)))=0,ROW(INDIRECT("1:"&amp;K$2))),ROW($A168)),"")</f>
        <v>174</v>
      </c>
      <c r="BD211" s="117">
        <f t="array" aca="1" ref="BD211" ca="1">IFERROR(SMALL(IF(COUNTIF(Podcasts!$D$1289:'Podcasts'!$D$1295,ROW(INDIRECT("1:"&amp;K$2)))=0,ROW(INDIRECT("1:"&amp;K$2))),ROW($A168)),"")</f>
        <v>174</v>
      </c>
      <c r="BE211" s="117">
        <f t="array" aca="1" ref="BE211" ca="1">IFERROR(SMALL(IF(COUNTIF(Podcasts!$D$1301:'Podcasts'!$D$1356,ROW(INDIRECT("1:"&amp;K$2)))=0,ROW(INDIRECT("1:"&amp;K$2))),ROW($A168)),"")</f>
        <v>215</v>
      </c>
      <c r="BF211" s="117">
        <f t="array" aca="1" ref="BF211" ca="1">IFERROR(SMALL(IF(COUNTIF(Podcasts!$D$1362:'Podcasts'!$D$1364,ROW(INDIRECT("1:"&amp;K$2)))=0,ROW(INDIRECT("1:"&amp;K$2))),ROW($A168)),"")</f>
        <v>171</v>
      </c>
      <c r="BG211" s="202">
        <f t="array" aca="1" ref="BG211" ca="1">IFERROR(SMALL(IF(COUNTIF(Podcasts!$D$1370:'Podcasts'!$D$1419,ROW(INDIRECT("1:"&amp;K$2)))=0,ROW(INDIRECT("1:"&amp;K$2))),ROW($A168)),"")</f>
        <v>208</v>
      </c>
      <c r="BH211" s="202">
        <f t="array" aca="1" ref="BH211" ca="1">IFERROR(SMALL(IF(COUNTIF(Podcasts!$D$1425:'Podcasts'!$D$1446,ROW(INDIRECT("1:"&amp;K$2)))=0,ROW(INDIRECT("1:"&amp;K$2))),ROW($A168)),"")</f>
        <v>180</v>
      </c>
      <c r="BI211" s="202"/>
      <c r="BJ211" s="202"/>
      <c r="BK211" s="202"/>
      <c r="BL211" s="202">
        <f t="array" aca="1" ref="BL211" ca="1">IFERROR(SMALL(IF(COUNTIF(Podcasts!$D$1839:'Podcasts'!$D$1855,ROW(INDIRECT("1:"&amp;K$2)))=0,ROW(INDIRECT("1:"&amp;K$2))),ROW($A168)),"")</f>
        <v>177</v>
      </c>
      <c r="BM211" s="567">
        <f t="array" aca="1" ref="BM211" ca="1">IFERROR(SMALL(IF(COUNTIF(Podcasts!$D$1861:'Podcasts'!$D$1994,ROW(INDIRECT("1:"&amp;K$2)))=0,ROW(INDIRECT("1:"&amp;K$2))),ROW($A168)),"")</f>
        <v>223</v>
      </c>
      <c r="BN211" s="567">
        <f t="array" aca="1" ref="BN211" ca="1">IFERROR(SMALL(IF(COUNTIF(Podcasts!$D$2000:'Podcasts'!$D$2057,ROW(INDIRECT("1:"&amp;K$2)))=0,ROW(INDIRECT("1:"&amp;K$2))),ROW($A168)),"")</f>
        <v>223</v>
      </c>
      <c r="BO211" s="567">
        <f t="array" aca="1" ref="BO211" ca="1">IFERROR(SMALL(IF(COUNTIF(Podcasts!$D$2063:'Podcasts'!$D$2071,ROW(INDIRECT("1:"&amp;K$2)))=0,ROW(INDIRECT("1:"&amp;K$2))),ROW($A168)),"")</f>
        <v>176</v>
      </c>
      <c r="BP211" s="202">
        <f t="array" aca="1" ref="BP211" ca="1">IFERROR(SMALL(IF(COUNTIF(Podcasts!$D$2077:'Podcasts'!$D$2092,ROW(INDIRECT("1:"&amp;K$2)))=0,ROW(INDIRECT("1:"&amp;K$2))),ROW($A168)),"")</f>
        <v>179</v>
      </c>
      <c r="BQ211" s="741">
        <f t="array" aca="1" ref="BQ211" ca="1">IFERROR(SMALL(IF(COUNTIF(Podcasts!$D$2098:'Podcasts'!$D$2114,ROW(INDIRECT("1:"&amp;K$2)))=0,ROW(INDIRECT("1:"&amp;K$2))),ROW($A168)),"")</f>
        <v>183</v>
      </c>
      <c r="BR211" s="744">
        <f t="array" aca="1" ref="BR211" ca="1">IFERROR(SMALL(IF(COUNTIF(Podcasts!$D$2120:'Podcasts'!$D$2124,ROW(INDIRECT("1:"&amp;K$2)))=0,ROW(INDIRECT("1:"&amp;K$2))),ROW($A168)),"")</f>
        <v>170</v>
      </c>
      <c r="BS211" s="28"/>
    </row>
    <row r="212" spans="1:71" outlineLevel="1">
      <c r="A212" s="28"/>
      <c r="B212" s="161">
        <v>169</v>
      </c>
      <c r="C212" s="161">
        <f>COUNTIF(Podcasts!$D$10:'Podcasts'!$D$2535,B212)</f>
        <v>6</v>
      </c>
      <c r="D212" s="160" t="s">
        <v>1194</v>
      </c>
      <c r="E212" s="156" t="str">
        <f t="array" ref="E212">IF(F212="","",INDEX(Podcasts!$J$10:'Podcasts'!$J$2535,MATCH(F212&amp;$B212,Podcasts!$E$10:'Podcasts'!$E$2535&amp;Podcasts!$D$10:'Podcasts'!$D$2535,0)))</f>
        <v>Ohr</v>
      </c>
      <c r="F212" s="131">
        <f t="array" ref="F212">IF(COUNTIF(Podcasts!$D$10:'Podcasts'!$D$2535,$B212)&lt;COLUMN(A175),"",SMALL(IF(Podcasts!$D$10:'Podcasts'!$D$2535=$B212,Podcasts!$E$10:'Podcasts'!$E$2535),COLUMN(A175)))</f>
        <v>41849</v>
      </c>
      <c r="G212" s="132">
        <f t="array" ref="G212">IF(F212="","",INDEX(Podcasts!$F$10:'Podcasts'!$F$2535,MATCH(F212&amp;$B212,Podcasts!$E$10:'Podcasts'!$E$2535&amp;Podcasts!$D$10:'Podcasts'!$D$2535,0)))</f>
        <v>9.7222222222222209E-4</v>
      </c>
      <c r="H212" s="136" t="str">
        <f t="array" ref="H212">IF(I212="","",INDEX(Podcasts!$J$10:'Podcasts'!$J$2535,MATCH(I212&amp;$B212,Podcasts!$E$10:'Podcasts'!$E$2535&amp;Podcasts!$D$10:'Podcasts'!$D$2535,0)))</f>
        <v>SSP</v>
      </c>
      <c r="I212" s="133">
        <f t="array" ref="I212">IF(COUNTIF(Podcasts!$D$10:'Podcasts'!$D$2535,$B212)&lt;COLUMN(B175),"",SMALL(IF(Podcasts!$D$10:'Podcasts'!$D$2535=$B212,Podcasts!$E$10:'Podcasts'!$E$2535),COLUMN(B175)))</f>
        <v>42868</v>
      </c>
      <c r="J212" s="132">
        <f t="array" ref="J212">IF(I212="","",INDEX(Podcasts!$F$10:'Podcasts'!$F$2535,MATCH(I212&amp;$B212,Podcasts!$E$10:'Podcasts'!$E$2535&amp;Podcasts!$D$10:'Podcasts'!$D$2535,0)))</f>
        <v>5.994212962962963E-2</v>
      </c>
      <c r="K212" s="136" t="str">
        <f t="array" ref="K212">IF(L212="","",INDEX(Podcasts!$J$10:'Podcasts'!$J$2535,MATCH(L212&amp;$B212,Podcasts!$E$10:'Podcasts'!$E$2535&amp;Podcasts!$D$10:'Podcasts'!$D$2535,0)))</f>
        <v>Talker</v>
      </c>
      <c r="L212" s="133">
        <f t="array" ref="L212">IF(COUNTIF(Podcasts!$D$10:'Podcasts'!$D$2535,$B212)&lt;COLUMN(C175),"",SMALL(IF(Podcasts!$D$10:'Podcasts'!$D$2535=$B212,Podcasts!$E$10:'Podcasts'!$E$2535),COLUMN(C175)))</f>
        <v>42987</v>
      </c>
      <c r="M212" s="132">
        <f t="array" ref="M212">IF(L212="","",INDEX(Podcasts!$F$10:'Podcasts'!$F$2535,MATCH(L212&amp;$B212,Podcasts!$E$10:'Podcasts'!$E$2535&amp;Podcasts!$D$10:'Podcasts'!$D$2535,0)))</f>
        <v>1.6006944444444445E-2</v>
      </c>
      <c r="N212" s="136" t="str">
        <f t="array" ref="N212">IF(O212="","",INDEX(Podcasts!$J$10:'Podcasts'!$J$2535,MATCH(O212&amp;$B212,Podcasts!$E$10:'Podcasts'!$E$2535&amp;Podcasts!$D$10:'Podcasts'!$D$2535,0)))</f>
        <v>Gebraucht</v>
      </c>
      <c r="O212" s="133">
        <f t="array" ref="O212">IF(COUNTIF(Podcasts!$D$10:'Podcasts'!$D$2535,$B212)&lt;COLUMN(D175),"",SMALL(IF(Podcasts!$D$10:'Podcasts'!$D$2535=$B212,Podcasts!$E$10:'Podcasts'!$E$2535),COLUMN(D175)))</f>
        <v>43633</v>
      </c>
      <c r="P212" s="132">
        <f t="array" ref="P212">IF(O212="","",INDEX(Podcasts!$F$10:'Podcasts'!$F$2535,MATCH(O212&amp;$B212,Podcasts!$E$10:'Podcasts'!$E$2535&amp;Podcasts!$D$10:'Podcasts'!$D$2535,0)))</f>
        <v>4.1030092592592597E-2</v>
      </c>
      <c r="Q212" s="136" t="str">
        <f t="array" ref="Q212">IF(R212="","",INDEX(Podcasts!$J$10:'Podcasts'!$J$2535,MATCH(R212&amp;$B212,Podcasts!$E$10:'Podcasts'!$E$2535&amp;Podcasts!$D$10:'Podcasts'!$D$2535,0)))</f>
        <v>R&amp;A</v>
      </c>
      <c r="R212" s="133">
        <f t="array" ref="R212">IF(COUNTIF(Podcasts!$D$10:'Podcasts'!$D$2535,$B212)&lt;COLUMN(E175),"",SMALL(IF(Podcasts!$D$10:'Podcasts'!$D$2535=$B212,Podcasts!$E$10:'Podcasts'!$E$2535),COLUMN(E175)))</f>
        <v>44227.416666666664</v>
      </c>
      <c r="S212" s="132">
        <f t="array" ref="S212">IF(R212="","",INDEX(Podcasts!$F$10:'Podcasts'!$F$2535,MATCH(R212&amp;$B212,Podcasts!$E$10:'Podcasts'!$E$2535&amp;Podcasts!$D$10:'Podcasts'!$D$2535,0)))</f>
        <v>9.0405092592592592E-2</v>
      </c>
      <c r="T212" s="136" t="str">
        <f t="array" ref="T212">IF(U212="","",INDEX(Podcasts!$J$10:'Podcasts'!$J$2535,MATCH(U212&amp;$B212,Podcasts!$E$10:'Podcasts'!$E$2535&amp;Podcasts!$D$10:'Podcasts'!$D$2535,0)))</f>
        <v>Verstärker</v>
      </c>
      <c r="U212" s="133">
        <f t="array" ref="U212">IF(COUNTIF(Podcasts!$D$10:'Podcasts'!$D$2535,$B212)&lt;COLUMN(F175),"",SMALL(IF(Podcasts!$D$10:'Podcasts'!$D$2535=$B212,Podcasts!$E$10:'Podcasts'!$E$2535),COLUMN(F175)))</f>
        <v>44807</v>
      </c>
      <c r="V212" s="132">
        <f t="array" ref="V212">IF(U212="","",INDEX(Podcasts!$F$10:'Podcasts'!$F$2535,MATCH(U212&amp;$B212,Podcasts!$E$10:'Podcasts'!$E$2535&amp;Podcasts!$D$10:'Podcasts'!$D$2535,0)))</f>
        <v>1.6898148148148148E-2</v>
      </c>
      <c r="W212" s="136" t="str">
        <f t="array" ref="W212">IF(X212="","",INDEX(Podcasts!$J$10:'Podcasts'!$J$2535,MATCH(X212&amp;$B212,Podcasts!$E$10:'Podcasts'!$E$2535&amp;Podcasts!$D$10:'Podcasts'!$D$2535,0)))</f>
        <v/>
      </c>
      <c r="X212" s="133" t="str">
        <f t="array" ref="X212">IF(COUNTIF(Podcasts!$D$10:'Podcasts'!$D$2535,$B212)&lt;COLUMN(G175),"",SMALL(IF(Podcasts!$D$10:'Podcasts'!$D$2535=$B212,Podcasts!$E$10:'Podcasts'!$E$2535),COLUMN(G175)))</f>
        <v/>
      </c>
      <c r="Y212" s="132" t="str">
        <f t="array" ref="Y212">IF(X212="","",INDEX(Podcasts!$F$10:'Podcasts'!$F$2535,MATCH(X212&amp;$B212,Podcasts!$E$10:'Podcasts'!$E$2535&amp;Podcasts!$D$10:'Podcasts'!$D$2535,0)))</f>
        <v/>
      </c>
      <c r="Z212" s="136" t="str">
        <f t="array" ref="Z212">IF(AA212="","",INDEX(Podcasts!$J$10:'Podcasts'!$J$2535,MATCH(AA212&amp;$B212,Podcasts!$E$10:'Podcasts'!$E$2535&amp;Podcasts!$D$10:'Podcasts'!$D$2535,0)))</f>
        <v/>
      </c>
      <c r="AA212" s="134" t="str">
        <f t="array" ref="AA212">IF(COUNTIF(Podcasts!$D$10:'Podcasts'!$D$2535,$B212)&lt;COLUMN(H175),"",SMALL(IF(Podcasts!$D$10:'Podcasts'!$D$2535=$B212,Podcasts!$E$10:'Podcasts'!$E$2535),COLUMN(H175)))</f>
        <v/>
      </c>
      <c r="AB212" s="404" t="str">
        <f t="array" ref="AB212">IF(AA212="","",INDEX(Podcasts!$F$10:'Podcasts'!$F$2535,MATCH(AA212&amp;$B212,Podcasts!$E$10:'Podcasts'!$E$2535&amp;Podcasts!$D$10:'Podcasts'!$D$2535,0)))</f>
        <v/>
      </c>
      <c r="AC212" s="406" t="str">
        <f t="array" ref="AC212">IF(AD212="","",INDEX(Podcasts!$J$10:'Podcasts'!$J$2535,MATCH(AD212&amp;$B212,Podcasts!$E$10:'Podcasts'!$E$2535&amp;Podcasts!$D$10:'Podcasts'!$D$2535,0)))</f>
        <v/>
      </c>
      <c r="AD212" s="400" t="str">
        <f t="array" ref="AD212">IF(COUNTIF(Podcasts!$D$10:'Podcasts'!$D$2535,$B212)&lt;COLUMN(I175),"",SMALL(IF(Podcasts!$D$10:'Podcasts'!$D$2535=$B212,Podcasts!$E$10:'Podcasts'!$E$2535),COLUMN(I175)))</f>
        <v/>
      </c>
      <c r="AE212" s="401" t="str">
        <f t="array" ref="AE212">IF(AD212="","",INDEX(Podcasts!$F$10:'Podcasts'!$F$2535,MATCH(AD212&amp;$B212,Podcasts!$E$10:'Podcasts'!$E$2535&amp;Podcasts!$D$10:'Podcasts'!$D$2535,0)))</f>
        <v/>
      </c>
      <c r="AF212" s="406" t="str">
        <f t="array" ref="AF212">IF(AG212="","",INDEX(Podcasts!$J$10:'Podcasts'!$J$2535,MATCH(AG212&amp;$B212,Podcasts!$E$10:'Podcasts'!$E$2535&amp;Podcasts!$D$10:'Podcasts'!$D$2535,0)))</f>
        <v/>
      </c>
      <c r="AG212" s="400" t="str">
        <f t="array" ref="AG212">IF(COUNTIF(Podcasts!$D$10:'Podcasts'!$D$2535,$B212)&lt;COLUMN(J175),"",SMALL(IF(Podcasts!$D$10:'Podcasts'!$D$2535=$B212,Podcasts!$E$10:'Podcasts'!$E$2535),COLUMN(J175)))</f>
        <v/>
      </c>
      <c r="AH212" s="401" t="str">
        <f t="array" ref="AH212">IF(AG212="","",INDEX(Podcasts!$F$10:'Podcasts'!$F$2535,MATCH(AG212&amp;$B212,Podcasts!$E$10:'Podcasts'!$E$2535&amp;Podcasts!$D$10:'Podcasts'!$D$2535,0)))</f>
        <v/>
      </c>
      <c r="AI212" s="406" t="str">
        <f t="array" ref="AI212">IF(AJ212="","",INDEX(Podcasts!$J$10:'Podcasts'!$J$2535,MATCH(AJ212&amp;$B212,Podcasts!$E$10:'Podcasts'!$E$2535&amp;Podcasts!$D$10:'Podcasts'!$D$2535,0)))</f>
        <v/>
      </c>
      <c r="AJ212" s="400" t="str">
        <f t="array" ref="AJ212">IF(COUNTIF(Podcasts!$D$10:'Podcasts'!$D$2535,$B212)&lt;COLUMN(K175),"",SMALL(IF(Podcasts!$D$10:'Podcasts'!$D$2535=$B212,Podcasts!$E$10:'Podcasts'!$E$2535),COLUMN(K175)))</f>
        <v/>
      </c>
      <c r="AK212" s="401" t="str">
        <f t="array" ref="AK212">IF(AJ212="","",INDEX(Podcasts!$F$10:'Podcasts'!$F$2535,MATCH(AJ212&amp;$B212,Podcasts!$E$10:'Podcasts'!$E$2535&amp;Podcasts!$D$10:'Podcasts'!$D$2535,0)))</f>
        <v/>
      </c>
      <c r="AL212" s="406" t="str">
        <f t="array" ref="AL212">IF(AM212="","",INDEX(Podcasts!$J$10:'Podcasts'!$J$2535,MATCH(AM212&amp;$B212,Podcasts!$E$10:'Podcasts'!$E$2535&amp;Podcasts!$D$10:'Podcasts'!$D$2535,0)))</f>
        <v/>
      </c>
      <c r="AM212" s="400" t="str">
        <f t="array" ref="AM212">IF(COUNTIF(Podcasts!$D$10:'Podcasts'!$D$2535,$B212)&lt;COLUMN(L175),"",SMALL(IF(Podcasts!$D$10:'Podcasts'!$D$2535=$B212,Podcasts!$E$10:'Podcasts'!$E$2535),COLUMN(L175)))</f>
        <v/>
      </c>
      <c r="AN212" s="401" t="str">
        <f t="array" ref="AN212">IF(AM212="","",INDEX(Podcasts!$F$10:'Podcasts'!$F$2535,MATCH(AM212&amp;$B212,Podcasts!$E$10:'Podcasts'!$E$2535&amp;Podcasts!$D$10:'Podcasts'!$D$2535,0)))</f>
        <v/>
      </c>
      <c r="AO212" s="402"/>
      <c r="AP212" s="119"/>
      <c r="AQ212" s="117">
        <f t="array" aca="1" ref="AQ212" ca="1">IFERROR(SMALL(IF(COUNTIF(Podcasts!$D$10:'Podcasts'!$D$107,ROW(INDIRECT("1:"&amp;K$2)))=0,ROW(INDIRECT("1:"&amp;K$2))),ROW($A169)),"")</f>
        <v>216</v>
      </c>
      <c r="AR212" s="117"/>
      <c r="AS212" s="117">
        <f t="array" aca="1" ref="AS212" ca="1">IFERROR(SMALL(IF(COUNTIF(Podcasts!$D$244:'Podcasts'!$D$299,ROW(INDIRECT("1:"&amp;K$2)))=0,ROW(INDIRECT("1:"&amp;K$2))),ROW($A169)),"")</f>
        <v>206</v>
      </c>
      <c r="AT212" s="117"/>
      <c r="AU212" s="117">
        <f t="array" aca="1" ref="AU212" ca="1">IFERROR(SMALL(IF(COUNTIF(Podcasts!$D$479:'Podcasts'!$D$488,ROW(INDIRECT("1:"&amp;K$2)))=0,ROW(INDIRECT("1:"&amp;K$2))),ROW($A169)),"")</f>
        <v>173</v>
      </c>
      <c r="AV212" s="117">
        <f t="array" aca="1" ref="AV212" ca="1">IFERROR(SMALL(IF(COUNTIF(Podcasts!$D$494:'Podcasts'!$D$518,ROW(INDIRECT("1:"&amp;K$2)))=0,ROW(INDIRECT("1:"&amp;K$2))),ROW($A169)),"")</f>
        <v>194</v>
      </c>
      <c r="AW212" s="117">
        <f t="array" aca="1" ref="AW212" ca="1">IFERROR(SMALL(IF(COUNTIF(Podcasts!$D$524:'Podcasts'!$D$532,ROW(INDIRECT("1:"&amp;K$2)))=0,ROW(INDIRECT("1:"&amp;K$2))),ROW($A169)),"")</f>
        <v>170</v>
      </c>
      <c r="AX212" s="117"/>
      <c r="AY212" s="117">
        <f t="array" aca="1" ref="AY212" ca="1">IFERROR(SMALL(IF(COUNTIF(Podcasts!$D$915:'Podcasts'!$D$981,ROW(INDIRECT("1:"&amp;K$2)))=0,ROW(INDIRECT("1:"&amp;K$2))),ROW($A169)),"")</f>
        <v>226</v>
      </c>
      <c r="AZ212" s="445"/>
      <c r="BA212" s="117" t="str">
        <f t="array" aca="1" ref="BA212" ca="1">IFERROR(SMALL(IF(COUNTIF(Podcasts!$D$1001:'Podcasts'!$D$1251,ROW(INDIRECT("1:"&amp;K$2)))=0,ROW(INDIRECT("1:"&amp;K$2))),ROW($A169)),"")</f>
        <v/>
      </c>
      <c r="BB212" s="117">
        <f t="array" aca="1" ref="BB212" ca="1">IFERROR(SMALL(IF(COUNTIF(Podcasts!$D$1257:'Podcasts'!$D$1267,ROW(INDIRECT("1:"&amp;K$2)))=0,ROW(INDIRECT("1:"&amp;K$2))),ROW($A169)),"")</f>
        <v>175</v>
      </c>
      <c r="BC212" s="117">
        <f t="array" aca="1" ref="BC212" ca="1">IFERROR(SMALL(IF(COUNTIF(Podcasts!$D$1273:'Podcasts'!$D$1283,ROW(INDIRECT("1:"&amp;K$2)))=0,ROW(INDIRECT("1:"&amp;K$2))),ROW($A169)),"")</f>
        <v>175</v>
      </c>
      <c r="BD212" s="117">
        <f t="array" aca="1" ref="BD212" ca="1">IFERROR(SMALL(IF(COUNTIF(Podcasts!$D$1289:'Podcasts'!$D$1295,ROW(INDIRECT("1:"&amp;K$2)))=0,ROW(INDIRECT("1:"&amp;K$2))),ROW($A169)),"")</f>
        <v>175</v>
      </c>
      <c r="BE212" s="117">
        <f t="array" aca="1" ref="BE212" ca="1">IFERROR(SMALL(IF(COUNTIF(Podcasts!$D$1301:'Podcasts'!$D$1356,ROW(INDIRECT("1:"&amp;K$2)))=0,ROW(INDIRECT("1:"&amp;K$2))),ROW($A169)),"")</f>
        <v>216</v>
      </c>
      <c r="BF212" s="117">
        <f t="array" aca="1" ref="BF212" ca="1">IFERROR(SMALL(IF(COUNTIF(Podcasts!$D$1362:'Podcasts'!$D$1364,ROW(INDIRECT("1:"&amp;K$2)))=0,ROW(INDIRECT("1:"&amp;K$2))),ROW($A169)),"")</f>
        <v>172</v>
      </c>
      <c r="BG212" s="202">
        <f t="array" aca="1" ref="BG212" ca="1">IFERROR(SMALL(IF(COUNTIF(Podcasts!$D$1370:'Podcasts'!$D$1419,ROW(INDIRECT("1:"&amp;K$2)))=0,ROW(INDIRECT("1:"&amp;K$2))),ROW($A169)),"")</f>
        <v>209</v>
      </c>
      <c r="BH212" s="202">
        <f t="array" aca="1" ref="BH212" ca="1">IFERROR(SMALL(IF(COUNTIF(Podcasts!$D$1425:'Podcasts'!$D$1446,ROW(INDIRECT("1:"&amp;K$2)))=0,ROW(INDIRECT("1:"&amp;K$2))),ROW($A169)),"")</f>
        <v>181</v>
      </c>
      <c r="BI212" s="202"/>
      <c r="BJ212" s="202"/>
      <c r="BK212" s="202"/>
      <c r="BL212" s="202">
        <f t="array" aca="1" ref="BL212" ca="1">IFERROR(SMALL(IF(COUNTIF(Podcasts!$D$1839:'Podcasts'!$D$1855,ROW(INDIRECT("1:"&amp;K$2)))=0,ROW(INDIRECT("1:"&amp;K$2))),ROW($A169)),"")</f>
        <v>178</v>
      </c>
      <c r="BM212" s="567">
        <f t="array" aca="1" ref="BM212" ca="1">IFERROR(SMALL(IF(COUNTIF(Podcasts!$D$1861:'Podcasts'!$D$1994,ROW(INDIRECT("1:"&amp;K$2)))=0,ROW(INDIRECT("1:"&amp;K$2))),ROW($A169)),"")</f>
        <v>224</v>
      </c>
      <c r="BN212" s="567">
        <f t="array" aca="1" ref="BN212" ca="1">IFERROR(SMALL(IF(COUNTIF(Podcasts!$D$2000:'Podcasts'!$D$2057,ROW(INDIRECT("1:"&amp;K$2)))=0,ROW(INDIRECT("1:"&amp;K$2))),ROW($A169)),"")</f>
        <v>224</v>
      </c>
      <c r="BO212" s="567">
        <f t="array" aca="1" ref="BO212" ca="1">IFERROR(SMALL(IF(COUNTIF(Podcasts!$D$2063:'Podcasts'!$D$2071,ROW(INDIRECT("1:"&amp;K$2)))=0,ROW(INDIRECT("1:"&amp;K$2))),ROW($A169)),"")</f>
        <v>177</v>
      </c>
      <c r="BP212" s="202">
        <f t="array" aca="1" ref="BP212" ca="1">IFERROR(SMALL(IF(COUNTIF(Podcasts!$D$2077:'Podcasts'!$D$2092,ROW(INDIRECT("1:"&amp;K$2)))=0,ROW(INDIRECT("1:"&amp;K$2))),ROW($A169)),"")</f>
        <v>180</v>
      </c>
      <c r="BQ212" s="741">
        <f t="array" aca="1" ref="BQ212" ca="1">IFERROR(SMALL(IF(COUNTIF(Podcasts!$D$2098:'Podcasts'!$D$2114,ROW(INDIRECT("1:"&amp;K$2)))=0,ROW(INDIRECT("1:"&amp;K$2))),ROW($A169)),"")</f>
        <v>184</v>
      </c>
      <c r="BR212" s="744">
        <f t="array" aca="1" ref="BR212" ca="1">IFERROR(SMALL(IF(COUNTIF(Podcasts!$D$2120:'Podcasts'!$D$2124,ROW(INDIRECT("1:"&amp;K$2)))=0,ROW(INDIRECT("1:"&amp;K$2))),ROW($A169)),"")</f>
        <v>171</v>
      </c>
      <c r="BS212" s="28"/>
    </row>
    <row r="213" spans="1:71" outlineLevel="1">
      <c r="A213" s="28"/>
      <c r="B213" s="161">
        <v>170</v>
      </c>
      <c r="C213" s="161">
        <f>COUNTIF(Podcasts!$D$10:'Podcasts'!$D$2535,B213)</f>
        <v>5</v>
      </c>
      <c r="D213" s="160" t="s">
        <v>1195</v>
      </c>
      <c r="E213" s="156" t="str">
        <f t="array" ref="E213">IF(F213="","",INDEX(Podcasts!$J$10:'Podcasts'!$J$2535,MATCH(F213&amp;$B213,Podcasts!$E$10:'Podcasts'!$E$2535&amp;Podcasts!$D$10:'Podcasts'!$D$2535,0)))</f>
        <v>Ohr</v>
      </c>
      <c r="F213" s="131">
        <f t="array" ref="F213">IF(COUNTIF(Podcasts!$D$10:'Podcasts'!$D$2535,$B213)&lt;COLUMN(A176),"",SMALL(IF(Podcasts!$D$10:'Podcasts'!$D$2535=$B213,Podcasts!$E$10:'Podcasts'!$E$2535),COLUMN(A176)))</f>
        <v>41913</v>
      </c>
      <c r="G213" s="132">
        <f t="array" ref="G213">IF(F213="","",INDEX(Podcasts!$F$10:'Podcasts'!$F$2535,MATCH(F213&amp;$B213,Podcasts!$E$10:'Podcasts'!$E$2535&amp;Podcasts!$D$10:'Podcasts'!$D$2535,0)))</f>
        <v>1.8865740740740742E-3</v>
      </c>
      <c r="H213" s="136" t="str">
        <f t="array" ref="H213">IF(I213="","",INDEX(Podcasts!$J$10:'Podcasts'!$J$2535,MATCH(I213&amp;$B213,Podcasts!$E$10:'Podcasts'!$E$2535&amp;Podcasts!$D$10:'Podcasts'!$D$2535,0)))</f>
        <v>Talker</v>
      </c>
      <c r="I213" s="133">
        <f t="array" ref="I213">IF(COUNTIF(Podcasts!$D$10:'Podcasts'!$D$2535,$B213)&lt;COLUMN(B176),"",SMALL(IF(Podcasts!$D$10:'Podcasts'!$D$2535=$B213,Podcasts!$E$10:'Podcasts'!$E$2535),COLUMN(B176)))</f>
        <v>42048</v>
      </c>
      <c r="J213" s="132">
        <f t="array" ref="J213">IF(I213="","",INDEX(Podcasts!$F$10:'Podcasts'!$F$2535,MATCH(I213&amp;$B213,Podcasts!$E$10:'Podcasts'!$E$2535&amp;Podcasts!$D$10:'Podcasts'!$D$2535,0)))</f>
        <v>1.7488425925925925E-2</v>
      </c>
      <c r="K213" s="136" t="str">
        <f t="array" ref="K213">IF(L213="","",INDEX(Podcasts!$J$10:'Podcasts'!$J$2535,MATCH(L213&amp;$B213,Podcasts!$E$10:'Podcasts'!$E$2535&amp;Podcasts!$D$10:'Podcasts'!$D$2535,0)))</f>
        <v>R&amp;A</v>
      </c>
      <c r="L213" s="133">
        <f t="array" ref="L213">IF(COUNTIF(Podcasts!$D$10:'Podcasts'!$D$2535,$B213)&lt;COLUMN(C176),"",SMALL(IF(Podcasts!$D$10:'Podcasts'!$D$2535=$B213,Podcasts!$E$10:'Podcasts'!$E$2535),COLUMN(C176)))</f>
        <v>43920.859178240738</v>
      </c>
      <c r="M213" s="132">
        <f t="array" ref="M213">IF(L213="","",INDEX(Podcasts!$F$10:'Podcasts'!$F$2535,MATCH(L213&amp;$B213,Podcasts!$E$10:'Podcasts'!$E$2535&amp;Podcasts!$D$10:'Podcasts'!$D$2535,0)))</f>
        <v>9.1643518518518527E-2</v>
      </c>
      <c r="N213" s="136" t="str">
        <f t="array" ref="N213">IF(O213="","",INDEX(Podcasts!$J$10:'Podcasts'!$J$2535,MATCH(O213&amp;$B213,Podcasts!$E$10:'Podcasts'!$E$2535&amp;Podcasts!$D$10:'Podcasts'!$D$2535,0)))</f>
        <v>SSP</v>
      </c>
      <c r="O213" s="133">
        <f t="array" ref="O213">IF(COUNTIF(Podcasts!$D$10:'Podcasts'!$D$2535,$B213)&lt;COLUMN(D176),"",SMALL(IF(Podcasts!$D$10:'Podcasts'!$D$2535=$B213,Podcasts!$E$10:'Podcasts'!$E$2535),COLUMN(D176)))</f>
        <v>44046</v>
      </c>
      <c r="P213" s="132">
        <f t="array" ref="P213">IF(O213="","",INDEX(Podcasts!$F$10:'Podcasts'!$F$2535,MATCH(O213&amp;$B213,Podcasts!$E$10:'Podcasts'!$E$2535&amp;Podcasts!$D$10:'Podcasts'!$D$2535,0)))</f>
        <v>9.4953703703703707E-2</v>
      </c>
      <c r="Q213" s="136" t="str">
        <f t="array" ref="Q213">IF(R213="","",INDEX(Podcasts!$J$10:'Podcasts'!$J$2535,MATCH(R213&amp;$B213,Podcasts!$E$10:'Podcasts'!$E$2535&amp;Podcasts!$D$10:'Podcasts'!$D$2535,0)))</f>
        <v>Verstärker</v>
      </c>
      <c r="R213" s="133">
        <f t="array" ref="R213">IF(COUNTIF(Podcasts!$D$10:'Podcasts'!$D$2535,$B213)&lt;COLUMN(E176),"",SMALL(IF(Podcasts!$D$10:'Podcasts'!$D$2535=$B213,Podcasts!$E$10:'Podcasts'!$E$2535),COLUMN(E176)))</f>
        <v>44258</v>
      </c>
      <c r="S213" s="132">
        <f t="array" ref="S213">IF(R213="","",INDEX(Podcasts!$F$10:'Podcasts'!$F$2535,MATCH(R213&amp;$B213,Podcasts!$E$10:'Podcasts'!$E$2535&amp;Podcasts!$D$10:'Podcasts'!$D$2535,0)))</f>
        <v>1.667824074074074E-2</v>
      </c>
      <c r="T213" s="136" t="str">
        <f t="array" ref="T213">IF(U213="","",INDEX(Podcasts!$J$10:'Podcasts'!$J$2535,MATCH(U213&amp;$B213,Podcasts!$E$10:'Podcasts'!$E$2535&amp;Podcasts!$D$10:'Podcasts'!$D$2535,0)))</f>
        <v/>
      </c>
      <c r="U213" s="133" t="str">
        <f t="array" ref="U213">IF(COUNTIF(Podcasts!$D$10:'Podcasts'!$D$2535,$B213)&lt;COLUMN(F176),"",SMALL(IF(Podcasts!$D$10:'Podcasts'!$D$2535=$B213,Podcasts!$E$10:'Podcasts'!$E$2535),COLUMN(F176)))</f>
        <v/>
      </c>
      <c r="V213" s="132" t="str">
        <f t="array" ref="V213">IF(U213="","",INDEX(Podcasts!$F$10:'Podcasts'!$F$2535,MATCH(U213&amp;$B213,Podcasts!$E$10:'Podcasts'!$E$2535&amp;Podcasts!$D$10:'Podcasts'!$D$2535,0)))</f>
        <v/>
      </c>
      <c r="W213" s="136" t="str">
        <f t="array" ref="W213">IF(X213="","",INDEX(Podcasts!$J$10:'Podcasts'!$J$2535,MATCH(X213&amp;$B213,Podcasts!$E$10:'Podcasts'!$E$2535&amp;Podcasts!$D$10:'Podcasts'!$D$2535,0)))</f>
        <v/>
      </c>
      <c r="X213" s="133" t="str">
        <f t="array" ref="X213">IF(COUNTIF(Podcasts!$D$10:'Podcasts'!$D$2535,$B213)&lt;COLUMN(G176),"",SMALL(IF(Podcasts!$D$10:'Podcasts'!$D$2535=$B213,Podcasts!$E$10:'Podcasts'!$E$2535),COLUMN(G176)))</f>
        <v/>
      </c>
      <c r="Y213" s="132" t="str">
        <f t="array" ref="Y213">IF(X213="","",INDEX(Podcasts!$F$10:'Podcasts'!$F$2535,MATCH(X213&amp;$B213,Podcasts!$E$10:'Podcasts'!$E$2535&amp;Podcasts!$D$10:'Podcasts'!$D$2535,0)))</f>
        <v/>
      </c>
      <c r="Z213" s="136" t="str">
        <f t="array" ref="Z213">IF(AA213="","",INDEX(Podcasts!$J$10:'Podcasts'!$J$2535,MATCH(AA213&amp;$B213,Podcasts!$E$10:'Podcasts'!$E$2535&amp;Podcasts!$D$10:'Podcasts'!$D$2535,0)))</f>
        <v/>
      </c>
      <c r="AA213" s="134" t="str">
        <f t="array" ref="AA213">IF(COUNTIF(Podcasts!$D$10:'Podcasts'!$D$2535,$B213)&lt;COLUMN(H176),"",SMALL(IF(Podcasts!$D$10:'Podcasts'!$D$2535=$B213,Podcasts!$E$10:'Podcasts'!$E$2535),COLUMN(H176)))</f>
        <v/>
      </c>
      <c r="AB213" s="404" t="str">
        <f t="array" ref="AB213">IF(AA213="","",INDEX(Podcasts!$F$10:'Podcasts'!$F$2535,MATCH(AA213&amp;$B213,Podcasts!$E$10:'Podcasts'!$E$2535&amp;Podcasts!$D$10:'Podcasts'!$D$2535,0)))</f>
        <v/>
      </c>
      <c r="AC213" s="406" t="str">
        <f t="array" ref="AC213">IF(AD213="","",INDEX(Podcasts!$J$10:'Podcasts'!$J$2535,MATCH(AD213&amp;$B213,Podcasts!$E$10:'Podcasts'!$E$2535&amp;Podcasts!$D$10:'Podcasts'!$D$2535,0)))</f>
        <v/>
      </c>
      <c r="AD213" s="400" t="str">
        <f t="array" ref="AD213">IF(COUNTIF(Podcasts!$D$10:'Podcasts'!$D$2535,$B213)&lt;COLUMN(I176),"",SMALL(IF(Podcasts!$D$10:'Podcasts'!$D$2535=$B213,Podcasts!$E$10:'Podcasts'!$E$2535),COLUMN(I176)))</f>
        <v/>
      </c>
      <c r="AE213" s="401" t="str">
        <f t="array" ref="AE213">IF(AD213="","",INDEX(Podcasts!$F$10:'Podcasts'!$F$2535,MATCH(AD213&amp;$B213,Podcasts!$E$10:'Podcasts'!$E$2535&amp;Podcasts!$D$10:'Podcasts'!$D$2535,0)))</f>
        <v/>
      </c>
      <c r="AF213" s="406" t="str">
        <f t="array" ref="AF213">IF(AG213="","",INDEX(Podcasts!$J$10:'Podcasts'!$J$2535,MATCH(AG213&amp;$B213,Podcasts!$E$10:'Podcasts'!$E$2535&amp;Podcasts!$D$10:'Podcasts'!$D$2535,0)))</f>
        <v/>
      </c>
      <c r="AG213" s="400" t="str">
        <f t="array" ref="AG213">IF(COUNTIF(Podcasts!$D$10:'Podcasts'!$D$2535,$B213)&lt;COLUMN(J176),"",SMALL(IF(Podcasts!$D$10:'Podcasts'!$D$2535=$B213,Podcasts!$E$10:'Podcasts'!$E$2535),COLUMN(J176)))</f>
        <v/>
      </c>
      <c r="AH213" s="401" t="str">
        <f t="array" ref="AH213">IF(AG213="","",INDEX(Podcasts!$F$10:'Podcasts'!$F$2535,MATCH(AG213&amp;$B213,Podcasts!$E$10:'Podcasts'!$E$2535&amp;Podcasts!$D$10:'Podcasts'!$D$2535,0)))</f>
        <v/>
      </c>
      <c r="AI213" s="406" t="str">
        <f t="array" ref="AI213">IF(AJ213="","",INDEX(Podcasts!$J$10:'Podcasts'!$J$2535,MATCH(AJ213&amp;$B213,Podcasts!$E$10:'Podcasts'!$E$2535&amp;Podcasts!$D$10:'Podcasts'!$D$2535,0)))</f>
        <v/>
      </c>
      <c r="AJ213" s="400" t="str">
        <f t="array" ref="AJ213">IF(COUNTIF(Podcasts!$D$10:'Podcasts'!$D$2535,$B213)&lt;COLUMN(K176),"",SMALL(IF(Podcasts!$D$10:'Podcasts'!$D$2535=$B213,Podcasts!$E$10:'Podcasts'!$E$2535),COLUMN(K176)))</f>
        <v/>
      </c>
      <c r="AK213" s="401" t="str">
        <f t="array" ref="AK213">IF(AJ213="","",INDEX(Podcasts!$F$10:'Podcasts'!$F$2535,MATCH(AJ213&amp;$B213,Podcasts!$E$10:'Podcasts'!$E$2535&amp;Podcasts!$D$10:'Podcasts'!$D$2535,0)))</f>
        <v/>
      </c>
      <c r="AL213" s="406" t="str">
        <f t="array" ref="AL213">IF(AM213="","",INDEX(Podcasts!$J$10:'Podcasts'!$J$2535,MATCH(AM213&amp;$B213,Podcasts!$E$10:'Podcasts'!$E$2535&amp;Podcasts!$D$10:'Podcasts'!$D$2535,0)))</f>
        <v/>
      </c>
      <c r="AM213" s="400" t="str">
        <f t="array" ref="AM213">IF(COUNTIF(Podcasts!$D$10:'Podcasts'!$D$2535,$B213)&lt;COLUMN(L176),"",SMALL(IF(Podcasts!$D$10:'Podcasts'!$D$2535=$B213,Podcasts!$E$10:'Podcasts'!$E$2535),COLUMN(L176)))</f>
        <v/>
      </c>
      <c r="AN213" s="401" t="str">
        <f t="array" ref="AN213">IF(AM213="","",INDEX(Podcasts!$F$10:'Podcasts'!$F$2535,MATCH(AM213&amp;$B213,Podcasts!$E$10:'Podcasts'!$E$2535&amp;Podcasts!$D$10:'Podcasts'!$D$2535,0)))</f>
        <v/>
      </c>
      <c r="AO213" s="402"/>
      <c r="AP213" s="119"/>
      <c r="AQ213" s="117">
        <f t="array" aca="1" ref="AQ213" ca="1">IFERROR(SMALL(IF(COUNTIF(Podcasts!$D$10:'Podcasts'!$D$107,ROW(INDIRECT("1:"&amp;K$2)))=0,ROW(INDIRECT("1:"&amp;K$2))),ROW($A170)),"")</f>
        <v>217</v>
      </c>
      <c r="AR213" s="117"/>
      <c r="AS213" s="117">
        <f t="array" aca="1" ref="AS213" ca="1">IFERROR(SMALL(IF(COUNTIF(Podcasts!$D$244:'Podcasts'!$D$299,ROW(INDIRECT("1:"&amp;K$2)))=0,ROW(INDIRECT("1:"&amp;K$2))),ROW($A170)),"")</f>
        <v>207</v>
      </c>
      <c r="AT213" s="117"/>
      <c r="AU213" s="117">
        <f t="array" aca="1" ref="AU213" ca="1">IFERROR(SMALL(IF(COUNTIF(Podcasts!$D$479:'Podcasts'!$D$488,ROW(INDIRECT("1:"&amp;K$2)))=0,ROW(INDIRECT("1:"&amp;K$2))),ROW($A170)),"")</f>
        <v>174</v>
      </c>
      <c r="AV213" s="117">
        <f t="array" aca="1" ref="AV213" ca="1">IFERROR(SMALL(IF(COUNTIF(Podcasts!$D$494:'Podcasts'!$D$518,ROW(INDIRECT("1:"&amp;K$2)))=0,ROW(INDIRECT("1:"&amp;K$2))),ROW($A170)),"")</f>
        <v>195</v>
      </c>
      <c r="AW213" s="117">
        <f t="array" aca="1" ref="AW213" ca="1">IFERROR(SMALL(IF(COUNTIF(Podcasts!$D$524:'Podcasts'!$D$532,ROW(INDIRECT("1:"&amp;K$2)))=0,ROW(INDIRECT("1:"&amp;K$2))),ROW($A170)),"")</f>
        <v>171</v>
      </c>
      <c r="AX213" s="117"/>
      <c r="AY213" s="117" t="str">
        <f t="array" aca="1" ref="AY213" ca="1">IFERROR(SMALL(IF(COUNTIF(Podcasts!$D$915:'Podcasts'!$D$981,ROW(INDIRECT("1:"&amp;K$2)))=0,ROW(INDIRECT("1:"&amp;K$2))),ROW($A170)),"")</f>
        <v/>
      </c>
      <c r="AZ213" s="445"/>
      <c r="BA213" s="117" t="str">
        <f t="array" aca="1" ref="BA213" ca="1">IFERROR(SMALL(IF(COUNTIF(Podcasts!$D$1001:'Podcasts'!$D$1251,ROW(INDIRECT("1:"&amp;K$2)))=0,ROW(INDIRECT("1:"&amp;K$2))),ROW($A170)),"")</f>
        <v/>
      </c>
      <c r="BB213" s="117">
        <f t="array" aca="1" ref="BB213" ca="1">IFERROR(SMALL(IF(COUNTIF(Podcasts!$D$1257:'Podcasts'!$D$1267,ROW(INDIRECT("1:"&amp;K$2)))=0,ROW(INDIRECT("1:"&amp;K$2))),ROW($A170)),"")</f>
        <v>176</v>
      </c>
      <c r="BC213" s="117">
        <f t="array" aca="1" ref="BC213" ca="1">IFERROR(SMALL(IF(COUNTIF(Podcasts!$D$1273:'Podcasts'!$D$1283,ROW(INDIRECT("1:"&amp;K$2)))=0,ROW(INDIRECT("1:"&amp;K$2))),ROW($A170)),"")</f>
        <v>176</v>
      </c>
      <c r="BD213" s="117">
        <f t="array" aca="1" ref="BD213" ca="1">IFERROR(SMALL(IF(COUNTIF(Podcasts!$D$1289:'Podcasts'!$D$1295,ROW(INDIRECT("1:"&amp;K$2)))=0,ROW(INDIRECT("1:"&amp;K$2))),ROW($A170)),"")</f>
        <v>176</v>
      </c>
      <c r="BE213" s="117">
        <f t="array" aca="1" ref="BE213" ca="1">IFERROR(SMALL(IF(COUNTIF(Podcasts!$D$1301:'Podcasts'!$D$1356,ROW(INDIRECT("1:"&amp;K$2)))=0,ROW(INDIRECT("1:"&amp;K$2))),ROW($A170)),"")</f>
        <v>217</v>
      </c>
      <c r="BF213" s="117">
        <f t="array" aca="1" ref="BF213" ca="1">IFERROR(SMALL(IF(COUNTIF(Podcasts!$D$1362:'Podcasts'!$D$1364,ROW(INDIRECT("1:"&amp;K$2)))=0,ROW(INDIRECT("1:"&amp;K$2))),ROW($A170)),"")</f>
        <v>173</v>
      </c>
      <c r="BG213" s="202">
        <f t="array" aca="1" ref="BG213" ca="1">IFERROR(SMALL(IF(COUNTIF(Podcasts!$D$1370:'Podcasts'!$D$1419,ROW(INDIRECT("1:"&amp;K$2)))=0,ROW(INDIRECT("1:"&amp;K$2))),ROW($A170)),"")</f>
        <v>210</v>
      </c>
      <c r="BH213" s="202">
        <f t="array" aca="1" ref="BH213" ca="1">IFERROR(SMALL(IF(COUNTIF(Podcasts!$D$1425:'Podcasts'!$D$1446,ROW(INDIRECT("1:"&amp;K$2)))=0,ROW(INDIRECT("1:"&amp;K$2))),ROW($A170)),"")</f>
        <v>182</v>
      </c>
      <c r="BI213" s="202"/>
      <c r="BJ213" s="202"/>
      <c r="BK213" s="202"/>
      <c r="BL213" s="202">
        <f t="array" aca="1" ref="BL213" ca="1">IFERROR(SMALL(IF(COUNTIF(Podcasts!$D$1839:'Podcasts'!$D$1855,ROW(INDIRECT("1:"&amp;K$2)))=0,ROW(INDIRECT("1:"&amp;K$2))),ROW($A170)),"")</f>
        <v>179</v>
      </c>
      <c r="BM213" s="567">
        <f t="array" aca="1" ref="BM213" ca="1">IFERROR(SMALL(IF(COUNTIF(Podcasts!$D$1861:'Podcasts'!$D$1994,ROW(INDIRECT("1:"&amp;K$2)))=0,ROW(INDIRECT("1:"&amp;K$2))),ROW($A170)),"")</f>
        <v>225</v>
      </c>
      <c r="BN213" s="567">
        <f t="array" aca="1" ref="BN213" ca="1">IFERROR(SMALL(IF(COUNTIF(Podcasts!$D$2000:'Podcasts'!$D$2057,ROW(INDIRECT("1:"&amp;K$2)))=0,ROW(INDIRECT("1:"&amp;K$2))),ROW($A170)),"")</f>
        <v>225</v>
      </c>
      <c r="BO213" s="567">
        <f t="array" aca="1" ref="BO213" ca="1">IFERROR(SMALL(IF(COUNTIF(Podcasts!$D$2063:'Podcasts'!$D$2071,ROW(INDIRECT("1:"&amp;K$2)))=0,ROW(INDIRECT("1:"&amp;K$2))),ROW($A170)),"")</f>
        <v>178</v>
      </c>
      <c r="BP213" s="202">
        <f t="array" aca="1" ref="BP213" ca="1">IFERROR(SMALL(IF(COUNTIF(Podcasts!$D$2077:'Podcasts'!$D$2092,ROW(INDIRECT("1:"&amp;K$2)))=0,ROW(INDIRECT("1:"&amp;K$2))),ROW($A170)),"")</f>
        <v>181</v>
      </c>
      <c r="BQ213" s="741">
        <f t="array" aca="1" ref="BQ213" ca="1">IFERROR(SMALL(IF(COUNTIF(Podcasts!$D$2098:'Podcasts'!$D$2114,ROW(INDIRECT("1:"&amp;K$2)))=0,ROW(INDIRECT("1:"&amp;K$2))),ROW($A170)),"")</f>
        <v>185</v>
      </c>
      <c r="BR213" s="744">
        <f t="array" aca="1" ref="BR213" ca="1">IFERROR(SMALL(IF(COUNTIF(Podcasts!$D$2120:'Podcasts'!$D$2124,ROW(INDIRECT("1:"&amp;K$2)))=0,ROW(INDIRECT("1:"&amp;K$2))),ROW($A170)),"")</f>
        <v>172</v>
      </c>
      <c r="BS213" s="28"/>
    </row>
    <row r="214" spans="1:71" outlineLevel="1">
      <c r="A214" s="28"/>
      <c r="B214" s="161">
        <v>171</v>
      </c>
      <c r="C214" s="161">
        <f>COUNTIF(Podcasts!$D$10:'Podcasts'!$D$2535,B214)</f>
        <v>3</v>
      </c>
      <c r="D214" s="160" t="s">
        <v>1196</v>
      </c>
      <c r="E214" s="156" t="str">
        <f t="array" ref="E214">IF(F214="","",INDEX(Podcasts!$J$10:'Podcasts'!$J$2535,MATCH(F214&amp;$B214,Podcasts!$E$10:'Podcasts'!$E$2535&amp;Podcasts!$D$10:'Podcasts'!$D$2535,0)))</f>
        <v>Ohr</v>
      </c>
      <c r="F214" s="131">
        <f t="array" ref="F214">IF(COUNTIF(Podcasts!$D$10:'Podcasts'!$D$2535,$B214)&lt;COLUMN(A177),"",SMALL(IF(Podcasts!$D$10:'Podcasts'!$D$2535=$B214,Podcasts!$E$10:'Podcasts'!$E$2535),COLUMN(A177)))</f>
        <v>41945</v>
      </c>
      <c r="G214" s="132">
        <f t="array" ref="G214">IF(F214="","",INDEX(Podcasts!$F$10:'Podcasts'!$F$2535,MATCH(F214&amp;$B214,Podcasts!$E$10:'Podcasts'!$E$2535&amp;Podcasts!$D$10:'Podcasts'!$D$2535,0)))</f>
        <v>1.5277777777777779E-3</v>
      </c>
      <c r="H214" s="136" t="str">
        <f t="array" ref="H214">IF(I214="","",INDEX(Podcasts!$J$10:'Podcasts'!$J$2535,MATCH(I214&amp;$B214,Podcasts!$E$10:'Podcasts'!$E$2535&amp;Podcasts!$D$10:'Podcasts'!$D$2535,0)))</f>
        <v>Kaffee</v>
      </c>
      <c r="I214" s="133">
        <f t="array" ref="I214">IF(COUNTIF(Podcasts!$D$10:'Podcasts'!$D$2535,$B214)&lt;COLUMN(B177),"",SMALL(IF(Podcasts!$D$10:'Podcasts'!$D$2535=$B214,Podcasts!$E$10:'Podcasts'!$E$2535),COLUMN(B177)))</f>
        <v>44337</v>
      </c>
      <c r="J214" s="132">
        <f t="array" ref="J214">IF(I214="","",INDEX(Podcasts!$F$10:'Podcasts'!$F$2535,MATCH(I214&amp;$B214,Podcasts!$E$10:'Podcasts'!$E$2535&amp;Podcasts!$D$10:'Podcasts'!$D$2535,0)))</f>
        <v>2.8877314814814817E-2</v>
      </c>
      <c r="K214" s="136" t="str">
        <f t="array" ref="K214">IF(L214="","",INDEX(Podcasts!$J$10:'Podcasts'!$J$2535,MATCH(L214&amp;$B214,Podcasts!$E$10:'Podcasts'!$E$2535&amp;Podcasts!$D$10:'Podcasts'!$D$2535,0)))</f>
        <v>Zeichen</v>
      </c>
      <c r="L214" s="133">
        <f t="array" ref="L214">IF(COUNTIF(Podcasts!$D$10:'Podcasts'!$D$2535,$B214)&lt;COLUMN(C177),"",SMALL(IF(Podcasts!$D$10:'Podcasts'!$D$2535=$B214,Podcasts!$E$10:'Podcasts'!$E$2535),COLUMN(C177)))</f>
        <v>44710</v>
      </c>
      <c r="M214" s="132">
        <f t="array" ref="M214">IF(L214="","",INDEX(Podcasts!$F$10:'Podcasts'!$F$2535,MATCH(L214&amp;$B214,Podcasts!$E$10:'Podcasts'!$E$2535&amp;Podcasts!$D$10:'Podcasts'!$D$2535,0)))</f>
        <v>7.6504629629629631E-2</v>
      </c>
      <c r="N214" s="136" t="str">
        <f t="array" ref="N214">IF(O214="","",INDEX(Podcasts!$J$10:'Podcasts'!$J$2535,MATCH(O214&amp;$B214,Podcasts!$E$10:'Podcasts'!$E$2535&amp;Podcasts!$D$10:'Podcasts'!$D$2535,0)))</f>
        <v/>
      </c>
      <c r="O214" s="133" t="str">
        <f t="array" ref="O214">IF(COUNTIF(Podcasts!$D$10:'Podcasts'!$D$2535,$B214)&lt;COLUMN(D177),"",SMALL(IF(Podcasts!$D$10:'Podcasts'!$D$2535=$B214,Podcasts!$E$10:'Podcasts'!$E$2535),COLUMN(D177)))</f>
        <v/>
      </c>
      <c r="P214" s="132" t="str">
        <f t="array" ref="P214">IF(O214="","",INDEX(Podcasts!$F$10:'Podcasts'!$F$2535,MATCH(O214&amp;$B214,Podcasts!$E$10:'Podcasts'!$E$2535&amp;Podcasts!$D$10:'Podcasts'!$D$2535,0)))</f>
        <v/>
      </c>
      <c r="Q214" s="136" t="str">
        <f t="array" ref="Q214">IF(R214="","",INDEX(Podcasts!$J$10:'Podcasts'!$J$2535,MATCH(R214&amp;$B214,Podcasts!$E$10:'Podcasts'!$E$2535&amp;Podcasts!$D$10:'Podcasts'!$D$2535,0)))</f>
        <v/>
      </c>
      <c r="R214" s="133" t="str">
        <f t="array" ref="R214">IF(COUNTIF(Podcasts!$D$10:'Podcasts'!$D$2535,$B214)&lt;COLUMN(E177),"",SMALL(IF(Podcasts!$D$10:'Podcasts'!$D$2535=$B214,Podcasts!$E$10:'Podcasts'!$E$2535),COLUMN(E177)))</f>
        <v/>
      </c>
      <c r="S214" s="132" t="str">
        <f t="array" ref="S214">IF(R214="","",INDEX(Podcasts!$F$10:'Podcasts'!$F$2535,MATCH(R214&amp;$B214,Podcasts!$E$10:'Podcasts'!$E$2535&amp;Podcasts!$D$10:'Podcasts'!$D$2535,0)))</f>
        <v/>
      </c>
      <c r="T214" s="136" t="str">
        <f t="array" ref="T214">IF(U214="","",INDEX(Podcasts!$J$10:'Podcasts'!$J$2535,MATCH(U214&amp;$B214,Podcasts!$E$10:'Podcasts'!$E$2535&amp;Podcasts!$D$10:'Podcasts'!$D$2535,0)))</f>
        <v/>
      </c>
      <c r="U214" s="133" t="str">
        <f t="array" ref="U214">IF(COUNTIF(Podcasts!$D$10:'Podcasts'!$D$2535,$B214)&lt;COLUMN(F177),"",SMALL(IF(Podcasts!$D$10:'Podcasts'!$D$2535=$B214,Podcasts!$E$10:'Podcasts'!$E$2535),COLUMN(F177)))</f>
        <v/>
      </c>
      <c r="V214" s="132" t="str">
        <f t="array" ref="V214">IF(U214="","",INDEX(Podcasts!$F$10:'Podcasts'!$F$2535,MATCH(U214&amp;$B214,Podcasts!$E$10:'Podcasts'!$E$2535&amp;Podcasts!$D$10:'Podcasts'!$D$2535,0)))</f>
        <v/>
      </c>
      <c r="W214" s="136" t="str">
        <f t="array" ref="W214">IF(X214="","",INDEX(Podcasts!$J$10:'Podcasts'!$J$2535,MATCH(X214&amp;$B214,Podcasts!$E$10:'Podcasts'!$E$2535&amp;Podcasts!$D$10:'Podcasts'!$D$2535,0)))</f>
        <v/>
      </c>
      <c r="X214" s="133" t="str">
        <f t="array" ref="X214">IF(COUNTIF(Podcasts!$D$10:'Podcasts'!$D$2535,$B214)&lt;COLUMN(G177),"",SMALL(IF(Podcasts!$D$10:'Podcasts'!$D$2535=$B214,Podcasts!$E$10:'Podcasts'!$E$2535),COLUMN(G177)))</f>
        <v/>
      </c>
      <c r="Y214" s="132" t="str">
        <f t="array" ref="Y214">IF(X214="","",INDEX(Podcasts!$F$10:'Podcasts'!$F$2535,MATCH(X214&amp;$B214,Podcasts!$E$10:'Podcasts'!$E$2535&amp;Podcasts!$D$10:'Podcasts'!$D$2535,0)))</f>
        <v/>
      </c>
      <c r="Z214" s="136" t="str">
        <f t="array" ref="Z214">IF(AA214="","",INDEX(Podcasts!$J$10:'Podcasts'!$J$2535,MATCH(AA214&amp;$B214,Podcasts!$E$10:'Podcasts'!$E$2535&amp;Podcasts!$D$10:'Podcasts'!$D$2535,0)))</f>
        <v/>
      </c>
      <c r="AA214" s="134" t="str">
        <f t="array" ref="AA214">IF(COUNTIF(Podcasts!$D$10:'Podcasts'!$D$2535,$B214)&lt;COLUMN(H177),"",SMALL(IF(Podcasts!$D$10:'Podcasts'!$D$2535=$B214,Podcasts!$E$10:'Podcasts'!$E$2535),COLUMN(H177)))</f>
        <v/>
      </c>
      <c r="AB214" s="404" t="str">
        <f t="array" ref="AB214">IF(AA214="","",INDEX(Podcasts!$F$10:'Podcasts'!$F$2535,MATCH(AA214&amp;$B214,Podcasts!$E$10:'Podcasts'!$E$2535&amp;Podcasts!$D$10:'Podcasts'!$D$2535,0)))</f>
        <v/>
      </c>
      <c r="AC214" s="406" t="str">
        <f t="array" ref="AC214">IF(AD214="","",INDEX(Podcasts!$J$10:'Podcasts'!$J$2535,MATCH(AD214&amp;$B214,Podcasts!$E$10:'Podcasts'!$E$2535&amp;Podcasts!$D$10:'Podcasts'!$D$2535,0)))</f>
        <v/>
      </c>
      <c r="AD214" s="400" t="str">
        <f t="array" ref="AD214">IF(COUNTIF(Podcasts!$D$10:'Podcasts'!$D$2535,$B214)&lt;COLUMN(I177),"",SMALL(IF(Podcasts!$D$10:'Podcasts'!$D$2535=$B214,Podcasts!$E$10:'Podcasts'!$E$2535),COLUMN(I177)))</f>
        <v/>
      </c>
      <c r="AE214" s="401" t="str">
        <f t="array" ref="AE214">IF(AD214="","",INDEX(Podcasts!$F$10:'Podcasts'!$F$2535,MATCH(AD214&amp;$B214,Podcasts!$E$10:'Podcasts'!$E$2535&amp;Podcasts!$D$10:'Podcasts'!$D$2535,0)))</f>
        <v/>
      </c>
      <c r="AF214" s="406" t="str">
        <f t="array" ref="AF214">IF(AG214="","",INDEX(Podcasts!$J$10:'Podcasts'!$J$2535,MATCH(AG214&amp;$B214,Podcasts!$E$10:'Podcasts'!$E$2535&amp;Podcasts!$D$10:'Podcasts'!$D$2535,0)))</f>
        <v/>
      </c>
      <c r="AG214" s="400" t="str">
        <f t="array" ref="AG214">IF(COUNTIF(Podcasts!$D$10:'Podcasts'!$D$2535,$B214)&lt;COLUMN(J177),"",SMALL(IF(Podcasts!$D$10:'Podcasts'!$D$2535=$B214,Podcasts!$E$10:'Podcasts'!$E$2535),COLUMN(J177)))</f>
        <v/>
      </c>
      <c r="AH214" s="401" t="str">
        <f t="array" ref="AH214">IF(AG214="","",INDEX(Podcasts!$F$10:'Podcasts'!$F$2535,MATCH(AG214&amp;$B214,Podcasts!$E$10:'Podcasts'!$E$2535&amp;Podcasts!$D$10:'Podcasts'!$D$2535,0)))</f>
        <v/>
      </c>
      <c r="AI214" s="406" t="str">
        <f t="array" ref="AI214">IF(AJ214="","",INDEX(Podcasts!$J$10:'Podcasts'!$J$2535,MATCH(AJ214&amp;$B214,Podcasts!$E$10:'Podcasts'!$E$2535&amp;Podcasts!$D$10:'Podcasts'!$D$2535,0)))</f>
        <v/>
      </c>
      <c r="AJ214" s="400" t="str">
        <f t="array" ref="AJ214">IF(COUNTIF(Podcasts!$D$10:'Podcasts'!$D$2535,$B214)&lt;COLUMN(K177),"",SMALL(IF(Podcasts!$D$10:'Podcasts'!$D$2535=$B214,Podcasts!$E$10:'Podcasts'!$E$2535),COLUMN(K177)))</f>
        <v/>
      </c>
      <c r="AK214" s="401" t="str">
        <f t="array" ref="AK214">IF(AJ214="","",INDEX(Podcasts!$F$10:'Podcasts'!$F$2535,MATCH(AJ214&amp;$B214,Podcasts!$E$10:'Podcasts'!$E$2535&amp;Podcasts!$D$10:'Podcasts'!$D$2535,0)))</f>
        <v/>
      </c>
      <c r="AL214" s="406" t="str">
        <f t="array" ref="AL214">IF(AM214="","",INDEX(Podcasts!$J$10:'Podcasts'!$J$2535,MATCH(AM214&amp;$B214,Podcasts!$E$10:'Podcasts'!$E$2535&amp;Podcasts!$D$10:'Podcasts'!$D$2535,0)))</f>
        <v/>
      </c>
      <c r="AM214" s="400" t="str">
        <f t="array" ref="AM214">IF(COUNTIF(Podcasts!$D$10:'Podcasts'!$D$2535,$B214)&lt;COLUMN(L177),"",SMALL(IF(Podcasts!$D$10:'Podcasts'!$D$2535=$B214,Podcasts!$E$10:'Podcasts'!$E$2535),COLUMN(L177)))</f>
        <v/>
      </c>
      <c r="AN214" s="401" t="str">
        <f t="array" ref="AN214">IF(AM214="","",INDEX(Podcasts!$F$10:'Podcasts'!$F$2535,MATCH(AM214&amp;$B214,Podcasts!$E$10:'Podcasts'!$E$2535&amp;Podcasts!$D$10:'Podcasts'!$D$2535,0)))</f>
        <v/>
      </c>
      <c r="AO214" s="402"/>
      <c r="AP214" s="119"/>
      <c r="AQ214" s="117">
        <f t="array" aca="1" ref="AQ214" ca="1">IFERROR(SMALL(IF(COUNTIF(Podcasts!$D$10:'Podcasts'!$D$107,ROW(INDIRECT("1:"&amp;K$2)))=0,ROW(INDIRECT("1:"&amp;K$2))),ROW($A171)),"")</f>
        <v>218</v>
      </c>
      <c r="AR214" s="117"/>
      <c r="AS214" s="117">
        <f t="array" aca="1" ref="AS214" ca="1">IFERROR(SMALL(IF(COUNTIF(Podcasts!$D$244:'Podcasts'!$D$299,ROW(INDIRECT("1:"&amp;K$2)))=0,ROW(INDIRECT("1:"&amp;K$2))),ROW($A171)),"")</f>
        <v>208</v>
      </c>
      <c r="AT214" s="117"/>
      <c r="AU214" s="117">
        <f t="array" aca="1" ref="AU214" ca="1">IFERROR(SMALL(IF(COUNTIF(Podcasts!$D$479:'Podcasts'!$D$488,ROW(INDIRECT("1:"&amp;K$2)))=0,ROW(INDIRECT("1:"&amp;K$2))),ROW($A171)),"")</f>
        <v>175</v>
      </c>
      <c r="AV214" s="117">
        <f t="array" aca="1" ref="AV214" ca="1">IFERROR(SMALL(IF(COUNTIF(Podcasts!$D$494:'Podcasts'!$D$518,ROW(INDIRECT("1:"&amp;K$2)))=0,ROW(INDIRECT("1:"&amp;K$2))),ROW($A171)),"")</f>
        <v>196</v>
      </c>
      <c r="AW214" s="117">
        <f t="array" aca="1" ref="AW214" ca="1">IFERROR(SMALL(IF(COUNTIF(Podcasts!$D$524:'Podcasts'!$D$532,ROW(INDIRECT("1:"&amp;K$2)))=0,ROW(INDIRECT("1:"&amp;K$2))),ROW($A171)),"")</f>
        <v>172</v>
      </c>
      <c r="AX214" s="117"/>
      <c r="AY214" s="117" t="str">
        <f t="array" aca="1" ref="AY214" ca="1">IFERROR(SMALL(IF(COUNTIF(Podcasts!$D$915:'Podcasts'!$D$981,ROW(INDIRECT("1:"&amp;K$2)))=0,ROW(INDIRECT("1:"&amp;K$2))),ROW($A171)),"")</f>
        <v/>
      </c>
      <c r="AZ214" s="445"/>
      <c r="BA214" s="117" t="str">
        <f t="array" aca="1" ref="BA214" ca="1">IFERROR(SMALL(IF(COUNTIF(Podcasts!$D$1001:'Podcasts'!$D$1251,ROW(INDIRECT("1:"&amp;K$2)))=0,ROW(INDIRECT("1:"&amp;K$2))),ROW($A171)),"")</f>
        <v/>
      </c>
      <c r="BB214" s="117">
        <f t="array" aca="1" ref="BB214" ca="1">IFERROR(SMALL(IF(COUNTIF(Podcasts!$D$1257:'Podcasts'!$D$1267,ROW(INDIRECT("1:"&amp;K$2)))=0,ROW(INDIRECT("1:"&amp;K$2))),ROW($A171)),"")</f>
        <v>177</v>
      </c>
      <c r="BC214" s="117">
        <f t="array" aca="1" ref="BC214" ca="1">IFERROR(SMALL(IF(COUNTIF(Podcasts!$D$1273:'Podcasts'!$D$1283,ROW(INDIRECT("1:"&amp;K$2)))=0,ROW(INDIRECT("1:"&amp;K$2))),ROW($A171)),"")</f>
        <v>177</v>
      </c>
      <c r="BD214" s="117">
        <f t="array" aca="1" ref="BD214" ca="1">IFERROR(SMALL(IF(COUNTIF(Podcasts!$D$1289:'Podcasts'!$D$1295,ROW(INDIRECT("1:"&amp;K$2)))=0,ROW(INDIRECT("1:"&amp;K$2))),ROW($A171)),"")</f>
        <v>177</v>
      </c>
      <c r="BE214" s="117">
        <f t="array" aca="1" ref="BE214" ca="1">IFERROR(SMALL(IF(COUNTIF(Podcasts!$D$1301:'Podcasts'!$D$1356,ROW(INDIRECT("1:"&amp;K$2)))=0,ROW(INDIRECT("1:"&amp;K$2))),ROW($A171)),"")</f>
        <v>218</v>
      </c>
      <c r="BF214" s="117">
        <f t="array" aca="1" ref="BF214" ca="1">IFERROR(SMALL(IF(COUNTIF(Podcasts!$D$1362:'Podcasts'!$D$1364,ROW(INDIRECT("1:"&amp;K$2)))=0,ROW(INDIRECT("1:"&amp;K$2))),ROW($A171)),"")</f>
        <v>174</v>
      </c>
      <c r="BG214" s="202">
        <f t="array" aca="1" ref="BG214" ca="1">IFERROR(SMALL(IF(COUNTIF(Podcasts!$D$1370:'Podcasts'!$D$1419,ROW(INDIRECT("1:"&amp;K$2)))=0,ROW(INDIRECT("1:"&amp;K$2))),ROW($A171)),"")</f>
        <v>211</v>
      </c>
      <c r="BH214" s="202">
        <f t="array" aca="1" ref="BH214" ca="1">IFERROR(SMALL(IF(COUNTIF(Podcasts!$D$1425:'Podcasts'!$D$1446,ROW(INDIRECT("1:"&amp;K$2)))=0,ROW(INDIRECT("1:"&amp;K$2))),ROW($A171)),"")</f>
        <v>183</v>
      </c>
      <c r="BI214" s="202"/>
      <c r="BJ214" s="202"/>
      <c r="BK214" s="202"/>
      <c r="BL214" s="202">
        <f t="array" aca="1" ref="BL214" ca="1">IFERROR(SMALL(IF(COUNTIF(Podcasts!$D$1839:'Podcasts'!$D$1855,ROW(INDIRECT("1:"&amp;K$2)))=0,ROW(INDIRECT("1:"&amp;K$2))),ROW($A171)),"")</f>
        <v>180</v>
      </c>
      <c r="BM214" s="567">
        <f t="array" aca="1" ref="BM214" ca="1">IFERROR(SMALL(IF(COUNTIF(Podcasts!$D$1861:'Podcasts'!$D$1994,ROW(INDIRECT("1:"&amp;K$2)))=0,ROW(INDIRECT("1:"&amp;K$2))),ROW($A171)),"")</f>
        <v>226</v>
      </c>
      <c r="BN214" s="567">
        <f t="array" aca="1" ref="BN214" ca="1">IFERROR(SMALL(IF(COUNTIF(Podcasts!$D$2000:'Podcasts'!$D$2057,ROW(INDIRECT("1:"&amp;K$2)))=0,ROW(INDIRECT("1:"&amp;K$2))),ROW($A171)),"")</f>
        <v>226</v>
      </c>
      <c r="BO214" s="567">
        <f t="array" aca="1" ref="BO214" ca="1">IFERROR(SMALL(IF(COUNTIF(Podcasts!$D$2063:'Podcasts'!$D$2071,ROW(INDIRECT("1:"&amp;K$2)))=0,ROW(INDIRECT("1:"&amp;K$2))),ROW($A171)),"")</f>
        <v>179</v>
      </c>
      <c r="BP214" s="202">
        <f t="array" aca="1" ref="BP214" ca="1">IFERROR(SMALL(IF(COUNTIF(Podcasts!$D$2077:'Podcasts'!$D$2092,ROW(INDIRECT("1:"&amp;K$2)))=0,ROW(INDIRECT("1:"&amp;K$2))),ROW($A171)),"")</f>
        <v>182</v>
      </c>
      <c r="BQ214" s="741">
        <f t="array" aca="1" ref="BQ214" ca="1">IFERROR(SMALL(IF(COUNTIF(Podcasts!$D$2098:'Podcasts'!$D$2114,ROW(INDIRECT("1:"&amp;K$2)))=0,ROW(INDIRECT("1:"&amp;K$2))),ROW($A171)),"")</f>
        <v>186</v>
      </c>
      <c r="BR214" s="744">
        <f t="array" aca="1" ref="BR214" ca="1">IFERROR(SMALL(IF(COUNTIF(Podcasts!$D$2120:'Podcasts'!$D$2124,ROW(INDIRECT("1:"&amp;K$2)))=0,ROW(INDIRECT("1:"&amp;K$2))),ROW($A171)),"")</f>
        <v>173</v>
      </c>
      <c r="BS214" s="28"/>
    </row>
    <row r="215" spans="1:71" outlineLevel="1">
      <c r="A215" s="28"/>
      <c r="B215" s="161">
        <v>172</v>
      </c>
      <c r="C215" s="161">
        <f>COUNTIF(Podcasts!$D$10:'Podcasts'!$D$2535,B215)</f>
        <v>3</v>
      </c>
      <c r="D215" s="160" t="s">
        <v>1197</v>
      </c>
      <c r="E215" s="156" t="str">
        <f t="array" ref="E215">IF(F215="","",INDEX(Podcasts!$J$10:'Podcasts'!$J$2535,MATCH(F215&amp;$B215,Podcasts!$E$10:'Podcasts'!$E$2535&amp;Podcasts!$D$10:'Podcasts'!$D$2535,0)))</f>
        <v>Ohr</v>
      </c>
      <c r="F215" s="131">
        <f t="array" ref="F215">IF(COUNTIF(Podcasts!$D$10:'Podcasts'!$D$2535,$B215)&lt;COLUMN(A178),"",SMALL(IF(Podcasts!$D$10:'Podcasts'!$D$2535=$B215,Podcasts!$E$10:'Podcasts'!$E$2535),COLUMN(A178)))</f>
        <v>41994</v>
      </c>
      <c r="G215" s="132">
        <f t="array" ref="G215">IF(F215="","",INDEX(Podcasts!$F$10:'Podcasts'!$F$2535,MATCH(F215&amp;$B215,Podcasts!$E$10:'Podcasts'!$E$2535&amp;Podcasts!$D$10:'Podcasts'!$D$2535,0)))</f>
        <v>1.8055555555555557E-3</v>
      </c>
      <c r="H215" s="136" t="str">
        <f t="array" ref="H215">IF(I215="","",INDEX(Podcasts!$J$10:'Podcasts'!$J$2535,MATCH(I215&amp;$B215,Podcasts!$E$10:'Podcasts'!$E$2535&amp;Podcasts!$D$10:'Podcasts'!$D$2535,0)))</f>
        <v>Verstärker</v>
      </c>
      <c r="I215" s="133">
        <f t="array" ref="I215">IF(COUNTIF(Podcasts!$D$10:'Podcasts'!$D$2535,$B215)&lt;COLUMN(B178),"",SMALL(IF(Podcasts!$D$10:'Podcasts'!$D$2535=$B215,Podcasts!$E$10:'Podcasts'!$E$2535),COLUMN(B178)))</f>
        <v>44289</v>
      </c>
      <c r="J215" s="132">
        <f t="array" ref="J215">IF(I215="","",INDEX(Podcasts!$F$10:'Podcasts'!$F$2535,MATCH(I215&amp;$B215,Podcasts!$E$10:'Podcasts'!$E$2535&amp;Podcasts!$D$10:'Podcasts'!$D$2535,0)))</f>
        <v>2.6238425925925925E-2</v>
      </c>
      <c r="K215" s="136" t="str">
        <f t="array" ref="K215">IF(L215="","",INDEX(Podcasts!$J$10:'Podcasts'!$J$2535,MATCH(L215&amp;$B215,Podcasts!$E$10:'Podcasts'!$E$2535&amp;Podcasts!$D$10:'Podcasts'!$D$2535,0)))</f>
        <v>Zeichen</v>
      </c>
      <c r="L215" s="133">
        <f t="array" ref="L215">IF(COUNTIF(Podcasts!$D$10:'Podcasts'!$D$2535,$B215)&lt;COLUMN(C178),"",SMALL(IF(Podcasts!$D$10:'Podcasts'!$D$2535=$B215,Podcasts!$E$10:'Podcasts'!$E$2535),COLUMN(C178)))</f>
        <v>44644</v>
      </c>
      <c r="M215" s="132">
        <f t="array" ref="M215">IF(L215="","",INDEX(Podcasts!$F$10:'Podcasts'!$F$2535,MATCH(L215&amp;$B215,Podcasts!$E$10:'Podcasts'!$E$2535&amp;Podcasts!$D$10:'Podcasts'!$D$2535,0)))</f>
        <v>7.9502314814814817E-2</v>
      </c>
      <c r="N215" s="136" t="str">
        <f t="array" ref="N215">IF(O215="","",INDEX(Podcasts!$J$10:'Podcasts'!$J$2535,MATCH(O215&amp;$B215,Podcasts!$E$10:'Podcasts'!$E$2535&amp;Podcasts!$D$10:'Podcasts'!$D$2535,0)))</f>
        <v/>
      </c>
      <c r="O215" s="133" t="str">
        <f t="array" ref="O215">IF(COUNTIF(Podcasts!$D$10:'Podcasts'!$D$2535,$B215)&lt;COLUMN(D178),"",SMALL(IF(Podcasts!$D$10:'Podcasts'!$D$2535=$B215,Podcasts!$E$10:'Podcasts'!$E$2535),COLUMN(D178)))</f>
        <v/>
      </c>
      <c r="P215" s="132" t="str">
        <f t="array" ref="P215">IF(O215="","",INDEX(Podcasts!$F$10:'Podcasts'!$F$2535,MATCH(O215&amp;$B215,Podcasts!$E$10:'Podcasts'!$E$2535&amp;Podcasts!$D$10:'Podcasts'!$D$2535,0)))</f>
        <v/>
      </c>
      <c r="Q215" s="136" t="str">
        <f t="array" ref="Q215">IF(R215="","",INDEX(Podcasts!$J$10:'Podcasts'!$J$2535,MATCH(R215&amp;$B215,Podcasts!$E$10:'Podcasts'!$E$2535&amp;Podcasts!$D$10:'Podcasts'!$D$2535,0)))</f>
        <v/>
      </c>
      <c r="R215" s="133" t="str">
        <f t="array" ref="R215">IF(COUNTIF(Podcasts!$D$10:'Podcasts'!$D$2535,$B215)&lt;COLUMN(E178),"",SMALL(IF(Podcasts!$D$10:'Podcasts'!$D$2535=$B215,Podcasts!$E$10:'Podcasts'!$E$2535),COLUMN(E178)))</f>
        <v/>
      </c>
      <c r="S215" s="132" t="str">
        <f t="array" ref="S215">IF(R215="","",INDEX(Podcasts!$F$10:'Podcasts'!$F$2535,MATCH(R215&amp;$B215,Podcasts!$E$10:'Podcasts'!$E$2535&amp;Podcasts!$D$10:'Podcasts'!$D$2535,0)))</f>
        <v/>
      </c>
      <c r="T215" s="136" t="str">
        <f t="array" ref="T215">IF(U215="","",INDEX(Podcasts!$J$10:'Podcasts'!$J$2535,MATCH(U215&amp;$B215,Podcasts!$E$10:'Podcasts'!$E$2535&amp;Podcasts!$D$10:'Podcasts'!$D$2535,0)))</f>
        <v/>
      </c>
      <c r="U215" s="133" t="str">
        <f t="array" ref="U215">IF(COUNTIF(Podcasts!$D$10:'Podcasts'!$D$2535,$B215)&lt;COLUMN(F178),"",SMALL(IF(Podcasts!$D$10:'Podcasts'!$D$2535=$B215,Podcasts!$E$10:'Podcasts'!$E$2535),COLUMN(F178)))</f>
        <v/>
      </c>
      <c r="V215" s="132" t="str">
        <f t="array" ref="V215">IF(U215="","",INDEX(Podcasts!$F$10:'Podcasts'!$F$2535,MATCH(U215&amp;$B215,Podcasts!$E$10:'Podcasts'!$E$2535&amp;Podcasts!$D$10:'Podcasts'!$D$2535,0)))</f>
        <v/>
      </c>
      <c r="W215" s="136" t="str">
        <f t="array" ref="W215">IF(X215="","",INDEX(Podcasts!$J$10:'Podcasts'!$J$2535,MATCH(X215&amp;$B215,Podcasts!$E$10:'Podcasts'!$E$2535&amp;Podcasts!$D$10:'Podcasts'!$D$2535,0)))</f>
        <v/>
      </c>
      <c r="X215" s="133" t="str">
        <f t="array" ref="X215">IF(COUNTIF(Podcasts!$D$10:'Podcasts'!$D$2535,$B215)&lt;COLUMN(G178),"",SMALL(IF(Podcasts!$D$10:'Podcasts'!$D$2535=$B215,Podcasts!$E$10:'Podcasts'!$E$2535),COLUMN(G178)))</f>
        <v/>
      </c>
      <c r="Y215" s="132" t="str">
        <f t="array" ref="Y215">IF(X215="","",INDEX(Podcasts!$F$10:'Podcasts'!$F$2535,MATCH(X215&amp;$B215,Podcasts!$E$10:'Podcasts'!$E$2535&amp;Podcasts!$D$10:'Podcasts'!$D$2535,0)))</f>
        <v/>
      </c>
      <c r="Z215" s="136" t="str">
        <f t="array" ref="Z215">IF(AA215="","",INDEX(Podcasts!$J$10:'Podcasts'!$J$2535,MATCH(AA215&amp;$B215,Podcasts!$E$10:'Podcasts'!$E$2535&amp;Podcasts!$D$10:'Podcasts'!$D$2535,0)))</f>
        <v/>
      </c>
      <c r="AA215" s="134" t="str">
        <f t="array" ref="AA215">IF(COUNTIF(Podcasts!$D$10:'Podcasts'!$D$2535,$B215)&lt;COLUMN(H178),"",SMALL(IF(Podcasts!$D$10:'Podcasts'!$D$2535=$B215,Podcasts!$E$10:'Podcasts'!$E$2535),COLUMN(H178)))</f>
        <v/>
      </c>
      <c r="AB215" s="404" t="str">
        <f t="array" ref="AB215">IF(AA215="","",INDEX(Podcasts!$F$10:'Podcasts'!$F$2535,MATCH(AA215&amp;$B215,Podcasts!$E$10:'Podcasts'!$E$2535&amp;Podcasts!$D$10:'Podcasts'!$D$2535,0)))</f>
        <v/>
      </c>
      <c r="AC215" s="406" t="str">
        <f t="array" ref="AC215">IF(AD215="","",INDEX(Podcasts!$J$10:'Podcasts'!$J$2535,MATCH(AD215&amp;$B215,Podcasts!$E$10:'Podcasts'!$E$2535&amp;Podcasts!$D$10:'Podcasts'!$D$2535,0)))</f>
        <v/>
      </c>
      <c r="AD215" s="400" t="str">
        <f t="array" ref="AD215">IF(COUNTIF(Podcasts!$D$10:'Podcasts'!$D$2535,$B215)&lt;COLUMN(I178),"",SMALL(IF(Podcasts!$D$10:'Podcasts'!$D$2535=$B215,Podcasts!$E$10:'Podcasts'!$E$2535),COLUMN(I178)))</f>
        <v/>
      </c>
      <c r="AE215" s="401" t="str">
        <f t="array" ref="AE215">IF(AD215="","",INDEX(Podcasts!$F$10:'Podcasts'!$F$2535,MATCH(AD215&amp;$B215,Podcasts!$E$10:'Podcasts'!$E$2535&amp;Podcasts!$D$10:'Podcasts'!$D$2535,0)))</f>
        <v/>
      </c>
      <c r="AF215" s="406" t="str">
        <f t="array" ref="AF215">IF(AG215="","",INDEX(Podcasts!$J$10:'Podcasts'!$J$2535,MATCH(AG215&amp;$B215,Podcasts!$E$10:'Podcasts'!$E$2535&amp;Podcasts!$D$10:'Podcasts'!$D$2535,0)))</f>
        <v/>
      </c>
      <c r="AG215" s="400" t="str">
        <f t="array" ref="AG215">IF(COUNTIF(Podcasts!$D$10:'Podcasts'!$D$2535,$B215)&lt;COLUMN(J178),"",SMALL(IF(Podcasts!$D$10:'Podcasts'!$D$2535=$B215,Podcasts!$E$10:'Podcasts'!$E$2535),COLUMN(J178)))</f>
        <v/>
      </c>
      <c r="AH215" s="401" t="str">
        <f t="array" ref="AH215">IF(AG215="","",INDEX(Podcasts!$F$10:'Podcasts'!$F$2535,MATCH(AG215&amp;$B215,Podcasts!$E$10:'Podcasts'!$E$2535&amp;Podcasts!$D$10:'Podcasts'!$D$2535,0)))</f>
        <v/>
      </c>
      <c r="AI215" s="406" t="str">
        <f t="array" ref="AI215">IF(AJ215="","",INDEX(Podcasts!$J$10:'Podcasts'!$J$2535,MATCH(AJ215&amp;$B215,Podcasts!$E$10:'Podcasts'!$E$2535&amp;Podcasts!$D$10:'Podcasts'!$D$2535,0)))</f>
        <v/>
      </c>
      <c r="AJ215" s="400" t="str">
        <f t="array" ref="AJ215">IF(COUNTIF(Podcasts!$D$10:'Podcasts'!$D$2535,$B215)&lt;COLUMN(K178),"",SMALL(IF(Podcasts!$D$10:'Podcasts'!$D$2535=$B215,Podcasts!$E$10:'Podcasts'!$E$2535),COLUMN(K178)))</f>
        <v/>
      </c>
      <c r="AK215" s="401" t="str">
        <f t="array" ref="AK215">IF(AJ215="","",INDEX(Podcasts!$F$10:'Podcasts'!$F$2535,MATCH(AJ215&amp;$B215,Podcasts!$E$10:'Podcasts'!$E$2535&amp;Podcasts!$D$10:'Podcasts'!$D$2535,0)))</f>
        <v/>
      </c>
      <c r="AL215" s="406" t="str">
        <f t="array" ref="AL215">IF(AM215="","",INDEX(Podcasts!$J$10:'Podcasts'!$J$2535,MATCH(AM215&amp;$B215,Podcasts!$E$10:'Podcasts'!$E$2535&amp;Podcasts!$D$10:'Podcasts'!$D$2535,0)))</f>
        <v/>
      </c>
      <c r="AM215" s="400" t="str">
        <f t="array" ref="AM215">IF(COUNTIF(Podcasts!$D$10:'Podcasts'!$D$2535,$B215)&lt;COLUMN(L178),"",SMALL(IF(Podcasts!$D$10:'Podcasts'!$D$2535=$B215,Podcasts!$E$10:'Podcasts'!$E$2535),COLUMN(L178)))</f>
        <v/>
      </c>
      <c r="AN215" s="401" t="str">
        <f t="array" ref="AN215">IF(AM215="","",INDEX(Podcasts!$F$10:'Podcasts'!$F$2535,MATCH(AM215&amp;$B215,Podcasts!$E$10:'Podcasts'!$E$2535&amp;Podcasts!$D$10:'Podcasts'!$D$2535,0)))</f>
        <v/>
      </c>
      <c r="AO215" s="402"/>
      <c r="AP215" s="119"/>
      <c r="AQ215" s="117">
        <f t="array" aca="1" ref="AQ215" ca="1">IFERROR(SMALL(IF(COUNTIF(Podcasts!$D$10:'Podcasts'!$D$107,ROW(INDIRECT("1:"&amp;K$2)))=0,ROW(INDIRECT("1:"&amp;K$2))),ROW($A172)),"")</f>
        <v>219</v>
      </c>
      <c r="AR215" s="117"/>
      <c r="AS215" s="117">
        <f t="array" aca="1" ref="AS215" ca="1">IFERROR(SMALL(IF(COUNTIF(Podcasts!$D$244:'Podcasts'!$D$299,ROW(INDIRECT("1:"&amp;K$2)))=0,ROW(INDIRECT("1:"&amp;K$2))),ROW($A172)),"")</f>
        <v>209</v>
      </c>
      <c r="AT215" s="117"/>
      <c r="AU215" s="117">
        <f t="array" aca="1" ref="AU215" ca="1">IFERROR(SMALL(IF(COUNTIF(Podcasts!$D$479:'Podcasts'!$D$488,ROW(INDIRECT("1:"&amp;K$2)))=0,ROW(INDIRECT("1:"&amp;K$2))),ROW($A172)),"")</f>
        <v>176</v>
      </c>
      <c r="AV215" s="117">
        <f t="array" aca="1" ref="AV215" ca="1">IFERROR(SMALL(IF(COUNTIF(Podcasts!$D$494:'Podcasts'!$D$518,ROW(INDIRECT("1:"&amp;K$2)))=0,ROW(INDIRECT("1:"&amp;K$2))),ROW($A172)),"")</f>
        <v>197</v>
      </c>
      <c r="AW215" s="117">
        <f t="array" aca="1" ref="AW215" ca="1">IFERROR(SMALL(IF(COUNTIF(Podcasts!$D$524:'Podcasts'!$D$532,ROW(INDIRECT("1:"&amp;K$2)))=0,ROW(INDIRECT("1:"&amp;K$2))),ROW($A172)),"")</f>
        <v>173</v>
      </c>
      <c r="AX215" s="117"/>
      <c r="AY215" s="117" t="str">
        <f t="array" aca="1" ref="AY215" ca="1">IFERROR(SMALL(IF(COUNTIF(Podcasts!$D$915:'Podcasts'!$D$981,ROW(INDIRECT("1:"&amp;K$2)))=0,ROW(INDIRECT("1:"&amp;K$2))),ROW($A172)),"")</f>
        <v/>
      </c>
      <c r="AZ215" s="445"/>
      <c r="BA215" s="117"/>
      <c r="BB215" s="117">
        <f t="array" aca="1" ref="BB215" ca="1">IFERROR(SMALL(IF(COUNTIF(Podcasts!$D$1257:'Podcasts'!$D$1267,ROW(INDIRECT("1:"&amp;K$2)))=0,ROW(INDIRECT("1:"&amp;K$2))),ROW($A172)),"")</f>
        <v>178</v>
      </c>
      <c r="BC215" s="117">
        <f t="array" aca="1" ref="BC215" ca="1">IFERROR(SMALL(IF(COUNTIF(Podcasts!$D$1273:'Podcasts'!$D$1283,ROW(INDIRECT("1:"&amp;K$2)))=0,ROW(INDIRECT("1:"&amp;K$2))),ROW($A172)),"")</f>
        <v>178</v>
      </c>
      <c r="BD215" s="117">
        <f t="array" aca="1" ref="BD215" ca="1">IFERROR(SMALL(IF(COUNTIF(Podcasts!$D$1289:'Podcasts'!$D$1295,ROW(INDIRECT("1:"&amp;K$2)))=0,ROW(INDIRECT("1:"&amp;K$2))),ROW($A172)),"")</f>
        <v>178</v>
      </c>
      <c r="BE215" s="117">
        <f t="array" aca="1" ref="BE215" ca="1">IFERROR(SMALL(IF(COUNTIF(Podcasts!$D$1301:'Podcasts'!$D$1356,ROW(INDIRECT("1:"&amp;K$2)))=0,ROW(INDIRECT("1:"&amp;K$2))),ROW($A172)),"")</f>
        <v>219</v>
      </c>
      <c r="BF215" s="117">
        <f t="array" aca="1" ref="BF215" ca="1">IFERROR(SMALL(IF(COUNTIF(Podcasts!$D$1362:'Podcasts'!$D$1364,ROW(INDIRECT("1:"&amp;K$2)))=0,ROW(INDIRECT("1:"&amp;K$2))),ROW($A172)),"")</f>
        <v>175</v>
      </c>
      <c r="BG215" s="202">
        <f t="array" aca="1" ref="BG215" ca="1">IFERROR(SMALL(IF(COUNTIF(Podcasts!$D$1370:'Podcasts'!$D$1419,ROW(INDIRECT("1:"&amp;K$2)))=0,ROW(INDIRECT("1:"&amp;K$2))),ROW($A172)),"")</f>
        <v>212</v>
      </c>
      <c r="BH215" s="202">
        <f t="array" aca="1" ref="BH215" ca="1">IFERROR(SMALL(IF(COUNTIF(Podcasts!$D$1425:'Podcasts'!$D$1446,ROW(INDIRECT("1:"&amp;K$2)))=0,ROW(INDIRECT("1:"&amp;K$2))),ROW($A172)),"")</f>
        <v>184</v>
      </c>
      <c r="BI215" s="202"/>
      <c r="BJ215" s="202"/>
      <c r="BK215" s="202"/>
      <c r="BL215" s="202">
        <f t="array" aca="1" ref="BL215" ca="1">IFERROR(SMALL(IF(COUNTIF(Podcasts!$D$1839:'Podcasts'!$D$1855,ROW(INDIRECT("1:"&amp;K$2)))=0,ROW(INDIRECT("1:"&amp;K$2))),ROW($A172)),"")</f>
        <v>181</v>
      </c>
      <c r="BM215" s="567" t="str">
        <f t="array" aca="1" ref="BM215" ca="1">IFERROR(SMALL(IF(COUNTIF(Podcasts!$D$1861:'Podcasts'!$D$1994,ROW(INDIRECT("1:"&amp;K$2)))=0,ROW(INDIRECT("1:"&amp;K$2))),ROW($A172)),"")</f>
        <v/>
      </c>
      <c r="BN215" s="567" t="str">
        <f t="array" aca="1" ref="BN215" ca="1">IFERROR(SMALL(IF(COUNTIF(Podcasts!$D$2000:'Podcasts'!$D$2057,ROW(INDIRECT("1:"&amp;K$2)))=0,ROW(INDIRECT("1:"&amp;K$2))),ROW($A172)),"")</f>
        <v/>
      </c>
      <c r="BO215" s="567">
        <f t="array" aca="1" ref="BO215" ca="1">IFERROR(SMALL(IF(COUNTIF(Podcasts!$D$2063:'Podcasts'!$D$2071,ROW(INDIRECT("1:"&amp;K$2)))=0,ROW(INDIRECT("1:"&amp;K$2))),ROW($A172)),"")</f>
        <v>180</v>
      </c>
      <c r="BP215" s="202">
        <f t="array" aca="1" ref="BP215" ca="1">IFERROR(SMALL(IF(COUNTIF(Podcasts!$D$2077:'Podcasts'!$D$2092,ROW(INDIRECT("1:"&amp;K$2)))=0,ROW(INDIRECT("1:"&amp;K$2))),ROW($A172)),"")</f>
        <v>183</v>
      </c>
      <c r="BQ215" s="741">
        <f t="array" aca="1" ref="BQ215" ca="1">IFERROR(SMALL(IF(COUNTIF(Podcasts!$D$2098:'Podcasts'!$D$2114,ROW(INDIRECT("1:"&amp;K$2)))=0,ROW(INDIRECT("1:"&amp;K$2))),ROW($A172)),"")</f>
        <v>187</v>
      </c>
      <c r="BR215" s="744">
        <f t="array" aca="1" ref="BR215" ca="1">IFERROR(SMALL(IF(COUNTIF(Podcasts!$D$2120:'Podcasts'!$D$2124,ROW(INDIRECT("1:"&amp;K$2)))=0,ROW(INDIRECT("1:"&amp;K$2))),ROW($A172)),"")</f>
        <v>174</v>
      </c>
      <c r="BS215" s="28"/>
    </row>
    <row r="216" spans="1:71" outlineLevel="1">
      <c r="A216" s="28"/>
      <c r="B216" s="161">
        <v>173</v>
      </c>
      <c r="C216" s="161">
        <f>COUNTIF(Podcasts!$D$10:'Podcasts'!$D$2535,B216)</f>
        <v>2</v>
      </c>
      <c r="D216" s="160" t="s">
        <v>1198</v>
      </c>
      <c r="E216" s="156" t="str">
        <f t="array" ref="E216">IF(F216="","",INDEX(Podcasts!$J$10:'Podcasts'!$J$2535,MATCH(F216&amp;$B216,Podcasts!$E$10:'Podcasts'!$E$2535&amp;Podcasts!$D$10:'Podcasts'!$D$2535,0)))</f>
        <v>Ohr</v>
      </c>
      <c r="F216" s="131">
        <f t="array" ref="F216">IF(COUNTIF(Podcasts!$D$10:'Podcasts'!$D$2535,$B216)&lt;COLUMN(A179),"",SMALL(IF(Podcasts!$D$10:'Podcasts'!$D$2535=$B216,Podcasts!$E$10:'Podcasts'!$E$2535),COLUMN(A179)))</f>
        <v>42037</v>
      </c>
      <c r="G216" s="132">
        <f t="array" ref="G216">IF(F216="","",INDEX(Podcasts!$F$10:'Podcasts'!$F$2535,MATCH(F216&amp;$B216,Podcasts!$E$10:'Podcasts'!$E$2535&amp;Podcasts!$D$10:'Podcasts'!$D$2535,0)))</f>
        <v>1.5624999999999999E-3</v>
      </c>
      <c r="H216" s="136" t="str">
        <f t="array" ref="H216">IF(I216="","",INDEX(Podcasts!$J$10:'Podcasts'!$J$2535,MATCH(I216&amp;$B216,Podcasts!$E$10:'Podcasts'!$E$2535&amp;Podcasts!$D$10:'Podcasts'!$D$2535,0)))</f>
        <v>R&amp;A</v>
      </c>
      <c r="I216" s="133">
        <f t="array" ref="I216">IF(COUNTIF(Podcasts!$D$10:'Podcasts'!$D$2535,$B216)&lt;COLUMN(B179),"",SMALL(IF(Podcasts!$D$10:'Podcasts'!$D$2535=$B216,Podcasts!$E$10:'Podcasts'!$E$2535),COLUMN(B179)))</f>
        <v>44408.020833333336</v>
      </c>
      <c r="J216" s="132">
        <f t="array" ref="J216">IF(I216="","",INDEX(Podcasts!$F$10:'Podcasts'!$F$2535,MATCH(I216&amp;$B216,Podcasts!$E$10:'Podcasts'!$E$2535&amp;Podcasts!$D$10:'Podcasts'!$D$2535,0)))</f>
        <v>0.10298611111111111</v>
      </c>
      <c r="K216" s="136" t="str">
        <f t="array" ref="K216">IF(L216="","",INDEX(Podcasts!$J$10:'Podcasts'!$J$2535,MATCH(L216&amp;$B216,Podcasts!$E$10:'Podcasts'!$E$2535&amp;Podcasts!$D$10:'Podcasts'!$D$2535,0)))</f>
        <v/>
      </c>
      <c r="L216" s="133" t="str">
        <f t="array" ref="L216">IF(COUNTIF(Podcasts!$D$10:'Podcasts'!$D$2535,$B216)&lt;COLUMN(C179),"",SMALL(IF(Podcasts!$D$10:'Podcasts'!$D$2535=$B216,Podcasts!$E$10:'Podcasts'!$E$2535),COLUMN(C179)))</f>
        <v/>
      </c>
      <c r="M216" s="132" t="str">
        <f t="array" ref="M216">IF(L216="","",INDEX(Podcasts!$F$10:'Podcasts'!$F$2535,MATCH(L216&amp;$B216,Podcasts!$E$10:'Podcasts'!$E$2535&amp;Podcasts!$D$10:'Podcasts'!$D$2535,0)))</f>
        <v/>
      </c>
      <c r="N216" s="136" t="str">
        <f t="array" ref="N216">IF(O216="","",INDEX(Podcasts!$J$10:'Podcasts'!$J$2535,MATCH(O216&amp;$B216,Podcasts!$E$10:'Podcasts'!$E$2535&amp;Podcasts!$D$10:'Podcasts'!$D$2535,0)))</f>
        <v/>
      </c>
      <c r="O216" s="133" t="str">
        <f t="array" ref="O216">IF(COUNTIF(Podcasts!$D$10:'Podcasts'!$D$2535,$B216)&lt;COLUMN(D179),"",SMALL(IF(Podcasts!$D$10:'Podcasts'!$D$2535=$B216,Podcasts!$E$10:'Podcasts'!$E$2535),COLUMN(D179)))</f>
        <v/>
      </c>
      <c r="P216" s="132" t="str">
        <f t="array" ref="P216">IF(O216="","",INDEX(Podcasts!$F$10:'Podcasts'!$F$2535,MATCH(O216&amp;$B216,Podcasts!$E$10:'Podcasts'!$E$2535&amp;Podcasts!$D$10:'Podcasts'!$D$2535,0)))</f>
        <v/>
      </c>
      <c r="Q216" s="136" t="str">
        <f t="array" ref="Q216">IF(R216="","",INDEX(Podcasts!$J$10:'Podcasts'!$J$2535,MATCH(R216&amp;$B216,Podcasts!$E$10:'Podcasts'!$E$2535&amp;Podcasts!$D$10:'Podcasts'!$D$2535,0)))</f>
        <v/>
      </c>
      <c r="R216" s="133" t="str">
        <f t="array" ref="R216">IF(COUNTIF(Podcasts!$D$10:'Podcasts'!$D$2535,$B216)&lt;COLUMN(E179),"",SMALL(IF(Podcasts!$D$10:'Podcasts'!$D$2535=$B216,Podcasts!$E$10:'Podcasts'!$E$2535),COLUMN(E179)))</f>
        <v/>
      </c>
      <c r="S216" s="132" t="str">
        <f t="array" ref="S216">IF(R216="","",INDEX(Podcasts!$F$10:'Podcasts'!$F$2535,MATCH(R216&amp;$B216,Podcasts!$E$10:'Podcasts'!$E$2535&amp;Podcasts!$D$10:'Podcasts'!$D$2535,0)))</f>
        <v/>
      </c>
      <c r="T216" s="136" t="str">
        <f t="array" ref="T216">IF(U216="","",INDEX(Podcasts!$J$10:'Podcasts'!$J$2535,MATCH(U216&amp;$B216,Podcasts!$E$10:'Podcasts'!$E$2535&amp;Podcasts!$D$10:'Podcasts'!$D$2535,0)))</f>
        <v/>
      </c>
      <c r="U216" s="133" t="str">
        <f t="array" ref="U216">IF(COUNTIF(Podcasts!$D$10:'Podcasts'!$D$2535,$B216)&lt;COLUMN(F179),"",SMALL(IF(Podcasts!$D$10:'Podcasts'!$D$2535=$B216,Podcasts!$E$10:'Podcasts'!$E$2535),COLUMN(F179)))</f>
        <v/>
      </c>
      <c r="V216" s="132" t="str">
        <f t="array" ref="V216">IF(U216="","",INDEX(Podcasts!$F$10:'Podcasts'!$F$2535,MATCH(U216&amp;$B216,Podcasts!$E$10:'Podcasts'!$E$2535&amp;Podcasts!$D$10:'Podcasts'!$D$2535,0)))</f>
        <v/>
      </c>
      <c r="W216" s="136" t="str">
        <f t="array" ref="W216">IF(X216="","",INDEX(Podcasts!$J$10:'Podcasts'!$J$2535,MATCH(X216&amp;$B216,Podcasts!$E$10:'Podcasts'!$E$2535&amp;Podcasts!$D$10:'Podcasts'!$D$2535,0)))</f>
        <v/>
      </c>
      <c r="X216" s="133" t="str">
        <f t="array" ref="X216">IF(COUNTIF(Podcasts!$D$10:'Podcasts'!$D$2535,$B216)&lt;COLUMN(G179),"",SMALL(IF(Podcasts!$D$10:'Podcasts'!$D$2535=$B216,Podcasts!$E$10:'Podcasts'!$E$2535),COLUMN(G179)))</f>
        <v/>
      </c>
      <c r="Y216" s="132" t="str">
        <f t="array" ref="Y216">IF(X216="","",INDEX(Podcasts!$F$10:'Podcasts'!$F$2535,MATCH(X216&amp;$B216,Podcasts!$E$10:'Podcasts'!$E$2535&amp;Podcasts!$D$10:'Podcasts'!$D$2535,0)))</f>
        <v/>
      </c>
      <c r="Z216" s="136" t="str">
        <f t="array" ref="Z216">IF(AA216="","",INDEX(Podcasts!$J$10:'Podcasts'!$J$2535,MATCH(AA216&amp;$B216,Podcasts!$E$10:'Podcasts'!$E$2535&amp;Podcasts!$D$10:'Podcasts'!$D$2535,0)))</f>
        <v/>
      </c>
      <c r="AA216" s="134" t="str">
        <f t="array" ref="AA216">IF(COUNTIF(Podcasts!$D$10:'Podcasts'!$D$2535,$B216)&lt;COLUMN(H179),"",SMALL(IF(Podcasts!$D$10:'Podcasts'!$D$2535=$B216,Podcasts!$E$10:'Podcasts'!$E$2535),COLUMN(H179)))</f>
        <v/>
      </c>
      <c r="AB216" s="404" t="str">
        <f t="array" ref="AB216">IF(AA216="","",INDEX(Podcasts!$F$10:'Podcasts'!$F$2535,MATCH(AA216&amp;$B216,Podcasts!$E$10:'Podcasts'!$E$2535&amp;Podcasts!$D$10:'Podcasts'!$D$2535,0)))</f>
        <v/>
      </c>
      <c r="AC216" s="406" t="str">
        <f t="array" ref="AC216">IF(AD216="","",INDEX(Podcasts!$J$10:'Podcasts'!$J$2535,MATCH(AD216&amp;$B216,Podcasts!$E$10:'Podcasts'!$E$2535&amp;Podcasts!$D$10:'Podcasts'!$D$2535,0)))</f>
        <v/>
      </c>
      <c r="AD216" s="400" t="str">
        <f t="array" ref="AD216">IF(COUNTIF(Podcasts!$D$10:'Podcasts'!$D$2535,$B216)&lt;COLUMN(I179),"",SMALL(IF(Podcasts!$D$10:'Podcasts'!$D$2535=$B216,Podcasts!$E$10:'Podcasts'!$E$2535),COLUMN(I179)))</f>
        <v/>
      </c>
      <c r="AE216" s="401" t="str">
        <f t="array" ref="AE216">IF(AD216="","",INDEX(Podcasts!$F$10:'Podcasts'!$F$2535,MATCH(AD216&amp;$B216,Podcasts!$E$10:'Podcasts'!$E$2535&amp;Podcasts!$D$10:'Podcasts'!$D$2535,0)))</f>
        <v/>
      </c>
      <c r="AF216" s="406" t="str">
        <f t="array" ref="AF216">IF(AG216="","",INDEX(Podcasts!$J$10:'Podcasts'!$J$2535,MATCH(AG216&amp;$B216,Podcasts!$E$10:'Podcasts'!$E$2535&amp;Podcasts!$D$10:'Podcasts'!$D$2535,0)))</f>
        <v/>
      </c>
      <c r="AG216" s="400" t="str">
        <f t="array" ref="AG216">IF(COUNTIF(Podcasts!$D$10:'Podcasts'!$D$2535,$B216)&lt;COLUMN(J179),"",SMALL(IF(Podcasts!$D$10:'Podcasts'!$D$2535=$B216,Podcasts!$E$10:'Podcasts'!$E$2535),COLUMN(J179)))</f>
        <v/>
      </c>
      <c r="AH216" s="401" t="str">
        <f t="array" ref="AH216">IF(AG216="","",INDEX(Podcasts!$F$10:'Podcasts'!$F$2535,MATCH(AG216&amp;$B216,Podcasts!$E$10:'Podcasts'!$E$2535&amp;Podcasts!$D$10:'Podcasts'!$D$2535,0)))</f>
        <v/>
      </c>
      <c r="AI216" s="406" t="str">
        <f t="array" ref="AI216">IF(AJ216="","",INDEX(Podcasts!$J$10:'Podcasts'!$J$2535,MATCH(AJ216&amp;$B216,Podcasts!$E$10:'Podcasts'!$E$2535&amp;Podcasts!$D$10:'Podcasts'!$D$2535,0)))</f>
        <v/>
      </c>
      <c r="AJ216" s="400" t="str">
        <f t="array" ref="AJ216">IF(COUNTIF(Podcasts!$D$10:'Podcasts'!$D$2535,$B216)&lt;COLUMN(K179),"",SMALL(IF(Podcasts!$D$10:'Podcasts'!$D$2535=$B216,Podcasts!$E$10:'Podcasts'!$E$2535),COLUMN(K179)))</f>
        <v/>
      </c>
      <c r="AK216" s="401" t="str">
        <f t="array" ref="AK216">IF(AJ216="","",INDEX(Podcasts!$F$10:'Podcasts'!$F$2535,MATCH(AJ216&amp;$B216,Podcasts!$E$10:'Podcasts'!$E$2535&amp;Podcasts!$D$10:'Podcasts'!$D$2535,0)))</f>
        <v/>
      </c>
      <c r="AL216" s="406" t="str">
        <f t="array" ref="AL216">IF(AM216="","",INDEX(Podcasts!$J$10:'Podcasts'!$J$2535,MATCH(AM216&amp;$B216,Podcasts!$E$10:'Podcasts'!$E$2535&amp;Podcasts!$D$10:'Podcasts'!$D$2535,0)))</f>
        <v/>
      </c>
      <c r="AM216" s="400" t="str">
        <f t="array" ref="AM216">IF(COUNTIF(Podcasts!$D$10:'Podcasts'!$D$2535,$B216)&lt;COLUMN(L179),"",SMALL(IF(Podcasts!$D$10:'Podcasts'!$D$2535=$B216,Podcasts!$E$10:'Podcasts'!$E$2535),COLUMN(L179)))</f>
        <v/>
      </c>
      <c r="AN216" s="401" t="str">
        <f t="array" ref="AN216">IF(AM216="","",INDEX(Podcasts!$F$10:'Podcasts'!$F$2535,MATCH(AM216&amp;$B216,Podcasts!$E$10:'Podcasts'!$E$2535&amp;Podcasts!$D$10:'Podcasts'!$D$2535,0)))</f>
        <v/>
      </c>
      <c r="AO216" s="402"/>
      <c r="AP216" s="119"/>
      <c r="AQ216" s="117">
        <f t="array" aca="1" ref="AQ216" ca="1">IFERROR(SMALL(IF(COUNTIF(Podcasts!$D$10:'Podcasts'!$D$107,ROW(INDIRECT("1:"&amp;K$2)))=0,ROW(INDIRECT("1:"&amp;K$2))),ROW($A173)),"")</f>
        <v>220</v>
      </c>
      <c r="AR216" s="117"/>
      <c r="AS216" s="117">
        <f t="array" aca="1" ref="AS216" ca="1">IFERROR(SMALL(IF(COUNTIF(Podcasts!$D$244:'Podcasts'!$D$299,ROW(INDIRECT("1:"&amp;K$2)))=0,ROW(INDIRECT("1:"&amp;K$2))),ROW($A173)),"")</f>
        <v>210</v>
      </c>
      <c r="AT216" s="117"/>
      <c r="AU216" s="117">
        <f t="array" aca="1" ref="AU216" ca="1">IFERROR(SMALL(IF(COUNTIF(Podcasts!$D$479:'Podcasts'!$D$488,ROW(INDIRECT("1:"&amp;K$2)))=0,ROW(INDIRECT("1:"&amp;K$2))),ROW($A173)),"")</f>
        <v>177</v>
      </c>
      <c r="AV216" s="117">
        <f t="array" aca="1" ref="AV216" ca="1">IFERROR(SMALL(IF(COUNTIF(Podcasts!$D$494:'Podcasts'!$D$518,ROW(INDIRECT("1:"&amp;K$2)))=0,ROW(INDIRECT("1:"&amp;K$2))),ROW($A173)),"")</f>
        <v>198</v>
      </c>
      <c r="AW216" s="117">
        <f t="array" aca="1" ref="AW216" ca="1">IFERROR(SMALL(IF(COUNTIF(Podcasts!$D$524:'Podcasts'!$D$532,ROW(INDIRECT("1:"&amp;K$2)))=0,ROW(INDIRECT("1:"&amp;K$2))),ROW($A173)),"")</f>
        <v>174</v>
      </c>
      <c r="AX216" s="117"/>
      <c r="AY216" s="117" t="str">
        <f t="array" aca="1" ref="AY216" ca="1">IFERROR(SMALL(IF(COUNTIF(Podcasts!$D$915:'Podcasts'!$D$981,ROW(INDIRECT("1:"&amp;K$2)))=0,ROW(INDIRECT("1:"&amp;K$2))),ROW($A173)),"")</f>
        <v/>
      </c>
      <c r="AZ216" s="445"/>
      <c r="BA216" s="117"/>
      <c r="BB216" s="117">
        <f t="array" aca="1" ref="BB216" ca="1">IFERROR(SMALL(IF(COUNTIF(Podcasts!$D$1257:'Podcasts'!$D$1267,ROW(INDIRECT("1:"&amp;K$2)))=0,ROW(INDIRECT("1:"&amp;K$2))),ROW($A173)),"")</f>
        <v>179</v>
      </c>
      <c r="BC216" s="117">
        <f t="array" aca="1" ref="BC216" ca="1">IFERROR(SMALL(IF(COUNTIF(Podcasts!$D$1273:'Podcasts'!$D$1283,ROW(INDIRECT("1:"&amp;K$2)))=0,ROW(INDIRECT("1:"&amp;K$2))),ROW($A173)),"")</f>
        <v>179</v>
      </c>
      <c r="BD216" s="117">
        <f t="array" aca="1" ref="BD216" ca="1">IFERROR(SMALL(IF(COUNTIF(Podcasts!$D$1289:'Podcasts'!$D$1295,ROW(INDIRECT("1:"&amp;K$2)))=0,ROW(INDIRECT("1:"&amp;K$2))),ROW($A173)),"")</f>
        <v>179</v>
      </c>
      <c r="BE216" s="117">
        <f t="array" aca="1" ref="BE216" ca="1">IFERROR(SMALL(IF(COUNTIF(Podcasts!$D$1301:'Podcasts'!$D$1356,ROW(INDIRECT("1:"&amp;K$2)))=0,ROW(INDIRECT("1:"&amp;K$2))),ROW($A173)),"")</f>
        <v>220</v>
      </c>
      <c r="BF216" s="117">
        <f t="array" aca="1" ref="BF216" ca="1">IFERROR(SMALL(IF(COUNTIF(Podcasts!$D$1362:'Podcasts'!$D$1364,ROW(INDIRECT("1:"&amp;K$2)))=0,ROW(INDIRECT("1:"&amp;K$2))),ROW($A173)),"")</f>
        <v>176</v>
      </c>
      <c r="BG216" s="202">
        <f t="array" aca="1" ref="BG216" ca="1">IFERROR(SMALL(IF(COUNTIF(Podcasts!$D$1370:'Podcasts'!$D$1419,ROW(INDIRECT("1:"&amp;K$2)))=0,ROW(INDIRECT("1:"&amp;K$2))),ROW($A173)),"")</f>
        <v>213</v>
      </c>
      <c r="BH216" s="202">
        <f t="array" aca="1" ref="BH216" ca="1">IFERROR(SMALL(IF(COUNTIF(Podcasts!$D$1425:'Podcasts'!$D$1446,ROW(INDIRECT("1:"&amp;K$2)))=0,ROW(INDIRECT("1:"&amp;K$2))),ROW($A173)),"")</f>
        <v>185</v>
      </c>
      <c r="BI216" s="202"/>
      <c r="BJ216" s="202"/>
      <c r="BK216" s="202"/>
      <c r="BL216" s="202">
        <f t="array" aca="1" ref="BL216" ca="1">IFERROR(SMALL(IF(COUNTIF(Podcasts!$D$1839:'Podcasts'!$D$1855,ROW(INDIRECT("1:"&amp;K$2)))=0,ROW(INDIRECT("1:"&amp;K$2))),ROW($A173)),"")</f>
        <v>182</v>
      </c>
      <c r="BM216" s="567" t="str">
        <f t="array" aca="1" ref="BM216" ca="1">IFERROR(SMALL(IF(COUNTIF(Podcasts!$D$1861:'Podcasts'!$D$1994,ROW(INDIRECT("1:"&amp;K$2)))=0,ROW(INDIRECT("1:"&amp;K$2))),ROW($A173)),"")</f>
        <v/>
      </c>
      <c r="BN216" s="567" t="str">
        <f t="array" aca="1" ref="BN216" ca="1">IFERROR(SMALL(IF(COUNTIF(Podcasts!$D$2000:'Podcasts'!$D$2057,ROW(INDIRECT("1:"&amp;K$2)))=0,ROW(INDIRECT("1:"&amp;K$2))),ROW($A173)),"")</f>
        <v/>
      </c>
      <c r="BO216" s="567">
        <f t="array" aca="1" ref="BO216" ca="1">IFERROR(SMALL(IF(COUNTIF(Podcasts!$D$2063:'Podcasts'!$D$2071,ROW(INDIRECT("1:"&amp;K$2)))=0,ROW(INDIRECT("1:"&amp;K$2))),ROW($A173)),"")</f>
        <v>181</v>
      </c>
      <c r="BP216" s="202">
        <f t="array" aca="1" ref="BP216" ca="1">IFERROR(SMALL(IF(COUNTIF(Podcasts!$D$2077:'Podcasts'!$D$2092,ROW(INDIRECT("1:"&amp;K$2)))=0,ROW(INDIRECT("1:"&amp;K$2))),ROW($A173)),"")</f>
        <v>184</v>
      </c>
      <c r="BQ216" s="741">
        <f t="array" aca="1" ref="BQ216" ca="1">IFERROR(SMALL(IF(COUNTIF(Podcasts!$D$2098:'Podcasts'!$D$2114,ROW(INDIRECT("1:"&amp;K$2)))=0,ROW(INDIRECT("1:"&amp;K$2))),ROW($A173)),"")</f>
        <v>188</v>
      </c>
      <c r="BR216" s="744">
        <f t="array" aca="1" ref="BR216" ca="1">IFERROR(SMALL(IF(COUNTIF(Podcasts!$D$2120:'Podcasts'!$D$2124,ROW(INDIRECT("1:"&amp;K$2)))=0,ROW(INDIRECT("1:"&amp;K$2))),ROW($A173)),"")</f>
        <v>175</v>
      </c>
      <c r="BS216" s="28"/>
    </row>
    <row r="217" spans="1:71" outlineLevel="1">
      <c r="A217" s="28"/>
      <c r="B217" s="161">
        <v>174</v>
      </c>
      <c r="C217" s="161">
        <f>COUNTIF(Podcasts!$D$10:'Podcasts'!$D$2535,B217)</f>
        <v>3</v>
      </c>
      <c r="D217" s="160" t="s">
        <v>1199</v>
      </c>
      <c r="E217" s="156" t="str">
        <f t="array" ref="E217">IF(F217="","",INDEX(Podcasts!$J$10:'Podcasts'!$J$2535,MATCH(F217&amp;$B217,Podcasts!$E$10:'Podcasts'!$E$2535&amp;Podcasts!$D$10:'Podcasts'!$D$2535,0)))</f>
        <v>Ohr</v>
      </c>
      <c r="F217" s="131">
        <f t="array" ref="F217">IF(COUNTIF(Podcasts!$D$10:'Podcasts'!$D$2535,$B217)&lt;COLUMN(A180),"",SMALL(IF(Podcasts!$D$10:'Podcasts'!$D$2535=$B217,Podcasts!$E$10:'Podcasts'!$E$2535),COLUMN(A180)))</f>
        <v>42095</v>
      </c>
      <c r="G217" s="132">
        <f t="array" ref="G217">IF(F217="","",INDEX(Podcasts!$F$10:'Podcasts'!$F$2535,MATCH(F217&amp;$B217,Podcasts!$E$10:'Podcasts'!$E$2535&amp;Podcasts!$D$10:'Podcasts'!$D$2535,0)))</f>
        <v>1.712962962962963E-3</v>
      </c>
      <c r="H217" s="136" t="str">
        <f t="array" ref="H217">IF(I217="","",INDEX(Podcasts!$J$10:'Podcasts'!$J$2535,MATCH(I217&amp;$B217,Podcasts!$E$10:'Podcasts'!$E$2535&amp;Podcasts!$D$10:'Podcasts'!$D$2535,0)))</f>
        <v>Zeichen</v>
      </c>
      <c r="I217" s="133">
        <f t="array" ref="I217">IF(COUNTIF(Podcasts!$D$10:'Podcasts'!$D$2535,$B217)&lt;COLUMN(B180),"",SMALL(IF(Podcasts!$D$10:'Podcasts'!$D$2535=$B217,Podcasts!$E$10:'Podcasts'!$E$2535),COLUMN(B180)))</f>
        <v>44278</v>
      </c>
      <c r="J217" s="132">
        <f t="array" ref="J217">IF(I217="","",INDEX(Podcasts!$F$10:'Podcasts'!$F$2535,MATCH(I217&amp;$B217,Podcasts!$E$10:'Podcasts'!$E$2535&amp;Podcasts!$D$10:'Podcasts'!$D$2535,0)))</f>
        <v>7.2465277777777781E-2</v>
      </c>
      <c r="K217" s="136" t="str">
        <f t="array" ref="K217">IF(L217="","",INDEX(Podcasts!$J$10:'Podcasts'!$J$2535,MATCH(L217&amp;$B217,Podcasts!$E$10:'Podcasts'!$E$2535&amp;Podcasts!$D$10:'Podcasts'!$D$2535,0)))</f>
        <v>Verstärker</v>
      </c>
      <c r="L217" s="133">
        <f t="array" ref="L217">IF(COUNTIF(Podcasts!$D$10:'Podcasts'!$D$2535,$B217)&lt;COLUMN(C180),"",SMALL(IF(Podcasts!$D$10:'Podcasts'!$D$2535=$B217,Podcasts!$E$10:'Podcasts'!$E$2535),COLUMN(C180)))</f>
        <v>44623</v>
      </c>
      <c r="M217" s="132">
        <f t="array" ref="M217">IF(L217="","",INDEX(Podcasts!$F$10:'Podcasts'!$F$2535,MATCH(L217&amp;$B217,Podcasts!$E$10:'Podcasts'!$E$2535&amp;Podcasts!$D$10:'Podcasts'!$D$2535,0)))</f>
        <v>1.4780092592592595E-2</v>
      </c>
      <c r="N217" s="136" t="str">
        <f t="array" ref="N217">IF(O217="","",INDEX(Podcasts!$J$10:'Podcasts'!$J$2535,MATCH(O217&amp;$B217,Podcasts!$E$10:'Podcasts'!$E$2535&amp;Podcasts!$D$10:'Podcasts'!$D$2535,0)))</f>
        <v/>
      </c>
      <c r="O217" s="133" t="str">
        <f t="array" ref="O217">IF(COUNTIF(Podcasts!$D$10:'Podcasts'!$D$2535,$B217)&lt;COLUMN(D180),"",SMALL(IF(Podcasts!$D$10:'Podcasts'!$D$2535=$B217,Podcasts!$E$10:'Podcasts'!$E$2535),COLUMN(D180)))</f>
        <v/>
      </c>
      <c r="P217" s="132" t="str">
        <f t="array" ref="P217">IF(O217="","",INDEX(Podcasts!$F$10:'Podcasts'!$F$2535,MATCH(O217&amp;$B217,Podcasts!$E$10:'Podcasts'!$E$2535&amp;Podcasts!$D$10:'Podcasts'!$D$2535,0)))</f>
        <v/>
      </c>
      <c r="Q217" s="136" t="str">
        <f t="array" ref="Q217">IF(R217="","",INDEX(Podcasts!$J$10:'Podcasts'!$J$2535,MATCH(R217&amp;$B217,Podcasts!$E$10:'Podcasts'!$E$2535&amp;Podcasts!$D$10:'Podcasts'!$D$2535,0)))</f>
        <v/>
      </c>
      <c r="R217" s="133" t="str">
        <f t="array" ref="R217">IF(COUNTIF(Podcasts!$D$10:'Podcasts'!$D$2535,$B217)&lt;COLUMN(E180),"",SMALL(IF(Podcasts!$D$10:'Podcasts'!$D$2535=$B217,Podcasts!$E$10:'Podcasts'!$E$2535),COLUMN(E180)))</f>
        <v/>
      </c>
      <c r="S217" s="132" t="str">
        <f t="array" ref="S217">IF(R217="","",INDEX(Podcasts!$F$10:'Podcasts'!$F$2535,MATCH(R217&amp;$B217,Podcasts!$E$10:'Podcasts'!$E$2535&amp;Podcasts!$D$10:'Podcasts'!$D$2535,0)))</f>
        <v/>
      </c>
      <c r="T217" s="136" t="str">
        <f t="array" ref="T217">IF(U217="","",INDEX(Podcasts!$J$10:'Podcasts'!$J$2535,MATCH(U217&amp;$B217,Podcasts!$E$10:'Podcasts'!$E$2535&amp;Podcasts!$D$10:'Podcasts'!$D$2535,0)))</f>
        <v/>
      </c>
      <c r="U217" s="133" t="str">
        <f t="array" ref="U217">IF(COUNTIF(Podcasts!$D$10:'Podcasts'!$D$2535,$B217)&lt;COLUMN(F180),"",SMALL(IF(Podcasts!$D$10:'Podcasts'!$D$2535=$B217,Podcasts!$E$10:'Podcasts'!$E$2535),COLUMN(F180)))</f>
        <v/>
      </c>
      <c r="V217" s="132" t="str">
        <f t="array" ref="V217">IF(U217="","",INDEX(Podcasts!$F$10:'Podcasts'!$F$2535,MATCH(U217&amp;$B217,Podcasts!$E$10:'Podcasts'!$E$2535&amp;Podcasts!$D$10:'Podcasts'!$D$2535,0)))</f>
        <v/>
      </c>
      <c r="W217" s="136" t="str">
        <f t="array" ref="W217">IF(X217="","",INDEX(Podcasts!$J$10:'Podcasts'!$J$2535,MATCH(X217&amp;$B217,Podcasts!$E$10:'Podcasts'!$E$2535&amp;Podcasts!$D$10:'Podcasts'!$D$2535,0)))</f>
        <v/>
      </c>
      <c r="X217" s="133" t="str">
        <f t="array" ref="X217">IF(COUNTIF(Podcasts!$D$10:'Podcasts'!$D$2535,$B217)&lt;COLUMN(G180),"",SMALL(IF(Podcasts!$D$10:'Podcasts'!$D$2535=$B217,Podcasts!$E$10:'Podcasts'!$E$2535),COLUMN(G180)))</f>
        <v/>
      </c>
      <c r="Y217" s="132" t="str">
        <f t="array" ref="Y217">IF(X217="","",INDEX(Podcasts!$F$10:'Podcasts'!$F$2535,MATCH(X217&amp;$B217,Podcasts!$E$10:'Podcasts'!$E$2535&amp;Podcasts!$D$10:'Podcasts'!$D$2535,0)))</f>
        <v/>
      </c>
      <c r="Z217" s="136" t="str">
        <f t="array" ref="Z217">IF(AA217="","",INDEX(Podcasts!$J$10:'Podcasts'!$J$2535,MATCH(AA217&amp;$B217,Podcasts!$E$10:'Podcasts'!$E$2535&amp;Podcasts!$D$10:'Podcasts'!$D$2535,0)))</f>
        <v/>
      </c>
      <c r="AA217" s="134" t="str">
        <f t="array" ref="AA217">IF(COUNTIF(Podcasts!$D$10:'Podcasts'!$D$2535,$B217)&lt;COLUMN(H180),"",SMALL(IF(Podcasts!$D$10:'Podcasts'!$D$2535=$B217,Podcasts!$E$10:'Podcasts'!$E$2535),COLUMN(H180)))</f>
        <v/>
      </c>
      <c r="AB217" s="404" t="str">
        <f t="array" ref="AB217">IF(AA217="","",INDEX(Podcasts!$F$10:'Podcasts'!$F$2535,MATCH(AA217&amp;$B217,Podcasts!$E$10:'Podcasts'!$E$2535&amp;Podcasts!$D$10:'Podcasts'!$D$2535,0)))</f>
        <v/>
      </c>
      <c r="AC217" s="406" t="str">
        <f t="array" ref="AC217">IF(AD217="","",INDEX(Podcasts!$J$10:'Podcasts'!$J$2535,MATCH(AD217&amp;$B217,Podcasts!$E$10:'Podcasts'!$E$2535&amp;Podcasts!$D$10:'Podcasts'!$D$2535,0)))</f>
        <v/>
      </c>
      <c r="AD217" s="400" t="str">
        <f t="array" ref="AD217">IF(COUNTIF(Podcasts!$D$10:'Podcasts'!$D$2535,$B217)&lt;COLUMN(I180),"",SMALL(IF(Podcasts!$D$10:'Podcasts'!$D$2535=$B217,Podcasts!$E$10:'Podcasts'!$E$2535),COLUMN(I180)))</f>
        <v/>
      </c>
      <c r="AE217" s="401" t="str">
        <f t="array" ref="AE217">IF(AD217="","",INDEX(Podcasts!$F$10:'Podcasts'!$F$2535,MATCH(AD217&amp;$B217,Podcasts!$E$10:'Podcasts'!$E$2535&amp;Podcasts!$D$10:'Podcasts'!$D$2535,0)))</f>
        <v/>
      </c>
      <c r="AF217" s="406" t="str">
        <f t="array" ref="AF217">IF(AG217="","",INDEX(Podcasts!$J$10:'Podcasts'!$J$2535,MATCH(AG217&amp;$B217,Podcasts!$E$10:'Podcasts'!$E$2535&amp;Podcasts!$D$10:'Podcasts'!$D$2535,0)))</f>
        <v/>
      </c>
      <c r="AG217" s="400" t="str">
        <f t="array" ref="AG217">IF(COUNTIF(Podcasts!$D$10:'Podcasts'!$D$2535,$B217)&lt;COLUMN(J180),"",SMALL(IF(Podcasts!$D$10:'Podcasts'!$D$2535=$B217,Podcasts!$E$10:'Podcasts'!$E$2535),COLUMN(J180)))</f>
        <v/>
      </c>
      <c r="AH217" s="401" t="str">
        <f t="array" ref="AH217">IF(AG217="","",INDEX(Podcasts!$F$10:'Podcasts'!$F$2535,MATCH(AG217&amp;$B217,Podcasts!$E$10:'Podcasts'!$E$2535&amp;Podcasts!$D$10:'Podcasts'!$D$2535,0)))</f>
        <v/>
      </c>
      <c r="AI217" s="406" t="str">
        <f t="array" ref="AI217">IF(AJ217="","",INDEX(Podcasts!$J$10:'Podcasts'!$J$2535,MATCH(AJ217&amp;$B217,Podcasts!$E$10:'Podcasts'!$E$2535&amp;Podcasts!$D$10:'Podcasts'!$D$2535,0)))</f>
        <v/>
      </c>
      <c r="AJ217" s="400" t="str">
        <f t="array" ref="AJ217">IF(COUNTIF(Podcasts!$D$10:'Podcasts'!$D$2535,$B217)&lt;COLUMN(K180),"",SMALL(IF(Podcasts!$D$10:'Podcasts'!$D$2535=$B217,Podcasts!$E$10:'Podcasts'!$E$2535),COLUMN(K180)))</f>
        <v/>
      </c>
      <c r="AK217" s="401" t="str">
        <f t="array" ref="AK217">IF(AJ217="","",INDEX(Podcasts!$F$10:'Podcasts'!$F$2535,MATCH(AJ217&amp;$B217,Podcasts!$E$10:'Podcasts'!$E$2535&amp;Podcasts!$D$10:'Podcasts'!$D$2535,0)))</f>
        <v/>
      </c>
      <c r="AL217" s="406" t="str">
        <f t="array" ref="AL217">IF(AM217="","",INDEX(Podcasts!$J$10:'Podcasts'!$J$2535,MATCH(AM217&amp;$B217,Podcasts!$E$10:'Podcasts'!$E$2535&amp;Podcasts!$D$10:'Podcasts'!$D$2535,0)))</f>
        <v/>
      </c>
      <c r="AM217" s="400" t="str">
        <f t="array" ref="AM217">IF(COUNTIF(Podcasts!$D$10:'Podcasts'!$D$2535,$B217)&lt;COLUMN(L180),"",SMALL(IF(Podcasts!$D$10:'Podcasts'!$D$2535=$B217,Podcasts!$E$10:'Podcasts'!$E$2535),COLUMN(L180)))</f>
        <v/>
      </c>
      <c r="AN217" s="401" t="str">
        <f t="array" ref="AN217">IF(AM217="","",INDEX(Podcasts!$F$10:'Podcasts'!$F$2535,MATCH(AM217&amp;$B217,Podcasts!$E$10:'Podcasts'!$E$2535&amp;Podcasts!$D$10:'Podcasts'!$D$2535,0)))</f>
        <v/>
      </c>
      <c r="AO217" s="402"/>
      <c r="AP217" s="119"/>
      <c r="AQ217" s="117">
        <f t="array" aca="1" ref="AQ217" ca="1">IFERROR(SMALL(IF(COUNTIF(Podcasts!$D$10:'Podcasts'!$D$107,ROW(INDIRECT("1:"&amp;K$2)))=0,ROW(INDIRECT("1:"&amp;K$2))),ROW($A174)),"")</f>
        <v>221</v>
      </c>
      <c r="AR217" s="117"/>
      <c r="AS217" s="117">
        <f t="array" aca="1" ref="AS217" ca="1">IFERROR(SMALL(IF(COUNTIF(Podcasts!$D$244:'Podcasts'!$D$299,ROW(INDIRECT("1:"&amp;K$2)))=0,ROW(INDIRECT("1:"&amp;K$2))),ROW($A174)),"")</f>
        <v>211</v>
      </c>
      <c r="AT217" s="117"/>
      <c r="AU217" s="117">
        <f t="array" aca="1" ref="AU217" ca="1">IFERROR(SMALL(IF(COUNTIF(Podcasts!$D$479:'Podcasts'!$D$488,ROW(INDIRECT("1:"&amp;K$2)))=0,ROW(INDIRECT("1:"&amp;K$2))),ROW($A174)),"")</f>
        <v>178</v>
      </c>
      <c r="AV217" s="117">
        <f t="array" aca="1" ref="AV217" ca="1">IFERROR(SMALL(IF(COUNTIF(Podcasts!$D$494:'Podcasts'!$D$518,ROW(INDIRECT("1:"&amp;K$2)))=0,ROW(INDIRECT("1:"&amp;K$2))),ROW($A174)),"")</f>
        <v>199</v>
      </c>
      <c r="AW217" s="117">
        <f t="array" aca="1" ref="AW217" ca="1">IFERROR(SMALL(IF(COUNTIF(Podcasts!$D$524:'Podcasts'!$D$532,ROW(INDIRECT("1:"&amp;K$2)))=0,ROW(INDIRECT("1:"&amp;K$2))),ROW($A174)),"")</f>
        <v>176</v>
      </c>
      <c r="AX217" s="117"/>
      <c r="AY217" s="117"/>
      <c r="AZ217" s="445"/>
      <c r="BA217" s="117"/>
      <c r="BB217" s="117">
        <f t="array" aca="1" ref="BB217" ca="1">IFERROR(SMALL(IF(COUNTIF(Podcasts!$D$1257:'Podcasts'!$D$1267,ROW(INDIRECT("1:"&amp;K$2)))=0,ROW(INDIRECT("1:"&amp;K$2))),ROW($A174)),"")</f>
        <v>180</v>
      </c>
      <c r="BC217" s="117">
        <f t="array" aca="1" ref="BC217" ca="1">IFERROR(SMALL(IF(COUNTIF(Podcasts!$D$1273:'Podcasts'!$D$1283,ROW(INDIRECT("1:"&amp;K$2)))=0,ROW(INDIRECT("1:"&amp;K$2))),ROW($A174)),"")</f>
        <v>180</v>
      </c>
      <c r="BD217" s="117">
        <f t="array" aca="1" ref="BD217" ca="1">IFERROR(SMALL(IF(COUNTIF(Podcasts!$D$1289:'Podcasts'!$D$1295,ROW(INDIRECT("1:"&amp;K$2)))=0,ROW(INDIRECT("1:"&amp;K$2))),ROW($A174)),"")</f>
        <v>180</v>
      </c>
      <c r="BE217" s="117">
        <f t="array" aca="1" ref="BE217" ca="1">IFERROR(SMALL(IF(COUNTIF(Podcasts!$D$1301:'Podcasts'!$D$1356,ROW(INDIRECT("1:"&amp;K$2)))=0,ROW(INDIRECT("1:"&amp;K$2))),ROW($A174)),"")</f>
        <v>221</v>
      </c>
      <c r="BF217" s="117">
        <f t="array" aca="1" ref="BF217" ca="1">IFERROR(SMALL(IF(COUNTIF(Podcasts!$D$1362:'Podcasts'!$D$1364,ROW(INDIRECT("1:"&amp;K$2)))=0,ROW(INDIRECT("1:"&amp;K$2))),ROW($A174)),"")</f>
        <v>177</v>
      </c>
      <c r="BG217" s="202">
        <f t="array" aca="1" ref="BG217" ca="1">IFERROR(SMALL(IF(COUNTIF(Podcasts!$D$1370:'Podcasts'!$D$1419,ROW(INDIRECT("1:"&amp;K$2)))=0,ROW(INDIRECT("1:"&amp;K$2))),ROW($A174)),"")</f>
        <v>214</v>
      </c>
      <c r="BH217" s="202">
        <f t="array" aca="1" ref="BH217" ca="1">IFERROR(SMALL(IF(COUNTIF(Podcasts!$D$1425:'Podcasts'!$D$1446,ROW(INDIRECT("1:"&amp;K$2)))=0,ROW(INDIRECT("1:"&amp;K$2))),ROW($A174)),"")</f>
        <v>186</v>
      </c>
      <c r="BI217" s="202"/>
      <c r="BJ217" s="202"/>
      <c r="BK217" s="202"/>
      <c r="BL217" s="202">
        <f t="array" aca="1" ref="BL217" ca="1">IFERROR(SMALL(IF(COUNTIF(Podcasts!$D$1839:'Podcasts'!$D$1855,ROW(INDIRECT("1:"&amp;K$2)))=0,ROW(INDIRECT("1:"&amp;K$2))),ROW($A174)),"")</f>
        <v>183</v>
      </c>
      <c r="BM217" s="567" t="str">
        <f t="array" aca="1" ref="BM217" ca="1">IFERROR(SMALL(IF(COUNTIF(Podcasts!$D$1861:'Podcasts'!$D$1994,ROW(INDIRECT("1:"&amp;K$2)))=0,ROW(INDIRECT("1:"&amp;K$2))),ROW($A174)),"")</f>
        <v/>
      </c>
      <c r="BN217" s="567" t="str">
        <f t="array" aca="1" ref="BN217" ca="1">IFERROR(SMALL(IF(COUNTIF(Podcasts!$D$2000:'Podcasts'!$D$2057,ROW(INDIRECT("1:"&amp;K$2)))=0,ROW(INDIRECT("1:"&amp;K$2))),ROW($A174)),"")</f>
        <v/>
      </c>
      <c r="BO217" s="567">
        <f t="array" aca="1" ref="BO217" ca="1">IFERROR(SMALL(IF(COUNTIF(Podcasts!$D$2063:'Podcasts'!$D$2071,ROW(INDIRECT("1:"&amp;K$2)))=0,ROW(INDIRECT("1:"&amp;K$2))),ROW($A174)),"")</f>
        <v>182</v>
      </c>
      <c r="BP217" s="202">
        <f t="array" aca="1" ref="BP217" ca="1">IFERROR(SMALL(IF(COUNTIF(Podcasts!$D$2077:'Podcasts'!$D$2092,ROW(INDIRECT("1:"&amp;K$2)))=0,ROW(INDIRECT("1:"&amp;K$2))),ROW($A174)),"")</f>
        <v>185</v>
      </c>
      <c r="BQ217" s="741">
        <f t="array" aca="1" ref="BQ217" ca="1">IFERROR(SMALL(IF(COUNTIF(Podcasts!$D$2098:'Podcasts'!$D$2114,ROW(INDIRECT("1:"&amp;K$2)))=0,ROW(INDIRECT("1:"&amp;K$2))),ROW($A174)),"")</f>
        <v>189</v>
      </c>
      <c r="BR217" s="744">
        <f t="array" aca="1" ref="BR217" ca="1">IFERROR(SMALL(IF(COUNTIF(Podcasts!$D$2120:'Podcasts'!$D$2124,ROW(INDIRECT("1:"&amp;K$2)))=0,ROW(INDIRECT("1:"&amp;K$2))),ROW($A174)),"")</f>
        <v>176</v>
      </c>
      <c r="BS217" s="28"/>
    </row>
    <row r="218" spans="1:71" outlineLevel="1">
      <c r="A218" s="28"/>
      <c r="B218" s="161">
        <v>175</v>
      </c>
      <c r="C218" s="161">
        <f>COUNTIF(Podcasts!$D$10:'Podcasts'!$D$2535,B218)</f>
        <v>4</v>
      </c>
      <c r="D218" s="160" t="s">
        <v>1227</v>
      </c>
      <c r="E218" s="156" t="str">
        <f t="array" ref="E218">IF(F218="","",INDEX(Podcasts!$J$10:'Podcasts'!$J$2535,MATCH(F218&amp;$B218,Podcasts!$E$10:'Podcasts'!$E$2535&amp;Podcasts!$D$10:'Podcasts'!$D$2535,0)))</f>
        <v>Fürst</v>
      </c>
      <c r="F218" s="131">
        <f t="array" ref="F218">IF(COUNTIF(Podcasts!$D$10:'Podcasts'!$D$2535,$B218)&lt;COLUMN(A181),"",SMALL(IF(Podcasts!$D$10:'Podcasts'!$D$2535=$B218,Podcasts!$E$10:'Podcasts'!$E$2535),COLUMN(A181)))</f>
        <v>42154</v>
      </c>
      <c r="G218" s="132">
        <f t="array" ref="G218">IF(F218="","",INDEX(Podcasts!$F$10:'Podcasts'!$F$2535,MATCH(F218&amp;$B218,Podcasts!$E$10:'Podcasts'!$E$2535&amp;Podcasts!$D$10:'Podcasts'!$D$2535,0)))</f>
        <v>6.4456018518518524E-2</v>
      </c>
      <c r="H218" s="136" t="str">
        <f t="array" ref="H218">IF(I218="","",INDEX(Podcasts!$J$10:'Podcasts'!$J$2535,MATCH(I218&amp;$B218,Podcasts!$E$10:'Podcasts'!$E$2535&amp;Podcasts!$D$10:'Podcasts'!$D$2535,0)))</f>
        <v>Ohr</v>
      </c>
      <c r="I218" s="133">
        <f t="array" ref="I218">IF(COUNTIF(Podcasts!$D$10:'Podcasts'!$D$2535,$B218)&lt;COLUMN(B181),"",SMALL(IF(Podcasts!$D$10:'Podcasts'!$D$2535=$B218,Podcasts!$E$10:'Podcasts'!$E$2535),COLUMN(B181)))</f>
        <v>42158</v>
      </c>
      <c r="J218" s="132">
        <f t="array" ref="J218">IF(I218="","",INDEX(Podcasts!$F$10:'Podcasts'!$F$2535,MATCH(I218&amp;$B218,Podcasts!$E$10:'Podcasts'!$E$2535&amp;Podcasts!$D$10:'Podcasts'!$D$2535,0)))</f>
        <v>8.9699074074074073E-3</v>
      </c>
      <c r="K218" s="136" t="str">
        <f t="array" ref="K218">IF(L218="","",INDEX(Podcasts!$J$10:'Podcasts'!$J$2535,MATCH(L218&amp;$B218,Podcasts!$E$10:'Podcasts'!$E$2535&amp;Podcasts!$D$10:'Podcasts'!$D$2535,0)))</f>
        <v>Keller</v>
      </c>
      <c r="L218" s="133">
        <f t="array" ref="L218">IF(COUNTIF(Podcasts!$D$10:'Podcasts'!$D$2535,$B218)&lt;COLUMN(C181),"",SMALL(IF(Podcasts!$D$10:'Podcasts'!$D$2535=$B218,Podcasts!$E$10:'Podcasts'!$E$2535),COLUMN(C181)))</f>
        <v>42732</v>
      </c>
      <c r="M218" s="132">
        <f t="array" ref="M218">IF(L218="","",INDEX(Podcasts!$F$10:'Podcasts'!$F$2535,MATCH(L218&amp;$B218,Podcasts!$E$10:'Podcasts'!$E$2535&amp;Podcasts!$D$10:'Podcasts'!$D$2535,0)))</f>
        <v>3.8182870370370374E-2</v>
      </c>
      <c r="N218" s="136" t="str">
        <f t="array" ref="N218">IF(O218="","",INDEX(Podcasts!$J$10:'Podcasts'!$J$2535,MATCH(O218&amp;$B218,Podcasts!$E$10:'Podcasts'!$E$2535&amp;Podcasts!$D$10:'Podcasts'!$D$2535,0)))</f>
        <v>Zeichen</v>
      </c>
      <c r="O218" s="133">
        <f t="array" ref="O218">IF(COUNTIF(Podcasts!$D$10:'Podcasts'!$D$2535,$B218)&lt;COLUMN(D181),"",SMALL(IF(Podcasts!$D$10:'Podcasts'!$D$2535=$B218,Podcasts!$E$10:'Podcasts'!$E$2535),COLUMN(D181)))</f>
        <v>44341</v>
      </c>
      <c r="P218" s="132">
        <f t="array" ref="P218">IF(O218="","",INDEX(Podcasts!$F$10:'Podcasts'!$F$2535,MATCH(O218&amp;$B218,Podcasts!$E$10:'Podcasts'!$E$2535&amp;Podcasts!$D$10:'Podcasts'!$D$2535,0)))</f>
        <v>0.12680555555555556</v>
      </c>
      <c r="Q218" s="136" t="str">
        <f t="array" ref="Q218">IF(R218="","",INDEX(Podcasts!$J$10:'Podcasts'!$J$2535,MATCH(R218&amp;$B218,Podcasts!$E$10:'Podcasts'!$E$2535&amp;Podcasts!$D$10:'Podcasts'!$D$2535,0)))</f>
        <v/>
      </c>
      <c r="R218" s="133" t="str">
        <f t="array" ref="R218">IF(COUNTIF(Podcasts!$D$10:'Podcasts'!$D$2535,$B218)&lt;COLUMN(E181),"",SMALL(IF(Podcasts!$D$10:'Podcasts'!$D$2535=$B218,Podcasts!$E$10:'Podcasts'!$E$2535),COLUMN(E181)))</f>
        <v/>
      </c>
      <c r="S218" s="132" t="str">
        <f t="array" ref="S218">IF(R218="","",INDEX(Podcasts!$F$10:'Podcasts'!$F$2535,MATCH(R218&amp;$B218,Podcasts!$E$10:'Podcasts'!$E$2535&amp;Podcasts!$D$10:'Podcasts'!$D$2535,0)))</f>
        <v/>
      </c>
      <c r="T218" s="136" t="str">
        <f t="array" ref="T218">IF(U218="","",INDEX(Podcasts!$J$10:'Podcasts'!$J$2535,MATCH(U218&amp;$B218,Podcasts!$E$10:'Podcasts'!$E$2535&amp;Podcasts!$D$10:'Podcasts'!$D$2535,0)))</f>
        <v/>
      </c>
      <c r="U218" s="133" t="str">
        <f t="array" ref="U218">IF(COUNTIF(Podcasts!$D$10:'Podcasts'!$D$2535,$B218)&lt;COLUMN(F181),"",SMALL(IF(Podcasts!$D$10:'Podcasts'!$D$2535=$B218,Podcasts!$E$10:'Podcasts'!$E$2535),COLUMN(F181)))</f>
        <v/>
      </c>
      <c r="V218" s="132" t="str">
        <f t="array" ref="V218">IF(U218="","",INDEX(Podcasts!$F$10:'Podcasts'!$F$2535,MATCH(U218&amp;$B218,Podcasts!$E$10:'Podcasts'!$E$2535&amp;Podcasts!$D$10:'Podcasts'!$D$2535,0)))</f>
        <v/>
      </c>
      <c r="W218" s="136" t="str">
        <f t="array" ref="W218">IF(X218="","",INDEX(Podcasts!$J$10:'Podcasts'!$J$2535,MATCH(X218&amp;$B218,Podcasts!$E$10:'Podcasts'!$E$2535&amp;Podcasts!$D$10:'Podcasts'!$D$2535,0)))</f>
        <v/>
      </c>
      <c r="X218" s="133" t="str">
        <f t="array" ref="X218">IF(COUNTIF(Podcasts!$D$10:'Podcasts'!$D$2535,$B218)&lt;COLUMN(G181),"",SMALL(IF(Podcasts!$D$10:'Podcasts'!$D$2535=$B218,Podcasts!$E$10:'Podcasts'!$E$2535),COLUMN(G181)))</f>
        <v/>
      </c>
      <c r="Y218" s="132" t="str">
        <f t="array" ref="Y218">IF(X218="","",INDEX(Podcasts!$F$10:'Podcasts'!$F$2535,MATCH(X218&amp;$B218,Podcasts!$E$10:'Podcasts'!$E$2535&amp;Podcasts!$D$10:'Podcasts'!$D$2535,0)))</f>
        <v/>
      </c>
      <c r="Z218" s="136" t="str">
        <f t="array" ref="Z218">IF(AA218="","",INDEX(Podcasts!$J$10:'Podcasts'!$J$2535,MATCH(AA218&amp;$B218,Podcasts!$E$10:'Podcasts'!$E$2535&amp;Podcasts!$D$10:'Podcasts'!$D$2535,0)))</f>
        <v/>
      </c>
      <c r="AA218" s="134" t="str">
        <f t="array" ref="AA218">IF(COUNTIF(Podcasts!$D$10:'Podcasts'!$D$2535,$B218)&lt;COLUMN(H181),"",SMALL(IF(Podcasts!$D$10:'Podcasts'!$D$2535=$B218,Podcasts!$E$10:'Podcasts'!$E$2535),COLUMN(H181)))</f>
        <v/>
      </c>
      <c r="AB218" s="404" t="str">
        <f t="array" ref="AB218">IF(AA218="","",INDEX(Podcasts!$F$10:'Podcasts'!$F$2535,MATCH(AA218&amp;$B218,Podcasts!$E$10:'Podcasts'!$E$2535&amp;Podcasts!$D$10:'Podcasts'!$D$2535,0)))</f>
        <v/>
      </c>
      <c r="AC218" s="406" t="str">
        <f t="array" ref="AC218">IF(AD218="","",INDEX(Podcasts!$J$10:'Podcasts'!$J$2535,MATCH(AD218&amp;$B218,Podcasts!$E$10:'Podcasts'!$E$2535&amp;Podcasts!$D$10:'Podcasts'!$D$2535,0)))</f>
        <v/>
      </c>
      <c r="AD218" s="400" t="str">
        <f t="array" ref="AD218">IF(COUNTIF(Podcasts!$D$10:'Podcasts'!$D$2535,$B218)&lt;COLUMN(I181),"",SMALL(IF(Podcasts!$D$10:'Podcasts'!$D$2535=$B218,Podcasts!$E$10:'Podcasts'!$E$2535),COLUMN(I181)))</f>
        <v/>
      </c>
      <c r="AE218" s="401" t="str">
        <f t="array" ref="AE218">IF(AD218="","",INDEX(Podcasts!$F$10:'Podcasts'!$F$2535,MATCH(AD218&amp;$B218,Podcasts!$E$10:'Podcasts'!$E$2535&amp;Podcasts!$D$10:'Podcasts'!$D$2535,0)))</f>
        <v/>
      </c>
      <c r="AF218" s="406" t="str">
        <f t="array" ref="AF218">IF(AG218="","",INDEX(Podcasts!$J$10:'Podcasts'!$J$2535,MATCH(AG218&amp;$B218,Podcasts!$E$10:'Podcasts'!$E$2535&amp;Podcasts!$D$10:'Podcasts'!$D$2535,0)))</f>
        <v/>
      </c>
      <c r="AG218" s="400" t="str">
        <f t="array" ref="AG218">IF(COUNTIF(Podcasts!$D$10:'Podcasts'!$D$2535,$B218)&lt;COLUMN(J181),"",SMALL(IF(Podcasts!$D$10:'Podcasts'!$D$2535=$B218,Podcasts!$E$10:'Podcasts'!$E$2535),COLUMN(J181)))</f>
        <v/>
      </c>
      <c r="AH218" s="401" t="str">
        <f t="array" ref="AH218">IF(AG218="","",INDEX(Podcasts!$F$10:'Podcasts'!$F$2535,MATCH(AG218&amp;$B218,Podcasts!$E$10:'Podcasts'!$E$2535&amp;Podcasts!$D$10:'Podcasts'!$D$2535,0)))</f>
        <v/>
      </c>
      <c r="AI218" s="406" t="str">
        <f t="array" ref="AI218">IF(AJ218="","",INDEX(Podcasts!$J$10:'Podcasts'!$J$2535,MATCH(AJ218&amp;$B218,Podcasts!$E$10:'Podcasts'!$E$2535&amp;Podcasts!$D$10:'Podcasts'!$D$2535,0)))</f>
        <v/>
      </c>
      <c r="AJ218" s="400" t="str">
        <f t="array" ref="AJ218">IF(COUNTIF(Podcasts!$D$10:'Podcasts'!$D$2535,$B218)&lt;COLUMN(K181),"",SMALL(IF(Podcasts!$D$10:'Podcasts'!$D$2535=$B218,Podcasts!$E$10:'Podcasts'!$E$2535),COLUMN(K181)))</f>
        <v/>
      </c>
      <c r="AK218" s="401" t="str">
        <f t="array" ref="AK218">IF(AJ218="","",INDEX(Podcasts!$F$10:'Podcasts'!$F$2535,MATCH(AJ218&amp;$B218,Podcasts!$E$10:'Podcasts'!$E$2535&amp;Podcasts!$D$10:'Podcasts'!$D$2535,0)))</f>
        <v/>
      </c>
      <c r="AL218" s="406" t="str">
        <f t="array" ref="AL218">IF(AM218="","",INDEX(Podcasts!$J$10:'Podcasts'!$J$2535,MATCH(AM218&amp;$B218,Podcasts!$E$10:'Podcasts'!$E$2535&amp;Podcasts!$D$10:'Podcasts'!$D$2535,0)))</f>
        <v/>
      </c>
      <c r="AM218" s="400" t="str">
        <f t="array" ref="AM218">IF(COUNTIF(Podcasts!$D$10:'Podcasts'!$D$2535,$B218)&lt;COLUMN(L181),"",SMALL(IF(Podcasts!$D$10:'Podcasts'!$D$2535=$B218,Podcasts!$E$10:'Podcasts'!$E$2535),COLUMN(L181)))</f>
        <v/>
      </c>
      <c r="AN218" s="401" t="str">
        <f t="array" ref="AN218">IF(AM218="","",INDEX(Podcasts!$F$10:'Podcasts'!$F$2535,MATCH(AM218&amp;$B218,Podcasts!$E$10:'Podcasts'!$E$2535&amp;Podcasts!$D$10:'Podcasts'!$D$2535,0)))</f>
        <v/>
      </c>
      <c r="AO218" s="402"/>
      <c r="AP218" s="119"/>
      <c r="AQ218" s="117">
        <f t="array" aca="1" ref="AQ218" ca="1">IFERROR(SMALL(IF(COUNTIF(Podcasts!$D$10:'Podcasts'!$D$107,ROW(INDIRECT("1:"&amp;K$2)))=0,ROW(INDIRECT("1:"&amp;K$2))),ROW($A175)),"")</f>
        <v>222</v>
      </c>
      <c r="AR218" s="117"/>
      <c r="AS218" s="117">
        <f t="array" aca="1" ref="AS218" ca="1">IFERROR(SMALL(IF(COUNTIF(Podcasts!$D$244:'Podcasts'!$D$299,ROW(INDIRECT("1:"&amp;K$2)))=0,ROW(INDIRECT("1:"&amp;K$2))),ROW($A175)),"")</f>
        <v>212</v>
      </c>
      <c r="AT218" s="117"/>
      <c r="AU218" s="117">
        <f t="array" aca="1" ref="AU218" ca="1">IFERROR(SMALL(IF(COUNTIF(Podcasts!$D$479:'Podcasts'!$D$488,ROW(INDIRECT("1:"&amp;K$2)))=0,ROW(INDIRECT("1:"&amp;K$2))),ROW($A175)),"")</f>
        <v>179</v>
      </c>
      <c r="AV218" s="117">
        <f t="array" aca="1" ref="AV218" ca="1">IFERROR(SMALL(IF(COUNTIF(Podcasts!$D$494:'Podcasts'!$D$518,ROW(INDIRECT("1:"&amp;K$2)))=0,ROW(INDIRECT("1:"&amp;K$2))),ROW($A175)),"")</f>
        <v>200</v>
      </c>
      <c r="AW218" s="117">
        <f t="array" aca="1" ref="AW218" ca="1">IFERROR(SMALL(IF(COUNTIF(Podcasts!$D$524:'Podcasts'!$D$532,ROW(INDIRECT("1:"&amp;K$2)))=0,ROW(INDIRECT("1:"&amp;K$2))),ROW($A175)),"")</f>
        <v>177</v>
      </c>
      <c r="AX218" s="117"/>
      <c r="AY218" s="117"/>
      <c r="AZ218" s="445"/>
      <c r="BA218" s="117"/>
      <c r="BB218" s="117">
        <f t="array" aca="1" ref="BB218" ca="1">IFERROR(SMALL(IF(COUNTIF(Podcasts!$D$1257:'Podcasts'!$D$1267,ROW(INDIRECT("1:"&amp;K$2)))=0,ROW(INDIRECT("1:"&amp;K$2))),ROW($A175)),"")</f>
        <v>181</v>
      </c>
      <c r="BC218" s="117">
        <f t="array" aca="1" ref="BC218" ca="1">IFERROR(SMALL(IF(COUNTIF(Podcasts!$D$1273:'Podcasts'!$D$1283,ROW(INDIRECT("1:"&amp;K$2)))=0,ROW(INDIRECT("1:"&amp;K$2))),ROW($A175)),"")</f>
        <v>181</v>
      </c>
      <c r="BD218" s="117">
        <f t="array" aca="1" ref="BD218" ca="1">IFERROR(SMALL(IF(COUNTIF(Podcasts!$D$1289:'Podcasts'!$D$1295,ROW(INDIRECT("1:"&amp;K$2)))=0,ROW(INDIRECT("1:"&amp;K$2))),ROW($A175)),"")</f>
        <v>181</v>
      </c>
      <c r="BE218" s="117">
        <f t="array" aca="1" ref="BE218" ca="1">IFERROR(SMALL(IF(COUNTIF(Podcasts!$D$1301:'Podcasts'!$D$1356,ROW(INDIRECT("1:"&amp;K$2)))=0,ROW(INDIRECT("1:"&amp;K$2))),ROW($A175)),"")</f>
        <v>222</v>
      </c>
      <c r="BF218" s="117">
        <f t="array" aca="1" ref="BF218" ca="1">IFERROR(SMALL(IF(COUNTIF(Podcasts!$D$1362:'Podcasts'!$D$1364,ROW(INDIRECT("1:"&amp;K$2)))=0,ROW(INDIRECT("1:"&amp;K$2))),ROW($A175)),"")</f>
        <v>178</v>
      </c>
      <c r="BG218" s="202">
        <f t="array" aca="1" ref="BG218" ca="1">IFERROR(SMALL(IF(COUNTIF(Podcasts!$D$1370:'Podcasts'!$D$1419,ROW(INDIRECT("1:"&amp;K$2)))=0,ROW(INDIRECT("1:"&amp;K$2))),ROW($A175)),"")</f>
        <v>216</v>
      </c>
      <c r="BH218" s="202">
        <f t="array" aca="1" ref="BH218" ca="1">IFERROR(SMALL(IF(COUNTIF(Podcasts!$D$1425:'Podcasts'!$D$1446,ROW(INDIRECT("1:"&amp;K$2)))=0,ROW(INDIRECT("1:"&amp;K$2))),ROW($A175)),"")</f>
        <v>187</v>
      </c>
      <c r="BI218" s="202"/>
      <c r="BJ218" s="202"/>
      <c r="BK218" s="202"/>
      <c r="BL218" s="202">
        <f t="array" aca="1" ref="BL218" ca="1">IFERROR(SMALL(IF(COUNTIF(Podcasts!$D$1839:'Podcasts'!$D$1855,ROW(INDIRECT("1:"&amp;K$2)))=0,ROW(INDIRECT("1:"&amp;K$2))),ROW($A175)),"")</f>
        <v>184</v>
      </c>
      <c r="BM218" s="567" t="str">
        <f t="array" aca="1" ref="BM218" ca="1">IFERROR(SMALL(IF(COUNTIF(Podcasts!$D$1861:'Podcasts'!$D$1994,ROW(INDIRECT("1:"&amp;K$2)))=0,ROW(INDIRECT("1:"&amp;K$2))),ROW($A175)),"")</f>
        <v/>
      </c>
      <c r="BN218" s="567" t="str">
        <f t="array" aca="1" ref="BN218" ca="1">IFERROR(SMALL(IF(COUNTIF(Podcasts!$D$2000:'Podcasts'!$D$2057,ROW(INDIRECT("1:"&amp;K$2)))=0,ROW(INDIRECT("1:"&amp;K$2))),ROW($A175)),"")</f>
        <v/>
      </c>
      <c r="BO218" s="567">
        <f t="array" aca="1" ref="BO218" ca="1">IFERROR(SMALL(IF(COUNTIF(Podcasts!$D$2063:'Podcasts'!$D$2071,ROW(INDIRECT("1:"&amp;K$2)))=0,ROW(INDIRECT("1:"&amp;K$2))),ROW($A175)),"")</f>
        <v>183</v>
      </c>
      <c r="BP218" s="202">
        <f t="array" aca="1" ref="BP218" ca="1">IFERROR(SMALL(IF(COUNTIF(Podcasts!$D$2077:'Podcasts'!$D$2092,ROW(INDIRECT("1:"&amp;K$2)))=0,ROW(INDIRECT("1:"&amp;K$2))),ROW($A175)),"")</f>
        <v>186</v>
      </c>
      <c r="BQ218" s="741">
        <f t="array" aca="1" ref="BQ218" ca="1">IFERROR(SMALL(IF(COUNTIF(Podcasts!$D$2098:'Podcasts'!$D$2114,ROW(INDIRECT("1:"&amp;K$2)))=0,ROW(INDIRECT("1:"&amp;K$2))),ROW($A175)),"")</f>
        <v>190</v>
      </c>
      <c r="BR218" s="744">
        <f t="array" aca="1" ref="BR218" ca="1">IFERROR(SMALL(IF(COUNTIF(Podcasts!$D$2120:'Podcasts'!$D$2124,ROW(INDIRECT("1:"&amp;K$2)))=0,ROW(INDIRECT("1:"&amp;K$2))),ROW($A175)),"")</f>
        <v>177</v>
      </c>
      <c r="BS218" s="28"/>
    </row>
    <row r="219" spans="1:71" outlineLevel="1">
      <c r="A219" s="28"/>
      <c r="B219" s="161">
        <v>176</v>
      </c>
      <c r="C219" s="161">
        <f>COUNTIF(Podcasts!$D$10:'Podcasts'!$D$2535,B219)-1</f>
        <v>2</v>
      </c>
      <c r="D219" s="160" t="s">
        <v>1200</v>
      </c>
      <c r="E219" s="156" t="str">
        <f t="array" ref="E219">IF(F219="","",INDEX(Podcasts!$J$10:'Podcasts'!$J$2535,MATCH(F219&amp;$B219,Podcasts!$E$10:'Podcasts'!$E$2535&amp;Podcasts!$D$10:'Podcasts'!$D$2535,0)))</f>
        <v>Ohr</v>
      </c>
      <c r="F219" s="131">
        <f t="array" ref="F219">IF(COUNTIF(Podcasts!$D$10:'Podcasts'!$D$2535,$B219)&lt;COLUMN(A182),"",SMALL(IF(Podcasts!$D$10:'Podcasts'!$D$2535=$B219,Podcasts!$E$10:'Podcasts'!$E$2535),COLUMN(A182)))</f>
        <v>42223</v>
      </c>
      <c r="G219" s="132">
        <f t="array" ref="G219">IF(F219="","",INDEX(Podcasts!$F$10:'Podcasts'!$F$2535,MATCH(F219&amp;$B219,Podcasts!$E$10:'Podcasts'!$E$2535&amp;Podcasts!$D$10:'Podcasts'!$D$2535,0)))</f>
        <v>2.0717592592592593E-3</v>
      </c>
      <c r="H219" s="136" t="str">
        <f t="array" ref="H219">IF(I219="","",INDEX(Podcasts!$J$10:'Podcasts'!$J$2535,MATCH(I219&amp;$B219,Podcasts!$E$10:'Podcasts'!$E$2535&amp;Podcasts!$D$10:'Podcasts'!$D$2535,0)))</f>
        <v>???od</v>
      </c>
      <c r="I219" s="133">
        <f t="array" ref="I219">IF(COUNTIF(Podcasts!$D$10:'Podcasts'!$D$2535,$B219)&lt;COLUMN(B182),"",SMALL(IF(Podcasts!$D$10:'Podcasts'!$D$2535=$B219,Podcasts!$E$10:'Podcasts'!$E$2535),COLUMN(B182)))</f>
        <v>42262</v>
      </c>
      <c r="J219" s="132">
        <f t="array" ref="J219">IF(I219="","",INDEX(Podcasts!$F$10:'Podcasts'!$F$2535,MATCH(I219&amp;$B219,Podcasts!$E$10:'Podcasts'!$E$2535&amp;Podcasts!$D$10:'Podcasts'!$D$2535,0)))</f>
        <v>5.4305555555555551E-2</v>
      </c>
      <c r="K219" s="136" t="str">
        <f t="array" ref="K219">IF(L219="","",INDEX(Podcasts!$J$10:'Podcasts'!$J$2535,MATCH(L219&amp;$B219,Podcasts!$E$10:'Podcasts'!$E$2535&amp;Podcasts!$D$10:'Podcasts'!$D$2535,0)))</f>
        <v>Schrott</v>
      </c>
      <c r="L219" s="133">
        <f t="array" ref="L219">IF(COUNTIF(Podcasts!$D$10:'Podcasts'!$D$2535,$B219)&lt;COLUMN(C182),"",SMALL(IF(Podcasts!$D$10:'Podcasts'!$D$2535=$B219,Podcasts!$E$10:'Podcasts'!$E$2535),COLUMN(C182)))</f>
        <v>45838</v>
      </c>
      <c r="M219" s="132">
        <f t="array" ref="M219">IF(L219="","",INDEX(Podcasts!$F$10:'Podcasts'!$F$2535,MATCH(L219&amp;$B219,Podcasts!$E$10:'Podcasts'!$E$2535&amp;Podcasts!$D$10:'Podcasts'!$D$2535,0)))</f>
        <v>0</v>
      </c>
      <c r="N219" s="136" t="str">
        <f t="array" ref="N219">IF(O219="","",INDEX(Podcasts!$J$10:'Podcasts'!$J$2535,MATCH(O219&amp;$B219,Podcasts!$E$10:'Podcasts'!$E$2535&amp;Podcasts!$D$10:'Podcasts'!$D$2535,0)))</f>
        <v/>
      </c>
      <c r="O219" s="133" t="str">
        <f t="array" ref="O219">IF(COUNTIF(Podcasts!$D$10:'Podcasts'!$D$2535,$B219)&lt;COLUMN(D182),"",SMALL(IF(Podcasts!$D$10:'Podcasts'!$D$2535=$B219,Podcasts!$E$10:'Podcasts'!$E$2535),COLUMN(D182)))</f>
        <v/>
      </c>
      <c r="P219" s="132" t="str">
        <f t="array" ref="P219">IF(O219="","",INDEX(Podcasts!$F$10:'Podcasts'!$F$2535,MATCH(O219&amp;$B219,Podcasts!$E$10:'Podcasts'!$E$2535&amp;Podcasts!$D$10:'Podcasts'!$D$2535,0)))</f>
        <v/>
      </c>
      <c r="Q219" s="136" t="str">
        <f t="array" ref="Q219">IF(R219="","",INDEX(Podcasts!$J$10:'Podcasts'!$J$2535,MATCH(R219&amp;$B219,Podcasts!$E$10:'Podcasts'!$E$2535&amp;Podcasts!$D$10:'Podcasts'!$D$2535,0)))</f>
        <v/>
      </c>
      <c r="R219" s="133" t="str">
        <f t="array" ref="R219">IF(COUNTIF(Podcasts!$D$10:'Podcasts'!$D$2535,$B219)&lt;COLUMN(E182),"",SMALL(IF(Podcasts!$D$10:'Podcasts'!$D$2535=$B219,Podcasts!$E$10:'Podcasts'!$E$2535),COLUMN(E182)))</f>
        <v/>
      </c>
      <c r="S219" s="132" t="str">
        <f t="array" ref="S219">IF(R219="","",INDEX(Podcasts!$F$10:'Podcasts'!$F$2535,MATCH(R219&amp;$B219,Podcasts!$E$10:'Podcasts'!$E$2535&amp;Podcasts!$D$10:'Podcasts'!$D$2535,0)))</f>
        <v/>
      </c>
      <c r="T219" s="136" t="str">
        <f t="array" ref="T219">IF(U219="","",INDEX(Podcasts!$J$10:'Podcasts'!$J$2535,MATCH(U219&amp;$B219,Podcasts!$E$10:'Podcasts'!$E$2535&amp;Podcasts!$D$10:'Podcasts'!$D$2535,0)))</f>
        <v/>
      </c>
      <c r="U219" s="133" t="str">
        <f t="array" ref="U219">IF(COUNTIF(Podcasts!$D$10:'Podcasts'!$D$2535,$B219)&lt;COLUMN(F182),"",SMALL(IF(Podcasts!$D$10:'Podcasts'!$D$2535=$B219,Podcasts!$E$10:'Podcasts'!$E$2535),COLUMN(F182)))</f>
        <v/>
      </c>
      <c r="V219" s="132" t="str">
        <f t="array" ref="V219">IF(U219="","",INDEX(Podcasts!$F$10:'Podcasts'!$F$2535,MATCH(U219&amp;$B219,Podcasts!$E$10:'Podcasts'!$E$2535&amp;Podcasts!$D$10:'Podcasts'!$D$2535,0)))</f>
        <v/>
      </c>
      <c r="W219" s="136" t="str">
        <f t="array" ref="W219">IF(X219="","",INDEX(Podcasts!$J$10:'Podcasts'!$J$2535,MATCH(X219&amp;$B219,Podcasts!$E$10:'Podcasts'!$E$2535&amp;Podcasts!$D$10:'Podcasts'!$D$2535,0)))</f>
        <v/>
      </c>
      <c r="X219" s="133" t="str">
        <f t="array" ref="X219">IF(COUNTIF(Podcasts!$D$10:'Podcasts'!$D$2535,$B219)&lt;COLUMN(G182),"",SMALL(IF(Podcasts!$D$10:'Podcasts'!$D$2535=$B219,Podcasts!$E$10:'Podcasts'!$E$2535),COLUMN(G182)))</f>
        <v/>
      </c>
      <c r="Y219" s="132" t="str">
        <f t="array" ref="Y219">IF(X219="","",INDEX(Podcasts!$F$10:'Podcasts'!$F$2535,MATCH(X219&amp;$B219,Podcasts!$E$10:'Podcasts'!$E$2535&amp;Podcasts!$D$10:'Podcasts'!$D$2535,0)))</f>
        <v/>
      </c>
      <c r="Z219" s="136" t="str">
        <f t="array" ref="Z219">IF(AA219="","",INDEX(Podcasts!$J$10:'Podcasts'!$J$2535,MATCH(AA219&amp;$B219,Podcasts!$E$10:'Podcasts'!$E$2535&amp;Podcasts!$D$10:'Podcasts'!$D$2535,0)))</f>
        <v/>
      </c>
      <c r="AA219" s="134" t="str">
        <f t="array" ref="AA219">IF(COUNTIF(Podcasts!$D$10:'Podcasts'!$D$2535,$B219)&lt;COLUMN(H182),"",SMALL(IF(Podcasts!$D$10:'Podcasts'!$D$2535=$B219,Podcasts!$E$10:'Podcasts'!$E$2535),COLUMN(H182)))</f>
        <v/>
      </c>
      <c r="AB219" s="404" t="str">
        <f t="array" ref="AB219">IF(AA219="","",INDEX(Podcasts!$F$10:'Podcasts'!$F$2535,MATCH(AA219&amp;$B219,Podcasts!$E$10:'Podcasts'!$E$2535&amp;Podcasts!$D$10:'Podcasts'!$D$2535,0)))</f>
        <v/>
      </c>
      <c r="AC219" s="406" t="str">
        <f t="array" ref="AC219">IF(AD219="","",INDEX(Podcasts!$J$10:'Podcasts'!$J$2535,MATCH(AD219&amp;$B219,Podcasts!$E$10:'Podcasts'!$E$2535&amp;Podcasts!$D$10:'Podcasts'!$D$2535,0)))</f>
        <v/>
      </c>
      <c r="AD219" s="400" t="str">
        <f t="array" ref="AD219">IF(COUNTIF(Podcasts!$D$10:'Podcasts'!$D$2535,$B219)&lt;COLUMN(I182),"",SMALL(IF(Podcasts!$D$10:'Podcasts'!$D$2535=$B219,Podcasts!$E$10:'Podcasts'!$E$2535),COLUMN(I182)))</f>
        <v/>
      </c>
      <c r="AE219" s="401" t="str">
        <f t="array" ref="AE219">IF(AD219="","",INDEX(Podcasts!$F$10:'Podcasts'!$F$2535,MATCH(AD219&amp;$B219,Podcasts!$E$10:'Podcasts'!$E$2535&amp;Podcasts!$D$10:'Podcasts'!$D$2535,0)))</f>
        <v/>
      </c>
      <c r="AF219" s="406" t="str">
        <f t="array" ref="AF219">IF(AG219="","",INDEX(Podcasts!$J$10:'Podcasts'!$J$2535,MATCH(AG219&amp;$B219,Podcasts!$E$10:'Podcasts'!$E$2535&amp;Podcasts!$D$10:'Podcasts'!$D$2535,0)))</f>
        <v/>
      </c>
      <c r="AG219" s="400" t="str">
        <f t="array" ref="AG219">IF(COUNTIF(Podcasts!$D$10:'Podcasts'!$D$2535,$B219)&lt;COLUMN(J182),"",SMALL(IF(Podcasts!$D$10:'Podcasts'!$D$2535=$B219,Podcasts!$E$10:'Podcasts'!$E$2535),COLUMN(J182)))</f>
        <v/>
      </c>
      <c r="AH219" s="401" t="str">
        <f t="array" ref="AH219">IF(AG219="","",INDEX(Podcasts!$F$10:'Podcasts'!$F$2535,MATCH(AG219&amp;$B219,Podcasts!$E$10:'Podcasts'!$E$2535&amp;Podcasts!$D$10:'Podcasts'!$D$2535,0)))</f>
        <v/>
      </c>
      <c r="AI219" s="406" t="str">
        <f t="array" ref="AI219">IF(AJ219="","",INDEX(Podcasts!$J$10:'Podcasts'!$J$2535,MATCH(AJ219&amp;$B219,Podcasts!$E$10:'Podcasts'!$E$2535&amp;Podcasts!$D$10:'Podcasts'!$D$2535,0)))</f>
        <v/>
      </c>
      <c r="AJ219" s="400" t="str">
        <f t="array" ref="AJ219">IF(COUNTIF(Podcasts!$D$10:'Podcasts'!$D$2535,$B219)&lt;COLUMN(K182),"",SMALL(IF(Podcasts!$D$10:'Podcasts'!$D$2535=$B219,Podcasts!$E$10:'Podcasts'!$E$2535),COLUMN(K182)))</f>
        <v/>
      </c>
      <c r="AK219" s="401" t="str">
        <f t="array" ref="AK219">IF(AJ219="","",INDEX(Podcasts!$F$10:'Podcasts'!$F$2535,MATCH(AJ219&amp;$B219,Podcasts!$E$10:'Podcasts'!$E$2535&amp;Podcasts!$D$10:'Podcasts'!$D$2535,0)))</f>
        <v/>
      </c>
      <c r="AL219" s="406" t="str">
        <f t="array" ref="AL219">IF(AM219="","",INDEX(Podcasts!$J$10:'Podcasts'!$J$2535,MATCH(AM219&amp;$B219,Podcasts!$E$10:'Podcasts'!$E$2535&amp;Podcasts!$D$10:'Podcasts'!$D$2535,0)))</f>
        <v/>
      </c>
      <c r="AM219" s="400" t="str">
        <f t="array" ref="AM219">IF(COUNTIF(Podcasts!$D$10:'Podcasts'!$D$2535,$B219)&lt;COLUMN(L182),"",SMALL(IF(Podcasts!$D$10:'Podcasts'!$D$2535=$B219,Podcasts!$E$10:'Podcasts'!$E$2535),COLUMN(L182)))</f>
        <v/>
      </c>
      <c r="AN219" s="401" t="str">
        <f t="array" ref="AN219">IF(AM219="","",INDEX(Podcasts!$F$10:'Podcasts'!$F$2535,MATCH(AM219&amp;$B219,Podcasts!$E$10:'Podcasts'!$E$2535&amp;Podcasts!$D$10:'Podcasts'!$D$2535,0)))</f>
        <v/>
      </c>
      <c r="AO219" s="402"/>
      <c r="AP219" s="119"/>
      <c r="AQ219" s="117">
        <f t="array" aca="1" ref="AQ219" ca="1">IFERROR(SMALL(IF(COUNTIF(Podcasts!$D$10:'Podcasts'!$D$107,ROW(INDIRECT("1:"&amp;K$2)))=0,ROW(INDIRECT("1:"&amp;K$2))),ROW($A176)),"")</f>
        <v>224</v>
      </c>
      <c r="AR219" s="117"/>
      <c r="AS219" s="117">
        <f t="array" aca="1" ref="AS219" ca="1">IFERROR(SMALL(IF(COUNTIF(Podcasts!$D$244:'Podcasts'!$D$299,ROW(INDIRECT("1:"&amp;K$2)))=0,ROW(INDIRECT("1:"&amp;K$2))),ROW($A176)),"")</f>
        <v>213</v>
      </c>
      <c r="AT219" s="117"/>
      <c r="AU219" s="117">
        <f t="array" aca="1" ref="AU219" ca="1">IFERROR(SMALL(IF(COUNTIF(Podcasts!$D$479:'Podcasts'!$D$488,ROW(INDIRECT("1:"&amp;K$2)))=0,ROW(INDIRECT("1:"&amp;K$2))),ROW($A176)),"")</f>
        <v>180</v>
      </c>
      <c r="AV219" s="117">
        <f t="array" aca="1" ref="AV219" ca="1">IFERROR(SMALL(IF(COUNTIF(Podcasts!$D$494:'Podcasts'!$D$518,ROW(INDIRECT("1:"&amp;K$2)))=0,ROW(INDIRECT("1:"&amp;K$2))),ROW($A176)),"")</f>
        <v>201</v>
      </c>
      <c r="AW219" s="117">
        <f t="array" aca="1" ref="AW219" ca="1">IFERROR(SMALL(IF(COUNTIF(Podcasts!$D$524:'Podcasts'!$D$532,ROW(INDIRECT("1:"&amp;K$2)))=0,ROW(INDIRECT("1:"&amp;K$2))),ROW($A176)),"")</f>
        <v>178</v>
      </c>
      <c r="AX219" s="117"/>
      <c r="AY219" s="117"/>
      <c r="AZ219" s="445"/>
      <c r="BA219" s="117"/>
      <c r="BB219" s="117">
        <f t="array" aca="1" ref="BB219" ca="1">IFERROR(SMALL(IF(COUNTIF(Podcasts!$D$1257:'Podcasts'!$D$1267,ROW(INDIRECT("1:"&amp;K$2)))=0,ROW(INDIRECT("1:"&amp;K$2))),ROW($A176)),"")</f>
        <v>182</v>
      </c>
      <c r="BC219" s="117">
        <f t="array" aca="1" ref="BC219" ca="1">IFERROR(SMALL(IF(COUNTIF(Podcasts!$D$1273:'Podcasts'!$D$1283,ROW(INDIRECT("1:"&amp;K$2)))=0,ROW(INDIRECT("1:"&amp;K$2))),ROW($A176)),"")</f>
        <v>182</v>
      </c>
      <c r="BD219" s="117">
        <f t="array" aca="1" ref="BD219" ca="1">IFERROR(SMALL(IF(COUNTIF(Podcasts!$D$1289:'Podcasts'!$D$1295,ROW(INDIRECT("1:"&amp;K$2)))=0,ROW(INDIRECT("1:"&amp;K$2))),ROW($A176)),"")</f>
        <v>182</v>
      </c>
      <c r="BE219" s="117">
        <f t="array" aca="1" ref="BE219" ca="1">IFERROR(SMALL(IF(COUNTIF(Podcasts!$D$1301:'Podcasts'!$D$1356,ROW(INDIRECT("1:"&amp;K$2)))=0,ROW(INDIRECT("1:"&amp;K$2))),ROW($A176)),"")</f>
        <v>223</v>
      </c>
      <c r="BF219" s="117">
        <f t="array" aca="1" ref="BF219" ca="1">IFERROR(SMALL(IF(COUNTIF(Podcasts!$D$1362:'Podcasts'!$D$1364,ROW(INDIRECT("1:"&amp;K$2)))=0,ROW(INDIRECT("1:"&amp;K$2))),ROW($A176)),"")</f>
        <v>179</v>
      </c>
      <c r="BG219" s="202">
        <f t="array" aca="1" ref="BG219" ca="1">IFERROR(SMALL(IF(COUNTIF(Podcasts!$D$1370:'Podcasts'!$D$1419,ROW(INDIRECT("1:"&amp;K$2)))=0,ROW(INDIRECT("1:"&amp;K$2))),ROW($A176)),"")</f>
        <v>217</v>
      </c>
      <c r="BH219" s="202">
        <f t="array" aca="1" ref="BH219" ca="1">IFERROR(SMALL(IF(COUNTIF(Podcasts!$D$1425:'Podcasts'!$D$1446,ROW(INDIRECT("1:"&amp;K$2)))=0,ROW(INDIRECT("1:"&amp;K$2))),ROW($A176)),"")</f>
        <v>188</v>
      </c>
      <c r="BI219" s="202"/>
      <c r="BJ219" s="202"/>
      <c r="BK219" s="202"/>
      <c r="BL219" s="202">
        <f t="array" aca="1" ref="BL219" ca="1">IFERROR(SMALL(IF(COUNTIF(Podcasts!$D$1839:'Podcasts'!$D$1855,ROW(INDIRECT("1:"&amp;K$2)))=0,ROW(INDIRECT("1:"&amp;K$2))),ROW($A176)),"")</f>
        <v>185</v>
      </c>
      <c r="BM219" s="567" t="str">
        <f t="array" aca="1" ref="BM219" ca="1">IFERROR(SMALL(IF(COUNTIF(Podcasts!$D$1861:'Podcasts'!$D$1994,ROW(INDIRECT("1:"&amp;K$2)))=0,ROW(INDIRECT("1:"&amp;K$2))),ROW($A176)),"")</f>
        <v/>
      </c>
      <c r="BN219" s="567"/>
      <c r="BO219" s="567">
        <f t="array" aca="1" ref="BO219" ca="1">IFERROR(SMALL(IF(COUNTIF(Podcasts!$D$2063:'Podcasts'!$D$2071,ROW(INDIRECT("1:"&amp;K$2)))=0,ROW(INDIRECT("1:"&amp;K$2))),ROW($A176)),"")</f>
        <v>184</v>
      </c>
      <c r="BP219" s="202">
        <f t="array" aca="1" ref="BP219" ca="1">IFERROR(SMALL(IF(COUNTIF(Podcasts!$D$2077:'Podcasts'!$D$2092,ROW(INDIRECT("1:"&amp;K$2)))=0,ROW(INDIRECT("1:"&amp;K$2))),ROW($A176)),"")</f>
        <v>187</v>
      </c>
      <c r="BQ219" s="741">
        <f t="array" aca="1" ref="BQ219" ca="1">IFERROR(SMALL(IF(COUNTIF(Podcasts!$D$2098:'Podcasts'!$D$2114,ROW(INDIRECT("1:"&amp;K$2)))=0,ROW(INDIRECT("1:"&amp;K$2))),ROW($A176)),"")</f>
        <v>191</v>
      </c>
      <c r="BR219" s="744">
        <f t="array" aca="1" ref="BR219" ca="1">IFERROR(SMALL(IF(COUNTIF(Podcasts!$D$2120:'Podcasts'!$D$2124,ROW(INDIRECT("1:"&amp;K$2)))=0,ROW(INDIRECT("1:"&amp;K$2))),ROW($A176)),"")</f>
        <v>178</v>
      </c>
      <c r="BS219" s="28"/>
    </row>
    <row r="220" spans="1:71" outlineLevel="1">
      <c r="A220" s="28"/>
      <c r="B220" s="161">
        <v>177</v>
      </c>
      <c r="C220" s="161">
        <f>COUNTIF(Podcasts!$D$10:'Podcasts'!$D$2535,B220)</f>
        <v>6</v>
      </c>
      <c r="D220" s="160" t="s">
        <v>1201</v>
      </c>
      <c r="E220" s="156" t="str">
        <f t="array" ref="E220">IF(F220="","",INDEX(Podcasts!$J$10:'Podcasts'!$J$2535,MATCH(F220&amp;$B220,Podcasts!$E$10:'Podcasts'!$E$2535&amp;Podcasts!$D$10:'Podcasts'!$D$2535,0)))</f>
        <v>Ohr</v>
      </c>
      <c r="F220" s="131">
        <f t="array" ref="F220">IF(COUNTIF(Podcasts!$D$10:'Podcasts'!$D$2535,$B220)&lt;COLUMN(A183),"",SMALL(IF(Podcasts!$D$10:'Podcasts'!$D$2535=$B220,Podcasts!$E$10:'Podcasts'!$E$2535),COLUMN(A183)))</f>
        <v>42315</v>
      </c>
      <c r="G220" s="132">
        <f t="array" ref="G220">IF(F220="","",INDEX(Podcasts!$F$10:'Podcasts'!$F$2535,MATCH(F220&amp;$B220,Podcasts!$E$10:'Podcasts'!$E$2535&amp;Podcasts!$D$10:'Podcasts'!$D$2535,0)))</f>
        <v>4.2592592592592595E-3</v>
      </c>
      <c r="H220" s="136" t="str">
        <f t="array" ref="H220">IF(I220="","",INDEX(Podcasts!$J$10:'Podcasts'!$J$2535,MATCH(I220&amp;$B220,Podcasts!$E$10:'Podcasts'!$E$2535&amp;Podcasts!$D$10:'Podcasts'!$D$2535,0)))</f>
        <v>SSP</v>
      </c>
      <c r="I220" s="133">
        <f t="array" ref="I220">IF(COUNTIF(Podcasts!$D$10:'Podcasts'!$D$2535,$B220)&lt;COLUMN(B183),"",SMALL(IF(Podcasts!$D$10:'Podcasts'!$D$2535=$B220,Podcasts!$E$10:'Podcasts'!$E$2535),COLUMN(B183)))</f>
        <v>44327</v>
      </c>
      <c r="J220" s="132">
        <f t="array" ref="J220">IF(I220="","",INDEX(Podcasts!$F$10:'Podcasts'!$F$2535,MATCH(I220&amp;$B220,Podcasts!$E$10:'Podcasts'!$E$2535&amp;Podcasts!$D$10:'Podcasts'!$D$2535,0)))</f>
        <v>8.082175925925926E-2</v>
      </c>
      <c r="K220" s="136" t="str">
        <f t="array" ref="K220">IF(L220="","",INDEX(Podcasts!$J$10:'Podcasts'!$J$2535,MATCH(L220&amp;$B220,Podcasts!$E$10:'Podcasts'!$E$2535&amp;Podcasts!$D$10:'Podcasts'!$D$2535,0)))</f>
        <v>Verstärker</v>
      </c>
      <c r="L220" s="133">
        <f t="array" ref="L220">IF(COUNTIF(Podcasts!$D$10:'Podcasts'!$D$2535,$B220)&lt;COLUMN(C183),"",SMALL(IF(Podcasts!$D$10:'Podcasts'!$D$2535=$B220,Podcasts!$E$10:'Podcasts'!$E$2535),COLUMN(C183)))</f>
        <v>44715</v>
      </c>
      <c r="M220" s="132">
        <f t="array" ref="M220">IF(L220="","",INDEX(Podcasts!$F$10:'Podcasts'!$F$2535,MATCH(L220&amp;$B220,Podcasts!$E$10:'Podcasts'!$E$2535&amp;Podcasts!$D$10:'Podcasts'!$D$2535,0)))</f>
        <v>2.3541666666666666E-2</v>
      </c>
      <c r="N220" s="136" t="str">
        <f t="array" ref="N220">IF(O220="","",INDEX(Podcasts!$J$10:'Podcasts'!$J$2535,MATCH(O220&amp;$B220,Podcasts!$E$10:'Podcasts'!$E$2535&amp;Podcasts!$D$10:'Podcasts'!$D$2535,0)))</f>
        <v>Zeichen</v>
      </c>
      <c r="O220" s="133">
        <f t="array" ref="O220">IF(COUNTIF(Podcasts!$D$10:'Podcasts'!$D$2535,$B220)&lt;COLUMN(D183),"",SMALL(IF(Podcasts!$D$10:'Podcasts'!$D$2535=$B220,Podcasts!$E$10:'Podcasts'!$E$2535),COLUMN(D183)))</f>
        <v>44946</v>
      </c>
      <c r="P220" s="132">
        <f t="array" ref="P220">IF(O220="","",INDEX(Podcasts!$F$10:'Podcasts'!$F$2535,MATCH(O220&amp;$B220,Podcasts!$E$10:'Podcasts'!$E$2535&amp;Podcasts!$D$10:'Podcasts'!$D$2535,0)))</f>
        <v>9.0972222222222218E-2</v>
      </c>
      <c r="Q220" s="136" t="str">
        <f t="array" ref="Q220">IF(R220="","",INDEX(Podcasts!$J$10:'Podcasts'!$J$2535,MATCH(R220&amp;$B220,Podcasts!$E$10:'Podcasts'!$E$2535&amp;Podcasts!$D$10:'Podcasts'!$D$2535,0)))</f>
        <v>Kuchen</v>
      </c>
      <c r="R220" s="133">
        <f t="array" ref="R220">IF(COUNTIF(Podcasts!$D$10:'Podcasts'!$D$2535,$B220)&lt;COLUMN(E183),"",SMALL(IF(Podcasts!$D$10:'Podcasts'!$D$2535=$B220,Podcasts!$E$10:'Podcasts'!$E$2535),COLUMN(E183)))</f>
        <v>44962</v>
      </c>
      <c r="S220" s="132">
        <f t="array" ref="S220">IF(R220="","",INDEX(Podcasts!$F$10:'Podcasts'!$F$2535,MATCH(R220&amp;$B220,Podcasts!$E$10:'Podcasts'!$E$2535&amp;Podcasts!$D$10:'Podcasts'!$D$2535,0)))</f>
        <v>7.8078703703703692E-2</v>
      </c>
      <c r="T220" s="136" t="str">
        <f t="array" ref="T220">IF(U220="","",INDEX(Podcasts!$J$10:'Podcasts'!$J$2535,MATCH(U220&amp;$B220,Podcasts!$E$10:'Podcasts'!$E$2535&amp;Podcasts!$D$10:'Podcasts'!$D$2535,0)))</f>
        <v>Zw3i</v>
      </c>
      <c r="U220" s="133">
        <f t="array" ref="U220">IF(COUNTIF(Podcasts!$D$10:'Podcasts'!$D$2535,$B220)&lt;COLUMN(F183),"",SMALL(IF(Podcasts!$D$10:'Podcasts'!$D$2535=$B220,Podcasts!$E$10:'Podcasts'!$E$2535),COLUMN(F183)))</f>
        <v>45429</v>
      </c>
      <c r="V220" s="132">
        <f t="array" ref="V220">IF(U220="","",INDEX(Podcasts!$F$10:'Podcasts'!$F$2535,MATCH(U220&amp;$B220,Podcasts!$E$10:'Podcasts'!$E$2535&amp;Podcasts!$D$10:'Podcasts'!$D$2535,0)))</f>
        <v>0</v>
      </c>
      <c r="W220" s="136" t="str">
        <f t="array" ref="W220">IF(X220="","",INDEX(Podcasts!$J$10:'Podcasts'!$J$2535,MATCH(X220&amp;$B220,Podcasts!$E$10:'Podcasts'!$E$2535&amp;Podcasts!$D$10:'Podcasts'!$D$2535,0)))</f>
        <v/>
      </c>
      <c r="X220" s="133" t="str">
        <f t="array" ref="X220">IF(COUNTIF(Podcasts!$D$10:'Podcasts'!$D$2535,$B220)&lt;COLUMN(G183),"",SMALL(IF(Podcasts!$D$10:'Podcasts'!$D$2535=$B220,Podcasts!$E$10:'Podcasts'!$E$2535),COLUMN(G183)))</f>
        <v/>
      </c>
      <c r="Y220" s="132" t="str">
        <f t="array" ref="Y220">IF(X220="","",INDEX(Podcasts!$F$10:'Podcasts'!$F$2535,MATCH(X220&amp;$B220,Podcasts!$E$10:'Podcasts'!$E$2535&amp;Podcasts!$D$10:'Podcasts'!$D$2535,0)))</f>
        <v/>
      </c>
      <c r="Z220" s="136" t="str">
        <f t="array" ref="Z220">IF(AA220="","",INDEX(Podcasts!$J$10:'Podcasts'!$J$2535,MATCH(AA220&amp;$B220,Podcasts!$E$10:'Podcasts'!$E$2535&amp;Podcasts!$D$10:'Podcasts'!$D$2535,0)))</f>
        <v/>
      </c>
      <c r="AA220" s="134" t="str">
        <f t="array" ref="AA220">IF(COUNTIF(Podcasts!$D$10:'Podcasts'!$D$2535,$B220)&lt;COLUMN(H183),"",SMALL(IF(Podcasts!$D$10:'Podcasts'!$D$2535=$B220,Podcasts!$E$10:'Podcasts'!$E$2535),COLUMN(H183)))</f>
        <v/>
      </c>
      <c r="AB220" s="404" t="str">
        <f t="array" ref="AB220">IF(AA220="","",INDEX(Podcasts!$F$10:'Podcasts'!$F$2535,MATCH(AA220&amp;$B220,Podcasts!$E$10:'Podcasts'!$E$2535&amp;Podcasts!$D$10:'Podcasts'!$D$2535,0)))</f>
        <v/>
      </c>
      <c r="AC220" s="406" t="str">
        <f t="array" ref="AC220">IF(AD220="","",INDEX(Podcasts!$J$10:'Podcasts'!$J$2535,MATCH(AD220&amp;$B220,Podcasts!$E$10:'Podcasts'!$E$2535&amp;Podcasts!$D$10:'Podcasts'!$D$2535,0)))</f>
        <v/>
      </c>
      <c r="AD220" s="400" t="str">
        <f t="array" ref="AD220">IF(COUNTIF(Podcasts!$D$10:'Podcasts'!$D$2535,$B220)&lt;COLUMN(I183),"",SMALL(IF(Podcasts!$D$10:'Podcasts'!$D$2535=$B220,Podcasts!$E$10:'Podcasts'!$E$2535),COLUMN(I183)))</f>
        <v/>
      </c>
      <c r="AE220" s="401" t="str">
        <f t="array" ref="AE220">IF(AD220="","",INDEX(Podcasts!$F$10:'Podcasts'!$F$2535,MATCH(AD220&amp;$B220,Podcasts!$E$10:'Podcasts'!$E$2535&amp;Podcasts!$D$10:'Podcasts'!$D$2535,0)))</f>
        <v/>
      </c>
      <c r="AF220" s="406" t="str">
        <f t="array" ref="AF220">IF(AG220="","",INDEX(Podcasts!$J$10:'Podcasts'!$J$2535,MATCH(AG220&amp;$B220,Podcasts!$E$10:'Podcasts'!$E$2535&amp;Podcasts!$D$10:'Podcasts'!$D$2535,0)))</f>
        <v/>
      </c>
      <c r="AG220" s="400" t="str">
        <f t="array" ref="AG220">IF(COUNTIF(Podcasts!$D$10:'Podcasts'!$D$2535,$B220)&lt;COLUMN(J183),"",SMALL(IF(Podcasts!$D$10:'Podcasts'!$D$2535=$B220,Podcasts!$E$10:'Podcasts'!$E$2535),COLUMN(J183)))</f>
        <v/>
      </c>
      <c r="AH220" s="401" t="str">
        <f t="array" ref="AH220">IF(AG220="","",INDEX(Podcasts!$F$10:'Podcasts'!$F$2535,MATCH(AG220&amp;$B220,Podcasts!$E$10:'Podcasts'!$E$2535&amp;Podcasts!$D$10:'Podcasts'!$D$2535,0)))</f>
        <v/>
      </c>
      <c r="AI220" s="406" t="str">
        <f t="array" ref="AI220">IF(AJ220="","",INDEX(Podcasts!$J$10:'Podcasts'!$J$2535,MATCH(AJ220&amp;$B220,Podcasts!$E$10:'Podcasts'!$E$2535&amp;Podcasts!$D$10:'Podcasts'!$D$2535,0)))</f>
        <v/>
      </c>
      <c r="AJ220" s="400" t="str">
        <f t="array" ref="AJ220">IF(COUNTIF(Podcasts!$D$10:'Podcasts'!$D$2535,$B220)&lt;COLUMN(K183),"",SMALL(IF(Podcasts!$D$10:'Podcasts'!$D$2535=$B220,Podcasts!$E$10:'Podcasts'!$E$2535),COLUMN(K183)))</f>
        <v/>
      </c>
      <c r="AK220" s="401" t="str">
        <f t="array" ref="AK220">IF(AJ220="","",INDEX(Podcasts!$F$10:'Podcasts'!$F$2535,MATCH(AJ220&amp;$B220,Podcasts!$E$10:'Podcasts'!$E$2535&amp;Podcasts!$D$10:'Podcasts'!$D$2535,0)))</f>
        <v/>
      </c>
      <c r="AL220" s="406" t="str">
        <f t="array" ref="AL220">IF(AM220="","",INDEX(Podcasts!$J$10:'Podcasts'!$J$2535,MATCH(AM220&amp;$B220,Podcasts!$E$10:'Podcasts'!$E$2535&amp;Podcasts!$D$10:'Podcasts'!$D$2535,0)))</f>
        <v/>
      </c>
      <c r="AM220" s="400" t="str">
        <f t="array" ref="AM220">IF(COUNTIF(Podcasts!$D$10:'Podcasts'!$D$2535,$B220)&lt;COLUMN(L183),"",SMALL(IF(Podcasts!$D$10:'Podcasts'!$D$2535=$B220,Podcasts!$E$10:'Podcasts'!$E$2535),COLUMN(L183)))</f>
        <v/>
      </c>
      <c r="AN220" s="401" t="str">
        <f t="array" ref="AN220">IF(AM220="","",INDEX(Podcasts!$F$10:'Podcasts'!$F$2535,MATCH(AM220&amp;$B220,Podcasts!$E$10:'Podcasts'!$E$2535&amp;Podcasts!$D$10:'Podcasts'!$D$2535,0)))</f>
        <v/>
      </c>
      <c r="AO220" s="402"/>
      <c r="AP220" s="119"/>
      <c r="AQ220" s="117">
        <f t="array" aca="1" ref="AQ220" ca="1">IFERROR(SMALL(IF(COUNTIF(Podcasts!$D$10:'Podcasts'!$D$107,ROW(INDIRECT("1:"&amp;K$2)))=0,ROW(INDIRECT("1:"&amp;K$2))),ROW($A177)),"")</f>
        <v>226</v>
      </c>
      <c r="AR220" s="117"/>
      <c r="AS220" s="117">
        <f t="array" aca="1" ref="AS220" ca="1">IFERROR(SMALL(IF(COUNTIF(Podcasts!$D$244:'Podcasts'!$D$299,ROW(INDIRECT("1:"&amp;K$2)))=0,ROW(INDIRECT("1:"&amp;K$2))),ROW($A177)),"")</f>
        <v>214</v>
      </c>
      <c r="AT220" s="117"/>
      <c r="AU220" s="117">
        <f t="array" aca="1" ref="AU220" ca="1">IFERROR(SMALL(IF(COUNTIF(Podcasts!$D$479:'Podcasts'!$D$488,ROW(INDIRECT("1:"&amp;K$2)))=0,ROW(INDIRECT("1:"&amp;K$2))),ROW($A177)),"")</f>
        <v>181</v>
      </c>
      <c r="AV220" s="117">
        <f t="array" aca="1" ref="AV220" ca="1">IFERROR(SMALL(IF(COUNTIF(Podcasts!$D$494:'Podcasts'!$D$518,ROW(INDIRECT("1:"&amp;K$2)))=0,ROW(INDIRECT("1:"&amp;K$2))),ROW($A177)),"")</f>
        <v>202</v>
      </c>
      <c r="AW220" s="117">
        <f t="array" aca="1" ref="AW220" ca="1">IFERROR(SMALL(IF(COUNTIF(Podcasts!$D$524:'Podcasts'!$D$532,ROW(INDIRECT("1:"&amp;K$2)))=0,ROW(INDIRECT("1:"&amp;K$2))),ROW($A177)),"")</f>
        <v>179</v>
      </c>
      <c r="AX220" s="117"/>
      <c r="AY220" s="117"/>
      <c r="AZ220" s="445"/>
      <c r="BA220" s="117"/>
      <c r="BB220" s="117">
        <f t="array" aca="1" ref="BB220" ca="1">IFERROR(SMALL(IF(COUNTIF(Podcasts!$D$1257:'Podcasts'!$D$1267,ROW(INDIRECT("1:"&amp;K$2)))=0,ROW(INDIRECT("1:"&amp;K$2))),ROW($A177)),"")</f>
        <v>184</v>
      </c>
      <c r="BC220" s="117">
        <f t="array" aca="1" ref="BC220" ca="1">IFERROR(SMALL(IF(COUNTIF(Podcasts!$D$1273:'Podcasts'!$D$1283,ROW(INDIRECT("1:"&amp;K$2)))=0,ROW(INDIRECT("1:"&amp;K$2))),ROW($A177)),"")</f>
        <v>183</v>
      </c>
      <c r="BD220" s="117">
        <f t="array" aca="1" ref="BD220" ca="1">IFERROR(SMALL(IF(COUNTIF(Podcasts!$D$1289:'Podcasts'!$D$1295,ROW(INDIRECT("1:"&amp;K$2)))=0,ROW(INDIRECT("1:"&amp;K$2))),ROW($A177)),"")</f>
        <v>183</v>
      </c>
      <c r="BE220" s="117">
        <f t="array" aca="1" ref="BE220" ca="1">IFERROR(SMALL(IF(COUNTIF(Podcasts!$D$1301:'Podcasts'!$D$1356,ROW(INDIRECT("1:"&amp;K$2)))=0,ROW(INDIRECT("1:"&amp;K$2))),ROW($A177)),"")</f>
        <v>224</v>
      </c>
      <c r="BF220" s="117">
        <f t="array" aca="1" ref="BF220" ca="1">IFERROR(SMALL(IF(COUNTIF(Podcasts!$D$1362:'Podcasts'!$D$1364,ROW(INDIRECT("1:"&amp;K$2)))=0,ROW(INDIRECT("1:"&amp;K$2))),ROW($A177)),"")</f>
        <v>180</v>
      </c>
      <c r="BG220" s="202">
        <f t="array" aca="1" ref="BG220" ca="1">IFERROR(SMALL(IF(COUNTIF(Podcasts!$D$1370:'Podcasts'!$D$1419,ROW(INDIRECT("1:"&amp;K$2)))=0,ROW(INDIRECT("1:"&amp;K$2))),ROW($A177)),"")</f>
        <v>218</v>
      </c>
      <c r="BH220" s="202">
        <f t="array" aca="1" ref="BH220" ca="1">IFERROR(SMALL(IF(COUNTIF(Podcasts!$D$1425:'Podcasts'!$D$1446,ROW(INDIRECT("1:"&amp;K$2)))=0,ROW(INDIRECT("1:"&amp;K$2))),ROW($A177)),"")</f>
        <v>189</v>
      </c>
      <c r="BI220" s="202"/>
      <c r="BJ220" s="202"/>
      <c r="BK220" s="202"/>
      <c r="BL220" s="202">
        <f t="array" aca="1" ref="BL220" ca="1">IFERROR(SMALL(IF(COUNTIF(Podcasts!$D$1839:'Podcasts'!$D$1855,ROW(INDIRECT("1:"&amp;K$2)))=0,ROW(INDIRECT("1:"&amp;K$2))),ROW($A177)),"")</f>
        <v>186</v>
      </c>
      <c r="BM220" s="567"/>
      <c r="BN220" s="567"/>
      <c r="BO220" s="567">
        <f t="array" aca="1" ref="BO220" ca="1">IFERROR(SMALL(IF(COUNTIF(Podcasts!$D$2063:'Podcasts'!$D$2071,ROW(INDIRECT("1:"&amp;K$2)))=0,ROW(INDIRECT("1:"&amp;K$2))),ROW($A177)),"")</f>
        <v>185</v>
      </c>
      <c r="BP220" s="202">
        <f t="array" aca="1" ref="BP220" ca="1">IFERROR(SMALL(IF(COUNTIF(Podcasts!$D$2077:'Podcasts'!$D$2092,ROW(INDIRECT("1:"&amp;K$2)))=0,ROW(INDIRECT("1:"&amp;K$2))),ROW($A177)),"")</f>
        <v>188</v>
      </c>
      <c r="BQ220" s="741">
        <f t="array" aca="1" ref="BQ220" ca="1">IFERROR(SMALL(IF(COUNTIF(Podcasts!$D$2098:'Podcasts'!$D$2114,ROW(INDIRECT("1:"&amp;K$2)))=0,ROW(INDIRECT("1:"&amp;K$2))),ROW($A177)),"")</f>
        <v>192</v>
      </c>
      <c r="BR220" s="744">
        <f t="array" aca="1" ref="BR220" ca="1">IFERROR(SMALL(IF(COUNTIF(Podcasts!$D$2120:'Podcasts'!$D$2124,ROW(INDIRECT("1:"&amp;K$2)))=0,ROW(INDIRECT("1:"&amp;K$2))),ROW($A177)),"")</f>
        <v>179</v>
      </c>
      <c r="BS220" s="28"/>
    </row>
    <row r="221" spans="1:71" outlineLevel="1">
      <c r="A221" s="28"/>
      <c r="B221" s="161">
        <v>178</v>
      </c>
      <c r="C221" s="161">
        <f>COUNTIF(Podcasts!$D$10:'Podcasts'!$D$2535,B221)</f>
        <v>2</v>
      </c>
      <c r="D221" s="160" t="s">
        <v>1202</v>
      </c>
      <c r="E221" s="156" t="str">
        <f t="array" ref="E221">IF(F221="","",INDEX(Podcasts!$J$10:'Podcasts'!$J$2535,MATCH(F221&amp;$B221,Podcasts!$E$10:'Podcasts'!$E$2535&amp;Podcasts!$D$10:'Podcasts'!$D$2535,0)))</f>
        <v>Ohr</v>
      </c>
      <c r="F221" s="131">
        <f t="array" ref="F221">IF(COUNTIF(Podcasts!$D$10:'Podcasts'!$D$2535,$B221)&lt;COLUMN(A184),"",SMALL(IF(Podcasts!$D$10:'Podcasts'!$D$2535=$B221,Podcasts!$E$10:'Podcasts'!$E$2535),COLUMN(A184)))</f>
        <v>42383</v>
      </c>
      <c r="G221" s="132">
        <f t="array" ref="G221">IF(F221="","",INDEX(Podcasts!$F$10:'Podcasts'!$F$2535,MATCH(F221&amp;$B221,Podcasts!$E$10:'Podcasts'!$E$2535&amp;Podcasts!$D$10:'Podcasts'!$D$2535,0)))</f>
        <v>1.689814814814815E-3</v>
      </c>
      <c r="H221" s="136" t="str">
        <f t="array" ref="H221">IF(I221="","",INDEX(Podcasts!$J$10:'Podcasts'!$J$2535,MATCH(I221&amp;$B221,Podcasts!$E$10:'Podcasts'!$E$2535&amp;Podcasts!$D$10:'Podcasts'!$D$2535,0)))</f>
        <v>SSP</v>
      </c>
      <c r="I221" s="133">
        <f t="array" ref="I221">IF(COUNTIF(Podcasts!$D$10:'Podcasts'!$D$2535,$B221)&lt;COLUMN(B184),"",SMALL(IF(Podcasts!$D$10:'Podcasts'!$D$2535=$B221,Podcasts!$E$10:'Podcasts'!$E$2535),COLUMN(B184)))</f>
        <v>45132</v>
      </c>
      <c r="J221" s="132">
        <f t="array" ref="J221">IF(I221="","",INDEX(Podcasts!$F$10:'Podcasts'!$F$2535,MATCH(I221&amp;$B221,Podcasts!$E$10:'Podcasts'!$E$2535&amp;Podcasts!$D$10:'Podcasts'!$D$2535,0)))</f>
        <v>9.7407407407407401E-2</v>
      </c>
      <c r="K221" s="136" t="str">
        <f t="array" ref="K221">IF(L221="","",INDEX(Podcasts!$J$10:'Podcasts'!$J$2535,MATCH(L221&amp;$B221,Podcasts!$E$10:'Podcasts'!$E$2535&amp;Podcasts!$D$10:'Podcasts'!$D$2535,0)))</f>
        <v/>
      </c>
      <c r="L221" s="133" t="str">
        <f t="array" ref="L221">IF(COUNTIF(Podcasts!$D$10:'Podcasts'!$D$2535,$B221)&lt;COLUMN(C184),"",SMALL(IF(Podcasts!$D$10:'Podcasts'!$D$2535=$B221,Podcasts!$E$10:'Podcasts'!$E$2535),COLUMN(C184)))</f>
        <v/>
      </c>
      <c r="M221" s="132" t="str">
        <f t="array" ref="M221">IF(L221="","",INDEX(Podcasts!$F$10:'Podcasts'!$F$2535,MATCH(L221&amp;$B221,Podcasts!$E$10:'Podcasts'!$E$2535&amp;Podcasts!$D$10:'Podcasts'!$D$2535,0)))</f>
        <v/>
      </c>
      <c r="N221" s="136" t="str">
        <f t="array" ref="N221">IF(O221="","",INDEX(Podcasts!$J$10:'Podcasts'!$J$2535,MATCH(O221&amp;$B221,Podcasts!$E$10:'Podcasts'!$E$2535&amp;Podcasts!$D$10:'Podcasts'!$D$2535,0)))</f>
        <v/>
      </c>
      <c r="O221" s="133" t="str">
        <f t="array" ref="O221">IF(COUNTIF(Podcasts!$D$10:'Podcasts'!$D$2535,$B221)&lt;COLUMN(D184),"",SMALL(IF(Podcasts!$D$10:'Podcasts'!$D$2535=$B221,Podcasts!$E$10:'Podcasts'!$E$2535),COLUMN(D184)))</f>
        <v/>
      </c>
      <c r="P221" s="132" t="str">
        <f t="array" ref="P221">IF(O221="","",INDEX(Podcasts!$F$10:'Podcasts'!$F$2535,MATCH(O221&amp;$B221,Podcasts!$E$10:'Podcasts'!$E$2535&amp;Podcasts!$D$10:'Podcasts'!$D$2535,0)))</f>
        <v/>
      </c>
      <c r="Q221" s="136" t="str">
        <f t="array" ref="Q221">IF(R221="","",INDEX(Podcasts!$J$10:'Podcasts'!$J$2535,MATCH(R221&amp;$B221,Podcasts!$E$10:'Podcasts'!$E$2535&amp;Podcasts!$D$10:'Podcasts'!$D$2535,0)))</f>
        <v/>
      </c>
      <c r="R221" s="133" t="str">
        <f t="array" ref="R221">IF(COUNTIF(Podcasts!$D$10:'Podcasts'!$D$2535,$B221)&lt;COLUMN(E184),"",SMALL(IF(Podcasts!$D$10:'Podcasts'!$D$2535=$B221,Podcasts!$E$10:'Podcasts'!$E$2535),COLUMN(E184)))</f>
        <v/>
      </c>
      <c r="S221" s="132" t="str">
        <f t="array" ref="S221">IF(R221="","",INDEX(Podcasts!$F$10:'Podcasts'!$F$2535,MATCH(R221&amp;$B221,Podcasts!$E$10:'Podcasts'!$E$2535&amp;Podcasts!$D$10:'Podcasts'!$D$2535,0)))</f>
        <v/>
      </c>
      <c r="T221" s="136" t="str">
        <f t="array" ref="T221">IF(U221="","",INDEX(Podcasts!$J$10:'Podcasts'!$J$2535,MATCH(U221&amp;$B221,Podcasts!$E$10:'Podcasts'!$E$2535&amp;Podcasts!$D$10:'Podcasts'!$D$2535,0)))</f>
        <v/>
      </c>
      <c r="U221" s="133" t="str">
        <f t="array" ref="U221">IF(COUNTIF(Podcasts!$D$10:'Podcasts'!$D$2535,$B221)&lt;COLUMN(F184),"",SMALL(IF(Podcasts!$D$10:'Podcasts'!$D$2535=$B221,Podcasts!$E$10:'Podcasts'!$E$2535),COLUMN(F184)))</f>
        <v/>
      </c>
      <c r="V221" s="132" t="str">
        <f t="array" ref="V221">IF(U221="","",INDEX(Podcasts!$F$10:'Podcasts'!$F$2535,MATCH(U221&amp;$B221,Podcasts!$E$10:'Podcasts'!$E$2535&amp;Podcasts!$D$10:'Podcasts'!$D$2535,0)))</f>
        <v/>
      </c>
      <c r="W221" s="136" t="str">
        <f t="array" ref="W221">IF(X221="","",INDEX(Podcasts!$J$10:'Podcasts'!$J$2535,MATCH(X221&amp;$B221,Podcasts!$E$10:'Podcasts'!$E$2535&amp;Podcasts!$D$10:'Podcasts'!$D$2535,0)))</f>
        <v/>
      </c>
      <c r="X221" s="133" t="str">
        <f t="array" ref="X221">IF(COUNTIF(Podcasts!$D$10:'Podcasts'!$D$2535,$B221)&lt;COLUMN(G184),"",SMALL(IF(Podcasts!$D$10:'Podcasts'!$D$2535=$B221,Podcasts!$E$10:'Podcasts'!$E$2535),COLUMN(G184)))</f>
        <v/>
      </c>
      <c r="Y221" s="132" t="str">
        <f t="array" ref="Y221">IF(X221="","",INDEX(Podcasts!$F$10:'Podcasts'!$F$2535,MATCH(X221&amp;$B221,Podcasts!$E$10:'Podcasts'!$E$2535&amp;Podcasts!$D$10:'Podcasts'!$D$2535,0)))</f>
        <v/>
      </c>
      <c r="Z221" s="136" t="str">
        <f t="array" ref="Z221">IF(AA221="","",INDEX(Podcasts!$J$10:'Podcasts'!$J$2535,MATCH(AA221&amp;$B221,Podcasts!$E$10:'Podcasts'!$E$2535&amp;Podcasts!$D$10:'Podcasts'!$D$2535,0)))</f>
        <v/>
      </c>
      <c r="AA221" s="134" t="str">
        <f t="array" ref="AA221">IF(COUNTIF(Podcasts!$D$10:'Podcasts'!$D$2535,$B221)&lt;COLUMN(H184),"",SMALL(IF(Podcasts!$D$10:'Podcasts'!$D$2535=$B221,Podcasts!$E$10:'Podcasts'!$E$2535),COLUMN(H184)))</f>
        <v/>
      </c>
      <c r="AB221" s="404" t="str">
        <f t="array" ref="AB221">IF(AA221="","",INDEX(Podcasts!$F$10:'Podcasts'!$F$2535,MATCH(AA221&amp;$B221,Podcasts!$E$10:'Podcasts'!$E$2535&amp;Podcasts!$D$10:'Podcasts'!$D$2535,0)))</f>
        <v/>
      </c>
      <c r="AC221" s="406" t="str">
        <f t="array" ref="AC221">IF(AD221="","",INDEX(Podcasts!$J$10:'Podcasts'!$J$2535,MATCH(AD221&amp;$B221,Podcasts!$E$10:'Podcasts'!$E$2535&amp;Podcasts!$D$10:'Podcasts'!$D$2535,0)))</f>
        <v/>
      </c>
      <c r="AD221" s="400" t="str">
        <f t="array" ref="AD221">IF(COUNTIF(Podcasts!$D$10:'Podcasts'!$D$2535,$B221)&lt;COLUMN(I184),"",SMALL(IF(Podcasts!$D$10:'Podcasts'!$D$2535=$B221,Podcasts!$E$10:'Podcasts'!$E$2535),COLUMN(I184)))</f>
        <v/>
      </c>
      <c r="AE221" s="401" t="str">
        <f t="array" ref="AE221">IF(AD221="","",INDEX(Podcasts!$F$10:'Podcasts'!$F$2535,MATCH(AD221&amp;$B221,Podcasts!$E$10:'Podcasts'!$E$2535&amp;Podcasts!$D$10:'Podcasts'!$D$2535,0)))</f>
        <v/>
      </c>
      <c r="AF221" s="406" t="str">
        <f t="array" ref="AF221">IF(AG221="","",INDEX(Podcasts!$J$10:'Podcasts'!$J$2535,MATCH(AG221&amp;$B221,Podcasts!$E$10:'Podcasts'!$E$2535&amp;Podcasts!$D$10:'Podcasts'!$D$2535,0)))</f>
        <v/>
      </c>
      <c r="AG221" s="400" t="str">
        <f t="array" ref="AG221">IF(COUNTIF(Podcasts!$D$10:'Podcasts'!$D$2535,$B221)&lt;COLUMN(J184),"",SMALL(IF(Podcasts!$D$10:'Podcasts'!$D$2535=$B221,Podcasts!$E$10:'Podcasts'!$E$2535),COLUMN(J184)))</f>
        <v/>
      </c>
      <c r="AH221" s="401" t="str">
        <f t="array" ref="AH221">IF(AG221="","",INDEX(Podcasts!$F$10:'Podcasts'!$F$2535,MATCH(AG221&amp;$B221,Podcasts!$E$10:'Podcasts'!$E$2535&amp;Podcasts!$D$10:'Podcasts'!$D$2535,0)))</f>
        <v/>
      </c>
      <c r="AI221" s="406" t="str">
        <f t="array" ref="AI221">IF(AJ221="","",INDEX(Podcasts!$J$10:'Podcasts'!$J$2535,MATCH(AJ221&amp;$B221,Podcasts!$E$10:'Podcasts'!$E$2535&amp;Podcasts!$D$10:'Podcasts'!$D$2535,0)))</f>
        <v/>
      </c>
      <c r="AJ221" s="400" t="str">
        <f t="array" ref="AJ221">IF(COUNTIF(Podcasts!$D$10:'Podcasts'!$D$2535,$B221)&lt;COLUMN(K184),"",SMALL(IF(Podcasts!$D$10:'Podcasts'!$D$2535=$B221,Podcasts!$E$10:'Podcasts'!$E$2535),COLUMN(K184)))</f>
        <v/>
      </c>
      <c r="AK221" s="401" t="str">
        <f t="array" ref="AK221">IF(AJ221="","",INDEX(Podcasts!$F$10:'Podcasts'!$F$2535,MATCH(AJ221&amp;$B221,Podcasts!$E$10:'Podcasts'!$E$2535&amp;Podcasts!$D$10:'Podcasts'!$D$2535,0)))</f>
        <v/>
      </c>
      <c r="AL221" s="406" t="str">
        <f t="array" ref="AL221">IF(AM221="","",INDEX(Podcasts!$J$10:'Podcasts'!$J$2535,MATCH(AM221&amp;$B221,Podcasts!$E$10:'Podcasts'!$E$2535&amp;Podcasts!$D$10:'Podcasts'!$D$2535,0)))</f>
        <v/>
      </c>
      <c r="AM221" s="400" t="str">
        <f t="array" ref="AM221">IF(COUNTIF(Podcasts!$D$10:'Podcasts'!$D$2535,$B221)&lt;COLUMN(L184),"",SMALL(IF(Podcasts!$D$10:'Podcasts'!$D$2535=$B221,Podcasts!$E$10:'Podcasts'!$E$2535),COLUMN(L184)))</f>
        <v/>
      </c>
      <c r="AN221" s="401" t="str">
        <f t="array" ref="AN221">IF(AM221="","",INDEX(Podcasts!$F$10:'Podcasts'!$F$2535,MATCH(AM221&amp;$B221,Podcasts!$E$10:'Podcasts'!$E$2535&amp;Podcasts!$D$10:'Podcasts'!$D$2535,0)))</f>
        <v/>
      </c>
      <c r="AO221" s="402"/>
      <c r="AP221" s="119"/>
      <c r="AQ221" s="117" t="str">
        <f t="array" aca="1" ref="AQ221" ca="1">IFERROR(SMALL(IF(COUNTIF(Podcasts!$D$10:'Podcasts'!$D$107,ROW(INDIRECT("1:"&amp;K$2)))=0,ROW(INDIRECT("1:"&amp;K$2))),ROW($A178)),"")</f>
        <v/>
      </c>
      <c r="AR221" s="117"/>
      <c r="AS221" s="117">
        <f t="array" aca="1" ref="AS221" ca="1">IFERROR(SMALL(IF(COUNTIF(Podcasts!$D$244:'Podcasts'!$D$299,ROW(INDIRECT("1:"&amp;K$2)))=0,ROW(INDIRECT("1:"&amp;K$2))),ROW($A178)),"")</f>
        <v>215</v>
      </c>
      <c r="AT221" s="117"/>
      <c r="AU221" s="117">
        <f t="array" aca="1" ref="AU221" ca="1">IFERROR(SMALL(IF(COUNTIF(Podcasts!$D$479:'Podcasts'!$D$488,ROW(INDIRECT("1:"&amp;K$2)))=0,ROW(INDIRECT("1:"&amp;K$2))),ROW($A178)),"")</f>
        <v>182</v>
      </c>
      <c r="AV221" s="117">
        <f t="array" aca="1" ref="AV221" ca="1">IFERROR(SMALL(IF(COUNTIF(Podcasts!$D$494:'Podcasts'!$D$518,ROW(INDIRECT("1:"&amp;K$2)))=0,ROW(INDIRECT("1:"&amp;K$2))),ROW($A178)),"")</f>
        <v>203</v>
      </c>
      <c r="AW221" s="117">
        <f t="array" aca="1" ref="AW221" ca="1">IFERROR(SMALL(IF(COUNTIF(Podcasts!$D$524:'Podcasts'!$D$532,ROW(INDIRECT("1:"&amp;K$2)))=0,ROW(INDIRECT("1:"&amp;K$2))),ROW($A178)),"")</f>
        <v>180</v>
      </c>
      <c r="AX221" s="117"/>
      <c r="AY221" s="117"/>
      <c r="AZ221" s="445"/>
      <c r="BA221" s="117"/>
      <c r="BB221" s="117">
        <f t="array" aca="1" ref="BB221" ca="1">IFERROR(SMALL(IF(COUNTIF(Podcasts!$D$1257:'Podcasts'!$D$1267,ROW(INDIRECT("1:"&amp;K$2)))=0,ROW(INDIRECT("1:"&amp;K$2))),ROW($A178)),"")</f>
        <v>185</v>
      </c>
      <c r="BC221" s="117">
        <f t="array" aca="1" ref="BC221" ca="1">IFERROR(SMALL(IF(COUNTIF(Podcasts!$D$1273:'Podcasts'!$D$1283,ROW(INDIRECT("1:"&amp;K$2)))=0,ROW(INDIRECT("1:"&amp;K$2))),ROW($A178)),"")</f>
        <v>184</v>
      </c>
      <c r="BD221" s="117">
        <f t="array" aca="1" ref="BD221" ca="1">IFERROR(SMALL(IF(COUNTIF(Podcasts!$D$1289:'Podcasts'!$D$1295,ROW(INDIRECT("1:"&amp;K$2)))=0,ROW(INDIRECT("1:"&amp;K$2))),ROW($A178)),"")</f>
        <v>184</v>
      </c>
      <c r="BE221" s="117">
        <f t="array" aca="1" ref="BE221" ca="1">IFERROR(SMALL(IF(COUNTIF(Podcasts!$D$1301:'Podcasts'!$D$1356,ROW(INDIRECT("1:"&amp;K$2)))=0,ROW(INDIRECT("1:"&amp;K$2))),ROW($A178)),"")</f>
        <v>225</v>
      </c>
      <c r="BF221" s="117">
        <f t="array" aca="1" ref="BF221" ca="1">IFERROR(SMALL(IF(COUNTIF(Podcasts!$D$1362:'Podcasts'!$D$1364,ROW(INDIRECT("1:"&amp;K$2)))=0,ROW(INDIRECT("1:"&amp;K$2))),ROW($A178)),"")</f>
        <v>181</v>
      </c>
      <c r="BG221" s="202">
        <f t="array" aca="1" ref="BG221" ca="1">IFERROR(SMALL(IF(COUNTIF(Podcasts!$D$1370:'Podcasts'!$D$1419,ROW(INDIRECT("1:"&amp;K$2)))=0,ROW(INDIRECT("1:"&amp;K$2))),ROW($A178)),"")</f>
        <v>219</v>
      </c>
      <c r="BH221" s="202">
        <f t="array" aca="1" ref="BH221" ca="1">IFERROR(SMALL(IF(COUNTIF(Podcasts!$D$1425:'Podcasts'!$D$1446,ROW(INDIRECT("1:"&amp;K$2)))=0,ROW(INDIRECT("1:"&amp;K$2))),ROW($A178)),"")</f>
        <v>190</v>
      </c>
      <c r="BI221" s="202"/>
      <c r="BJ221" s="202"/>
      <c r="BK221" s="202"/>
      <c r="BL221" s="202">
        <f t="array" aca="1" ref="BL221" ca="1">IFERROR(SMALL(IF(COUNTIF(Podcasts!$D$1839:'Podcasts'!$D$1855,ROW(INDIRECT("1:"&amp;K$2)))=0,ROW(INDIRECT("1:"&amp;K$2))),ROW($A178)),"")</f>
        <v>187</v>
      </c>
      <c r="BM221" s="567"/>
      <c r="BN221" s="567"/>
      <c r="BO221" s="567">
        <f t="array" aca="1" ref="BO221" ca="1">IFERROR(SMALL(IF(COUNTIF(Podcasts!$D$2063:'Podcasts'!$D$2071,ROW(INDIRECT("1:"&amp;K$2)))=0,ROW(INDIRECT("1:"&amp;K$2))),ROW($A178)),"")</f>
        <v>186</v>
      </c>
      <c r="BP221" s="202">
        <f t="array" aca="1" ref="BP221" ca="1">IFERROR(SMALL(IF(COUNTIF(Podcasts!$D$2077:'Podcasts'!$D$2092,ROW(INDIRECT("1:"&amp;K$2)))=0,ROW(INDIRECT("1:"&amp;K$2))),ROW($A178)),"")</f>
        <v>189</v>
      </c>
      <c r="BQ221" s="741">
        <f t="array" aca="1" ref="BQ221" ca="1">IFERROR(SMALL(IF(COUNTIF(Podcasts!$D$2098:'Podcasts'!$D$2114,ROW(INDIRECT("1:"&amp;K$2)))=0,ROW(INDIRECT("1:"&amp;K$2))),ROW($A178)),"")</f>
        <v>193</v>
      </c>
      <c r="BR221" s="744">
        <f t="array" aca="1" ref="BR221" ca="1">IFERROR(SMALL(IF(COUNTIF(Podcasts!$D$2120:'Podcasts'!$D$2124,ROW(INDIRECT("1:"&amp;K$2)))=0,ROW(INDIRECT("1:"&amp;K$2))),ROW($A178)),"")</f>
        <v>180</v>
      </c>
      <c r="BS221" s="28"/>
    </row>
    <row r="222" spans="1:71" outlineLevel="1">
      <c r="A222" s="28"/>
      <c r="B222" s="161">
        <v>179</v>
      </c>
      <c r="C222" s="161">
        <f>COUNTIF(Podcasts!$D$10:'Podcasts'!$D$2535,B222)</f>
        <v>3</v>
      </c>
      <c r="D222" s="160" t="s">
        <v>1203</v>
      </c>
      <c r="E222" s="156" t="str">
        <f t="array" ref="E222">IF(F222="","",INDEX(Podcasts!$J$10:'Podcasts'!$J$2535,MATCH(F222&amp;$B222,Podcasts!$E$10:'Podcasts'!$E$2535&amp;Podcasts!$D$10:'Podcasts'!$D$2535,0)))</f>
        <v>Ohr</v>
      </c>
      <c r="F222" s="131">
        <f t="array" ref="F222">IF(COUNTIF(Podcasts!$D$10:'Podcasts'!$D$2535,$B222)&lt;COLUMN(A185),"",SMALL(IF(Podcasts!$D$10:'Podcasts'!$D$2535=$B222,Podcasts!$E$10:'Podcasts'!$E$2535),COLUMN(A185)))</f>
        <v>42405</v>
      </c>
      <c r="G222" s="132">
        <f t="array" ref="G222">IF(F222="","",INDEX(Podcasts!$F$10:'Podcasts'!$F$2535,MATCH(F222&amp;$B222,Podcasts!$E$10:'Podcasts'!$E$2535&amp;Podcasts!$D$10:'Podcasts'!$D$2535,0)))</f>
        <v>2.6967592592592594E-3</v>
      </c>
      <c r="H222" s="136" t="str">
        <f t="array" ref="H222">IF(I222="","",INDEX(Podcasts!$J$10:'Podcasts'!$J$2535,MATCH(I222&amp;$B222,Podcasts!$E$10:'Podcasts'!$E$2535&amp;Podcasts!$D$10:'Podcasts'!$D$2535,0)))</f>
        <v>???od</v>
      </c>
      <c r="I222" s="133">
        <f t="array" ref="I222">IF(COUNTIF(Podcasts!$D$10:'Podcasts'!$D$2535,$B222)&lt;COLUMN(B185),"",SMALL(IF(Podcasts!$D$10:'Podcasts'!$D$2535=$B222,Podcasts!$E$10:'Podcasts'!$E$2535),COLUMN(B185)))</f>
        <v>42442</v>
      </c>
      <c r="J222" s="132">
        <f t="array" ref="J222">IF(I222="","",INDEX(Podcasts!$F$10:'Podcasts'!$F$2535,MATCH(I222&amp;$B222,Podcasts!$E$10:'Podcasts'!$E$2535&amp;Podcasts!$D$10:'Podcasts'!$D$2535,0)))</f>
        <v>5.7962962962962959E-2</v>
      </c>
      <c r="K222" s="136" t="str">
        <f t="array" ref="K222">IF(L222="","",INDEX(Podcasts!$J$10:'Podcasts'!$J$2535,MATCH(L222&amp;$B222,Podcasts!$E$10:'Podcasts'!$E$2535&amp;Podcasts!$D$10:'Podcasts'!$D$2535,0)))</f>
        <v>Fan</v>
      </c>
      <c r="L222" s="133">
        <f t="array" ref="L222">IF(COUNTIF(Podcasts!$D$10:'Podcasts'!$D$2535,$B222)&lt;COLUMN(C185),"",SMALL(IF(Podcasts!$D$10:'Podcasts'!$D$2535=$B222,Podcasts!$E$10:'Podcasts'!$E$2535),COLUMN(C185)))</f>
        <v>44439</v>
      </c>
      <c r="M222" s="132">
        <f t="array" ref="M222">IF(L222="","",INDEX(Podcasts!$F$10:'Podcasts'!$F$2535,MATCH(L222&amp;$B222,Podcasts!$E$10:'Podcasts'!$E$2535&amp;Podcasts!$D$10:'Podcasts'!$D$2535,0)))</f>
        <v>3.2615740740740744E-2</v>
      </c>
      <c r="N222" s="136" t="str">
        <f t="array" ref="N222">IF(O222="","",INDEX(Podcasts!$J$10:'Podcasts'!$J$2535,MATCH(O222&amp;$B222,Podcasts!$E$10:'Podcasts'!$E$2535&amp;Podcasts!$D$10:'Podcasts'!$D$2535,0)))</f>
        <v/>
      </c>
      <c r="O222" s="133" t="str">
        <f t="array" ref="O222">IF(COUNTIF(Podcasts!$D$10:'Podcasts'!$D$2535,$B222)&lt;COLUMN(D185),"",SMALL(IF(Podcasts!$D$10:'Podcasts'!$D$2535=$B222,Podcasts!$E$10:'Podcasts'!$E$2535),COLUMN(D185)))</f>
        <v/>
      </c>
      <c r="P222" s="132" t="str">
        <f t="array" ref="P222">IF(O222="","",INDEX(Podcasts!$F$10:'Podcasts'!$F$2535,MATCH(O222&amp;$B222,Podcasts!$E$10:'Podcasts'!$E$2535&amp;Podcasts!$D$10:'Podcasts'!$D$2535,0)))</f>
        <v/>
      </c>
      <c r="Q222" s="136" t="str">
        <f t="array" ref="Q222">IF(R222="","",INDEX(Podcasts!$J$10:'Podcasts'!$J$2535,MATCH(R222&amp;$B222,Podcasts!$E$10:'Podcasts'!$E$2535&amp;Podcasts!$D$10:'Podcasts'!$D$2535,0)))</f>
        <v/>
      </c>
      <c r="R222" s="133" t="str">
        <f t="array" ref="R222">IF(COUNTIF(Podcasts!$D$10:'Podcasts'!$D$2535,$B222)&lt;COLUMN(E185),"",SMALL(IF(Podcasts!$D$10:'Podcasts'!$D$2535=$B222,Podcasts!$E$10:'Podcasts'!$E$2535),COLUMN(E185)))</f>
        <v/>
      </c>
      <c r="S222" s="132" t="str">
        <f t="array" ref="S222">IF(R222="","",INDEX(Podcasts!$F$10:'Podcasts'!$F$2535,MATCH(R222&amp;$B222,Podcasts!$E$10:'Podcasts'!$E$2535&amp;Podcasts!$D$10:'Podcasts'!$D$2535,0)))</f>
        <v/>
      </c>
      <c r="T222" s="136" t="str">
        <f t="array" ref="T222">IF(U222="","",INDEX(Podcasts!$J$10:'Podcasts'!$J$2535,MATCH(U222&amp;$B222,Podcasts!$E$10:'Podcasts'!$E$2535&amp;Podcasts!$D$10:'Podcasts'!$D$2535,0)))</f>
        <v/>
      </c>
      <c r="U222" s="133" t="str">
        <f t="array" ref="U222">IF(COUNTIF(Podcasts!$D$10:'Podcasts'!$D$2535,$B222)&lt;COLUMN(F185),"",SMALL(IF(Podcasts!$D$10:'Podcasts'!$D$2535=$B222,Podcasts!$E$10:'Podcasts'!$E$2535),COLUMN(F185)))</f>
        <v/>
      </c>
      <c r="V222" s="132" t="str">
        <f t="array" ref="V222">IF(U222="","",INDEX(Podcasts!$F$10:'Podcasts'!$F$2535,MATCH(U222&amp;$B222,Podcasts!$E$10:'Podcasts'!$E$2535&amp;Podcasts!$D$10:'Podcasts'!$D$2535,0)))</f>
        <v/>
      </c>
      <c r="W222" s="136" t="str">
        <f t="array" ref="W222">IF(X222="","",INDEX(Podcasts!$J$10:'Podcasts'!$J$2535,MATCH(X222&amp;$B222,Podcasts!$E$10:'Podcasts'!$E$2535&amp;Podcasts!$D$10:'Podcasts'!$D$2535,0)))</f>
        <v/>
      </c>
      <c r="X222" s="133" t="str">
        <f t="array" ref="X222">IF(COUNTIF(Podcasts!$D$10:'Podcasts'!$D$2535,$B222)&lt;COLUMN(G185),"",SMALL(IF(Podcasts!$D$10:'Podcasts'!$D$2535=$B222,Podcasts!$E$10:'Podcasts'!$E$2535),COLUMN(G185)))</f>
        <v/>
      </c>
      <c r="Y222" s="132" t="str">
        <f t="array" ref="Y222">IF(X222="","",INDEX(Podcasts!$F$10:'Podcasts'!$F$2535,MATCH(X222&amp;$B222,Podcasts!$E$10:'Podcasts'!$E$2535&amp;Podcasts!$D$10:'Podcasts'!$D$2535,0)))</f>
        <v/>
      </c>
      <c r="Z222" s="136" t="str">
        <f t="array" ref="Z222">IF(AA222="","",INDEX(Podcasts!$J$10:'Podcasts'!$J$2535,MATCH(AA222&amp;$B222,Podcasts!$E$10:'Podcasts'!$E$2535&amp;Podcasts!$D$10:'Podcasts'!$D$2535,0)))</f>
        <v/>
      </c>
      <c r="AA222" s="134" t="str">
        <f t="array" ref="AA222">IF(COUNTIF(Podcasts!$D$10:'Podcasts'!$D$2535,$B222)&lt;COLUMN(H185),"",SMALL(IF(Podcasts!$D$10:'Podcasts'!$D$2535=$B222,Podcasts!$E$10:'Podcasts'!$E$2535),COLUMN(H185)))</f>
        <v/>
      </c>
      <c r="AB222" s="404" t="str">
        <f t="array" ref="AB222">IF(AA222="","",INDEX(Podcasts!$F$10:'Podcasts'!$F$2535,MATCH(AA222&amp;$B222,Podcasts!$E$10:'Podcasts'!$E$2535&amp;Podcasts!$D$10:'Podcasts'!$D$2535,0)))</f>
        <v/>
      </c>
      <c r="AC222" s="406" t="str">
        <f t="array" ref="AC222">IF(AD222="","",INDEX(Podcasts!$J$10:'Podcasts'!$J$2535,MATCH(AD222&amp;$B222,Podcasts!$E$10:'Podcasts'!$E$2535&amp;Podcasts!$D$10:'Podcasts'!$D$2535,0)))</f>
        <v/>
      </c>
      <c r="AD222" s="400" t="str">
        <f t="array" ref="AD222">IF(COUNTIF(Podcasts!$D$10:'Podcasts'!$D$2535,$B222)&lt;COLUMN(I185),"",SMALL(IF(Podcasts!$D$10:'Podcasts'!$D$2535=$B222,Podcasts!$E$10:'Podcasts'!$E$2535),COLUMN(I185)))</f>
        <v/>
      </c>
      <c r="AE222" s="401" t="str">
        <f t="array" ref="AE222">IF(AD222="","",INDEX(Podcasts!$F$10:'Podcasts'!$F$2535,MATCH(AD222&amp;$B222,Podcasts!$E$10:'Podcasts'!$E$2535&amp;Podcasts!$D$10:'Podcasts'!$D$2535,0)))</f>
        <v/>
      </c>
      <c r="AF222" s="406" t="str">
        <f t="array" ref="AF222">IF(AG222="","",INDEX(Podcasts!$J$10:'Podcasts'!$J$2535,MATCH(AG222&amp;$B222,Podcasts!$E$10:'Podcasts'!$E$2535&amp;Podcasts!$D$10:'Podcasts'!$D$2535,0)))</f>
        <v/>
      </c>
      <c r="AG222" s="400" t="str">
        <f t="array" ref="AG222">IF(COUNTIF(Podcasts!$D$10:'Podcasts'!$D$2535,$B222)&lt;COLUMN(J185),"",SMALL(IF(Podcasts!$D$10:'Podcasts'!$D$2535=$B222,Podcasts!$E$10:'Podcasts'!$E$2535),COLUMN(J185)))</f>
        <v/>
      </c>
      <c r="AH222" s="401" t="str">
        <f t="array" ref="AH222">IF(AG222="","",INDEX(Podcasts!$F$10:'Podcasts'!$F$2535,MATCH(AG222&amp;$B222,Podcasts!$E$10:'Podcasts'!$E$2535&amp;Podcasts!$D$10:'Podcasts'!$D$2535,0)))</f>
        <v/>
      </c>
      <c r="AI222" s="406" t="str">
        <f t="array" ref="AI222">IF(AJ222="","",INDEX(Podcasts!$J$10:'Podcasts'!$J$2535,MATCH(AJ222&amp;$B222,Podcasts!$E$10:'Podcasts'!$E$2535&amp;Podcasts!$D$10:'Podcasts'!$D$2535,0)))</f>
        <v/>
      </c>
      <c r="AJ222" s="400" t="str">
        <f t="array" ref="AJ222">IF(COUNTIF(Podcasts!$D$10:'Podcasts'!$D$2535,$B222)&lt;COLUMN(K185),"",SMALL(IF(Podcasts!$D$10:'Podcasts'!$D$2535=$B222,Podcasts!$E$10:'Podcasts'!$E$2535),COLUMN(K185)))</f>
        <v/>
      </c>
      <c r="AK222" s="401" t="str">
        <f t="array" ref="AK222">IF(AJ222="","",INDEX(Podcasts!$F$10:'Podcasts'!$F$2535,MATCH(AJ222&amp;$B222,Podcasts!$E$10:'Podcasts'!$E$2535&amp;Podcasts!$D$10:'Podcasts'!$D$2535,0)))</f>
        <v/>
      </c>
      <c r="AL222" s="406" t="str">
        <f t="array" ref="AL222">IF(AM222="","",INDEX(Podcasts!$J$10:'Podcasts'!$J$2535,MATCH(AM222&amp;$B222,Podcasts!$E$10:'Podcasts'!$E$2535&amp;Podcasts!$D$10:'Podcasts'!$D$2535,0)))</f>
        <v/>
      </c>
      <c r="AM222" s="400" t="str">
        <f t="array" ref="AM222">IF(COUNTIF(Podcasts!$D$10:'Podcasts'!$D$2535,$B222)&lt;COLUMN(L185),"",SMALL(IF(Podcasts!$D$10:'Podcasts'!$D$2535=$B222,Podcasts!$E$10:'Podcasts'!$E$2535),COLUMN(L185)))</f>
        <v/>
      </c>
      <c r="AN222" s="401" t="str">
        <f t="array" ref="AN222">IF(AM222="","",INDEX(Podcasts!$F$10:'Podcasts'!$F$2535,MATCH(AM222&amp;$B222,Podcasts!$E$10:'Podcasts'!$E$2535&amp;Podcasts!$D$10:'Podcasts'!$D$2535,0)))</f>
        <v/>
      </c>
      <c r="AO222" s="402"/>
      <c r="AP222" s="119"/>
      <c r="AQ222" s="117" t="str">
        <f t="array" aca="1" ref="AQ222" ca="1">IFERROR(SMALL(IF(COUNTIF(Podcasts!$D$10:'Podcasts'!$D$107,ROW(INDIRECT("1:"&amp;K$2)))=0,ROW(INDIRECT("1:"&amp;K$2))),ROW($A179)),"")</f>
        <v/>
      </c>
      <c r="AR222" s="117"/>
      <c r="AS222" s="117">
        <f t="array" aca="1" ref="AS222" ca="1">IFERROR(SMALL(IF(COUNTIF(Podcasts!$D$244:'Podcasts'!$D$299,ROW(INDIRECT("1:"&amp;K$2)))=0,ROW(INDIRECT("1:"&amp;K$2))),ROW($A179)),"")</f>
        <v>216</v>
      </c>
      <c r="AT222" s="117"/>
      <c r="AU222" s="117">
        <f t="array" aca="1" ref="AU222" ca="1">IFERROR(SMALL(IF(COUNTIF(Podcasts!$D$479:'Podcasts'!$D$488,ROW(INDIRECT("1:"&amp;K$2)))=0,ROW(INDIRECT("1:"&amp;K$2))),ROW($A179)),"")</f>
        <v>183</v>
      </c>
      <c r="AV222" s="117">
        <f t="array" aca="1" ref="AV222" ca="1">IFERROR(SMALL(IF(COUNTIF(Podcasts!$D$494:'Podcasts'!$D$518,ROW(INDIRECT("1:"&amp;K$2)))=0,ROW(INDIRECT("1:"&amp;K$2))),ROW($A179)),"")</f>
        <v>204</v>
      </c>
      <c r="AW222" s="117">
        <f t="array" aca="1" ref="AW222" ca="1">IFERROR(SMALL(IF(COUNTIF(Podcasts!$D$524:'Podcasts'!$D$532,ROW(INDIRECT("1:"&amp;K$2)))=0,ROW(INDIRECT("1:"&amp;K$2))),ROW($A179)),"")</f>
        <v>181</v>
      </c>
      <c r="AX222" s="117"/>
      <c r="AY222" s="117"/>
      <c r="AZ222" s="445"/>
      <c r="BA222" s="117"/>
      <c r="BB222" s="117">
        <f t="array" aca="1" ref="BB222" ca="1">IFERROR(SMALL(IF(COUNTIF(Podcasts!$D$1257:'Podcasts'!$D$1267,ROW(INDIRECT("1:"&amp;K$2)))=0,ROW(INDIRECT("1:"&amp;K$2))),ROW($A179)),"")</f>
        <v>186</v>
      </c>
      <c r="BC222" s="117">
        <f t="array" aca="1" ref="BC222" ca="1">IFERROR(SMALL(IF(COUNTIF(Podcasts!$D$1273:'Podcasts'!$D$1283,ROW(INDIRECT("1:"&amp;K$2)))=0,ROW(INDIRECT("1:"&amp;K$2))),ROW($A179)),"")</f>
        <v>185</v>
      </c>
      <c r="BD222" s="117">
        <f t="array" aca="1" ref="BD222" ca="1">IFERROR(SMALL(IF(COUNTIF(Podcasts!$D$1289:'Podcasts'!$D$1295,ROW(INDIRECT("1:"&amp;K$2)))=0,ROW(INDIRECT("1:"&amp;K$2))),ROW($A179)),"")</f>
        <v>185</v>
      </c>
      <c r="BE222" s="117">
        <f t="array" aca="1" ref="BE222" ca="1">IFERROR(SMALL(IF(COUNTIF(Podcasts!$D$1301:'Podcasts'!$D$1356,ROW(INDIRECT("1:"&amp;K$2)))=0,ROW(INDIRECT("1:"&amp;K$2))),ROW($A179)),"")</f>
        <v>226</v>
      </c>
      <c r="BF222" s="117">
        <f t="array" aca="1" ref="BF222" ca="1">IFERROR(SMALL(IF(COUNTIF(Podcasts!$D$1362:'Podcasts'!$D$1364,ROW(INDIRECT("1:"&amp;K$2)))=0,ROW(INDIRECT("1:"&amp;K$2))),ROW($A179)),"")</f>
        <v>182</v>
      </c>
      <c r="BG222" s="202">
        <f t="array" aca="1" ref="BG222" ca="1">IFERROR(SMALL(IF(COUNTIF(Podcasts!$D$1370:'Podcasts'!$D$1419,ROW(INDIRECT("1:"&amp;K$2)))=0,ROW(INDIRECT("1:"&amp;K$2))),ROW($A179)),"")</f>
        <v>220</v>
      </c>
      <c r="BH222" s="202">
        <f t="array" aca="1" ref="BH222" ca="1">IFERROR(SMALL(IF(COUNTIF(Podcasts!$D$1425:'Podcasts'!$D$1446,ROW(INDIRECT("1:"&amp;K$2)))=0,ROW(INDIRECT("1:"&amp;K$2))),ROW($A179)),"")</f>
        <v>191</v>
      </c>
      <c r="BI222" s="202"/>
      <c r="BJ222" s="202"/>
      <c r="BK222" s="202"/>
      <c r="BL222" s="202">
        <f t="array" aca="1" ref="BL222" ca="1">IFERROR(SMALL(IF(COUNTIF(Podcasts!$D$1839:'Podcasts'!$D$1855,ROW(INDIRECT("1:"&amp;K$2)))=0,ROW(INDIRECT("1:"&amp;K$2))),ROW($A179)),"")</f>
        <v>188</v>
      </c>
      <c r="BM222" s="567"/>
      <c r="BN222" s="567"/>
      <c r="BO222" s="567">
        <f t="array" aca="1" ref="BO222" ca="1">IFERROR(SMALL(IF(COUNTIF(Podcasts!$D$2063:'Podcasts'!$D$2071,ROW(INDIRECT("1:"&amp;K$2)))=0,ROW(INDIRECT("1:"&amp;K$2))),ROW($A179)),"")</f>
        <v>187</v>
      </c>
      <c r="BP222" s="202">
        <f t="array" aca="1" ref="BP222" ca="1">IFERROR(SMALL(IF(COUNTIF(Podcasts!$D$2077:'Podcasts'!$D$2092,ROW(INDIRECT("1:"&amp;K$2)))=0,ROW(INDIRECT("1:"&amp;K$2))),ROW($A179)),"")</f>
        <v>190</v>
      </c>
      <c r="BQ222" s="741">
        <f t="array" aca="1" ref="BQ222" ca="1">IFERROR(SMALL(IF(COUNTIF(Podcasts!$D$2098:'Podcasts'!$D$2114,ROW(INDIRECT("1:"&amp;K$2)))=0,ROW(INDIRECT("1:"&amp;K$2))),ROW($A179)),"")</f>
        <v>194</v>
      </c>
      <c r="BR222" s="744">
        <f t="array" aca="1" ref="BR222" ca="1">IFERROR(SMALL(IF(COUNTIF(Podcasts!$D$2120:'Podcasts'!$D$2124,ROW(INDIRECT("1:"&amp;K$2)))=0,ROW(INDIRECT("1:"&amp;K$2))),ROW($A179)),"")</f>
        <v>181</v>
      </c>
      <c r="BS222" s="28"/>
    </row>
    <row r="223" spans="1:71" outlineLevel="1">
      <c r="A223" s="28"/>
      <c r="B223" s="161">
        <v>180</v>
      </c>
      <c r="C223" s="161">
        <f>COUNTIF(Podcasts!$D$10:'Podcasts'!$D$2535,B223)</f>
        <v>8</v>
      </c>
      <c r="D223" s="160" t="s">
        <v>1204</v>
      </c>
      <c r="E223" s="156" t="str">
        <f t="array" ref="E223">IF(F223="","",INDEX(Podcasts!$J$10:'Podcasts'!$J$2535,MATCH(F223&amp;$B223,Podcasts!$E$10:'Podcasts'!$E$2535&amp;Podcasts!$D$10:'Podcasts'!$D$2535,0)))</f>
        <v>Ohr</v>
      </c>
      <c r="F223" s="131">
        <f t="array" ref="F223">IF(COUNTIF(Podcasts!$D$10:'Podcasts'!$D$2535,$B223)&lt;COLUMN(A186),"",SMALL(IF(Podcasts!$D$10:'Podcasts'!$D$2535=$B223,Podcasts!$E$10:'Podcasts'!$E$2535),COLUMN(A186)))</f>
        <v>42471</v>
      </c>
      <c r="G223" s="132">
        <f t="array" ref="G223">IF(F223="","",INDEX(Podcasts!$F$10:'Podcasts'!$F$2535,MATCH(F223&amp;$B223,Podcasts!$E$10:'Podcasts'!$E$2535&amp;Podcasts!$D$10:'Podcasts'!$D$2535,0)))</f>
        <v>1.8055555555555557E-3</v>
      </c>
      <c r="H223" s="136" t="str">
        <f t="array" ref="H223">IF(I223="","",INDEX(Podcasts!$J$10:'Podcasts'!$J$2535,MATCH(I223&amp;$B223,Podcasts!$E$10:'Podcasts'!$E$2535&amp;Podcasts!$D$10:'Podcasts'!$D$2535,0)))</f>
        <v>Talker</v>
      </c>
      <c r="I223" s="133">
        <f t="array" ref="I223">IF(COUNTIF(Podcasts!$D$10:'Podcasts'!$D$2535,$B223)&lt;COLUMN(B186),"",SMALL(IF(Podcasts!$D$10:'Podcasts'!$D$2535=$B223,Podcasts!$E$10:'Podcasts'!$E$2535),COLUMN(B186)))</f>
        <v>42501</v>
      </c>
      <c r="J223" s="132">
        <f t="array" ref="J223">IF(I223="","",INDEX(Podcasts!$F$10:'Podcasts'!$F$2535,MATCH(I223&amp;$B223,Podcasts!$E$10:'Podcasts'!$E$2535&amp;Podcasts!$D$10:'Podcasts'!$D$2535,0)))</f>
        <v>2.2766203703703702E-2</v>
      </c>
      <c r="K223" s="136" t="str">
        <f t="array" ref="K223">IF(L223="","",INDEX(Podcasts!$J$10:'Podcasts'!$J$2535,MATCH(L223&amp;$B223,Podcasts!$E$10:'Podcasts'!$E$2535&amp;Podcasts!$D$10:'Podcasts'!$D$2535,0)))</f>
        <v>SSP</v>
      </c>
      <c r="L223" s="133">
        <f t="array" ref="L223">IF(COUNTIF(Podcasts!$D$10:'Podcasts'!$D$2535,$B223)&lt;COLUMN(C186),"",SMALL(IF(Podcasts!$D$10:'Podcasts'!$D$2535=$B223,Podcasts!$E$10:'Podcasts'!$E$2535),COLUMN(C186)))</f>
        <v>43546</v>
      </c>
      <c r="M223" s="132">
        <f t="array" ref="M223">IF(L223="","",INDEX(Podcasts!$F$10:'Podcasts'!$F$2535,MATCH(L223&amp;$B223,Podcasts!$E$10:'Podcasts'!$E$2535&amp;Podcasts!$D$10:'Podcasts'!$D$2535,0)))</f>
        <v>7.4386574074074077E-2</v>
      </c>
      <c r="N223" s="136" t="str">
        <f t="array" ref="N223">IF(O223="","",INDEX(Podcasts!$J$10:'Podcasts'!$J$2535,MATCH(O223&amp;$B223,Podcasts!$E$10:'Podcasts'!$E$2535&amp;Podcasts!$D$10:'Podcasts'!$D$2535,0)))</f>
        <v>Kaffee</v>
      </c>
      <c r="O223" s="133">
        <f t="array" ref="O223">IF(COUNTIF(Podcasts!$D$10:'Podcasts'!$D$2535,$B223)&lt;COLUMN(D186),"",SMALL(IF(Podcasts!$D$10:'Podcasts'!$D$2535=$B223,Podcasts!$E$10:'Podcasts'!$E$2535),COLUMN(D186)))</f>
        <v>44295</v>
      </c>
      <c r="P223" s="132">
        <f t="array" ref="P223">IF(O223="","",INDEX(Podcasts!$F$10:'Podcasts'!$F$2535,MATCH(O223&amp;$B223,Podcasts!$E$10:'Podcasts'!$E$2535&amp;Podcasts!$D$10:'Podcasts'!$D$2535,0)))</f>
        <v>2.7696759259259258E-2</v>
      </c>
      <c r="Q223" s="136" t="str">
        <f t="array" ref="Q223">IF(R223="","",INDEX(Podcasts!$J$10:'Podcasts'!$J$2535,MATCH(R223&amp;$B223,Podcasts!$E$10:'Podcasts'!$E$2535&amp;Podcasts!$D$10:'Podcasts'!$D$2535,0)))</f>
        <v>Kuchen</v>
      </c>
      <c r="R223" s="133">
        <f t="array" ref="R223">IF(COUNTIF(Podcasts!$D$10:'Podcasts'!$D$2535,$B223)&lt;COLUMN(E186),"",SMALL(IF(Podcasts!$D$10:'Podcasts'!$D$2535=$B223,Podcasts!$E$10:'Podcasts'!$E$2535),COLUMN(E186)))</f>
        <v>44367</v>
      </c>
      <c r="S223" s="132">
        <f t="array" ref="S223">IF(R223="","",INDEX(Podcasts!$F$10:'Podcasts'!$F$2535,MATCH(R223&amp;$B223,Podcasts!$E$10:'Podcasts'!$E$2535&amp;Podcasts!$D$10:'Podcasts'!$D$2535,0)))</f>
        <v>7.6666666666666661E-2</v>
      </c>
      <c r="T223" s="136" t="str">
        <f t="array" ref="T223">IF(U223="","",INDEX(Podcasts!$J$10:'Podcasts'!$J$2535,MATCH(U223&amp;$B223,Podcasts!$E$10:'Podcasts'!$E$2535&amp;Podcasts!$D$10:'Podcasts'!$D$2535,0)))</f>
        <v>Zentrale</v>
      </c>
      <c r="U223" s="133">
        <f t="array" ref="U223">IF(COUNTIF(Podcasts!$D$10:'Podcasts'!$D$2535,$B223)&lt;COLUMN(F186),"",SMALL(IF(Podcasts!$D$10:'Podcasts'!$D$2535=$B223,Podcasts!$E$10:'Podcasts'!$E$2535),COLUMN(F186)))</f>
        <v>44981</v>
      </c>
      <c r="V223" s="132">
        <f t="array" ref="V223">IF(U223="","",INDEX(Podcasts!$F$10:'Podcasts'!$F$2535,MATCH(U223&amp;$B223,Podcasts!$E$10:'Podcasts'!$E$2535&amp;Podcasts!$D$10:'Podcasts'!$D$2535,0)))</f>
        <v>0.12805555555555556</v>
      </c>
      <c r="W223" s="136" t="str">
        <f t="array" ref="W223">IF(X223="","",INDEX(Podcasts!$J$10:'Podcasts'!$J$2535,MATCH(X223&amp;$B223,Podcasts!$E$10:'Podcasts'!$E$2535&amp;Podcasts!$D$10:'Podcasts'!$D$2535,0)))</f>
        <v>DGdB</v>
      </c>
      <c r="X223" s="133">
        <f t="array" ref="X223">IF(COUNTIF(Podcasts!$D$10:'Podcasts'!$D$2535,$B223)&lt;COLUMN(G186),"",SMALL(IF(Podcasts!$D$10:'Podcasts'!$D$2535=$B223,Podcasts!$E$10:'Podcasts'!$E$2535),COLUMN(G186)))</f>
        <v>45017.333333333336</v>
      </c>
      <c r="Y223" s="132">
        <f t="array" ref="Y223">IF(X223="","",INDEX(Podcasts!$F$10:'Podcasts'!$F$2535,MATCH(X223&amp;$B223,Podcasts!$E$10:'Podcasts'!$E$2535&amp;Podcasts!$D$10:'Podcasts'!$D$2535,0)))</f>
        <v>8.7638888888888891E-2</v>
      </c>
      <c r="Z223" s="136" t="str">
        <f t="array" ref="Z223">IF(AA223="","",INDEX(Podcasts!$J$10:'Podcasts'!$J$2535,MATCH(AA223&amp;$B223,Podcasts!$E$10:'Podcasts'!$E$2535&amp;Podcasts!$D$10:'Podcasts'!$D$2535,0)))</f>
        <v>Verstärker</v>
      </c>
      <c r="AA223" s="134">
        <f t="array" ref="AA223">IF(COUNTIF(Podcasts!$D$10:'Podcasts'!$D$2535,$B223)&lt;COLUMN(H186),"",SMALL(IF(Podcasts!$D$10:'Podcasts'!$D$2535=$B223,Podcasts!$E$10:'Podcasts'!$E$2535),COLUMN(H186)))</f>
        <v>45325</v>
      </c>
      <c r="AB223" s="404">
        <f t="array" ref="AB223">IF(AA223="","",INDEX(Podcasts!$F$10:'Podcasts'!$F$2535,MATCH(AA223&amp;$B223,Podcasts!$E$10:'Podcasts'!$E$2535&amp;Podcasts!$D$10:'Podcasts'!$D$2535,0)))</f>
        <v>3.0115740740740738E-2</v>
      </c>
      <c r="AC223" s="406" t="str">
        <f t="array" ref="AC223">IF(AD223="","",INDEX(Podcasts!$J$10:'Podcasts'!$J$2535,MATCH(AD223&amp;$B223,Podcasts!$E$10:'Podcasts'!$E$2535&amp;Podcasts!$D$10:'Podcasts'!$D$2535,0)))</f>
        <v/>
      </c>
      <c r="AD223" s="400" t="str">
        <f t="array" ref="AD223">IF(COUNTIF(Podcasts!$D$10:'Podcasts'!$D$2535,$B223)&lt;COLUMN(I186),"",SMALL(IF(Podcasts!$D$10:'Podcasts'!$D$2535=$B223,Podcasts!$E$10:'Podcasts'!$E$2535),COLUMN(I186)))</f>
        <v/>
      </c>
      <c r="AE223" s="401" t="str">
        <f t="array" ref="AE223">IF(AD223="","",INDEX(Podcasts!$F$10:'Podcasts'!$F$2535,MATCH(AD223&amp;$B223,Podcasts!$E$10:'Podcasts'!$E$2535&amp;Podcasts!$D$10:'Podcasts'!$D$2535,0)))</f>
        <v/>
      </c>
      <c r="AF223" s="406" t="str">
        <f t="array" ref="AF223">IF(AG223="","",INDEX(Podcasts!$J$10:'Podcasts'!$J$2535,MATCH(AG223&amp;$B223,Podcasts!$E$10:'Podcasts'!$E$2535&amp;Podcasts!$D$10:'Podcasts'!$D$2535,0)))</f>
        <v/>
      </c>
      <c r="AG223" s="400" t="str">
        <f t="array" ref="AG223">IF(COUNTIF(Podcasts!$D$10:'Podcasts'!$D$2535,$B223)&lt;COLUMN(J186),"",SMALL(IF(Podcasts!$D$10:'Podcasts'!$D$2535=$B223,Podcasts!$E$10:'Podcasts'!$E$2535),COLUMN(J186)))</f>
        <v/>
      </c>
      <c r="AH223" s="401" t="str">
        <f t="array" ref="AH223">IF(AG223="","",INDEX(Podcasts!$F$10:'Podcasts'!$F$2535,MATCH(AG223&amp;$B223,Podcasts!$E$10:'Podcasts'!$E$2535&amp;Podcasts!$D$10:'Podcasts'!$D$2535,0)))</f>
        <v/>
      </c>
      <c r="AI223" s="406" t="str">
        <f t="array" ref="AI223">IF(AJ223="","",INDEX(Podcasts!$J$10:'Podcasts'!$J$2535,MATCH(AJ223&amp;$B223,Podcasts!$E$10:'Podcasts'!$E$2535&amp;Podcasts!$D$10:'Podcasts'!$D$2535,0)))</f>
        <v/>
      </c>
      <c r="AJ223" s="400" t="str">
        <f t="array" ref="AJ223">IF(COUNTIF(Podcasts!$D$10:'Podcasts'!$D$2535,$B223)&lt;COLUMN(K186),"",SMALL(IF(Podcasts!$D$10:'Podcasts'!$D$2535=$B223,Podcasts!$E$10:'Podcasts'!$E$2535),COLUMN(K186)))</f>
        <v/>
      </c>
      <c r="AK223" s="401" t="str">
        <f t="array" ref="AK223">IF(AJ223="","",INDEX(Podcasts!$F$10:'Podcasts'!$F$2535,MATCH(AJ223&amp;$B223,Podcasts!$E$10:'Podcasts'!$E$2535&amp;Podcasts!$D$10:'Podcasts'!$D$2535,0)))</f>
        <v/>
      </c>
      <c r="AL223" s="406" t="str">
        <f t="array" ref="AL223">IF(AM223="","",INDEX(Podcasts!$J$10:'Podcasts'!$J$2535,MATCH(AM223&amp;$B223,Podcasts!$E$10:'Podcasts'!$E$2535&amp;Podcasts!$D$10:'Podcasts'!$D$2535,0)))</f>
        <v/>
      </c>
      <c r="AM223" s="400" t="str">
        <f t="array" ref="AM223">IF(COUNTIF(Podcasts!$D$10:'Podcasts'!$D$2535,$B223)&lt;COLUMN(L186),"",SMALL(IF(Podcasts!$D$10:'Podcasts'!$D$2535=$B223,Podcasts!$E$10:'Podcasts'!$E$2535),COLUMN(L186)))</f>
        <v/>
      </c>
      <c r="AN223" s="401" t="str">
        <f t="array" ref="AN223">IF(AM223="","",INDEX(Podcasts!$F$10:'Podcasts'!$F$2535,MATCH(AM223&amp;$B223,Podcasts!$E$10:'Podcasts'!$E$2535&amp;Podcasts!$D$10:'Podcasts'!$D$2535,0)))</f>
        <v/>
      </c>
      <c r="AO223" s="402"/>
      <c r="AP223" s="119"/>
      <c r="AQ223" s="117" t="str">
        <f t="array" aca="1" ref="AQ223" ca="1">IFERROR(SMALL(IF(COUNTIF(Podcasts!$D$10:'Podcasts'!$D$107,ROW(INDIRECT("1:"&amp;K$2)))=0,ROW(INDIRECT("1:"&amp;K$2))),ROW($A180)),"")</f>
        <v/>
      </c>
      <c r="AR223" s="117"/>
      <c r="AS223" s="117">
        <f t="array" aca="1" ref="AS223" ca="1">IFERROR(SMALL(IF(COUNTIF(Podcasts!$D$244:'Podcasts'!$D$299,ROW(INDIRECT("1:"&amp;K$2)))=0,ROW(INDIRECT("1:"&amp;K$2))),ROW($A180)),"")</f>
        <v>217</v>
      </c>
      <c r="AT223" s="117"/>
      <c r="AU223" s="117">
        <f t="array" aca="1" ref="AU223" ca="1">IFERROR(SMALL(IF(COUNTIF(Podcasts!$D$479:'Podcasts'!$D$488,ROW(INDIRECT("1:"&amp;K$2)))=0,ROW(INDIRECT("1:"&amp;K$2))),ROW($A180)),"")</f>
        <v>184</v>
      </c>
      <c r="AV223" s="117">
        <f t="array" aca="1" ref="AV223" ca="1">IFERROR(SMALL(IF(COUNTIF(Podcasts!$D$494:'Podcasts'!$D$518,ROW(INDIRECT("1:"&amp;K$2)))=0,ROW(INDIRECT("1:"&amp;K$2))),ROW($A180)),"")</f>
        <v>205</v>
      </c>
      <c r="AW223" s="117">
        <f t="array" aca="1" ref="AW223" ca="1">IFERROR(SMALL(IF(COUNTIF(Podcasts!$D$524:'Podcasts'!$D$532,ROW(INDIRECT("1:"&amp;K$2)))=0,ROW(INDIRECT("1:"&amp;K$2))),ROW($A180)),"")</f>
        <v>182</v>
      </c>
      <c r="AX223" s="117"/>
      <c r="AY223" s="117"/>
      <c r="AZ223" s="445"/>
      <c r="BA223" s="117"/>
      <c r="BB223" s="117">
        <f t="array" aca="1" ref="BB223" ca="1">IFERROR(SMALL(IF(COUNTIF(Podcasts!$D$1257:'Podcasts'!$D$1267,ROW(INDIRECT("1:"&amp;K$2)))=0,ROW(INDIRECT("1:"&amp;K$2))),ROW($A180)),"")</f>
        <v>187</v>
      </c>
      <c r="BC223" s="117">
        <f t="array" aca="1" ref="BC223" ca="1">IFERROR(SMALL(IF(COUNTIF(Podcasts!$D$1273:'Podcasts'!$D$1283,ROW(INDIRECT("1:"&amp;K$2)))=0,ROW(INDIRECT("1:"&amp;K$2))),ROW($A180)),"")</f>
        <v>186</v>
      </c>
      <c r="BD223" s="117">
        <f t="array" aca="1" ref="BD223" ca="1">IFERROR(SMALL(IF(COUNTIF(Podcasts!$D$1289:'Podcasts'!$D$1295,ROW(INDIRECT("1:"&amp;K$2)))=0,ROW(INDIRECT("1:"&amp;K$2))),ROW($A180)),"")</f>
        <v>186</v>
      </c>
      <c r="BE223" s="117" t="str">
        <f t="array" aca="1" ref="BE223" ca="1">IFERROR(SMALL(IF(COUNTIF(Podcasts!$D$1301:'Podcasts'!$D$1356,ROW(INDIRECT("1:"&amp;K$2)))=0,ROW(INDIRECT("1:"&amp;K$2))),ROW($A180)),"")</f>
        <v/>
      </c>
      <c r="BF223" s="117">
        <f t="array" aca="1" ref="BF223" ca="1">IFERROR(SMALL(IF(COUNTIF(Podcasts!$D$1362:'Podcasts'!$D$1364,ROW(INDIRECT("1:"&amp;K$2)))=0,ROW(INDIRECT("1:"&amp;K$2))),ROW($A180)),"")</f>
        <v>183</v>
      </c>
      <c r="BG223" s="202">
        <f t="array" aca="1" ref="BG223" ca="1">IFERROR(SMALL(IF(COUNTIF(Podcasts!$D$1370:'Podcasts'!$D$1419,ROW(INDIRECT("1:"&amp;K$2)))=0,ROW(INDIRECT("1:"&amp;K$2))),ROW($A180)),"")</f>
        <v>221</v>
      </c>
      <c r="BH223" s="202">
        <f t="array" aca="1" ref="BH223" ca="1">IFERROR(SMALL(IF(COUNTIF(Podcasts!$D$1425:'Podcasts'!$D$1446,ROW(INDIRECT("1:"&amp;K$2)))=0,ROW(INDIRECT("1:"&amp;K$2))),ROW($A180)),"")</f>
        <v>192</v>
      </c>
      <c r="BI223" s="202"/>
      <c r="BJ223" s="202"/>
      <c r="BK223" s="202"/>
      <c r="BL223" s="202">
        <f t="array" aca="1" ref="BL223" ca="1">IFERROR(SMALL(IF(COUNTIF(Podcasts!$D$1839:'Podcasts'!$D$1855,ROW(INDIRECT("1:"&amp;K$2)))=0,ROW(INDIRECT("1:"&amp;K$2))),ROW($A180)),"")</f>
        <v>189</v>
      </c>
      <c r="BM223" s="567"/>
      <c r="BN223" s="567"/>
      <c r="BO223" s="567">
        <f t="array" aca="1" ref="BO223" ca="1">IFERROR(SMALL(IF(COUNTIF(Podcasts!$D$2063:'Podcasts'!$D$2071,ROW(INDIRECT("1:"&amp;K$2)))=0,ROW(INDIRECT("1:"&amp;K$2))),ROW($A180)),"")</f>
        <v>188</v>
      </c>
      <c r="BP223" s="202">
        <f t="array" aca="1" ref="BP223" ca="1">IFERROR(SMALL(IF(COUNTIF(Podcasts!$D$2077:'Podcasts'!$D$2092,ROW(INDIRECT("1:"&amp;K$2)))=0,ROW(INDIRECT("1:"&amp;K$2))),ROW($A180)),"")</f>
        <v>191</v>
      </c>
      <c r="BQ223" s="741">
        <f t="array" aca="1" ref="BQ223" ca="1">IFERROR(SMALL(IF(COUNTIF(Podcasts!$D$2098:'Podcasts'!$D$2114,ROW(INDIRECT("1:"&amp;K$2)))=0,ROW(INDIRECT("1:"&amp;K$2))),ROW($A180)),"")</f>
        <v>195</v>
      </c>
      <c r="BR223" s="744">
        <f t="array" aca="1" ref="BR223" ca="1">IFERROR(SMALL(IF(COUNTIF(Podcasts!$D$2120:'Podcasts'!$D$2124,ROW(INDIRECT("1:"&amp;K$2)))=0,ROW(INDIRECT("1:"&amp;K$2))),ROW($A180)),"")</f>
        <v>182</v>
      </c>
      <c r="BS223" s="28"/>
    </row>
    <row r="224" spans="1:71" outlineLevel="1">
      <c r="A224" s="28"/>
      <c r="B224" s="161">
        <v>181</v>
      </c>
      <c r="C224" s="161">
        <f>COUNTIF(Podcasts!$D$10:'Podcasts'!$D$2535,B224)</f>
        <v>5</v>
      </c>
      <c r="D224" s="160" t="s">
        <v>1205</v>
      </c>
      <c r="E224" s="156" t="str">
        <f t="array" ref="E224">IF(F224="","",INDEX(Podcasts!$J$10:'Podcasts'!$J$2535,MATCH(F224&amp;$B224,Podcasts!$E$10:'Podcasts'!$E$2535&amp;Podcasts!$D$10:'Podcasts'!$D$2535,0)))</f>
        <v>Ohr</v>
      </c>
      <c r="F224" s="131">
        <f t="array" ref="F224">IF(COUNTIF(Podcasts!$D$10:'Podcasts'!$D$2535,$B224)&lt;COLUMN(A187),"",SMALL(IF(Podcasts!$D$10:'Podcasts'!$D$2535=$B224,Podcasts!$E$10:'Podcasts'!$E$2535),COLUMN(A187)))</f>
        <v>42528</v>
      </c>
      <c r="G224" s="132">
        <f t="array" ref="G224">IF(F224="","",INDEX(Podcasts!$F$10:'Podcasts'!$F$2535,MATCH(F224&amp;$B224,Podcasts!$E$10:'Podcasts'!$E$2535&amp;Podcasts!$D$10:'Podcasts'!$D$2535,0)))</f>
        <v>1.736111111111111E-3</v>
      </c>
      <c r="H224" s="136" t="str">
        <f t="array" ref="H224">IF(I224="","",INDEX(Podcasts!$J$10:'Podcasts'!$J$2535,MATCH(I224&amp;$B224,Podcasts!$E$10:'Podcasts'!$E$2535&amp;Podcasts!$D$10:'Podcasts'!$D$2535,0)))</f>
        <v>Kaffee</v>
      </c>
      <c r="I224" s="133">
        <f t="array" ref="I224">IF(COUNTIF(Podcasts!$D$10:'Podcasts'!$D$2535,$B224)&lt;COLUMN(B187),"",SMALL(IF(Podcasts!$D$10:'Podcasts'!$D$2535=$B224,Podcasts!$E$10:'Podcasts'!$E$2535),COLUMN(B187)))</f>
        <v>44666</v>
      </c>
      <c r="J224" s="132">
        <f t="array" ref="J224">IF(I224="","",INDEX(Podcasts!$F$10:'Podcasts'!$F$2535,MATCH(I224&amp;$B224,Podcasts!$E$10:'Podcasts'!$E$2535&amp;Podcasts!$D$10:'Podcasts'!$D$2535,0)))</f>
        <v>2.4016203703703706E-2</v>
      </c>
      <c r="K224" s="136" t="str">
        <f t="array" ref="K224">IF(L224="","",INDEX(Podcasts!$J$10:'Podcasts'!$J$2535,MATCH(L224&amp;$B224,Podcasts!$E$10:'Podcasts'!$E$2535&amp;Podcasts!$D$10:'Podcasts'!$D$2535,0)))</f>
        <v>Verstärker</v>
      </c>
      <c r="L224" s="133">
        <f t="array" ref="L224">IF(COUNTIF(Podcasts!$D$10:'Podcasts'!$D$2535,$B224)&lt;COLUMN(C187),"",SMALL(IF(Podcasts!$D$10:'Podcasts'!$D$2535=$B224,Podcasts!$E$10:'Podcasts'!$E$2535),COLUMN(C187)))</f>
        <v>44684</v>
      </c>
      <c r="M224" s="132">
        <f t="array" ref="M224">IF(L224="","",INDEX(Podcasts!$F$10:'Podcasts'!$F$2535,MATCH(L224&amp;$B224,Podcasts!$E$10:'Podcasts'!$E$2535&amp;Podcasts!$D$10:'Podcasts'!$D$2535,0)))</f>
        <v>1.9502314814814816E-2</v>
      </c>
      <c r="N224" s="136" t="str">
        <f t="array" ref="N224">IF(O224="","",INDEX(Podcasts!$J$10:'Podcasts'!$J$2535,MATCH(O224&amp;$B224,Podcasts!$E$10:'Podcasts'!$E$2535&amp;Podcasts!$D$10:'Podcasts'!$D$2535,0)))</f>
        <v>SSP</v>
      </c>
      <c r="O224" s="133">
        <f t="array" ref="O224">IF(COUNTIF(Podcasts!$D$10:'Podcasts'!$D$2535,$B224)&lt;COLUMN(D187),"",SMALL(IF(Podcasts!$D$10:'Podcasts'!$D$2535=$B224,Podcasts!$E$10:'Podcasts'!$E$2535),COLUMN(D187)))</f>
        <v>45386</v>
      </c>
      <c r="P224" s="132">
        <f t="array" ref="P224">IF(O224="","",INDEX(Podcasts!$F$10:'Podcasts'!$F$2535,MATCH(O224&amp;$B224,Podcasts!$E$10:'Podcasts'!$E$2535&amp;Podcasts!$D$10:'Podcasts'!$D$2535,0)))</f>
        <v>8.487268518518519E-2</v>
      </c>
      <c r="Q224" s="136" t="str">
        <f t="array" ref="Q224">IF(R224="","",INDEX(Podcasts!$J$10:'Podcasts'!$J$2535,MATCH(R224&amp;$B224,Podcasts!$E$10:'Podcasts'!$E$2535&amp;Podcasts!$D$10:'Podcasts'!$D$2535,0)))</f>
        <v>Zw3i</v>
      </c>
      <c r="R224" s="133">
        <f t="array" ref="R224">IF(COUNTIF(Podcasts!$D$10:'Podcasts'!$D$2535,$B224)&lt;COLUMN(E187),"",SMALL(IF(Podcasts!$D$10:'Podcasts'!$D$2535=$B224,Podcasts!$E$10:'Podcasts'!$E$2535),COLUMN(E187)))</f>
        <v>45471</v>
      </c>
      <c r="S224" s="132">
        <f t="array" ref="S224">IF(R224="","",INDEX(Podcasts!$F$10:'Podcasts'!$F$2535,MATCH(R224&amp;$B224,Podcasts!$E$10:'Podcasts'!$E$2535&amp;Podcasts!$D$10:'Podcasts'!$D$2535,0)))</f>
        <v>0</v>
      </c>
      <c r="T224" s="136" t="str">
        <f t="array" ref="T224">IF(U224="","",INDEX(Podcasts!$J$10:'Podcasts'!$J$2535,MATCH(U224&amp;$B224,Podcasts!$E$10:'Podcasts'!$E$2535&amp;Podcasts!$D$10:'Podcasts'!$D$2535,0)))</f>
        <v/>
      </c>
      <c r="U224" s="133" t="str">
        <f t="array" ref="U224">IF(COUNTIF(Podcasts!$D$10:'Podcasts'!$D$2535,$B224)&lt;COLUMN(F187),"",SMALL(IF(Podcasts!$D$10:'Podcasts'!$D$2535=$B224,Podcasts!$E$10:'Podcasts'!$E$2535),COLUMN(F187)))</f>
        <v/>
      </c>
      <c r="V224" s="132" t="str">
        <f t="array" ref="V224">IF(U224="","",INDEX(Podcasts!$F$10:'Podcasts'!$F$2535,MATCH(U224&amp;$B224,Podcasts!$E$10:'Podcasts'!$E$2535&amp;Podcasts!$D$10:'Podcasts'!$D$2535,0)))</f>
        <v/>
      </c>
      <c r="W224" s="136" t="str">
        <f t="array" ref="W224">IF(X224="","",INDEX(Podcasts!$J$10:'Podcasts'!$J$2535,MATCH(X224&amp;$B224,Podcasts!$E$10:'Podcasts'!$E$2535&amp;Podcasts!$D$10:'Podcasts'!$D$2535,0)))</f>
        <v/>
      </c>
      <c r="X224" s="133" t="str">
        <f t="array" ref="X224">IF(COUNTIF(Podcasts!$D$10:'Podcasts'!$D$2535,$B224)&lt;COLUMN(G187),"",SMALL(IF(Podcasts!$D$10:'Podcasts'!$D$2535=$B224,Podcasts!$E$10:'Podcasts'!$E$2535),COLUMN(G187)))</f>
        <v/>
      </c>
      <c r="Y224" s="132" t="str">
        <f t="array" ref="Y224">IF(X224="","",INDEX(Podcasts!$F$10:'Podcasts'!$F$2535,MATCH(X224&amp;$B224,Podcasts!$E$10:'Podcasts'!$E$2535&amp;Podcasts!$D$10:'Podcasts'!$D$2535,0)))</f>
        <v/>
      </c>
      <c r="Z224" s="136" t="str">
        <f t="array" ref="Z224">IF(AA224="","",INDEX(Podcasts!$J$10:'Podcasts'!$J$2535,MATCH(AA224&amp;$B224,Podcasts!$E$10:'Podcasts'!$E$2535&amp;Podcasts!$D$10:'Podcasts'!$D$2535,0)))</f>
        <v/>
      </c>
      <c r="AA224" s="134" t="str">
        <f t="array" ref="AA224">IF(COUNTIF(Podcasts!$D$10:'Podcasts'!$D$2535,$B224)&lt;COLUMN(H187),"",SMALL(IF(Podcasts!$D$10:'Podcasts'!$D$2535=$B224,Podcasts!$E$10:'Podcasts'!$E$2535),COLUMN(H187)))</f>
        <v/>
      </c>
      <c r="AB224" s="404" t="str">
        <f t="array" ref="AB224">IF(AA224="","",INDEX(Podcasts!$F$10:'Podcasts'!$F$2535,MATCH(AA224&amp;$B224,Podcasts!$E$10:'Podcasts'!$E$2535&amp;Podcasts!$D$10:'Podcasts'!$D$2535,0)))</f>
        <v/>
      </c>
      <c r="AC224" s="406" t="str">
        <f t="array" ref="AC224">IF(AD224="","",INDEX(Podcasts!$J$10:'Podcasts'!$J$2535,MATCH(AD224&amp;$B224,Podcasts!$E$10:'Podcasts'!$E$2535&amp;Podcasts!$D$10:'Podcasts'!$D$2535,0)))</f>
        <v/>
      </c>
      <c r="AD224" s="400" t="str">
        <f t="array" ref="AD224">IF(COUNTIF(Podcasts!$D$10:'Podcasts'!$D$2535,$B224)&lt;COLUMN(I187),"",SMALL(IF(Podcasts!$D$10:'Podcasts'!$D$2535=$B224,Podcasts!$E$10:'Podcasts'!$E$2535),COLUMN(I187)))</f>
        <v/>
      </c>
      <c r="AE224" s="401" t="str">
        <f t="array" ref="AE224">IF(AD224="","",INDEX(Podcasts!$F$10:'Podcasts'!$F$2535,MATCH(AD224&amp;$B224,Podcasts!$E$10:'Podcasts'!$E$2535&amp;Podcasts!$D$10:'Podcasts'!$D$2535,0)))</f>
        <v/>
      </c>
      <c r="AF224" s="406" t="str">
        <f t="array" ref="AF224">IF(AG224="","",INDEX(Podcasts!$J$10:'Podcasts'!$J$2535,MATCH(AG224&amp;$B224,Podcasts!$E$10:'Podcasts'!$E$2535&amp;Podcasts!$D$10:'Podcasts'!$D$2535,0)))</f>
        <v/>
      </c>
      <c r="AG224" s="400" t="str">
        <f t="array" ref="AG224">IF(COUNTIF(Podcasts!$D$10:'Podcasts'!$D$2535,$B224)&lt;COLUMN(J187),"",SMALL(IF(Podcasts!$D$10:'Podcasts'!$D$2535=$B224,Podcasts!$E$10:'Podcasts'!$E$2535),COLUMN(J187)))</f>
        <v/>
      </c>
      <c r="AH224" s="401" t="str">
        <f t="array" ref="AH224">IF(AG224="","",INDEX(Podcasts!$F$10:'Podcasts'!$F$2535,MATCH(AG224&amp;$B224,Podcasts!$E$10:'Podcasts'!$E$2535&amp;Podcasts!$D$10:'Podcasts'!$D$2535,0)))</f>
        <v/>
      </c>
      <c r="AI224" s="406" t="str">
        <f t="array" ref="AI224">IF(AJ224="","",INDEX(Podcasts!$J$10:'Podcasts'!$J$2535,MATCH(AJ224&amp;$B224,Podcasts!$E$10:'Podcasts'!$E$2535&amp;Podcasts!$D$10:'Podcasts'!$D$2535,0)))</f>
        <v/>
      </c>
      <c r="AJ224" s="400" t="str">
        <f t="array" ref="AJ224">IF(COUNTIF(Podcasts!$D$10:'Podcasts'!$D$2535,$B224)&lt;COLUMN(K187),"",SMALL(IF(Podcasts!$D$10:'Podcasts'!$D$2535=$B224,Podcasts!$E$10:'Podcasts'!$E$2535),COLUMN(K187)))</f>
        <v/>
      </c>
      <c r="AK224" s="401" t="str">
        <f t="array" ref="AK224">IF(AJ224="","",INDEX(Podcasts!$F$10:'Podcasts'!$F$2535,MATCH(AJ224&amp;$B224,Podcasts!$E$10:'Podcasts'!$E$2535&amp;Podcasts!$D$10:'Podcasts'!$D$2535,0)))</f>
        <v/>
      </c>
      <c r="AL224" s="406" t="str">
        <f t="array" ref="AL224">IF(AM224="","",INDEX(Podcasts!$J$10:'Podcasts'!$J$2535,MATCH(AM224&amp;$B224,Podcasts!$E$10:'Podcasts'!$E$2535&amp;Podcasts!$D$10:'Podcasts'!$D$2535,0)))</f>
        <v/>
      </c>
      <c r="AM224" s="400" t="str">
        <f t="array" ref="AM224">IF(COUNTIF(Podcasts!$D$10:'Podcasts'!$D$2535,$B224)&lt;COLUMN(L187),"",SMALL(IF(Podcasts!$D$10:'Podcasts'!$D$2535=$B224,Podcasts!$E$10:'Podcasts'!$E$2535),COLUMN(L187)))</f>
        <v/>
      </c>
      <c r="AN224" s="401" t="str">
        <f t="array" ref="AN224">IF(AM224="","",INDEX(Podcasts!$F$10:'Podcasts'!$F$2535,MATCH(AM224&amp;$B224,Podcasts!$E$10:'Podcasts'!$E$2535&amp;Podcasts!$D$10:'Podcasts'!$D$2535,0)))</f>
        <v/>
      </c>
      <c r="AO224" s="402"/>
      <c r="AP224" s="119"/>
      <c r="AQ224" s="117" t="str">
        <f t="array" aca="1" ref="AQ224" ca="1">IFERROR(SMALL(IF(COUNTIF(Podcasts!$D$10:'Podcasts'!$D$107,ROW(INDIRECT("1:"&amp;K$2)))=0,ROW(INDIRECT("1:"&amp;K$2))),ROW($A181)),"")</f>
        <v/>
      </c>
      <c r="AR224" s="117"/>
      <c r="AS224" s="117">
        <f t="array" aca="1" ref="AS224" ca="1">IFERROR(SMALL(IF(COUNTIF(Podcasts!$D$244:'Podcasts'!$D$299,ROW(INDIRECT("1:"&amp;K$2)))=0,ROW(INDIRECT("1:"&amp;K$2))),ROW($A181)),"")</f>
        <v>218</v>
      </c>
      <c r="AT224" s="117"/>
      <c r="AU224" s="117">
        <f t="array" aca="1" ref="AU224" ca="1">IFERROR(SMALL(IF(COUNTIF(Podcasts!$D$479:'Podcasts'!$D$488,ROW(INDIRECT("1:"&amp;K$2)))=0,ROW(INDIRECT("1:"&amp;K$2))),ROW($A181)),"")</f>
        <v>185</v>
      </c>
      <c r="AV224" s="117">
        <f t="array" aca="1" ref="AV224" ca="1">IFERROR(SMALL(IF(COUNTIF(Podcasts!$D$494:'Podcasts'!$D$518,ROW(INDIRECT("1:"&amp;K$2)))=0,ROW(INDIRECT("1:"&amp;K$2))),ROW($A181)),"")</f>
        <v>206</v>
      </c>
      <c r="AW224" s="117">
        <f t="array" aca="1" ref="AW224" ca="1">IFERROR(SMALL(IF(COUNTIF(Podcasts!$D$524:'Podcasts'!$D$532,ROW(INDIRECT("1:"&amp;K$2)))=0,ROW(INDIRECT("1:"&amp;K$2))),ROW($A181)),"")</f>
        <v>184</v>
      </c>
      <c r="AX224" s="117"/>
      <c r="AY224" s="117"/>
      <c r="AZ224" s="445"/>
      <c r="BA224" s="117"/>
      <c r="BB224" s="117">
        <f t="array" aca="1" ref="BB224" ca="1">IFERROR(SMALL(IF(COUNTIF(Podcasts!$D$1257:'Podcasts'!$D$1267,ROW(INDIRECT("1:"&amp;K$2)))=0,ROW(INDIRECT("1:"&amp;K$2))),ROW($A181)),"")</f>
        <v>188</v>
      </c>
      <c r="BC224" s="117">
        <f t="array" aca="1" ref="BC224" ca="1">IFERROR(SMALL(IF(COUNTIF(Podcasts!$D$1273:'Podcasts'!$D$1283,ROW(INDIRECT("1:"&amp;K$2)))=0,ROW(INDIRECT("1:"&amp;K$2))),ROW($A181)),"")</f>
        <v>187</v>
      </c>
      <c r="BD224" s="117">
        <f t="array" aca="1" ref="BD224" ca="1">IFERROR(SMALL(IF(COUNTIF(Podcasts!$D$1289:'Podcasts'!$D$1295,ROW(INDIRECT("1:"&amp;K$2)))=0,ROW(INDIRECT("1:"&amp;K$2))),ROW($A181)),"")</f>
        <v>187</v>
      </c>
      <c r="BE224" s="117" t="str">
        <f t="array" aca="1" ref="BE224" ca="1">IFERROR(SMALL(IF(COUNTIF(Podcasts!$D$1301:'Podcasts'!$D$1356,ROW(INDIRECT("1:"&amp;K$2)))=0,ROW(INDIRECT("1:"&amp;K$2))),ROW($A181)),"")</f>
        <v/>
      </c>
      <c r="BF224" s="117">
        <f t="array" aca="1" ref="BF224" ca="1">IFERROR(SMALL(IF(COUNTIF(Podcasts!$D$1362:'Podcasts'!$D$1364,ROW(INDIRECT("1:"&amp;K$2)))=0,ROW(INDIRECT("1:"&amp;K$2))),ROW($A181)),"")</f>
        <v>184</v>
      </c>
      <c r="BG224" s="202">
        <f t="array" aca="1" ref="BG224" ca="1">IFERROR(SMALL(IF(COUNTIF(Podcasts!$D$1370:'Podcasts'!$D$1419,ROW(INDIRECT("1:"&amp;K$2)))=0,ROW(INDIRECT("1:"&amp;K$2))),ROW($A181)),"")</f>
        <v>223</v>
      </c>
      <c r="BH224" s="202">
        <f t="array" aca="1" ref="BH224" ca="1">IFERROR(SMALL(IF(COUNTIF(Podcasts!$D$1425:'Podcasts'!$D$1446,ROW(INDIRECT("1:"&amp;K$2)))=0,ROW(INDIRECT("1:"&amp;K$2))),ROW($A181)),"")</f>
        <v>193</v>
      </c>
      <c r="BI224" s="202"/>
      <c r="BJ224" s="202"/>
      <c r="BK224" s="202"/>
      <c r="BL224" s="202">
        <f t="array" aca="1" ref="BL224" ca="1">IFERROR(SMALL(IF(COUNTIF(Podcasts!$D$1839:'Podcasts'!$D$1855,ROW(INDIRECT("1:"&amp;K$2)))=0,ROW(INDIRECT("1:"&amp;K$2))),ROW($A181)),"")</f>
        <v>190</v>
      </c>
      <c r="BM224" s="567"/>
      <c r="BN224" s="567"/>
      <c r="BO224" s="567">
        <f t="array" aca="1" ref="BO224" ca="1">IFERROR(SMALL(IF(COUNTIF(Podcasts!$D$2063:'Podcasts'!$D$2071,ROW(INDIRECT("1:"&amp;K$2)))=0,ROW(INDIRECT("1:"&amp;K$2))),ROW($A181)),"")</f>
        <v>189</v>
      </c>
      <c r="BP224" s="202">
        <f t="array" aca="1" ref="BP224" ca="1">IFERROR(SMALL(IF(COUNTIF(Podcasts!$D$2077:'Podcasts'!$D$2092,ROW(INDIRECT("1:"&amp;K$2)))=0,ROW(INDIRECT("1:"&amp;K$2))),ROW($A181)),"")</f>
        <v>192</v>
      </c>
      <c r="BQ224" s="741">
        <f t="array" aca="1" ref="BQ224" ca="1">IFERROR(SMALL(IF(COUNTIF(Podcasts!$D$2098:'Podcasts'!$D$2114,ROW(INDIRECT("1:"&amp;K$2)))=0,ROW(INDIRECT("1:"&amp;K$2))),ROW($A181)),"")</f>
        <v>196</v>
      </c>
      <c r="BR224" s="744">
        <f t="array" aca="1" ref="BR224" ca="1">IFERROR(SMALL(IF(COUNTIF(Podcasts!$D$2120:'Podcasts'!$D$2124,ROW(INDIRECT("1:"&amp;K$2)))=0,ROW(INDIRECT("1:"&amp;K$2))),ROW($A181)),"")</f>
        <v>183</v>
      </c>
      <c r="BS224" s="28"/>
    </row>
    <row r="225" spans="1:71" outlineLevel="1">
      <c r="A225" s="28"/>
      <c r="B225" s="161">
        <v>182</v>
      </c>
      <c r="C225" s="161">
        <f>COUNTIF(Podcasts!$D$10:'Podcasts'!$D$2535,B225)</f>
        <v>1</v>
      </c>
      <c r="D225" s="160" t="s">
        <v>1206</v>
      </c>
      <c r="E225" s="156" t="str">
        <f t="array" ref="E225">IF(F225="","",INDEX(Podcasts!$J$10:'Podcasts'!$J$2535,MATCH(F225&amp;$B225,Podcasts!$E$10:'Podcasts'!$E$2535&amp;Podcasts!$D$10:'Podcasts'!$D$2535,0)))</f>
        <v>Ohr</v>
      </c>
      <c r="F225" s="131">
        <f t="array" ref="F225">IF(COUNTIF(Podcasts!$D$10:'Podcasts'!$D$2535,$B225)&lt;COLUMN(A188),"",SMALL(IF(Podcasts!$D$10:'Podcasts'!$D$2535=$B225,Podcasts!$E$10:'Podcasts'!$E$2535),COLUMN(A188)))</f>
        <v>42629</v>
      </c>
      <c r="G225" s="132">
        <f t="array" ref="G225">IF(F225="","",INDEX(Podcasts!$F$10:'Podcasts'!$F$2535,MATCH(F225&amp;$B225,Podcasts!$E$10:'Podcasts'!$E$2535&amp;Podcasts!$D$10:'Podcasts'!$D$2535,0)))</f>
        <v>1.7824074074074072E-3</v>
      </c>
      <c r="H225" s="136" t="str">
        <f t="array" ref="H225">IF(I225="","",INDEX(Podcasts!$J$10:'Podcasts'!$J$2535,MATCH(I225&amp;$B225,Podcasts!$E$10:'Podcasts'!$E$2535&amp;Podcasts!$D$10:'Podcasts'!$D$2535,0)))</f>
        <v/>
      </c>
      <c r="I225" s="133" t="str">
        <f t="array" ref="I225">IF(COUNTIF(Podcasts!$D$10:'Podcasts'!$D$2535,$B225)&lt;COLUMN(B188),"",SMALL(IF(Podcasts!$D$10:'Podcasts'!$D$2535=$B225,Podcasts!$E$10:'Podcasts'!$E$2535),COLUMN(B188)))</f>
        <v/>
      </c>
      <c r="J225" s="132" t="str">
        <f t="array" ref="J225">IF(I225="","",INDEX(Podcasts!$F$10:'Podcasts'!$F$2535,MATCH(I225&amp;$B225,Podcasts!$E$10:'Podcasts'!$E$2535&amp;Podcasts!$D$10:'Podcasts'!$D$2535,0)))</f>
        <v/>
      </c>
      <c r="K225" s="136" t="str">
        <f t="array" ref="K225">IF(L225="","",INDEX(Podcasts!$J$10:'Podcasts'!$J$2535,MATCH(L225&amp;$B225,Podcasts!$E$10:'Podcasts'!$E$2535&amp;Podcasts!$D$10:'Podcasts'!$D$2535,0)))</f>
        <v/>
      </c>
      <c r="L225" s="133" t="str">
        <f t="array" ref="L225">IF(COUNTIF(Podcasts!$D$10:'Podcasts'!$D$2535,$B225)&lt;COLUMN(C188),"",SMALL(IF(Podcasts!$D$10:'Podcasts'!$D$2535=$B225,Podcasts!$E$10:'Podcasts'!$E$2535),COLUMN(C188)))</f>
        <v/>
      </c>
      <c r="M225" s="132" t="str">
        <f t="array" ref="M225">IF(L225="","",INDEX(Podcasts!$F$10:'Podcasts'!$F$2535,MATCH(L225&amp;$B225,Podcasts!$E$10:'Podcasts'!$E$2535&amp;Podcasts!$D$10:'Podcasts'!$D$2535,0)))</f>
        <v/>
      </c>
      <c r="N225" s="136" t="str">
        <f t="array" ref="N225">IF(O225="","",INDEX(Podcasts!$J$10:'Podcasts'!$J$2535,MATCH(O225&amp;$B225,Podcasts!$E$10:'Podcasts'!$E$2535&amp;Podcasts!$D$10:'Podcasts'!$D$2535,0)))</f>
        <v/>
      </c>
      <c r="O225" s="133" t="str">
        <f t="array" ref="O225">IF(COUNTIF(Podcasts!$D$10:'Podcasts'!$D$2535,$B225)&lt;COLUMN(D188),"",SMALL(IF(Podcasts!$D$10:'Podcasts'!$D$2535=$B225,Podcasts!$E$10:'Podcasts'!$E$2535),COLUMN(D188)))</f>
        <v/>
      </c>
      <c r="P225" s="132" t="str">
        <f t="array" ref="P225">IF(O225="","",INDEX(Podcasts!$F$10:'Podcasts'!$F$2535,MATCH(O225&amp;$B225,Podcasts!$E$10:'Podcasts'!$E$2535&amp;Podcasts!$D$10:'Podcasts'!$D$2535,0)))</f>
        <v/>
      </c>
      <c r="Q225" s="136" t="str">
        <f t="array" ref="Q225">IF(R225="","",INDEX(Podcasts!$J$10:'Podcasts'!$J$2535,MATCH(R225&amp;$B225,Podcasts!$E$10:'Podcasts'!$E$2535&amp;Podcasts!$D$10:'Podcasts'!$D$2535,0)))</f>
        <v/>
      </c>
      <c r="R225" s="133" t="str">
        <f t="array" ref="R225">IF(COUNTIF(Podcasts!$D$10:'Podcasts'!$D$2535,$B225)&lt;COLUMN(E188),"",SMALL(IF(Podcasts!$D$10:'Podcasts'!$D$2535=$B225,Podcasts!$E$10:'Podcasts'!$E$2535),COLUMN(E188)))</f>
        <v/>
      </c>
      <c r="S225" s="132" t="str">
        <f t="array" ref="S225">IF(R225="","",INDEX(Podcasts!$F$10:'Podcasts'!$F$2535,MATCH(R225&amp;$B225,Podcasts!$E$10:'Podcasts'!$E$2535&amp;Podcasts!$D$10:'Podcasts'!$D$2535,0)))</f>
        <v/>
      </c>
      <c r="T225" s="136" t="str">
        <f t="array" ref="T225">IF(U225="","",INDEX(Podcasts!$J$10:'Podcasts'!$J$2535,MATCH(U225&amp;$B225,Podcasts!$E$10:'Podcasts'!$E$2535&amp;Podcasts!$D$10:'Podcasts'!$D$2535,0)))</f>
        <v/>
      </c>
      <c r="U225" s="133" t="str">
        <f t="array" ref="U225">IF(COUNTIF(Podcasts!$D$10:'Podcasts'!$D$2535,$B225)&lt;COLUMN(F188),"",SMALL(IF(Podcasts!$D$10:'Podcasts'!$D$2535=$B225,Podcasts!$E$10:'Podcasts'!$E$2535),COLUMN(F188)))</f>
        <v/>
      </c>
      <c r="V225" s="132" t="str">
        <f t="array" ref="V225">IF(U225="","",INDEX(Podcasts!$F$10:'Podcasts'!$F$2535,MATCH(U225&amp;$B225,Podcasts!$E$10:'Podcasts'!$E$2535&amp;Podcasts!$D$10:'Podcasts'!$D$2535,0)))</f>
        <v/>
      </c>
      <c r="W225" s="136" t="str">
        <f t="array" ref="W225">IF(X225="","",INDEX(Podcasts!$J$10:'Podcasts'!$J$2535,MATCH(X225&amp;$B225,Podcasts!$E$10:'Podcasts'!$E$2535&amp;Podcasts!$D$10:'Podcasts'!$D$2535,0)))</f>
        <v/>
      </c>
      <c r="X225" s="133" t="str">
        <f t="array" ref="X225">IF(COUNTIF(Podcasts!$D$10:'Podcasts'!$D$2535,$B225)&lt;COLUMN(G188),"",SMALL(IF(Podcasts!$D$10:'Podcasts'!$D$2535=$B225,Podcasts!$E$10:'Podcasts'!$E$2535),COLUMN(G188)))</f>
        <v/>
      </c>
      <c r="Y225" s="132" t="str">
        <f t="array" ref="Y225">IF(X225="","",INDEX(Podcasts!$F$10:'Podcasts'!$F$2535,MATCH(X225&amp;$B225,Podcasts!$E$10:'Podcasts'!$E$2535&amp;Podcasts!$D$10:'Podcasts'!$D$2535,0)))</f>
        <v/>
      </c>
      <c r="Z225" s="136" t="str">
        <f t="array" ref="Z225">IF(AA225="","",INDEX(Podcasts!$J$10:'Podcasts'!$J$2535,MATCH(AA225&amp;$B225,Podcasts!$E$10:'Podcasts'!$E$2535&amp;Podcasts!$D$10:'Podcasts'!$D$2535,0)))</f>
        <v/>
      </c>
      <c r="AA225" s="134" t="str">
        <f t="array" ref="AA225">IF(COUNTIF(Podcasts!$D$10:'Podcasts'!$D$2535,$B225)&lt;COLUMN(H188),"",SMALL(IF(Podcasts!$D$10:'Podcasts'!$D$2535=$B225,Podcasts!$E$10:'Podcasts'!$E$2535),COLUMN(H188)))</f>
        <v/>
      </c>
      <c r="AB225" s="404" t="str">
        <f t="array" ref="AB225">IF(AA225="","",INDEX(Podcasts!$F$10:'Podcasts'!$F$2535,MATCH(AA225&amp;$B225,Podcasts!$E$10:'Podcasts'!$E$2535&amp;Podcasts!$D$10:'Podcasts'!$D$2535,0)))</f>
        <v/>
      </c>
      <c r="AC225" s="406" t="str">
        <f t="array" ref="AC225">IF(AD225="","",INDEX(Podcasts!$J$10:'Podcasts'!$J$2535,MATCH(AD225&amp;$B225,Podcasts!$E$10:'Podcasts'!$E$2535&amp;Podcasts!$D$10:'Podcasts'!$D$2535,0)))</f>
        <v/>
      </c>
      <c r="AD225" s="400" t="str">
        <f t="array" ref="AD225">IF(COUNTIF(Podcasts!$D$10:'Podcasts'!$D$2535,$B225)&lt;COLUMN(I188),"",SMALL(IF(Podcasts!$D$10:'Podcasts'!$D$2535=$B225,Podcasts!$E$10:'Podcasts'!$E$2535),COLUMN(I188)))</f>
        <v/>
      </c>
      <c r="AE225" s="401" t="str">
        <f t="array" ref="AE225">IF(AD225="","",INDEX(Podcasts!$F$10:'Podcasts'!$F$2535,MATCH(AD225&amp;$B225,Podcasts!$E$10:'Podcasts'!$E$2535&amp;Podcasts!$D$10:'Podcasts'!$D$2535,0)))</f>
        <v/>
      </c>
      <c r="AF225" s="406" t="str">
        <f t="array" ref="AF225">IF(AG225="","",INDEX(Podcasts!$J$10:'Podcasts'!$J$2535,MATCH(AG225&amp;$B225,Podcasts!$E$10:'Podcasts'!$E$2535&amp;Podcasts!$D$10:'Podcasts'!$D$2535,0)))</f>
        <v/>
      </c>
      <c r="AG225" s="400" t="str">
        <f t="array" ref="AG225">IF(COUNTIF(Podcasts!$D$10:'Podcasts'!$D$2535,$B225)&lt;COLUMN(J188),"",SMALL(IF(Podcasts!$D$10:'Podcasts'!$D$2535=$B225,Podcasts!$E$10:'Podcasts'!$E$2535),COLUMN(J188)))</f>
        <v/>
      </c>
      <c r="AH225" s="401" t="str">
        <f t="array" ref="AH225">IF(AG225="","",INDEX(Podcasts!$F$10:'Podcasts'!$F$2535,MATCH(AG225&amp;$B225,Podcasts!$E$10:'Podcasts'!$E$2535&amp;Podcasts!$D$10:'Podcasts'!$D$2535,0)))</f>
        <v/>
      </c>
      <c r="AI225" s="406" t="str">
        <f t="array" ref="AI225">IF(AJ225="","",INDEX(Podcasts!$J$10:'Podcasts'!$J$2535,MATCH(AJ225&amp;$B225,Podcasts!$E$10:'Podcasts'!$E$2535&amp;Podcasts!$D$10:'Podcasts'!$D$2535,0)))</f>
        <v/>
      </c>
      <c r="AJ225" s="400" t="str">
        <f t="array" ref="AJ225">IF(COUNTIF(Podcasts!$D$10:'Podcasts'!$D$2535,$B225)&lt;COLUMN(K188),"",SMALL(IF(Podcasts!$D$10:'Podcasts'!$D$2535=$B225,Podcasts!$E$10:'Podcasts'!$E$2535),COLUMN(K188)))</f>
        <v/>
      </c>
      <c r="AK225" s="401" t="str">
        <f t="array" ref="AK225">IF(AJ225="","",INDEX(Podcasts!$F$10:'Podcasts'!$F$2535,MATCH(AJ225&amp;$B225,Podcasts!$E$10:'Podcasts'!$E$2535&amp;Podcasts!$D$10:'Podcasts'!$D$2535,0)))</f>
        <v/>
      </c>
      <c r="AL225" s="406" t="str">
        <f t="array" ref="AL225">IF(AM225="","",INDEX(Podcasts!$J$10:'Podcasts'!$J$2535,MATCH(AM225&amp;$B225,Podcasts!$E$10:'Podcasts'!$E$2535&amp;Podcasts!$D$10:'Podcasts'!$D$2535,0)))</f>
        <v/>
      </c>
      <c r="AM225" s="400" t="str">
        <f t="array" ref="AM225">IF(COUNTIF(Podcasts!$D$10:'Podcasts'!$D$2535,$B225)&lt;COLUMN(L188),"",SMALL(IF(Podcasts!$D$10:'Podcasts'!$D$2535=$B225,Podcasts!$E$10:'Podcasts'!$E$2535),COLUMN(L188)))</f>
        <v/>
      </c>
      <c r="AN225" s="401" t="str">
        <f t="array" ref="AN225">IF(AM225="","",INDEX(Podcasts!$F$10:'Podcasts'!$F$2535,MATCH(AM225&amp;$B225,Podcasts!$E$10:'Podcasts'!$E$2535&amp;Podcasts!$D$10:'Podcasts'!$D$2535,0)))</f>
        <v/>
      </c>
      <c r="AO225" s="402"/>
      <c r="AP225" s="119"/>
      <c r="AQ225" s="117" t="str">
        <f t="array" aca="1" ref="AQ225" ca="1">IFERROR(SMALL(IF(COUNTIF(Podcasts!$D$10:'Podcasts'!$D$107,ROW(INDIRECT("1:"&amp;K$2)))=0,ROW(INDIRECT("1:"&amp;K$2))),ROW($A182)),"")</f>
        <v/>
      </c>
      <c r="AR225" s="117"/>
      <c r="AS225" s="117">
        <f t="array" aca="1" ref="AS225" ca="1">IFERROR(SMALL(IF(COUNTIF(Podcasts!$D$244:'Podcasts'!$D$299,ROW(INDIRECT("1:"&amp;K$2)))=0,ROW(INDIRECT("1:"&amp;K$2))),ROW($A182)),"")</f>
        <v>219</v>
      </c>
      <c r="AT225" s="117"/>
      <c r="AU225" s="117">
        <f t="array" aca="1" ref="AU225" ca="1">IFERROR(SMALL(IF(COUNTIF(Podcasts!$D$479:'Podcasts'!$D$488,ROW(INDIRECT("1:"&amp;K$2)))=0,ROW(INDIRECT("1:"&amp;K$2))),ROW($A182)),"")</f>
        <v>186</v>
      </c>
      <c r="AV225" s="117">
        <f t="array" aca="1" ref="AV225" ca="1">IFERROR(SMALL(IF(COUNTIF(Podcasts!$D$494:'Podcasts'!$D$518,ROW(INDIRECT("1:"&amp;K$2)))=0,ROW(INDIRECT("1:"&amp;K$2))),ROW($A182)),"")</f>
        <v>207</v>
      </c>
      <c r="AW225" s="117">
        <f t="array" aca="1" ref="AW225" ca="1">IFERROR(SMALL(IF(COUNTIF(Podcasts!$D$524:'Podcasts'!$D$532,ROW(INDIRECT("1:"&amp;K$2)))=0,ROW(INDIRECT("1:"&amp;K$2))),ROW($A182)),"")</f>
        <v>189</v>
      </c>
      <c r="AX225" s="117"/>
      <c r="AY225" s="117"/>
      <c r="AZ225" s="445"/>
      <c r="BA225" s="117"/>
      <c r="BB225" s="117">
        <f t="array" aca="1" ref="BB225" ca="1">IFERROR(SMALL(IF(COUNTIF(Podcasts!$D$1257:'Podcasts'!$D$1267,ROW(INDIRECT("1:"&amp;K$2)))=0,ROW(INDIRECT("1:"&amp;K$2))),ROW($A182)),"")</f>
        <v>189</v>
      </c>
      <c r="BC225" s="117">
        <f t="array" aca="1" ref="BC225" ca="1">IFERROR(SMALL(IF(COUNTIF(Podcasts!$D$1273:'Podcasts'!$D$1283,ROW(INDIRECT("1:"&amp;K$2)))=0,ROW(INDIRECT("1:"&amp;K$2))),ROW($A182)),"")</f>
        <v>188</v>
      </c>
      <c r="BD225" s="117">
        <f t="array" aca="1" ref="BD225" ca="1">IFERROR(SMALL(IF(COUNTIF(Podcasts!$D$1289:'Podcasts'!$D$1295,ROW(INDIRECT("1:"&amp;K$2)))=0,ROW(INDIRECT("1:"&amp;K$2))),ROW($A182)),"")</f>
        <v>188</v>
      </c>
      <c r="BE225" s="117" t="str">
        <f t="array" aca="1" ref="BE225" ca="1">IFERROR(SMALL(IF(COUNTIF(Podcasts!$D$1301:'Podcasts'!$D$1356,ROW(INDIRECT("1:"&amp;K$2)))=0,ROW(INDIRECT("1:"&amp;K$2))),ROW($A182)),"")</f>
        <v/>
      </c>
      <c r="BF225" s="117">
        <f t="array" aca="1" ref="BF225" ca="1">IFERROR(SMALL(IF(COUNTIF(Podcasts!$D$1362:'Podcasts'!$D$1364,ROW(INDIRECT("1:"&amp;K$2)))=0,ROW(INDIRECT("1:"&amp;K$2))),ROW($A182)),"")</f>
        <v>185</v>
      </c>
      <c r="BG225" s="202">
        <f t="array" aca="1" ref="BG225" ca="1">IFERROR(SMALL(IF(COUNTIF(Podcasts!$D$1370:'Podcasts'!$D$1419,ROW(INDIRECT("1:"&amp;K$2)))=0,ROW(INDIRECT("1:"&amp;K$2))),ROW($A182)),"")</f>
        <v>224</v>
      </c>
      <c r="BH225" s="202">
        <f t="array" aca="1" ref="BH225" ca="1">IFERROR(SMALL(IF(COUNTIF(Podcasts!$D$1425:'Podcasts'!$D$1446,ROW(INDIRECT("1:"&amp;K$2)))=0,ROW(INDIRECT("1:"&amp;K$2))),ROW($A182)),"")</f>
        <v>194</v>
      </c>
      <c r="BI225" s="202"/>
      <c r="BJ225" s="202"/>
      <c r="BK225" s="202"/>
      <c r="BL225" s="202">
        <f t="array" aca="1" ref="BL225" ca="1">IFERROR(SMALL(IF(COUNTIF(Podcasts!$D$1839:'Podcasts'!$D$1855,ROW(INDIRECT("1:"&amp;K$2)))=0,ROW(INDIRECT("1:"&amp;K$2))),ROW($A182)),"")</f>
        <v>191</v>
      </c>
      <c r="BM225" s="567"/>
      <c r="BN225" s="567"/>
      <c r="BO225" s="567">
        <f t="array" aca="1" ref="BO225" ca="1">IFERROR(SMALL(IF(COUNTIF(Podcasts!$D$2063:'Podcasts'!$D$2071,ROW(INDIRECT("1:"&amp;K$2)))=0,ROW(INDIRECT("1:"&amp;K$2))),ROW($A182)),"")</f>
        <v>190</v>
      </c>
      <c r="BP225" s="202">
        <f t="array" aca="1" ref="BP225" ca="1">IFERROR(SMALL(IF(COUNTIF(Podcasts!$D$2077:'Podcasts'!$D$2092,ROW(INDIRECT("1:"&amp;K$2)))=0,ROW(INDIRECT("1:"&amp;K$2))),ROW($A182)),"")</f>
        <v>193</v>
      </c>
      <c r="BQ225" s="741">
        <f t="array" aca="1" ref="BQ225" ca="1">IFERROR(SMALL(IF(COUNTIF(Podcasts!$D$2098:'Podcasts'!$D$2114,ROW(INDIRECT("1:"&amp;K$2)))=0,ROW(INDIRECT("1:"&amp;K$2))),ROW($A182)),"")</f>
        <v>197</v>
      </c>
      <c r="BR225" s="744">
        <f t="array" aca="1" ref="BR225" ca="1">IFERROR(SMALL(IF(COUNTIF(Podcasts!$D$2120:'Podcasts'!$D$2124,ROW(INDIRECT("1:"&amp;K$2)))=0,ROW(INDIRECT("1:"&amp;K$2))),ROW($A182)),"")</f>
        <v>184</v>
      </c>
      <c r="BS225" s="28"/>
    </row>
    <row r="226" spans="1:71" outlineLevel="1">
      <c r="A226" s="28"/>
      <c r="B226" s="161">
        <v>183</v>
      </c>
      <c r="C226" s="161">
        <f>COUNTIF(Podcasts!$D$10:'Podcasts'!$D$2535,B226)</f>
        <v>9</v>
      </c>
      <c r="D226" s="160" t="s">
        <v>1207</v>
      </c>
      <c r="E226" s="156" t="str">
        <f t="array" ref="E226">IF(F226="","",INDEX(Podcasts!$J$10:'Podcasts'!$J$2535,MATCH(F226&amp;$B226,Podcasts!$E$10:'Podcasts'!$E$2535&amp;Podcasts!$D$10:'Podcasts'!$D$2535,0)))</f>
        <v>Ohr</v>
      </c>
      <c r="F226" s="131">
        <f t="array" ref="F226">IF(COUNTIF(Podcasts!$D$10:'Podcasts'!$D$2535,$B226)&lt;COLUMN(A189),"",SMALL(IF(Podcasts!$D$10:'Podcasts'!$D$2535=$B226,Podcasts!$E$10:'Podcasts'!$E$2535),COLUMN(A189)))</f>
        <v>42657</v>
      </c>
      <c r="G226" s="132">
        <f t="array" ref="G226">IF(F226="","",INDEX(Podcasts!$F$10:'Podcasts'!$F$2535,MATCH(F226&amp;$B226,Podcasts!$E$10:'Podcasts'!$E$2535&amp;Podcasts!$D$10:'Podcasts'!$D$2535,0)))</f>
        <v>4.3518518518518515E-3</v>
      </c>
      <c r="H226" s="136" t="str">
        <f t="array" ref="H226">IF(I226="","",INDEX(Podcasts!$J$10:'Podcasts'!$J$2535,MATCH(I226&amp;$B226,Podcasts!$E$10:'Podcasts'!$E$2535&amp;Podcasts!$D$10:'Podcasts'!$D$2535,0)))</f>
        <v>Talker</v>
      </c>
      <c r="I226" s="133">
        <f t="array" ref="I226">IF(COUNTIF(Podcasts!$D$10:'Podcasts'!$D$2535,$B226)&lt;COLUMN(B189),"",SMALL(IF(Podcasts!$D$10:'Podcasts'!$D$2535=$B226,Podcasts!$E$10:'Podcasts'!$E$2535),COLUMN(B189)))</f>
        <v>42735</v>
      </c>
      <c r="J226" s="132">
        <f t="array" ref="J226">IF(I226="","",INDEX(Podcasts!$F$10:'Podcasts'!$F$2535,MATCH(I226&amp;$B226,Podcasts!$E$10:'Podcasts'!$E$2535&amp;Podcasts!$D$10:'Podcasts'!$D$2535,0)))</f>
        <v>2.0196759259259258E-2</v>
      </c>
      <c r="K226" s="136" t="str">
        <f t="array" ref="K226">IF(L226="","",INDEX(Podcasts!$J$10:'Podcasts'!$J$2535,MATCH(L226&amp;$B226,Podcasts!$E$10:'Podcasts'!$E$2535&amp;Podcasts!$D$10:'Podcasts'!$D$2535,0)))</f>
        <v>Keller</v>
      </c>
      <c r="L226" s="133">
        <f t="array" ref="L226">IF(COUNTIF(Podcasts!$D$10:'Podcasts'!$D$2535,$B226)&lt;COLUMN(C189),"",SMALL(IF(Podcasts!$D$10:'Podcasts'!$D$2535=$B226,Podcasts!$E$10:'Podcasts'!$E$2535),COLUMN(C189)))</f>
        <v>42761</v>
      </c>
      <c r="M226" s="132">
        <f t="array" ref="M226">IF(L226="","",INDEX(Podcasts!$F$10:'Podcasts'!$F$2535,MATCH(L226&amp;$B226,Podcasts!$E$10:'Podcasts'!$E$2535&amp;Podcasts!$D$10:'Podcasts'!$D$2535,0)))</f>
        <v>3.9861111111111111E-2</v>
      </c>
      <c r="N226" s="136" t="str">
        <f t="array" ref="N226">IF(O226="","",INDEX(Podcasts!$J$10:'Podcasts'!$J$2535,MATCH(O226&amp;$B226,Podcasts!$E$10:'Podcasts'!$E$2535&amp;Podcasts!$D$10:'Podcasts'!$D$2535,0)))</f>
        <v>SSP</v>
      </c>
      <c r="O226" s="133">
        <f t="array" ref="O226">IF(COUNTIF(Podcasts!$D$10:'Podcasts'!$D$2535,$B226)&lt;COLUMN(D189),"",SMALL(IF(Podcasts!$D$10:'Podcasts'!$D$2535=$B226,Podcasts!$E$10:'Podcasts'!$E$2535),COLUMN(D189)))</f>
        <v>43623</v>
      </c>
      <c r="P226" s="132">
        <f t="array" ref="P226">IF(O226="","",INDEX(Podcasts!$F$10:'Podcasts'!$F$2535,MATCH(O226&amp;$B226,Podcasts!$E$10:'Podcasts'!$E$2535&amp;Podcasts!$D$10:'Podcasts'!$D$2535,0)))</f>
        <v>7.166666666666667E-2</v>
      </c>
      <c r="Q226" s="136" t="str">
        <f t="array" ref="Q226">IF(R226="","",INDEX(Podcasts!$J$10:'Podcasts'!$J$2535,MATCH(R226&amp;$B226,Podcasts!$E$10:'Podcasts'!$E$2535&amp;Podcasts!$D$10:'Podcasts'!$D$2535,0)))</f>
        <v>Kuchen</v>
      </c>
      <c r="R226" s="133">
        <f t="array" ref="R226">IF(COUNTIF(Podcasts!$D$10:'Podcasts'!$D$2535,$B226)&lt;COLUMN(E189),"",SMALL(IF(Podcasts!$D$10:'Podcasts'!$D$2535=$B226,Podcasts!$E$10:'Podcasts'!$E$2535),COLUMN(E189)))</f>
        <v>44535</v>
      </c>
      <c r="S226" s="132">
        <f t="array" ref="S226">IF(R226="","",INDEX(Podcasts!$F$10:'Podcasts'!$F$2535,MATCH(R226&amp;$B226,Podcasts!$E$10:'Podcasts'!$E$2535&amp;Podcasts!$D$10:'Podcasts'!$D$2535,0)))</f>
        <v>8.9155092592592591E-2</v>
      </c>
      <c r="T226" s="136" t="str">
        <f t="array" ref="T226">IF(U226="","",INDEX(Podcasts!$J$10:'Podcasts'!$J$2535,MATCH(U226&amp;$B226,Podcasts!$E$10:'Podcasts'!$E$2535&amp;Podcasts!$D$10:'Podcasts'!$D$2535,0)))</f>
        <v>Gebraucht</v>
      </c>
      <c r="U226" s="133">
        <f t="array" ref="U226">IF(COUNTIF(Podcasts!$D$10:'Podcasts'!$D$2535,$B226)&lt;COLUMN(F189),"",SMALL(IF(Podcasts!$D$10:'Podcasts'!$D$2535=$B226,Podcasts!$E$10:'Podcasts'!$E$2535),COLUMN(F189)))</f>
        <v>44897</v>
      </c>
      <c r="V226" s="132">
        <f t="array" ref="V226">IF(U226="","",INDEX(Podcasts!$F$10:'Podcasts'!$F$2535,MATCH(U226&amp;$B226,Podcasts!$E$10:'Podcasts'!$E$2535&amp;Podcasts!$D$10:'Podcasts'!$D$2535,0)))</f>
        <v>4.5509259259259256E-2</v>
      </c>
      <c r="W226" s="136" t="str">
        <f t="array" ref="W226">IF(X226="","",INDEX(Podcasts!$J$10:'Podcasts'!$J$2535,MATCH(X226&amp;$B226,Podcasts!$E$10:'Podcasts'!$E$2535&amp;Podcasts!$D$10:'Podcasts'!$D$2535,0)))</f>
        <v>Verstärker</v>
      </c>
      <c r="X226" s="133">
        <f t="array" ref="X226">IF(COUNTIF(Podcasts!$D$10:'Podcasts'!$D$2535,$B226)&lt;COLUMN(G189),"",SMALL(IF(Podcasts!$D$10:'Podcasts'!$D$2535=$B226,Podcasts!$E$10:'Podcasts'!$E$2535),COLUMN(G189)))</f>
        <v>45080</v>
      </c>
      <c r="Y226" s="132">
        <f t="array" ref="Y226">IF(X226="","",INDEX(Podcasts!$F$10:'Podcasts'!$F$2535,MATCH(X226&amp;$B226,Podcasts!$E$10:'Podcasts'!$E$2535&amp;Podcasts!$D$10:'Podcasts'!$D$2535,0)))</f>
        <v>2.3807870370370368E-2</v>
      </c>
      <c r="Z226" s="136" t="str">
        <f t="array" ref="Z226">IF(AA226="","",INDEX(Podcasts!$J$10:'Podcasts'!$J$2535,MATCH(AA226&amp;$B226,Podcasts!$E$10:'Podcasts'!$E$2535&amp;Podcasts!$D$10:'Podcasts'!$D$2535,0)))</f>
        <v>Zeichen</v>
      </c>
      <c r="AA226" s="134">
        <f t="array" ref="AA226">IF(COUNTIF(Podcasts!$D$10:'Podcasts'!$D$2535,$B226)&lt;COLUMN(H189),"",SMALL(IF(Podcasts!$D$10:'Podcasts'!$D$2535=$B226,Podcasts!$E$10:'Podcasts'!$E$2535),COLUMN(H189)))</f>
        <v>45131</v>
      </c>
      <c r="AB226" s="404">
        <f t="array" ref="AB226">IF(AA226="","",INDEX(Podcasts!$F$10:'Podcasts'!$F$2535,MATCH(AA226&amp;$B226,Podcasts!$E$10:'Podcasts'!$E$2535&amp;Podcasts!$D$10:'Podcasts'!$D$2535,0)))</f>
        <v>9.0509259259259248E-2</v>
      </c>
      <c r="AC226" s="406" t="str">
        <f t="array" ref="AC226">IF(AD226="","",INDEX(Podcasts!$J$10:'Podcasts'!$J$2535,MATCH(AD226&amp;$B226,Podcasts!$E$10:'Podcasts'!$E$2535&amp;Podcasts!$D$10:'Podcasts'!$D$2535,0)))</f>
        <v>Zw3i</v>
      </c>
      <c r="AD226" s="400">
        <f t="array" ref="AD226">IF(COUNTIF(Podcasts!$D$10:'Podcasts'!$D$2535,$B226)&lt;COLUMN(I189),"",SMALL(IF(Podcasts!$D$10:'Podcasts'!$D$2535=$B226,Podcasts!$E$10:'Podcasts'!$E$2535),COLUMN(I189)))</f>
        <v>45415</v>
      </c>
      <c r="AE226" s="401">
        <f t="array" ref="AE226">IF(AD226="","",INDEX(Podcasts!$F$10:'Podcasts'!$F$2535,MATCH(AD226&amp;$B226,Podcasts!$E$10:'Podcasts'!$E$2535&amp;Podcasts!$D$10:'Podcasts'!$D$2535,0)))</f>
        <v>0</v>
      </c>
      <c r="AF226" s="406" t="str">
        <f t="array" ref="AF226">IF(AG226="","",INDEX(Podcasts!$J$10:'Podcasts'!$J$2535,MATCH(AG226&amp;$B226,Podcasts!$E$10:'Podcasts'!$E$2535&amp;Podcasts!$D$10:'Podcasts'!$D$2535,0)))</f>
        <v/>
      </c>
      <c r="AG226" s="400" t="str">
        <f t="array" ref="AG226">IF(COUNTIF(Podcasts!$D$10:'Podcasts'!$D$2535,$B226)&lt;COLUMN(J189),"",SMALL(IF(Podcasts!$D$10:'Podcasts'!$D$2535=$B226,Podcasts!$E$10:'Podcasts'!$E$2535),COLUMN(J189)))</f>
        <v/>
      </c>
      <c r="AH226" s="401" t="str">
        <f t="array" ref="AH226">IF(AG226="","",INDEX(Podcasts!$F$10:'Podcasts'!$F$2535,MATCH(AG226&amp;$B226,Podcasts!$E$10:'Podcasts'!$E$2535&amp;Podcasts!$D$10:'Podcasts'!$D$2535,0)))</f>
        <v/>
      </c>
      <c r="AI226" s="406" t="str">
        <f t="array" ref="AI226">IF(AJ226="","",INDEX(Podcasts!$J$10:'Podcasts'!$J$2535,MATCH(AJ226&amp;$B226,Podcasts!$E$10:'Podcasts'!$E$2535&amp;Podcasts!$D$10:'Podcasts'!$D$2535,0)))</f>
        <v/>
      </c>
      <c r="AJ226" s="400" t="str">
        <f t="array" ref="AJ226">IF(COUNTIF(Podcasts!$D$10:'Podcasts'!$D$2535,$B226)&lt;COLUMN(K189),"",SMALL(IF(Podcasts!$D$10:'Podcasts'!$D$2535=$B226,Podcasts!$E$10:'Podcasts'!$E$2535),COLUMN(K189)))</f>
        <v/>
      </c>
      <c r="AK226" s="401" t="str">
        <f t="array" ref="AK226">IF(AJ226="","",INDEX(Podcasts!$F$10:'Podcasts'!$F$2535,MATCH(AJ226&amp;$B226,Podcasts!$E$10:'Podcasts'!$E$2535&amp;Podcasts!$D$10:'Podcasts'!$D$2535,0)))</f>
        <v/>
      </c>
      <c r="AL226" s="406" t="str">
        <f t="array" ref="AL226">IF(AM226="","",INDEX(Podcasts!$J$10:'Podcasts'!$J$2535,MATCH(AM226&amp;$B226,Podcasts!$E$10:'Podcasts'!$E$2535&amp;Podcasts!$D$10:'Podcasts'!$D$2535,0)))</f>
        <v/>
      </c>
      <c r="AM226" s="400" t="str">
        <f t="array" ref="AM226">IF(COUNTIF(Podcasts!$D$10:'Podcasts'!$D$2535,$B226)&lt;COLUMN(L189),"",SMALL(IF(Podcasts!$D$10:'Podcasts'!$D$2535=$B226,Podcasts!$E$10:'Podcasts'!$E$2535),COLUMN(L189)))</f>
        <v/>
      </c>
      <c r="AN226" s="401" t="str">
        <f t="array" ref="AN226">IF(AM226="","",INDEX(Podcasts!$F$10:'Podcasts'!$F$2535,MATCH(AM226&amp;$B226,Podcasts!$E$10:'Podcasts'!$E$2535&amp;Podcasts!$D$10:'Podcasts'!$D$2535,0)))</f>
        <v/>
      </c>
      <c r="AO226" s="402"/>
      <c r="AP226" s="119"/>
      <c r="AQ226" s="117"/>
      <c r="AR226" s="117"/>
      <c r="AS226" s="117">
        <f t="array" aca="1" ref="AS226" ca="1">IFERROR(SMALL(IF(COUNTIF(Podcasts!$D$244:'Podcasts'!$D$299,ROW(INDIRECT("1:"&amp;K$2)))=0,ROW(INDIRECT("1:"&amp;K$2))),ROW($A183)),"")</f>
        <v>220</v>
      </c>
      <c r="AT226" s="117"/>
      <c r="AU226" s="117">
        <f t="array" aca="1" ref="AU226" ca="1">IFERROR(SMALL(IF(COUNTIF(Podcasts!$D$479:'Podcasts'!$D$488,ROW(INDIRECT("1:"&amp;K$2)))=0,ROW(INDIRECT("1:"&amp;K$2))),ROW($A183)),"")</f>
        <v>187</v>
      </c>
      <c r="AV226" s="117">
        <f t="array" aca="1" ref="AV226" ca="1">IFERROR(SMALL(IF(COUNTIF(Podcasts!$D$494:'Podcasts'!$D$518,ROW(INDIRECT("1:"&amp;K$2)))=0,ROW(INDIRECT("1:"&amp;K$2))),ROW($A183)),"")</f>
        <v>208</v>
      </c>
      <c r="AW226" s="117">
        <f t="array" aca="1" ref="AW226" ca="1">IFERROR(SMALL(IF(COUNTIF(Podcasts!$D$524:'Podcasts'!$D$532,ROW(INDIRECT("1:"&amp;K$2)))=0,ROW(INDIRECT("1:"&amp;K$2))),ROW($A183)),"")</f>
        <v>190</v>
      </c>
      <c r="AX226" s="117"/>
      <c r="AY226" s="117"/>
      <c r="AZ226" s="445"/>
      <c r="BA226" s="117"/>
      <c r="BB226" s="117">
        <f t="array" aca="1" ref="BB226" ca="1">IFERROR(SMALL(IF(COUNTIF(Podcasts!$D$1257:'Podcasts'!$D$1267,ROW(INDIRECT("1:"&amp;K$2)))=0,ROW(INDIRECT("1:"&amp;K$2))),ROW($A183)),"")</f>
        <v>190</v>
      </c>
      <c r="BC226" s="117">
        <f t="array" aca="1" ref="BC226" ca="1">IFERROR(SMALL(IF(COUNTIF(Podcasts!$D$1273:'Podcasts'!$D$1283,ROW(INDIRECT("1:"&amp;K$2)))=0,ROW(INDIRECT("1:"&amp;K$2))),ROW($A183)),"")</f>
        <v>189</v>
      </c>
      <c r="BD226" s="117">
        <f t="array" aca="1" ref="BD226" ca="1">IFERROR(SMALL(IF(COUNTIF(Podcasts!$D$1289:'Podcasts'!$D$1295,ROW(INDIRECT("1:"&amp;K$2)))=0,ROW(INDIRECT("1:"&amp;K$2))),ROW($A183)),"")</f>
        <v>189</v>
      </c>
      <c r="BE226" s="117" t="str">
        <f t="array" aca="1" ref="BE226" ca="1">IFERROR(SMALL(IF(COUNTIF(Podcasts!$D$1301:'Podcasts'!$D$1356,ROW(INDIRECT("1:"&amp;K$2)))=0,ROW(INDIRECT("1:"&amp;K$2))),ROW($A183)),"")</f>
        <v/>
      </c>
      <c r="BF226" s="117">
        <f t="array" aca="1" ref="BF226" ca="1">IFERROR(SMALL(IF(COUNTIF(Podcasts!$D$1362:'Podcasts'!$D$1364,ROW(INDIRECT("1:"&amp;K$2)))=0,ROW(INDIRECT("1:"&amp;K$2))),ROW($A183)),"")</f>
        <v>186</v>
      </c>
      <c r="BG226" s="202">
        <f t="array" aca="1" ref="BG226" ca="1">IFERROR(SMALL(IF(COUNTIF(Podcasts!$D$1370:'Podcasts'!$D$1419,ROW(INDIRECT("1:"&amp;K$2)))=0,ROW(INDIRECT("1:"&amp;K$2))),ROW($A183)),"")</f>
        <v>225</v>
      </c>
      <c r="BH226" s="202">
        <f t="array" aca="1" ref="BH226" ca="1">IFERROR(SMALL(IF(COUNTIF(Podcasts!$D$1425:'Podcasts'!$D$1446,ROW(INDIRECT("1:"&amp;K$2)))=0,ROW(INDIRECT("1:"&amp;K$2))),ROW($A183)),"")</f>
        <v>195</v>
      </c>
      <c r="BI226" s="202"/>
      <c r="BJ226" s="202"/>
      <c r="BK226" s="202"/>
      <c r="BL226" s="202">
        <f t="array" aca="1" ref="BL226" ca="1">IFERROR(SMALL(IF(COUNTIF(Podcasts!$D$1839:'Podcasts'!$D$1855,ROW(INDIRECT("1:"&amp;K$2)))=0,ROW(INDIRECT("1:"&amp;K$2))),ROW($A183)),"")</f>
        <v>192</v>
      </c>
      <c r="BM226" s="567"/>
      <c r="BN226" s="567"/>
      <c r="BO226" s="567">
        <f t="array" aca="1" ref="BO226" ca="1">IFERROR(SMALL(IF(COUNTIF(Podcasts!$D$2063:'Podcasts'!$D$2071,ROW(INDIRECT("1:"&amp;K$2)))=0,ROW(INDIRECT("1:"&amp;K$2))),ROW($A183)),"")</f>
        <v>191</v>
      </c>
      <c r="BP226" s="202">
        <f t="array" aca="1" ref="BP226" ca="1">IFERROR(SMALL(IF(COUNTIF(Podcasts!$D$2077:'Podcasts'!$D$2092,ROW(INDIRECT("1:"&amp;K$2)))=0,ROW(INDIRECT("1:"&amp;K$2))),ROW($A183)),"")</f>
        <v>194</v>
      </c>
      <c r="BQ226" s="741">
        <f t="array" aca="1" ref="BQ226" ca="1">IFERROR(SMALL(IF(COUNTIF(Podcasts!$D$2098:'Podcasts'!$D$2114,ROW(INDIRECT("1:"&amp;K$2)))=0,ROW(INDIRECT("1:"&amp;K$2))),ROW($A183)),"")</f>
        <v>198</v>
      </c>
      <c r="BR226" s="744">
        <f t="array" aca="1" ref="BR226" ca="1">IFERROR(SMALL(IF(COUNTIF(Podcasts!$D$2120:'Podcasts'!$D$2124,ROW(INDIRECT("1:"&amp;K$2)))=0,ROW(INDIRECT("1:"&amp;K$2))),ROW($A183)),"")</f>
        <v>185</v>
      </c>
      <c r="BS226" s="28"/>
    </row>
    <row r="227" spans="1:71" outlineLevel="1">
      <c r="A227" s="28"/>
      <c r="B227" s="161">
        <v>184</v>
      </c>
      <c r="C227" s="161">
        <f>COUNTIF(Podcasts!$D$10:'Podcasts'!$D$2535,B227)</f>
        <v>5</v>
      </c>
      <c r="D227" s="160" t="s">
        <v>1208</v>
      </c>
      <c r="E227" s="156" t="str">
        <f t="array" ref="E227">IF(F227="","",INDEX(Podcasts!$J$10:'Podcasts'!$J$2535,MATCH(F227&amp;$B227,Podcasts!$E$10:'Podcasts'!$E$2535&amp;Podcasts!$D$10:'Podcasts'!$D$2535,0)))</f>
        <v>Ohr</v>
      </c>
      <c r="F227" s="131">
        <f t="array" ref="F227">IF(COUNTIF(Podcasts!$D$10:'Podcasts'!$D$2535,$B227)&lt;COLUMN(A190),"",SMALL(IF(Podcasts!$D$10:'Podcasts'!$D$2535=$B227,Podcasts!$E$10:'Podcasts'!$E$2535),COLUMN(A190)))</f>
        <v>42783</v>
      </c>
      <c r="G227" s="132">
        <f t="array" ref="G227">IF(F227="","",INDEX(Podcasts!$F$10:'Podcasts'!$F$2535,MATCH(F227&amp;$B227,Podcasts!$E$10:'Podcasts'!$E$2535&amp;Podcasts!$D$10:'Podcasts'!$D$2535,0)))</f>
        <v>2.0717592592592593E-3</v>
      </c>
      <c r="H227" s="136" t="str">
        <f t="array" ref="H227">IF(I227="","",INDEX(Podcasts!$J$10:'Podcasts'!$J$2535,MATCH(I227&amp;$B227,Podcasts!$E$10:'Podcasts'!$E$2535&amp;Podcasts!$D$10:'Podcasts'!$D$2535,0)))</f>
        <v>???od</v>
      </c>
      <c r="I227" s="133">
        <f t="array" ref="I227">IF(COUNTIF(Podcasts!$D$10:'Podcasts'!$D$2535,$B227)&lt;COLUMN(B190),"",SMALL(IF(Podcasts!$D$10:'Podcasts'!$D$2535=$B227,Podcasts!$E$10:'Podcasts'!$E$2535),COLUMN(B190)))</f>
        <v>42927</v>
      </c>
      <c r="J227" s="132">
        <f t="array" ref="J227">IF(I227="","",INDEX(Podcasts!$F$10:'Podcasts'!$F$2535,MATCH(I227&amp;$B227,Podcasts!$E$10:'Podcasts'!$E$2535&amp;Podcasts!$D$10:'Podcasts'!$D$2535,0)))</f>
        <v>5.5358796296296288E-2</v>
      </c>
      <c r="K227" s="136" t="str">
        <f t="array" ref="K227">IF(L227="","",INDEX(Podcasts!$J$10:'Podcasts'!$J$2535,MATCH(L227&amp;$B227,Podcasts!$E$10:'Podcasts'!$E$2535&amp;Podcasts!$D$10:'Podcasts'!$D$2535,0)))</f>
        <v>Zentrale</v>
      </c>
      <c r="L227" s="133">
        <f t="array" ref="L227">IF(COUNTIF(Podcasts!$D$10:'Podcasts'!$D$2535,$B227)&lt;COLUMN(C190),"",SMALL(IF(Podcasts!$D$10:'Podcasts'!$D$2535=$B227,Podcasts!$E$10:'Podcasts'!$E$2535),COLUMN(C190)))</f>
        <v>43892.25</v>
      </c>
      <c r="M227" s="132">
        <f t="array" ref="M227">IF(L227="","",INDEX(Podcasts!$F$10:'Podcasts'!$F$2535,MATCH(L227&amp;$B227,Podcasts!$E$10:'Podcasts'!$E$2535&amp;Podcasts!$D$10:'Podcasts'!$D$2535,0)))</f>
        <v>0.13717592592592592</v>
      </c>
      <c r="N227" s="136" t="str">
        <f t="array" ref="N227">IF(O227="","",INDEX(Podcasts!$J$10:'Podcasts'!$J$2535,MATCH(O227&amp;$B227,Podcasts!$E$10:'Podcasts'!$E$2535&amp;Podcasts!$D$10:'Podcasts'!$D$2535,0)))</f>
        <v>SSP</v>
      </c>
      <c r="O227" s="133">
        <f t="array" ref="O227">IF(COUNTIF(Podcasts!$D$10:'Podcasts'!$D$2535,$B227)&lt;COLUMN(D190),"",SMALL(IF(Podcasts!$D$10:'Podcasts'!$D$2535=$B227,Podcasts!$E$10:'Podcasts'!$E$2535),COLUMN(D190)))</f>
        <v>44250</v>
      </c>
      <c r="P227" s="132">
        <f t="array" ref="P227">IF(O227="","",INDEX(Podcasts!$F$10:'Podcasts'!$F$2535,MATCH(O227&amp;$B227,Podcasts!$E$10:'Podcasts'!$E$2535&amp;Podcasts!$D$10:'Podcasts'!$D$2535,0)))</f>
        <v>8.8113425925925928E-2</v>
      </c>
      <c r="Q227" s="136" t="str">
        <f t="array" ref="Q227">IF(R227="","",INDEX(Podcasts!$J$10:'Podcasts'!$J$2535,MATCH(R227&amp;$B227,Podcasts!$E$10:'Podcasts'!$E$2535&amp;Podcasts!$D$10:'Podcasts'!$D$2535,0)))</f>
        <v>Kuchen</v>
      </c>
      <c r="R227" s="133">
        <f t="array" ref="R227">IF(COUNTIF(Podcasts!$D$10:'Podcasts'!$D$2535,$B227)&lt;COLUMN(E190),"",SMALL(IF(Podcasts!$D$10:'Podcasts'!$D$2535=$B227,Podcasts!$E$10:'Podcasts'!$E$2535),COLUMN(E190)))</f>
        <v>44290</v>
      </c>
      <c r="S227" s="132">
        <f t="array" ref="S227">IF(R227="","",INDEX(Podcasts!$F$10:'Podcasts'!$F$2535,MATCH(R227&amp;$B227,Podcasts!$E$10:'Podcasts'!$E$2535&amp;Podcasts!$D$10:'Podcasts'!$D$2535,0)))</f>
        <v>5.1597222222222218E-2</v>
      </c>
      <c r="T227" s="136" t="str">
        <f t="array" ref="T227">IF(U227="","",INDEX(Podcasts!$J$10:'Podcasts'!$J$2535,MATCH(U227&amp;$B227,Podcasts!$E$10:'Podcasts'!$E$2535&amp;Podcasts!$D$10:'Podcasts'!$D$2535,0)))</f>
        <v/>
      </c>
      <c r="U227" s="133" t="str">
        <f t="array" ref="U227">IF(COUNTIF(Podcasts!$D$10:'Podcasts'!$D$2535,$B227)&lt;COLUMN(F190),"",SMALL(IF(Podcasts!$D$10:'Podcasts'!$D$2535=$B227,Podcasts!$E$10:'Podcasts'!$E$2535),COLUMN(F190)))</f>
        <v/>
      </c>
      <c r="V227" s="132" t="str">
        <f t="array" ref="V227">IF(U227="","",INDEX(Podcasts!$F$10:'Podcasts'!$F$2535,MATCH(U227&amp;$B227,Podcasts!$E$10:'Podcasts'!$E$2535&amp;Podcasts!$D$10:'Podcasts'!$D$2535,0)))</f>
        <v/>
      </c>
      <c r="W227" s="136" t="str">
        <f t="array" ref="W227">IF(X227="","",INDEX(Podcasts!$J$10:'Podcasts'!$J$2535,MATCH(X227&amp;$B227,Podcasts!$E$10:'Podcasts'!$E$2535&amp;Podcasts!$D$10:'Podcasts'!$D$2535,0)))</f>
        <v/>
      </c>
      <c r="X227" s="133" t="str">
        <f t="array" ref="X227">IF(COUNTIF(Podcasts!$D$10:'Podcasts'!$D$2535,$B227)&lt;COLUMN(G190),"",SMALL(IF(Podcasts!$D$10:'Podcasts'!$D$2535=$B227,Podcasts!$E$10:'Podcasts'!$E$2535),COLUMN(G190)))</f>
        <v/>
      </c>
      <c r="Y227" s="132" t="str">
        <f t="array" ref="Y227">IF(X227="","",INDEX(Podcasts!$F$10:'Podcasts'!$F$2535,MATCH(X227&amp;$B227,Podcasts!$E$10:'Podcasts'!$E$2535&amp;Podcasts!$D$10:'Podcasts'!$D$2535,0)))</f>
        <v/>
      </c>
      <c r="Z227" s="136" t="str">
        <f t="array" ref="Z227">IF(AA227="","",INDEX(Podcasts!$J$10:'Podcasts'!$J$2535,MATCH(AA227&amp;$B227,Podcasts!$E$10:'Podcasts'!$E$2535&amp;Podcasts!$D$10:'Podcasts'!$D$2535,0)))</f>
        <v/>
      </c>
      <c r="AA227" s="134" t="str">
        <f t="array" ref="AA227">IF(COUNTIF(Podcasts!$D$10:'Podcasts'!$D$2535,$B227)&lt;COLUMN(H190),"",SMALL(IF(Podcasts!$D$10:'Podcasts'!$D$2535=$B227,Podcasts!$E$10:'Podcasts'!$E$2535),COLUMN(H190)))</f>
        <v/>
      </c>
      <c r="AB227" s="404" t="str">
        <f t="array" ref="AB227">IF(AA227="","",INDEX(Podcasts!$F$10:'Podcasts'!$F$2535,MATCH(AA227&amp;$B227,Podcasts!$E$10:'Podcasts'!$E$2535&amp;Podcasts!$D$10:'Podcasts'!$D$2535,0)))</f>
        <v/>
      </c>
      <c r="AC227" s="406" t="str">
        <f t="array" ref="AC227">IF(AD227="","",INDEX(Podcasts!$J$10:'Podcasts'!$J$2535,MATCH(AD227&amp;$B227,Podcasts!$E$10:'Podcasts'!$E$2535&amp;Podcasts!$D$10:'Podcasts'!$D$2535,0)))</f>
        <v/>
      </c>
      <c r="AD227" s="400" t="str">
        <f t="array" ref="AD227">IF(COUNTIF(Podcasts!$D$10:'Podcasts'!$D$2535,$B227)&lt;COLUMN(I190),"",SMALL(IF(Podcasts!$D$10:'Podcasts'!$D$2535=$B227,Podcasts!$E$10:'Podcasts'!$E$2535),COLUMN(I190)))</f>
        <v/>
      </c>
      <c r="AE227" s="401" t="str">
        <f t="array" ref="AE227">IF(AD227="","",INDEX(Podcasts!$F$10:'Podcasts'!$F$2535,MATCH(AD227&amp;$B227,Podcasts!$E$10:'Podcasts'!$E$2535&amp;Podcasts!$D$10:'Podcasts'!$D$2535,0)))</f>
        <v/>
      </c>
      <c r="AF227" s="406" t="str">
        <f t="array" ref="AF227">IF(AG227="","",INDEX(Podcasts!$J$10:'Podcasts'!$J$2535,MATCH(AG227&amp;$B227,Podcasts!$E$10:'Podcasts'!$E$2535&amp;Podcasts!$D$10:'Podcasts'!$D$2535,0)))</f>
        <v/>
      </c>
      <c r="AG227" s="400" t="str">
        <f t="array" ref="AG227">IF(COUNTIF(Podcasts!$D$10:'Podcasts'!$D$2535,$B227)&lt;COLUMN(J190),"",SMALL(IF(Podcasts!$D$10:'Podcasts'!$D$2535=$B227,Podcasts!$E$10:'Podcasts'!$E$2535),COLUMN(J190)))</f>
        <v/>
      </c>
      <c r="AH227" s="401" t="str">
        <f t="array" ref="AH227">IF(AG227="","",INDEX(Podcasts!$F$10:'Podcasts'!$F$2535,MATCH(AG227&amp;$B227,Podcasts!$E$10:'Podcasts'!$E$2535&amp;Podcasts!$D$10:'Podcasts'!$D$2535,0)))</f>
        <v/>
      </c>
      <c r="AI227" s="406" t="str">
        <f t="array" ref="AI227">IF(AJ227="","",INDEX(Podcasts!$J$10:'Podcasts'!$J$2535,MATCH(AJ227&amp;$B227,Podcasts!$E$10:'Podcasts'!$E$2535&amp;Podcasts!$D$10:'Podcasts'!$D$2535,0)))</f>
        <v/>
      </c>
      <c r="AJ227" s="400" t="str">
        <f t="array" ref="AJ227">IF(COUNTIF(Podcasts!$D$10:'Podcasts'!$D$2535,$B227)&lt;COLUMN(K190),"",SMALL(IF(Podcasts!$D$10:'Podcasts'!$D$2535=$B227,Podcasts!$E$10:'Podcasts'!$E$2535),COLUMN(K190)))</f>
        <v/>
      </c>
      <c r="AK227" s="401" t="str">
        <f t="array" ref="AK227">IF(AJ227="","",INDEX(Podcasts!$F$10:'Podcasts'!$F$2535,MATCH(AJ227&amp;$B227,Podcasts!$E$10:'Podcasts'!$E$2535&amp;Podcasts!$D$10:'Podcasts'!$D$2535,0)))</f>
        <v/>
      </c>
      <c r="AL227" s="406" t="str">
        <f t="array" ref="AL227">IF(AM227="","",INDEX(Podcasts!$J$10:'Podcasts'!$J$2535,MATCH(AM227&amp;$B227,Podcasts!$E$10:'Podcasts'!$E$2535&amp;Podcasts!$D$10:'Podcasts'!$D$2535,0)))</f>
        <v/>
      </c>
      <c r="AM227" s="400" t="str">
        <f t="array" ref="AM227">IF(COUNTIF(Podcasts!$D$10:'Podcasts'!$D$2535,$B227)&lt;COLUMN(L190),"",SMALL(IF(Podcasts!$D$10:'Podcasts'!$D$2535=$B227,Podcasts!$E$10:'Podcasts'!$E$2535),COLUMN(L190)))</f>
        <v/>
      </c>
      <c r="AN227" s="401" t="str">
        <f t="array" ref="AN227">IF(AM227="","",INDEX(Podcasts!$F$10:'Podcasts'!$F$2535,MATCH(AM227&amp;$B227,Podcasts!$E$10:'Podcasts'!$E$2535&amp;Podcasts!$D$10:'Podcasts'!$D$2535,0)))</f>
        <v/>
      </c>
      <c r="AO227" s="402"/>
      <c r="AP227" s="119"/>
      <c r="AQ227" s="117"/>
      <c r="AR227" s="117"/>
      <c r="AS227" s="117">
        <f t="array" aca="1" ref="AS227" ca="1">IFERROR(SMALL(IF(COUNTIF(Podcasts!$D$244:'Podcasts'!$D$299,ROW(INDIRECT("1:"&amp;K$2)))=0,ROW(INDIRECT("1:"&amp;K$2))),ROW($A184)),"")</f>
        <v>221</v>
      </c>
      <c r="AT227" s="117"/>
      <c r="AU227" s="117">
        <f t="array" aca="1" ref="AU227" ca="1">IFERROR(SMALL(IF(COUNTIF(Podcasts!$D$479:'Podcasts'!$D$488,ROW(INDIRECT("1:"&amp;K$2)))=0,ROW(INDIRECT("1:"&amp;K$2))),ROW($A184)),"")</f>
        <v>188</v>
      </c>
      <c r="AV227" s="117">
        <f t="array" aca="1" ref="AV227" ca="1">IFERROR(SMALL(IF(COUNTIF(Podcasts!$D$494:'Podcasts'!$D$518,ROW(INDIRECT("1:"&amp;K$2)))=0,ROW(INDIRECT("1:"&amp;K$2))),ROW($A184)),"")</f>
        <v>209</v>
      </c>
      <c r="AW227" s="117">
        <f t="array" aca="1" ref="AW227" ca="1">IFERROR(SMALL(IF(COUNTIF(Podcasts!$D$524:'Podcasts'!$D$532,ROW(INDIRECT("1:"&amp;K$2)))=0,ROW(INDIRECT("1:"&amp;K$2))),ROW($A184)),"")</f>
        <v>191</v>
      </c>
      <c r="AX227" s="117"/>
      <c r="AY227" s="117"/>
      <c r="AZ227" s="445"/>
      <c r="BA227" s="117"/>
      <c r="BB227" s="117">
        <f t="array" aca="1" ref="BB227" ca="1">IFERROR(SMALL(IF(COUNTIF(Podcasts!$D$1257:'Podcasts'!$D$1267,ROW(INDIRECT("1:"&amp;K$2)))=0,ROW(INDIRECT("1:"&amp;K$2))),ROW($A184)),"")</f>
        <v>191</v>
      </c>
      <c r="BC227" s="117">
        <f t="array" aca="1" ref="BC227" ca="1">IFERROR(SMALL(IF(COUNTIF(Podcasts!$D$1273:'Podcasts'!$D$1283,ROW(INDIRECT("1:"&amp;K$2)))=0,ROW(INDIRECT("1:"&amp;K$2))),ROW($A184)),"")</f>
        <v>190</v>
      </c>
      <c r="BD227" s="117">
        <f t="array" aca="1" ref="BD227" ca="1">IFERROR(SMALL(IF(COUNTIF(Podcasts!$D$1289:'Podcasts'!$D$1295,ROW(INDIRECT("1:"&amp;K$2)))=0,ROW(INDIRECT("1:"&amp;K$2))),ROW($A184)),"")</f>
        <v>190</v>
      </c>
      <c r="BE227" s="117" t="str">
        <f t="array" aca="1" ref="BE227" ca="1">IFERROR(SMALL(IF(COUNTIF(Podcasts!$D$1301:'Podcasts'!$D$1356,ROW(INDIRECT("1:"&amp;K$2)))=0,ROW(INDIRECT("1:"&amp;K$2))),ROW($A184)),"")</f>
        <v/>
      </c>
      <c r="BF227" s="117">
        <f t="array" aca="1" ref="BF227" ca="1">IFERROR(SMALL(IF(COUNTIF(Podcasts!$D$1362:'Podcasts'!$D$1364,ROW(INDIRECT("1:"&amp;K$2)))=0,ROW(INDIRECT("1:"&amp;K$2))),ROW($A184)),"")</f>
        <v>187</v>
      </c>
      <c r="BG227" s="202">
        <f t="array" aca="1" ref="BG227" ca="1">IFERROR(SMALL(IF(COUNTIF(Podcasts!$D$1370:'Podcasts'!$D$1419,ROW(INDIRECT("1:"&amp;K$2)))=0,ROW(INDIRECT("1:"&amp;K$2))),ROW($A184)),"")</f>
        <v>226</v>
      </c>
      <c r="BH227" s="202">
        <f t="array" aca="1" ref="BH227" ca="1">IFERROR(SMALL(IF(COUNTIF(Podcasts!$D$1425:'Podcasts'!$D$1446,ROW(INDIRECT("1:"&amp;K$2)))=0,ROW(INDIRECT("1:"&amp;K$2))),ROW($A184)),"")</f>
        <v>196</v>
      </c>
      <c r="BI227" s="202"/>
      <c r="BJ227" s="202"/>
      <c r="BK227" s="202"/>
      <c r="BL227" s="202">
        <f t="array" aca="1" ref="BL227" ca="1">IFERROR(SMALL(IF(COUNTIF(Podcasts!$D$1839:'Podcasts'!$D$1855,ROW(INDIRECT("1:"&amp;K$2)))=0,ROW(INDIRECT("1:"&amp;K$2))),ROW($A184)),"")</f>
        <v>193</v>
      </c>
      <c r="BM227" s="567"/>
      <c r="BN227" s="567"/>
      <c r="BO227" s="567">
        <f t="array" aca="1" ref="BO227" ca="1">IFERROR(SMALL(IF(COUNTIF(Podcasts!$D$2063:'Podcasts'!$D$2071,ROW(INDIRECT("1:"&amp;K$2)))=0,ROW(INDIRECT("1:"&amp;K$2))),ROW($A184)),"")</f>
        <v>192</v>
      </c>
      <c r="BP227" s="202">
        <f t="array" aca="1" ref="BP227" ca="1">IFERROR(SMALL(IF(COUNTIF(Podcasts!$D$2077:'Podcasts'!$D$2092,ROW(INDIRECT("1:"&amp;K$2)))=0,ROW(INDIRECT("1:"&amp;K$2))),ROW($A184)),"")</f>
        <v>195</v>
      </c>
      <c r="BQ227" s="741">
        <f t="array" aca="1" ref="BQ227" ca="1">IFERROR(SMALL(IF(COUNTIF(Podcasts!$D$2098:'Podcasts'!$D$2114,ROW(INDIRECT("1:"&amp;K$2)))=0,ROW(INDIRECT("1:"&amp;K$2))),ROW($A184)),"")</f>
        <v>199</v>
      </c>
      <c r="BR227" s="744">
        <f t="array" aca="1" ref="BR227" ca="1">IFERROR(SMALL(IF(COUNTIF(Podcasts!$D$2120:'Podcasts'!$D$2124,ROW(INDIRECT("1:"&amp;K$2)))=0,ROW(INDIRECT("1:"&amp;K$2))),ROW($A184)),"")</f>
        <v>186</v>
      </c>
      <c r="BS227" s="28"/>
    </row>
    <row r="228" spans="1:71" outlineLevel="1">
      <c r="A228" s="28"/>
      <c r="B228" s="161">
        <v>185</v>
      </c>
      <c r="C228" s="161">
        <f>COUNTIF(Podcasts!$D$10:'Podcasts'!$D$2535,B228)</f>
        <v>4</v>
      </c>
      <c r="D228" s="160" t="s">
        <v>1209</v>
      </c>
      <c r="E228" s="156" t="str">
        <f t="array" ref="E228">IF(F228="","",INDEX(Podcasts!$J$10:'Podcasts'!$J$2535,MATCH(F228&amp;$B228,Podcasts!$E$10:'Podcasts'!$E$2535&amp;Podcasts!$D$10:'Podcasts'!$D$2535,0)))</f>
        <v>Ohr</v>
      </c>
      <c r="F228" s="131">
        <f t="array" ref="F228">IF(COUNTIF(Podcasts!$D$10:'Podcasts'!$D$2535,$B228)&lt;COLUMN(A191),"",SMALL(IF(Podcasts!$D$10:'Podcasts'!$D$2535=$B228,Podcasts!$E$10:'Podcasts'!$E$2535),COLUMN(A191)))</f>
        <v>42783</v>
      </c>
      <c r="G228" s="132">
        <f t="array" ref="G228">IF(F228="","",INDEX(Podcasts!$F$10:'Podcasts'!$F$2535,MATCH(F228&amp;$B228,Podcasts!$E$10:'Podcasts'!$E$2535&amp;Podcasts!$D$10:'Podcasts'!$D$2535,0)))</f>
        <v>2.2800925925925927E-3</v>
      </c>
      <c r="H228" s="136" t="str">
        <f t="array" ref="H228">IF(I228="","",INDEX(Podcasts!$J$10:'Podcasts'!$J$2535,MATCH(I228&amp;$B228,Podcasts!$E$10:'Podcasts'!$E$2535&amp;Podcasts!$D$10:'Podcasts'!$D$2535,0)))</f>
        <v>Keller</v>
      </c>
      <c r="I228" s="133">
        <f t="array" ref="I228">IF(COUNTIF(Podcasts!$D$10:'Podcasts'!$D$2535,$B228)&lt;COLUMN(B191),"",SMALL(IF(Podcasts!$D$10:'Podcasts'!$D$2535=$B228,Podcasts!$E$10:'Podcasts'!$E$2535),COLUMN(B191)))</f>
        <v>42876</v>
      </c>
      <c r="J228" s="132">
        <f t="array" ref="J228">IF(I228="","",INDEX(Podcasts!$F$10:'Podcasts'!$F$2535,MATCH(I228&amp;$B228,Podcasts!$E$10:'Podcasts'!$E$2535&amp;Podcasts!$D$10:'Podcasts'!$D$2535,0)))</f>
        <v>3.3379629629629634E-2</v>
      </c>
      <c r="K228" s="136" t="str">
        <f t="array" ref="K228">IF(L228="","",INDEX(Podcasts!$J$10:'Podcasts'!$J$2535,MATCH(L228&amp;$B228,Podcasts!$E$10:'Podcasts'!$E$2535&amp;Podcasts!$D$10:'Podcasts'!$D$2535,0)))</f>
        <v>SSP</v>
      </c>
      <c r="L228" s="133">
        <f t="array" ref="L228">IF(COUNTIF(Podcasts!$D$10:'Podcasts'!$D$2535,$B228)&lt;COLUMN(C191),"",SMALL(IF(Podcasts!$D$10:'Podcasts'!$D$2535=$B228,Podcasts!$E$10:'Podcasts'!$E$2535),COLUMN(C191)))</f>
        <v>43668</v>
      </c>
      <c r="M228" s="132">
        <f t="array" ref="M228">IF(L228="","",INDEX(Podcasts!$F$10:'Podcasts'!$F$2535,MATCH(L228&amp;$B228,Podcasts!$E$10:'Podcasts'!$E$2535&amp;Podcasts!$D$10:'Podcasts'!$D$2535,0)))</f>
        <v>7.408564814814815E-2</v>
      </c>
      <c r="N228" s="136" t="str">
        <f t="array" ref="N228">IF(O228="","",INDEX(Podcasts!$J$10:'Podcasts'!$J$2535,MATCH(O228&amp;$B228,Podcasts!$E$10:'Podcasts'!$E$2535&amp;Podcasts!$D$10:'Podcasts'!$D$2535,0)))</f>
        <v>Verstärker</v>
      </c>
      <c r="O228" s="133">
        <f t="array" ref="O228">IF(COUNTIF(Podcasts!$D$10:'Podcasts'!$D$2535,$B228)&lt;COLUMN(D191),"",SMALL(IF(Podcasts!$D$10:'Podcasts'!$D$2535=$B228,Podcasts!$E$10:'Podcasts'!$E$2535),COLUMN(D191)))</f>
        <v>44745</v>
      </c>
      <c r="P228" s="132">
        <f t="array" ref="P228">IF(O228="","",INDEX(Podcasts!$F$10:'Podcasts'!$F$2535,MATCH(O228&amp;$B228,Podcasts!$E$10:'Podcasts'!$E$2535&amp;Podcasts!$D$10:'Podcasts'!$D$2535,0)))</f>
        <v>2.3796296296296298E-2</v>
      </c>
      <c r="Q228" s="136" t="str">
        <f t="array" ref="Q228">IF(R228="","",INDEX(Podcasts!$J$10:'Podcasts'!$J$2535,MATCH(R228&amp;$B228,Podcasts!$E$10:'Podcasts'!$E$2535&amp;Podcasts!$D$10:'Podcasts'!$D$2535,0)))</f>
        <v/>
      </c>
      <c r="R228" s="133" t="str">
        <f t="array" ref="R228">IF(COUNTIF(Podcasts!$D$10:'Podcasts'!$D$2535,$B228)&lt;COLUMN(E191),"",SMALL(IF(Podcasts!$D$10:'Podcasts'!$D$2535=$B228,Podcasts!$E$10:'Podcasts'!$E$2535),COLUMN(E191)))</f>
        <v/>
      </c>
      <c r="S228" s="132" t="str">
        <f t="array" ref="S228">IF(R228="","",INDEX(Podcasts!$F$10:'Podcasts'!$F$2535,MATCH(R228&amp;$B228,Podcasts!$E$10:'Podcasts'!$E$2535&amp;Podcasts!$D$10:'Podcasts'!$D$2535,0)))</f>
        <v/>
      </c>
      <c r="T228" s="136" t="str">
        <f t="array" ref="T228">IF(U228="","",INDEX(Podcasts!$J$10:'Podcasts'!$J$2535,MATCH(U228&amp;$B228,Podcasts!$E$10:'Podcasts'!$E$2535&amp;Podcasts!$D$10:'Podcasts'!$D$2535,0)))</f>
        <v/>
      </c>
      <c r="U228" s="133" t="str">
        <f t="array" ref="U228">IF(COUNTIF(Podcasts!$D$10:'Podcasts'!$D$2535,$B228)&lt;COLUMN(F191),"",SMALL(IF(Podcasts!$D$10:'Podcasts'!$D$2535=$B228,Podcasts!$E$10:'Podcasts'!$E$2535),COLUMN(F191)))</f>
        <v/>
      </c>
      <c r="V228" s="132" t="str">
        <f t="array" ref="V228">IF(U228="","",INDEX(Podcasts!$F$10:'Podcasts'!$F$2535,MATCH(U228&amp;$B228,Podcasts!$E$10:'Podcasts'!$E$2535&amp;Podcasts!$D$10:'Podcasts'!$D$2535,0)))</f>
        <v/>
      </c>
      <c r="W228" s="136" t="str">
        <f t="array" ref="W228">IF(X228="","",INDEX(Podcasts!$J$10:'Podcasts'!$J$2535,MATCH(X228&amp;$B228,Podcasts!$E$10:'Podcasts'!$E$2535&amp;Podcasts!$D$10:'Podcasts'!$D$2535,0)))</f>
        <v/>
      </c>
      <c r="X228" s="133" t="str">
        <f t="array" ref="X228">IF(COUNTIF(Podcasts!$D$10:'Podcasts'!$D$2535,$B228)&lt;COLUMN(G191),"",SMALL(IF(Podcasts!$D$10:'Podcasts'!$D$2535=$B228,Podcasts!$E$10:'Podcasts'!$E$2535),COLUMN(G191)))</f>
        <v/>
      </c>
      <c r="Y228" s="132" t="str">
        <f t="array" ref="Y228">IF(X228="","",INDEX(Podcasts!$F$10:'Podcasts'!$F$2535,MATCH(X228&amp;$B228,Podcasts!$E$10:'Podcasts'!$E$2535&amp;Podcasts!$D$10:'Podcasts'!$D$2535,0)))</f>
        <v/>
      </c>
      <c r="Z228" s="136" t="str">
        <f t="array" ref="Z228">IF(AA228="","",INDEX(Podcasts!$J$10:'Podcasts'!$J$2535,MATCH(AA228&amp;$B228,Podcasts!$E$10:'Podcasts'!$E$2535&amp;Podcasts!$D$10:'Podcasts'!$D$2535,0)))</f>
        <v/>
      </c>
      <c r="AA228" s="134" t="str">
        <f t="array" ref="AA228">IF(COUNTIF(Podcasts!$D$10:'Podcasts'!$D$2535,$B228)&lt;COLUMN(H191),"",SMALL(IF(Podcasts!$D$10:'Podcasts'!$D$2535=$B228,Podcasts!$E$10:'Podcasts'!$E$2535),COLUMN(H191)))</f>
        <v/>
      </c>
      <c r="AB228" s="404" t="str">
        <f t="array" ref="AB228">IF(AA228="","",INDEX(Podcasts!$F$10:'Podcasts'!$F$2535,MATCH(AA228&amp;$B228,Podcasts!$E$10:'Podcasts'!$E$2535&amp;Podcasts!$D$10:'Podcasts'!$D$2535,0)))</f>
        <v/>
      </c>
      <c r="AC228" s="406" t="str">
        <f t="array" ref="AC228">IF(AD228="","",INDEX(Podcasts!$J$10:'Podcasts'!$J$2535,MATCH(AD228&amp;$B228,Podcasts!$E$10:'Podcasts'!$E$2535&amp;Podcasts!$D$10:'Podcasts'!$D$2535,0)))</f>
        <v/>
      </c>
      <c r="AD228" s="400" t="str">
        <f t="array" ref="AD228">IF(COUNTIF(Podcasts!$D$10:'Podcasts'!$D$2535,$B228)&lt;COLUMN(I191),"",SMALL(IF(Podcasts!$D$10:'Podcasts'!$D$2535=$B228,Podcasts!$E$10:'Podcasts'!$E$2535),COLUMN(I191)))</f>
        <v/>
      </c>
      <c r="AE228" s="401" t="str">
        <f t="array" ref="AE228">IF(AD228="","",INDEX(Podcasts!$F$10:'Podcasts'!$F$2535,MATCH(AD228&amp;$B228,Podcasts!$E$10:'Podcasts'!$E$2535&amp;Podcasts!$D$10:'Podcasts'!$D$2535,0)))</f>
        <v/>
      </c>
      <c r="AF228" s="406" t="str">
        <f t="array" ref="AF228">IF(AG228="","",INDEX(Podcasts!$J$10:'Podcasts'!$J$2535,MATCH(AG228&amp;$B228,Podcasts!$E$10:'Podcasts'!$E$2535&amp;Podcasts!$D$10:'Podcasts'!$D$2535,0)))</f>
        <v/>
      </c>
      <c r="AG228" s="400" t="str">
        <f t="array" ref="AG228">IF(COUNTIF(Podcasts!$D$10:'Podcasts'!$D$2535,$B228)&lt;COLUMN(J191),"",SMALL(IF(Podcasts!$D$10:'Podcasts'!$D$2535=$B228,Podcasts!$E$10:'Podcasts'!$E$2535),COLUMN(J191)))</f>
        <v/>
      </c>
      <c r="AH228" s="401" t="str">
        <f t="array" ref="AH228">IF(AG228="","",INDEX(Podcasts!$F$10:'Podcasts'!$F$2535,MATCH(AG228&amp;$B228,Podcasts!$E$10:'Podcasts'!$E$2535&amp;Podcasts!$D$10:'Podcasts'!$D$2535,0)))</f>
        <v/>
      </c>
      <c r="AI228" s="406" t="str">
        <f t="array" ref="AI228">IF(AJ228="","",INDEX(Podcasts!$J$10:'Podcasts'!$J$2535,MATCH(AJ228&amp;$B228,Podcasts!$E$10:'Podcasts'!$E$2535&amp;Podcasts!$D$10:'Podcasts'!$D$2535,0)))</f>
        <v/>
      </c>
      <c r="AJ228" s="400" t="str">
        <f t="array" ref="AJ228">IF(COUNTIF(Podcasts!$D$10:'Podcasts'!$D$2535,$B228)&lt;COLUMN(K191),"",SMALL(IF(Podcasts!$D$10:'Podcasts'!$D$2535=$B228,Podcasts!$E$10:'Podcasts'!$E$2535),COLUMN(K191)))</f>
        <v/>
      </c>
      <c r="AK228" s="401" t="str">
        <f t="array" ref="AK228">IF(AJ228="","",INDEX(Podcasts!$F$10:'Podcasts'!$F$2535,MATCH(AJ228&amp;$B228,Podcasts!$E$10:'Podcasts'!$E$2535&amp;Podcasts!$D$10:'Podcasts'!$D$2535,0)))</f>
        <v/>
      </c>
      <c r="AL228" s="406" t="str">
        <f t="array" ref="AL228">IF(AM228="","",INDEX(Podcasts!$J$10:'Podcasts'!$J$2535,MATCH(AM228&amp;$B228,Podcasts!$E$10:'Podcasts'!$E$2535&amp;Podcasts!$D$10:'Podcasts'!$D$2535,0)))</f>
        <v/>
      </c>
      <c r="AM228" s="400" t="str">
        <f t="array" ref="AM228">IF(COUNTIF(Podcasts!$D$10:'Podcasts'!$D$2535,$B228)&lt;COLUMN(L191),"",SMALL(IF(Podcasts!$D$10:'Podcasts'!$D$2535=$B228,Podcasts!$E$10:'Podcasts'!$E$2535),COLUMN(L191)))</f>
        <v/>
      </c>
      <c r="AN228" s="401" t="str">
        <f t="array" ref="AN228">IF(AM228="","",INDEX(Podcasts!$F$10:'Podcasts'!$F$2535,MATCH(AM228&amp;$B228,Podcasts!$E$10:'Podcasts'!$E$2535&amp;Podcasts!$D$10:'Podcasts'!$D$2535,0)))</f>
        <v/>
      </c>
      <c r="AO228" s="402"/>
      <c r="AP228" s="119"/>
      <c r="AQ228" s="117"/>
      <c r="AR228" s="117"/>
      <c r="AS228" s="117">
        <f t="array" aca="1" ref="AS228" ca="1">IFERROR(SMALL(IF(COUNTIF(Podcasts!$D$244:'Podcasts'!$D$299,ROW(INDIRECT("1:"&amp;K$2)))=0,ROW(INDIRECT("1:"&amp;K$2))),ROW($A185)),"")</f>
        <v>222</v>
      </c>
      <c r="AT228" s="117"/>
      <c r="AU228" s="117">
        <f t="array" aca="1" ref="AU228" ca="1">IFERROR(SMALL(IF(COUNTIF(Podcasts!$D$479:'Podcasts'!$D$488,ROW(INDIRECT("1:"&amp;K$2)))=0,ROW(INDIRECT("1:"&amp;K$2))),ROW($A185)),"")</f>
        <v>189</v>
      </c>
      <c r="AV228" s="117">
        <f t="array" aca="1" ref="AV228" ca="1">IFERROR(SMALL(IF(COUNTIF(Podcasts!$D$494:'Podcasts'!$D$518,ROW(INDIRECT("1:"&amp;K$2)))=0,ROW(INDIRECT("1:"&amp;K$2))),ROW($A185)),"")</f>
        <v>210</v>
      </c>
      <c r="AW228" s="117">
        <f t="array" aca="1" ref="AW228" ca="1">IFERROR(SMALL(IF(COUNTIF(Podcasts!$D$524:'Podcasts'!$D$532,ROW(INDIRECT("1:"&amp;K$2)))=0,ROW(INDIRECT("1:"&amp;K$2))),ROW($A185)),"")</f>
        <v>192</v>
      </c>
      <c r="AX228" s="117"/>
      <c r="AY228" s="117"/>
      <c r="AZ228" s="445"/>
      <c r="BA228" s="117"/>
      <c r="BB228" s="117">
        <f t="array" aca="1" ref="BB228" ca="1">IFERROR(SMALL(IF(COUNTIF(Podcasts!$D$1257:'Podcasts'!$D$1267,ROW(INDIRECT("1:"&amp;K$2)))=0,ROW(INDIRECT("1:"&amp;K$2))),ROW($A185)),"")</f>
        <v>192</v>
      </c>
      <c r="BC228" s="117">
        <f t="array" aca="1" ref="BC228" ca="1">IFERROR(SMALL(IF(COUNTIF(Podcasts!$D$1273:'Podcasts'!$D$1283,ROW(INDIRECT("1:"&amp;K$2)))=0,ROW(INDIRECT("1:"&amp;K$2))),ROW($A185)),"")</f>
        <v>191</v>
      </c>
      <c r="BD228" s="117">
        <f t="array" aca="1" ref="BD228" ca="1">IFERROR(SMALL(IF(COUNTIF(Podcasts!$D$1289:'Podcasts'!$D$1295,ROW(INDIRECT("1:"&amp;K$2)))=0,ROW(INDIRECT("1:"&amp;K$2))),ROW($A185)),"")</f>
        <v>191</v>
      </c>
      <c r="BE228" s="117" t="str">
        <f t="array" aca="1" ref="BE228" ca="1">IFERROR(SMALL(IF(COUNTIF(Podcasts!$D$1301:'Podcasts'!$D$1356,ROW(INDIRECT("1:"&amp;K$2)))=0,ROW(INDIRECT("1:"&amp;K$2))),ROW($A185)),"")</f>
        <v/>
      </c>
      <c r="BF228" s="117">
        <f t="array" aca="1" ref="BF228" ca="1">IFERROR(SMALL(IF(COUNTIF(Podcasts!$D$1362:'Podcasts'!$D$1364,ROW(INDIRECT("1:"&amp;K$2)))=0,ROW(INDIRECT("1:"&amp;K$2))),ROW($A185)),"")</f>
        <v>188</v>
      </c>
      <c r="BG228" s="202" t="str">
        <f t="array" aca="1" ref="BG228" ca="1">IFERROR(SMALL(IF(COUNTIF(Podcasts!$D$1370:'Podcasts'!$D$1419,ROW(INDIRECT("1:"&amp;K$2)))=0,ROW(INDIRECT("1:"&amp;K$2))),ROW($A185)),"")</f>
        <v/>
      </c>
      <c r="BH228" s="202">
        <f t="array" aca="1" ref="BH228" ca="1">IFERROR(SMALL(IF(COUNTIF(Podcasts!$D$1425:'Podcasts'!$D$1446,ROW(INDIRECT("1:"&amp;K$2)))=0,ROW(INDIRECT("1:"&amp;K$2))),ROW($A185)),"")</f>
        <v>197</v>
      </c>
      <c r="BI228" s="202"/>
      <c r="BJ228" s="202"/>
      <c r="BK228" s="202"/>
      <c r="BL228" s="202">
        <f t="array" aca="1" ref="BL228" ca="1">IFERROR(SMALL(IF(COUNTIF(Podcasts!$D$1839:'Podcasts'!$D$1855,ROW(INDIRECT("1:"&amp;K$2)))=0,ROW(INDIRECT("1:"&amp;K$2))),ROW($A185)),"")</f>
        <v>194</v>
      </c>
      <c r="BM228" s="567"/>
      <c r="BN228" s="567"/>
      <c r="BO228" s="567">
        <f t="array" aca="1" ref="BO228" ca="1">IFERROR(SMALL(IF(COUNTIF(Podcasts!$D$2063:'Podcasts'!$D$2071,ROW(INDIRECT("1:"&amp;K$2)))=0,ROW(INDIRECT("1:"&amp;K$2))),ROW($A185)),"")</f>
        <v>193</v>
      </c>
      <c r="BP228" s="202">
        <f t="array" aca="1" ref="BP228" ca="1">IFERROR(SMALL(IF(COUNTIF(Podcasts!$D$2077:'Podcasts'!$D$2092,ROW(INDIRECT("1:"&amp;K$2)))=0,ROW(INDIRECT("1:"&amp;K$2))),ROW($A185)),"")</f>
        <v>196</v>
      </c>
      <c r="BQ228" s="741">
        <f t="array" aca="1" ref="BQ228" ca="1">IFERROR(SMALL(IF(COUNTIF(Podcasts!$D$2098:'Podcasts'!$D$2114,ROW(INDIRECT("1:"&amp;K$2)))=0,ROW(INDIRECT("1:"&amp;K$2))),ROW($A185)),"")</f>
        <v>200</v>
      </c>
      <c r="BR228" s="744">
        <f t="array" aca="1" ref="BR228" ca="1">IFERROR(SMALL(IF(COUNTIF(Podcasts!$D$2120:'Podcasts'!$D$2124,ROW(INDIRECT("1:"&amp;K$2)))=0,ROW(INDIRECT("1:"&amp;K$2))),ROW($A185)),"")</f>
        <v>187</v>
      </c>
      <c r="BS228" s="28"/>
    </row>
    <row r="229" spans="1:71" outlineLevel="1">
      <c r="A229" s="28"/>
      <c r="B229" s="161">
        <v>186</v>
      </c>
      <c r="C229" s="161">
        <f>COUNTIF(Podcasts!$D$10:'Podcasts'!$D$2535,B229)</f>
        <v>6</v>
      </c>
      <c r="D229" s="160" t="s">
        <v>1210</v>
      </c>
      <c r="E229" s="156" t="str">
        <f t="array" ref="E229">IF(F229="","",INDEX(Podcasts!$J$10:'Podcasts'!$J$2535,MATCH(F229&amp;$B229,Podcasts!$E$10:'Podcasts'!$E$2535&amp;Podcasts!$D$10:'Podcasts'!$D$2535,0)))</f>
        <v>Keller</v>
      </c>
      <c r="F229" s="131">
        <f t="array" ref="F229">IF(COUNTIF(Podcasts!$D$10:'Podcasts'!$D$2535,$B229)&lt;COLUMN(A192),"",SMALL(IF(Podcasts!$D$10:'Podcasts'!$D$2535=$B229,Podcasts!$E$10:'Podcasts'!$E$2535),COLUMN(A192)))</f>
        <v>42817</v>
      </c>
      <c r="G229" s="132">
        <f t="array" ref="G229">IF(F229="","",INDEX(Podcasts!$F$10:'Podcasts'!$F$2535,MATCH(F229&amp;$B229,Podcasts!$E$10:'Podcasts'!$E$2535&amp;Podcasts!$D$10:'Podcasts'!$D$2535,0)))</f>
        <v>3.2129629629629626E-2</v>
      </c>
      <c r="H229" s="136" t="str">
        <f t="array" ref="H229">IF(I229="","",INDEX(Podcasts!$J$10:'Podcasts'!$J$2535,MATCH(I229&amp;$B229,Podcasts!$E$10:'Podcasts'!$E$2535&amp;Podcasts!$D$10:'Podcasts'!$D$2535,0)))</f>
        <v>Ohr</v>
      </c>
      <c r="I229" s="133">
        <f t="array" ref="I229">IF(COUNTIF(Podcasts!$D$10:'Podcasts'!$D$2535,$B229)&lt;COLUMN(B192),"",SMALL(IF(Podcasts!$D$10:'Podcasts'!$D$2535=$B229,Podcasts!$E$10:'Podcasts'!$E$2535),COLUMN(B192)))</f>
        <v>42846</v>
      </c>
      <c r="J229" s="132">
        <f t="array" ref="J229">IF(I229="","",INDEX(Podcasts!$F$10:'Podcasts'!$F$2535,MATCH(I229&amp;$B229,Podcasts!$E$10:'Podcasts'!$E$2535&amp;Podcasts!$D$10:'Podcasts'!$D$2535,0)))</f>
        <v>3.6342592592592594E-3</v>
      </c>
      <c r="K229" s="136" t="str">
        <f t="array" ref="K229">IF(L229="","",INDEX(Podcasts!$J$10:'Podcasts'!$J$2535,MATCH(L229&amp;$B229,Podcasts!$E$10:'Podcasts'!$E$2535&amp;Podcasts!$D$10:'Podcasts'!$D$2535,0)))</f>
        <v>Talker</v>
      </c>
      <c r="L229" s="133">
        <f t="array" ref="L229">IF(COUNTIF(Podcasts!$D$10:'Podcasts'!$D$2535,$B229)&lt;COLUMN(C192),"",SMALL(IF(Podcasts!$D$10:'Podcasts'!$D$2535=$B229,Podcasts!$E$10:'Podcasts'!$E$2535),COLUMN(C192)))</f>
        <v>43497</v>
      </c>
      <c r="M229" s="132">
        <f t="array" ref="M229">IF(L229="","",INDEX(Podcasts!$F$10:'Podcasts'!$F$2535,MATCH(L229&amp;$B229,Podcasts!$E$10:'Podcasts'!$E$2535&amp;Podcasts!$D$10:'Podcasts'!$D$2535,0)))</f>
        <v>2.0775462962962964E-2</v>
      </c>
      <c r="N229" s="136" t="str">
        <f t="array" ref="N229">IF(O229="","",INDEX(Podcasts!$J$10:'Podcasts'!$J$2535,MATCH(O229&amp;$B229,Podcasts!$E$10:'Podcasts'!$E$2535&amp;Podcasts!$D$10:'Podcasts'!$D$2535,0)))</f>
        <v>R&amp;A</v>
      </c>
      <c r="O229" s="133">
        <f t="array" ref="O229">IF(COUNTIF(Podcasts!$D$10:'Podcasts'!$D$2535,$B229)&lt;COLUMN(D192),"",SMALL(IF(Podcasts!$D$10:'Podcasts'!$D$2535=$B229,Podcasts!$E$10:'Podcasts'!$E$2535),COLUMN(D192)))</f>
        <v>43548.835775462961</v>
      </c>
      <c r="P229" s="132">
        <f t="array" ref="P229">IF(O229="","",INDEX(Podcasts!$F$10:'Podcasts'!$F$2535,MATCH(O229&amp;$B229,Podcasts!$E$10:'Podcasts'!$E$2535&amp;Podcasts!$D$10:'Podcasts'!$D$2535,0)))</f>
        <v>9.0243055555555562E-2</v>
      </c>
      <c r="Q229" s="136" t="str">
        <f t="array" ref="Q229">IF(R229="","",INDEX(Podcasts!$J$10:'Podcasts'!$J$2535,MATCH(R229&amp;$B229,Podcasts!$E$10:'Podcasts'!$E$2535&amp;Podcasts!$D$10:'Podcasts'!$D$2535,0)))</f>
        <v>Kaffee</v>
      </c>
      <c r="R229" s="133">
        <f t="array" ref="R229">IF(COUNTIF(Podcasts!$D$10:'Podcasts'!$D$2535,$B229)&lt;COLUMN(E192),"",SMALL(IF(Podcasts!$D$10:'Podcasts'!$D$2535=$B229,Podcasts!$E$10:'Podcasts'!$E$2535),COLUMN(E192)))</f>
        <v>44463</v>
      </c>
      <c r="S229" s="132">
        <f t="array" ref="S229">IF(R229="","",INDEX(Podcasts!$F$10:'Podcasts'!$F$2535,MATCH(R229&amp;$B229,Podcasts!$E$10:'Podcasts'!$E$2535&amp;Podcasts!$D$10:'Podcasts'!$D$2535,0)))</f>
        <v>2.9722222222222219E-2</v>
      </c>
      <c r="T229" s="136" t="str">
        <f t="array" ref="T229">IF(U229="","",INDEX(Podcasts!$J$10:'Podcasts'!$J$2535,MATCH(U229&amp;$B229,Podcasts!$E$10:'Podcasts'!$E$2535&amp;Podcasts!$D$10:'Podcasts'!$D$2535,0)))</f>
        <v>Verstärker</v>
      </c>
      <c r="U229" s="133">
        <f t="array" ref="U229">IF(COUNTIF(Podcasts!$D$10:'Podcasts'!$D$2535,$B229)&lt;COLUMN(F192),"",SMALL(IF(Podcasts!$D$10:'Podcasts'!$D$2535=$B229,Podcasts!$E$10:'Podcasts'!$E$2535),COLUMN(F192)))</f>
        <v>45354</v>
      </c>
      <c r="V229" s="132">
        <f t="array" ref="V229">IF(U229="","",INDEX(Podcasts!$F$10:'Podcasts'!$F$2535,MATCH(U229&amp;$B229,Podcasts!$E$10:'Podcasts'!$E$2535&amp;Podcasts!$D$10:'Podcasts'!$D$2535,0)))</f>
        <v>2.1377314814814818E-2</v>
      </c>
      <c r="W229" s="136" t="str">
        <f t="array" ref="W229">IF(X229="","",INDEX(Podcasts!$J$10:'Podcasts'!$J$2535,MATCH(X229&amp;$B229,Podcasts!$E$10:'Podcasts'!$E$2535&amp;Podcasts!$D$10:'Podcasts'!$D$2535,0)))</f>
        <v/>
      </c>
      <c r="X229" s="133" t="str">
        <f t="array" ref="X229">IF(COUNTIF(Podcasts!$D$10:'Podcasts'!$D$2535,$B229)&lt;COLUMN(G192),"",SMALL(IF(Podcasts!$D$10:'Podcasts'!$D$2535=$B229,Podcasts!$E$10:'Podcasts'!$E$2535),COLUMN(G192)))</f>
        <v/>
      </c>
      <c r="Y229" s="132" t="str">
        <f t="array" ref="Y229">IF(X229="","",INDEX(Podcasts!$F$10:'Podcasts'!$F$2535,MATCH(X229&amp;$B229,Podcasts!$E$10:'Podcasts'!$E$2535&amp;Podcasts!$D$10:'Podcasts'!$D$2535,0)))</f>
        <v/>
      </c>
      <c r="Z229" s="136" t="str">
        <f t="array" ref="Z229">IF(AA229="","",INDEX(Podcasts!$J$10:'Podcasts'!$J$2535,MATCH(AA229&amp;$B229,Podcasts!$E$10:'Podcasts'!$E$2535&amp;Podcasts!$D$10:'Podcasts'!$D$2535,0)))</f>
        <v/>
      </c>
      <c r="AA229" s="134" t="str">
        <f t="array" ref="AA229">IF(COUNTIF(Podcasts!$D$10:'Podcasts'!$D$2535,$B229)&lt;COLUMN(H192),"",SMALL(IF(Podcasts!$D$10:'Podcasts'!$D$2535=$B229,Podcasts!$E$10:'Podcasts'!$E$2535),COLUMN(H192)))</f>
        <v/>
      </c>
      <c r="AB229" s="404" t="str">
        <f t="array" ref="AB229">IF(AA229="","",INDEX(Podcasts!$F$10:'Podcasts'!$F$2535,MATCH(AA229&amp;$B229,Podcasts!$E$10:'Podcasts'!$E$2535&amp;Podcasts!$D$10:'Podcasts'!$D$2535,0)))</f>
        <v/>
      </c>
      <c r="AC229" s="406" t="str">
        <f t="array" ref="AC229">IF(AD229="","",INDEX(Podcasts!$J$10:'Podcasts'!$J$2535,MATCH(AD229&amp;$B229,Podcasts!$E$10:'Podcasts'!$E$2535&amp;Podcasts!$D$10:'Podcasts'!$D$2535,0)))</f>
        <v/>
      </c>
      <c r="AD229" s="400" t="str">
        <f t="array" ref="AD229">IF(COUNTIF(Podcasts!$D$10:'Podcasts'!$D$2535,$B229)&lt;COLUMN(I192),"",SMALL(IF(Podcasts!$D$10:'Podcasts'!$D$2535=$B229,Podcasts!$E$10:'Podcasts'!$E$2535),COLUMN(I192)))</f>
        <v/>
      </c>
      <c r="AE229" s="401" t="str">
        <f t="array" ref="AE229">IF(AD229="","",INDEX(Podcasts!$F$10:'Podcasts'!$F$2535,MATCH(AD229&amp;$B229,Podcasts!$E$10:'Podcasts'!$E$2535&amp;Podcasts!$D$10:'Podcasts'!$D$2535,0)))</f>
        <v/>
      </c>
      <c r="AF229" s="406" t="str">
        <f t="array" ref="AF229">IF(AG229="","",INDEX(Podcasts!$J$10:'Podcasts'!$J$2535,MATCH(AG229&amp;$B229,Podcasts!$E$10:'Podcasts'!$E$2535&amp;Podcasts!$D$10:'Podcasts'!$D$2535,0)))</f>
        <v/>
      </c>
      <c r="AG229" s="400" t="str">
        <f t="array" ref="AG229">IF(COUNTIF(Podcasts!$D$10:'Podcasts'!$D$2535,$B229)&lt;COLUMN(J192),"",SMALL(IF(Podcasts!$D$10:'Podcasts'!$D$2535=$B229,Podcasts!$E$10:'Podcasts'!$E$2535),COLUMN(J192)))</f>
        <v/>
      </c>
      <c r="AH229" s="401" t="str">
        <f t="array" ref="AH229">IF(AG229="","",INDEX(Podcasts!$F$10:'Podcasts'!$F$2535,MATCH(AG229&amp;$B229,Podcasts!$E$10:'Podcasts'!$E$2535&amp;Podcasts!$D$10:'Podcasts'!$D$2535,0)))</f>
        <v/>
      </c>
      <c r="AI229" s="406" t="str">
        <f t="array" ref="AI229">IF(AJ229="","",INDEX(Podcasts!$J$10:'Podcasts'!$J$2535,MATCH(AJ229&amp;$B229,Podcasts!$E$10:'Podcasts'!$E$2535&amp;Podcasts!$D$10:'Podcasts'!$D$2535,0)))</f>
        <v/>
      </c>
      <c r="AJ229" s="400" t="str">
        <f t="array" ref="AJ229">IF(COUNTIF(Podcasts!$D$10:'Podcasts'!$D$2535,$B229)&lt;COLUMN(K192),"",SMALL(IF(Podcasts!$D$10:'Podcasts'!$D$2535=$B229,Podcasts!$E$10:'Podcasts'!$E$2535),COLUMN(K192)))</f>
        <v/>
      </c>
      <c r="AK229" s="401" t="str">
        <f t="array" ref="AK229">IF(AJ229="","",INDEX(Podcasts!$F$10:'Podcasts'!$F$2535,MATCH(AJ229&amp;$B229,Podcasts!$E$10:'Podcasts'!$E$2535&amp;Podcasts!$D$10:'Podcasts'!$D$2535,0)))</f>
        <v/>
      </c>
      <c r="AL229" s="406" t="str">
        <f t="array" ref="AL229">IF(AM229="","",INDEX(Podcasts!$J$10:'Podcasts'!$J$2535,MATCH(AM229&amp;$B229,Podcasts!$E$10:'Podcasts'!$E$2535&amp;Podcasts!$D$10:'Podcasts'!$D$2535,0)))</f>
        <v/>
      </c>
      <c r="AM229" s="400" t="str">
        <f t="array" ref="AM229">IF(COUNTIF(Podcasts!$D$10:'Podcasts'!$D$2535,$B229)&lt;COLUMN(L192),"",SMALL(IF(Podcasts!$D$10:'Podcasts'!$D$2535=$B229,Podcasts!$E$10:'Podcasts'!$E$2535),COLUMN(L192)))</f>
        <v/>
      </c>
      <c r="AN229" s="401" t="str">
        <f t="array" ref="AN229">IF(AM229="","",INDEX(Podcasts!$F$10:'Podcasts'!$F$2535,MATCH(AM229&amp;$B229,Podcasts!$E$10:'Podcasts'!$E$2535&amp;Podcasts!$D$10:'Podcasts'!$D$2535,0)))</f>
        <v/>
      </c>
      <c r="AO229" s="402"/>
      <c r="AP229" s="119"/>
      <c r="AQ229" s="117"/>
      <c r="AR229" s="117"/>
      <c r="AS229" s="117">
        <f t="array" aca="1" ref="AS229" ca="1">IFERROR(SMALL(IF(COUNTIF(Podcasts!$D$244:'Podcasts'!$D$299,ROW(INDIRECT("1:"&amp;K$2)))=0,ROW(INDIRECT("1:"&amp;K$2))),ROW($A186)),"")</f>
        <v>223</v>
      </c>
      <c r="AT229" s="117"/>
      <c r="AU229" s="117">
        <f t="array" aca="1" ref="AU229" ca="1">IFERROR(SMALL(IF(COUNTIF(Podcasts!$D$479:'Podcasts'!$D$488,ROW(INDIRECT("1:"&amp;K$2)))=0,ROW(INDIRECT("1:"&amp;K$2))),ROW($A186)),"")</f>
        <v>190</v>
      </c>
      <c r="AV229" s="117">
        <f t="array" aca="1" ref="AV229" ca="1">IFERROR(SMALL(IF(COUNTIF(Podcasts!$D$494:'Podcasts'!$D$518,ROW(INDIRECT("1:"&amp;K$2)))=0,ROW(INDIRECT("1:"&amp;K$2))),ROW($A186)),"")</f>
        <v>211</v>
      </c>
      <c r="AW229" s="117">
        <f t="array" aca="1" ref="AW229" ca="1">IFERROR(SMALL(IF(COUNTIF(Podcasts!$D$524:'Podcasts'!$D$532,ROW(INDIRECT("1:"&amp;K$2)))=0,ROW(INDIRECT("1:"&amp;K$2))),ROW($A186)),"")</f>
        <v>193</v>
      </c>
      <c r="AX229" s="117"/>
      <c r="AY229" s="117"/>
      <c r="AZ229" s="445"/>
      <c r="BA229" s="117"/>
      <c r="BB229" s="117">
        <f t="array" aca="1" ref="BB229" ca="1">IFERROR(SMALL(IF(COUNTIF(Podcasts!$D$1257:'Podcasts'!$D$1267,ROW(INDIRECT("1:"&amp;K$2)))=0,ROW(INDIRECT("1:"&amp;K$2))),ROW($A186)),"")</f>
        <v>193</v>
      </c>
      <c r="BC229" s="117">
        <f t="array" aca="1" ref="BC229" ca="1">IFERROR(SMALL(IF(COUNTIF(Podcasts!$D$1273:'Podcasts'!$D$1283,ROW(INDIRECT("1:"&amp;K$2)))=0,ROW(INDIRECT("1:"&amp;K$2))),ROW($A186)),"")</f>
        <v>192</v>
      </c>
      <c r="BD229" s="117">
        <f t="array" aca="1" ref="BD229" ca="1">IFERROR(SMALL(IF(COUNTIF(Podcasts!$D$1289:'Podcasts'!$D$1295,ROW(INDIRECT("1:"&amp;K$2)))=0,ROW(INDIRECT("1:"&amp;K$2))),ROW($A186)),"")</f>
        <v>192</v>
      </c>
      <c r="BE229" s="117"/>
      <c r="BF229" s="117">
        <f t="array" aca="1" ref="BF229" ca="1">IFERROR(SMALL(IF(COUNTIF(Podcasts!$D$1362:'Podcasts'!$D$1364,ROW(INDIRECT("1:"&amp;K$2)))=0,ROW(INDIRECT("1:"&amp;K$2))),ROW($A186)),"")</f>
        <v>189</v>
      </c>
      <c r="BG229" s="202" t="str">
        <f t="array" aca="1" ref="BG229" ca="1">IFERROR(SMALL(IF(COUNTIF(Podcasts!$D$1370:'Podcasts'!$D$1419,ROW(INDIRECT("1:"&amp;K$2)))=0,ROW(INDIRECT("1:"&amp;K$2))),ROW($A186)),"")</f>
        <v/>
      </c>
      <c r="BH229" s="202">
        <f t="array" aca="1" ref="BH229" ca="1">IFERROR(SMALL(IF(COUNTIF(Podcasts!$D$1425:'Podcasts'!$D$1446,ROW(INDIRECT("1:"&amp;K$2)))=0,ROW(INDIRECT("1:"&amp;K$2))),ROW($A186)),"")</f>
        <v>198</v>
      </c>
      <c r="BI229" s="202"/>
      <c r="BJ229" s="202"/>
      <c r="BK229" s="202"/>
      <c r="BL229" s="202">
        <f t="array" aca="1" ref="BL229" ca="1">IFERROR(SMALL(IF(COUNTIF(Podcasts!$D$1839:'Podcasts'!$D$1855,ROW(INDIRECT("1:"&amp;K$2)))=0,ROW(INDIRECT("1:"&amp;K$2))),ROW($A186)),"")</f>
        <v>195</v>
      </c>
      <c r="BM229" s="567"/>
      <c r="BN229" s="567"/>
      <c r="BO229" s="567">
        <f t="array" aca="1" ref="BO229" ca="1">IFERROR(SMALL(IF(COUNTIF(Podcasts!$D$2063:'Podcasts'!$D$2071,ROW(INDIRECT("1:"&amp;K$2)))=0,ROW(INDIRECT("1:"&amp;K$2))),ROW($A186)),"")</f>
        <v>194</v>
      </c>
      <c r="BP229" s="202">
        <f t="array" aca="1" ref="BP229" ca="1">IFERROR(SMALL(IF(COUNTIF(Podcasts!$D$2077:'Podcasts'!$D$2092,ROW(INDIRECT("1:"&amp;K$2)))=0,ROW(INDIRECT("1:"&amp;K$2))),ROW($A186)),"")</f>
        <v>197</v>
      </c>
      <c r="BQ229" s="741">
        <f t="array" aca="1" ref="BQ229" ca="1">IFERROR(SMALL(IF(COUNTIF(Podcasts!$D$2098:'Podcasts'!$D$2114,ROW(INDIRECT("1:"&amp;K$2)))=0,ROW(INDIRECT("1:"&amp;K$2))),ROW($A186)),"")</f>
        <v>201</v>
      </c>
      <c r="BR229" s="744">
        <f t="array" aca="1" ref="BR229" ca="1">IFERROR(SMALL(IF(COUNTIF(Podcasts!$D$2120:'Podcasts'!$D$2124,ROW(INDIRECT("1:"&amp;K$2)))=0,ROW(INDIRECT("1:"&amp;K$2))),ROW($A186)),"")</f>
        <v>188</v>
      </c>
      <c r="BS229" s="28"/>
    </row>
    <row r="230" spans="1:71" outlineLevel="1">
      <c r="A230" s="28"/>
      <c r="B230" s="161">
        <v>187</v>
      </c>
      <c r="C230" s="161">
        <f>COUNTIF(Podcasts!$D$10:'Podcasts'!$D$2535,B230)</f>
        <v>4</v>
      </c>
      <c r="D230" s="160" t="s">
        <v>1211</v>
      </c>
      <c r="E230" s="156" t="str">
        <f t="array" ref="E230">IF(F230="","",INDEX(Podcasts!$J$10:'Podcasts'!$J$2535,MATCH(F230&amp;$B230,Podcasts!$E$10:'Podcasts'!$E$2535&amp;Podcasts!$D$10:'Podcasts'!$D$2535,0)))</f>
        <v>Keller</v>
      </c>
      <c r="F230" s="131">
        <f t="array" ref="F230">IF(COUNTIF(Podcasts!$D$10:'Podcasts'!$D$2535,$B230)&lt;COLUMN(A193),"",SMALL(IF(Podcasts!$D$10:'Podcasts'!$D$2535=$B230,Podcasts!$E$10:'Podcasts'!$E$2535),COLUMN(A193)))</f>
        <v>42886</v>
      </c>
      <c r="G230" s="132">
        <f t="array" ref="G230">IF(F230="","",INDEX(Podcasts!$F$10:'Podcasts'!$F$2535,MATCH(F230&amp;$B230,Podcasts!$E$10:'Podcasts'!$E$2535&amp;Podcasts!$D$10:'Podcasts'!$D$2535,0)))</f>
        <v>3.0115740740740738E-2</v>
      </c>
      <c r="H230" s="136" t="str">
        <f t="array" ref="H230">IF(I230="","",INDEX(Podcasts!$J$10:'Podcasts'!$J$2535,MATCH(I230&amp;$B230,Podcasts!$E$10:'Podcasts'!$E$2535&amp;Podcasts!$D$10:'Podcasts'!$D$2535,0)))</f>
        <v>Ohr</v>
      </c>
      <c r="I230" s="133">
        <f t="array" ref="I230">IF(COUNTIF(Podcasts!$D$10:'Podcasts'!$D$2535,$B230)&lt;COLUMN(B193),"",SMALL(IF(Podcasts!$D$10:'Podcasts'!$D$2535=$B230,Podcasts!$E$10:'Podcasts'!$E$2535),COLUMN(B193)))</f>
        <v>42955</v>
      </c>
      <c r="J230" s="132">
        <f t="array" ref="J230">IF(I230="","",INDEX(Podcasts!$F$10:'Podcasts'!$F$2535,MATCH(I230&amp;$B230,Podcasts!$E$10:'Podcasts'!$E$2535&amp;Podcasts!$D$10:'Podcasts'!$D$2535,0)))</f>
        <v>1.9097222222222222E-3</v>
      </c>
      <c r="K230" s="136" t="str">
        <f t="array" ref="K230">IF(L230="","",INDEX(Podcasts!$J$10:'Podcasts'!$J$2535,MATCH(L230&amp;$B230,Podcasts!$E$10:'Podcasts'!$E$2535&amp;Podcasts!$D$10:'Podcasts'!$D$2535,0)))</f>
        <v>Kaffee</v>
      </c>
      <c r="L230" s="133">
        <f t="array" ref="L230">IF(COUNTIF(Podcasts!$D$10:'Podcasts'!$D$2535,$B230)&lt;COLUMN(C193),"",SMALL(IF(Podcasts!$D$10:'Podcasts'!$D$2535=$B230,Podcasts!$E$10:'Podcasts'!$E$2535),COLUMN(C193)))</f>
        <v>44212</v>
      </c>
      <c r="M230" s="132">
        <f t="array" ref="M230">IF(L230="","",INDEX(Podcasts!$F$10:'Podcasts'!$F$2535,MATCH(L230&amp;$B230,Podcasts!$E$10:'Podcasts'!$E$2535&amp;Podcasts!$D$10:'Podcasts'!$D$2535,0)))</f>
        <v>1.8506944444444444E-2</v>
      </c>
      <c r="N230" s="136" t="str">
        <f t="array" ref="N230">IF(O230="","",INDEX(Podcasts!$J$10:'Podcasts'!$J$2535,MATCH(O230&amp;$B230,Podcasts!$E$10:'Podcasts'!$E$2535&amp;Podcasts!$D$10:'Podcasts'!$D$2535,0)))</f>
        <v>SSP</v>
      </c>
      <c r="O230" s="133">
        <f t="array" ref="O230">IF(COUNTIF(Podcasts!$D$10:'Podcasts'!$D$2535,$B230)&lt;COLUMN(D193),"",SMALL(IF(Podcasts!$D$10:'Podcasts'!$D$2535=$B230,Podcasts!$E$10:'Podcasts'!$E$2535),COLUMN(D193)))</f>
        <v>45111</v>
      </c>
      <c r="P230" s="132">
        <f t="array" ref="P230">IF(O230="","",INDEX(Podcasts!$F$10:'Podcasts'!$F$2535,MATCH(O230&amp;$B230,Podcasts!$E$10:'Podcasts'!$E$2535&amp;Podcasts!$D$10:'Podcasts'!$D$2535,0)))</f>
        <v>9.5821759259259245E-2</v>
      </c>
      <c r="Q230" s="136" t="str">
        <f t="array" ref="Q230">IF(R230="","",INDEX(Podcasts!$J$10:'Podcasts'!$J$2535,MATCH(R230&amp;$B230,Podcasts!$E$10:'Podcasts'!$E$2535&amp;Podcasts!$D$10:'Podcasts'!$D$2535,0)))</f>
        <v/>
      </c>
      <c r="R230" s="133" t="str">
        <f t="array" ref="R230">IF(COUNTIF(Podcasts!$D$10:'Podcasts'!$D$2535,$B230)&lt;COLUMN(E193),"",SMALL(IF(Podcasts!$D$10:'Podcasts'!$D$2535=$B230,Podcasts!$E$10:'Podcasts'!$E$2535),COLUMN(E193)))</f>
        <v/>
      </c>
      <c r="S230" s="132" t="str">
        <f t="array" ref="S230">IF(R230="","",INDEX(Podcasts!$F$10:'Podcasts'!$F$2535,MATCH(R230&amp;$B230,Podcasts!$E$10:'Podcasts'!$E$2535&amp;Podcasts!$D$10:'Podcasts'!$D$2535,0)))</f>
        <v/>
      </c>
      <c r="T230" s="136" t="str">
        <f t="array" ref="T230">IF(U230="","",INDEX(Podcasts!$J$10:'Podcasts'!$J$2535,MATCH(U230&amp;$B230,Podcasts!$E$10:'Podcasts'!$E$2535&amp;Podcasts!$D$10:'Podcasts'!$D$2535,0)))</f>
        <v/>
      </c>
      <c r="U230" s="133" t="str">
        <f t="array" ref="U230">IF(COUNTIF(Podcasts!$D$10:'Podcasts'!$D$2535,$B230)&lt;COLUMN(F193),"",SMALL(IF(Podcasts!$D$10:'Podcasts'!$D$2535=$B230,Podcasts!$E$10:'Podcasts'!$E$2535),COLUMN(F193)))</f>
        <v/>
      </c>
      <c r="V230" s="132" t="str">
        <f t="array" ref="V230">IF(U230="","",INDEX(Podcasts!$F$10:'Podcasts'!$F$2535,MATCH(U230&amp;$B230,Podcasts!$E$10:'Podcasts'!$E$2535&amp;Podcasts!$D$10:'Podcasts'!$D$2535,0)))</f>
        <v/>
      </c>
      <c r="W230" s="136" t="str">
        <f t="array" ref="W230">IF(X230="","",INDEX(Podcasts!$J$10:'Podcasts'!$J$2535,MATCH(X230&amp;$B230,Podcasts!$E$10:'Podcasts'!$E$2535&amp;Podcasts!$D$10:'Podcasts'!$D$2535,0)))</f>
        <v/>
      </c>
      <c r="X230" s="133" t="str">
        <f t="array" ref="X230">IF(COUNTIF(Podcasts!$D$10:'Podcasts'!$D$2535,$B230)&lt;COLUMN(G193),"",SMALL(IF(Podcasts!$D$10:'Podcasts'!$D$2535=$B230,Podcasts!$E$10:'Podcasts'!$E$2535),COLUMN(G193)))</f>
        <v/>
      </c>
      <c r="Y230" s="132" t="str">
        <f t="array" ref="Y230">IF(X230="","",INDEX(Podcasts!$F$10:'Podcasts'!$F$2535,MATCH(X230&amp;$B230,Podcasts!$E$10:'Podcasts'!$E$2535&amp;Podcasts!$D$10:'Podcasts'!$D$2535,0)))</f>
        <v/>
      </c>
      <c r="Z230" s="136" t="str">
        <f t="array" ref="Z230">IF(AA230="","",INDEX(Podcasts!$J$10:'Podcasts'!$J$2535,MATCH(AA230&amp;$B230,Podcasts!$E$10:'Podcasts'!$E$2535&amp;Podcasts!$D$10:'Podcasts'!$D$2535,0)))</f>
        <v/>
      </c>
      <c r="AA230" s="134" t="str">
        <f t="array" ref="AA230">IF(COUNTIF(Podcasts!$D$10:'Podcasts'!$D$2535,$B230)&lt;COLUMN(H193),"",SMALL(IF(Podcasts!$D$10:'Podcasts'!$D$2535=$B230,Podcasts!$E$10:'Podcasts'!$E$2535),COLUMN(H193)))</f>
        <v/>
      </c>
      <c r="AB230" s="404" t="str">
        <f t="array" ref="AB230">IF(AA230="","",INDEX(Podcasts!$F$10:'Podcasts'!$F$2535,MATCH(AA230&amp;$B230,Podcasts!$E$10:'Podcasts'!$E$2535&amp;Podcasts!$D$10:'Podcasts'!$D$2535,0)))</f>
        <v/>
      </c>
      <c r="AC230" s="406" t="str">
        <f t="array" ref="AC230">IF(AD230="","",INDEX(Podcasts!$J$10:'Podcasts'!$J$2535,MATCH(AD230&amp;$B230,Podcasts!$E$10:'Podcasts'!$E$2535&amp;Podcasts!$D$10:'Podcasts'!$D$2535,0)))</f>
        <v/>
      </c>
      <c r="AD230" s="400" t="str">
        <f t="array" ref="AD230">IF(COUNTIF(Podcasts!$D$10:'Podcasts'!$D$2535,$B230)&lt;COLUMN(I193),"",SMALL(IF(Podcasts!$D$10:'Podcasts'!$D$2535=$B230,Podcasts!$E$10:'Podcasts'!$E$2535),COLUMN(I193)))</f>
        <v/>
      </c>
      <c r="AE230" s="401" t="str">
        <f t="array" ref="AE230">IF(AD230="","",INDEX(Podcasts!$F$10:'Podcasts'!$F$2535,MATCH(AD230&amp;$B230,Podcasts!$E$10:'Podcasts'!$E$2535&amp;Podcasts!$D$10:'Podcasts'!$D$2535,0)))</f>
        <v/>
      </c>
      <c r="AF230" s="406" t="str">
        <f t="array" ref="AF230">IF(AG230="","",INDEX(Podcasts!$J$10:'Podcasts'!$J$2535,MATCH(AG230&amp;$B230,Podcasts!$E$10:'Podcasts'!$E$2535&amp;Podcasts!$D$10:'Podcasts'!$D$2535,0)))</f>
        <v/>
      </c>
      <c r="AG230" s="400" t="str">
        <f t="array" ref="AG230">IF(COUNTIF(Podcasts!$D$10:'Podcasts'!$D$2535,$B230)&lt;COLUMN(J193),"",SMALL(IF(Podcasts!$D$10:'Podcasts'!$D$2535=$B230,Podcasts!$E$10:'Podcasts'!$E$2535),COLUMN(J193)))</f>
        <v/>
      </c>
      <c r="AH230" s="401" t="str">
        <f t="array" ref="AH230">IF(AG230="","",INDEX(Podcasts!$F$10:'Podcasts'!$F$2535,MATCH(AG230&amp;$B230,Podcasts!$E$10:'Podcasts'!$E$2535&amp;Podcasts!$D$10:'Podcasts'!$D$2535,0)))</f>
        <v/>
      </c>
      <c r="AI230" s="406" t="str">
        <f t="array" ref="AI230">IF(AJ230="","",INDEX(Podcasts!$J$10:'Podcasts'!$J$2535,MATCH(AJ230&amp;$B230,Podcasts!$E$10:'Podcasts'!$E$2535&amp;Podcasts!$D$10:'Podcasts'!$D$2535,0)))</f>
        <v/>
      </c>
      <c r="AJ230" s="400" t="str">
        <f t="array" ref="AJ230">IF(COUNTIF(Podcasts!$D$10:'Podcasts'!$D$2535,$B230)&lt;COLUMN(K193),"",SMALL(IF(Podcasts!$D$10:'Podcasts'!$D$2535=$B230,Podcasts!$E$10:'Podcasts'!$E$2535),COLUMN(K193)))</f>
        <v/>
      </c>
      <c r="AK230" s="401" t="str">
        <f t="array" ref="AK230">IF(AJ230="","",INDEX(Podcasts!$F$10:'Podcasts'!$F$2535,MATCH(AJ230&amp;$B230,Podcasts!$E$10:'Podcasts'!$E$2535&amp;Podcasts!$D$10:'Podcasts'!$D$2535,0)))</f>
        <v/>
      </c>
      <c r="AL230" s="406" t="str">
        <f t="array" ref="AL230">IF(AM230="","",INDEX(Podcasts!$J$10:'Podcasts'!$J$2535,MATCH(AM230&amp;$B230,Podcasts!$E$10:'Podcasts'!$E$2535&amp;Podcasts!$D$10:'Podcasts'!$D$2535,0)))</f>
        <v/>
      </c>
      <c r="AM230" s="400" t="str">
        <f t="array" ref="AM230">IF(COUNTIF(Podcasts!$D$10:'Podcasts'!$D$2535,$B230)&lt;COLUMN(L193),"",SMALL(IF(Podcasts!$D$10:'Podcasts'!$D$2535=$B230,Podcasts!$E$10:'Podcasts'!$E$2535),COLUMN(L193)))</f>
        <v/>
      </c>
      <c r="AN230" s="401" t="str">
        <f t="array" ref="AN230">IF(AM230="","",INDEX(Podcasts!$F$10:'Podcasts'!$F$2535,MATCH(AM230&amp;$B230,Podcasts!$E$10:'Podcasts'!$E$2535&amp;Podcasts!$D$10:'Podcasts'!$D$2535,0)))</f>
        <v/>
      </c>
      <c r="AO230" s="402"/>
      <c r="AP230" s="119"/>
      <c r="AQ230" s="117"/>
      <c r="AR230" s="117"/>
      <c r="AS230" s="117">
        <f t="array" aca="1" ref="AS230" ca="1">IFERROR(SMALL(IF(COUNTIF(Podcasts!$D$244:'Podcasts'!$D$299,ROW(INDIRECT("1:"&amp;K$2)))=0,ROW(INDIRECT("1:"&amp;K$2))),ROW($A187)),"")</f>
        <v>224</v>
      </c>
      <c r="AT230" s="117"/>
      <c r="AU230" s="117">
        <f t="array" aca="1" ref="AU230" ca="1">IFERROR(SMALL(IF(COUNTIF(Podcasts!$D$479:'Podcasts'!$D$488,ROW(INDIRECT("1:"&amp;K$2)))=0,ROW(INDIRECT("1:"&amp;K$2))),ROW($A187)),"")</f>
        <v>191</v>
      </c>
      <c r="AV230" s="117">
        <f t="array" aca="1" ref="AV230" ca="1">IFERROR(SMALL(IF(COUNTIF(Podcasts!$D$494:'Podcasts'!$D$518,ROW(INDIRECT("1:"&amp;K$2)))=0,ROW(INDIRECT("1:"&amp;K$2))),ROW($A187)),"")</f>
        <v>212</v>
      </c>
      <c r="AW230" s="117">
        <f t="array" aca="1" ref="AW230" ca="1">IFERROR(SMALL(IF(COUNTIF(Podcasts!$D$524:'Podcasts'!$D$532,ROW(INDIRECT("1:"&amp;K$2)))=0,ROW(INDIRECT("1:"&amp;K$2))),ROW($A187)),"")</f>
        <v>194</v>
      </c>
      <c r="AX230" s="117"/>
      <c r="AY230" s="117"/>
      <c r="AZ230" s="445"/>
      <c r="BA230" s="117"/>
      <c r="BB230" s="117">
        <f t="array" aca="1" ref="BB230" ca="1">IFERROR(SMALL(IF(COUNTIF(Podcasts!$D$1257:'Podcasts'!$D$1267,ROW(INDIRECT("1:"&amp;K$2)))=0,ROW(INDIRECT("1:"&amp;K$2))),ROW($A187)),"")</f>
        <v>194</v>
      </c>
      <c r="BC230" s="117">
        <f t="array" aca="1" ref="BC230" ca="1">IFERROR(SMALL(IF(COUNTIF(Podcasts!$D$1273:'Podcasts'!$D$1283,ROW(INDIRECT("1:"&amp;K$2)))=0,ROW(INDIRECT("1:"&amp;K$2))),ROW($A187)),"")</f>
        <v>193</v>
      </c>
      <c r="BD230" s="117">
        <f t="array" aca="1" ref="BD230" ca="1">IFERROR(SMALL(IF(COUNTIF(Podcasts!$D$1289:'Podcasts'!$D$1295,ROW(INDIRECT("1:"&amp;K$2)))=0,ROW(INDIRECT("1:"&amp;K$2))),ROW($A187)),"")</f>
        <v>193</v>
      </c>
      <c r="BE230" s="117"/>
      <c r="BF230" s="117">
        <f t="array" aca="1" ref="BF230" ca="1">IFERROR(SMALL(IF(COUNTIF(Podcasts!$D$1362:'Podcasts'!$D$1364,ROW(INDIRECT("1:"&amp;K$2)))=0,ROW(INDIRECT("1:"&amp;K$2))),ROW($A187)),"")</f>
        <v>190</v>
      </c>
      <c r="BG230" s="202" t="str">
        <f t="array" aca="1" ref="BG230" ca="1">IFERROR(SMALL(IF(COUNTIF(Podcasts!$D$1370:'Podcasts'!$D$1419,ROW(INDIRECT("1:"&amp;K$2)))=0,ROW(INDIRECT("1:"&amp;K$2))),ROW($A187)),"")</f>
        <v/>
      </c>
      <c r="BH230" s="202">
        <f t="array" aca="1" ref="BH230" ca="1">IFERROR(SMALL(IF(COUNTIF(Podcasts!$D$1425:'Podcasts'!$D$1446,ROW(INDIRECT("1:"&amp;K$2)))=0,ROW(INDIRECT("1:"&amp;K$2))),ROW($A187)),"")</f>
        <v>199</v>
      </c>
      <c r="BI230" s="202"/>
      <c r="BJ230" s="202"/>
      <c r="BK230" s="202"/>
      <c r="BL230" s="202">
        <f t="array" aca="1" ref="BL230" ca="1">IFERROR(SMALL(IF(COUNTIF(Podcasts!$D$1839:'Podcasts'!$D$1855,ROW(INDIRECT("1:"&amp;K$2)))=0,ROW(INDIRECT("1:"&amp;K$2))),ROW($A187)),"")</f>
        <v>196</v>
      </c>
      <c r="BM230" s="567"/>
      <c r="BN230" s="567"/>
      <c r="BO230" s="567">
        <f t="array" aca="1" ref="BO230" ca="1">IFERROR(SMALL(IF(COUNTIF(Podcasts!$D$2063:'Podcasts'!$D$2071,ROW(INDIRECT("1:"&amp;K$2)))=0,ROW(INDIRECT("1:"&amp;K$2))),ROW($A187)),"")</f>
        <v>195</v>
      </c>
      <c r="BP230" s="202">
        <f t="array" aca="1" ref="BP230" ca="1">IFERROR(SMALL(IF(COUNTIF(Podcasts!$D$2077:'Podcasts'!$D$2092,ROW(INDIRECT("1:"&amp;K$2)))=0,ROW(INDIRECT("1:"&amp;K$2))),ROW($A187)),"")</f>
        <v>198</v>
      </c>
      <c r="BQ230" s="741">
        <f t="array" aca="1" ref="BQ230" ca="1">IFERROR(SMALL(IF(COUNTIF(Podcasts!$D$2098:'Podcasts'!$D$2114,ROW(INDIRECT("1:"&amp;K$2)))=0,ROW(INDIRECT("1:"&amp;K$2))),ROW($A187)),"")</f>
        <v>202</v>
      </c>
      <c r="BR230" s="744">
        <f t="array" aca="1" ref="BR230" ca="1">IFERROR(SMALL(IF(COUNTIF(Podcasts!$D$2120:'Podcasts'!$D$2124,ROW(INDIRECT("1:"&amp;K$2)))=0,ROW(INDIRECT("1:"&amp;K$2))),ROW($A187)),"")</f>
        <v>189</v>
      </c>
      <c r="BS230" s="28"/>
    </row>
    <row r="231" spans="1:71" outlineLevel="1">
      <c r="A231" s="28"/>
      <c r="B231" s="161">
        <v>188</v>
      </c>
      <c r="C231" s="161">
        <f>COUNTIF(Podcasts!$D$10:'Podcasts'!$D$2535,B231)</f>
        <v>6</v>
      </c>
      <c r="D231" s="160" t="s">
        <v>1212</v>
      </c>
      <c r="E231" s="156" t="str">
        <f t="array" ref="E231">IF(F231="","",INDEX(Podcasts!$J$10:'Podcasts'!$J$2535,MATCH(F231&amp;$B231,Podcasts!$E$10:'Podcasts'!$E$2535&amp;Podcasts!$D$10:'Podcasts'!$D$2535,0)))</f>
        <v>Ohr</v>
      </c>
      <c r="F231" s="131">
        <f t="array" ref="F231">IF(COUNTIF(Podcasts!$D$10:'Podcasts'!$D$2535,$B231)&lt;COLUMN(A194),"",SMALL(IF(Podcasts!$D$10:'Podcasts'!$D$2535=$B231,Podcasts!$E$10:'Podcasts'!$E$2535),COLUMN(A194)))</f>
        <v>42977</v>
      </c>
      <c r="G231" s="132">
        <f t="array" ref="G231">IF(F231="","",INDEX(Podcasts!$F$10:'Podcasts'!$F$2535,MATCH(F231&amp;$B231,Podcasts!$E$10:'Podcasts'!$E$2535&amp;Podcasts!$D$10:'Podcasts'!$D$2535,0)))</f>
        <v>2.9976851851851848E-3</v>
      </c>
      <c r="H231" s="136" t="str">
        <f t="array" ref="H231">IF(I231="","",INDEX(Podcasts!$J$10:'Podcasts'!$J$2535,MATCH(I231&amp;$B231,Podcasts!$E$10:'Podcasts'!$E$2535&amp;Podcasts!$D$10:'Podcasts'!$D$2535,0)))</f>
        <v>Keller</v>
      </c>
      <c r="I231" s="133">
        <f t="array" ref="I231">IF(COUNTIF(Podcasts!$D$10:'Podcasts'!$D$2535,$B231)&lt;COLUMN(B194),"",SMALL(IF(Podcasts!$D$10:'Podcasts'!$D$2535=$B231,Podcasts!$E$10:'Podcasts'!$E$2535),COLUMN(B194)))</f>
        <v>43002</v>
      </c>
      <c r="J231" s="132">
        <f t="array" ref="J231">IF(I231="","",INDEX(Podcasts!$F$10:'Podcasts'!$F$2535,MATCH(I231&amp;$B231,Podcasts!$E$10:'Podcasts'!$E$2535&amp;Podcasts!$D$10:'Podcasts'!$D$2535,0)))</f>
        <v>4.2280092592592598E-2</v>
      </c>
      <c r="K231" s="136" t="str">
        <f t="array" ref="K231">IF(L231="","",INDEX(Podcasts!$J$10:'Podcasts'!$J$2535,MATCH(L231&amp;$B231,Podcasts!$E$10:'Podcasts'!$E$2535&amp;Podcasts!$D$10:'Podcasts'!$D$2535,0)))</f>
        <v>R&amp;A</v>
      </c>
      <c r="L231" s="133">
        <f t="array" ref="L231">IF(COUNTIF(Podcasts!$D$10:'Podcasts'!$D$2535,$B231)&lt;COLUMN(C194),"",SMALL(IF(Podcasts!$D$10:'Podcasts'!$D$2535=$B231,Podcasts!$E$10:'Podcasts'!$E$2535),COLUMN(C194)))</f>
        <v>43585.311643518522</v>
      </c>
      <c r="M231" s="132">
        <f t="array" ref="M231">IF(L231="","",INDEX(Podcasts!$F$10:'Podcasts'!$F$2535,MATCH(L231&amp;$B231,Podcasts!$E$10:'Podcasts'!$E$2535&amp;Podcasts!$D$10:'Podcasts'!$D$2535,0)))</f>
        <v>9.121527777777777E-2</v>
      </c>
      <c r="N231" s="136" t="str">
        <f t="array" ref="N231">IF(O231="","",INDEX(Podcasts!$J$10:'Podcasts'!$J$2535,MATCH(O231&amp;$B231,Podcasts!$E$10:'Podcasts'!$E$2535&amp;Podcasts!$D$10:'Podcasts'!$D$2535,0)))</f>
        <v>Talker</v>
      </c>
      <c r="O231" s="133">
        <f t="array" ref="O231">IF(COUNTIF(Podcasts!$D$10:'Podcasts'!$D$2535,$B231)&lt;COLUMN(D194),"",SMALL(IF(Podcasts!$D$10:'Podcasts'!$D$2535=$B231,Podcasts!$E$10:'Podcasts'!$E$2535),COLUMN(D194)))</f>
        <v>43840</v>
      </c>
      <c r="P231" s="132">
        <f t="array" ref="P231">IF(O231="","",INDEX(Podcasts!$F$10:'Podcasts'!$F$2535,MATCH(O231&amp;$B231,Podcasts!$E$10:'Podcasts'!$E$2535&amp;Podcasts!$D$10:'Podcasts'!$D$2535,0)))</f>
        <v>2.3923611111111114E-2</v>
      </c>
      <c r="Q231" s="136" t="str">
        <f t="array" ref="Q231">IF(R231="","",INDEX(Podcasts!$J$10:'Podcasts'!$J$2535,MATCH(R231&amp;$B231,Podcasts!$E$10:'Podcasts'!$E$2535&amp;Podcasts!$D$10:'Podcasts'!$D$2535,0)))</f>
        <v>Kaffee</v>
      </c>
      <c r="R231" s="133">
        <f t="array" ref="R231">IF(COUNTIF(Podcasts!$D$10:'Podcasts'!$D$2535,$B231)&lt;COLUMN(E194),"",SMALL(IF(Podcasts!$D$10:'Podcasts'!$D$2535=$B231,Podcasts!$E$10:'Podcasts'!$E$2535),COLUMN(E194)))</f>
        <v>44232</v>
      </c>
      <c r="S231" s="132">
        <f t="array" ref="S231">IF(R231="","",INDEX(Podcasts!$F$10:'Podcasts'!$F$2535,MATCH(R231&amp;$B231,Podcasts!$E$10:'Podcasts'!$E$2535&amp;Podcasts!$D$10:'Podcasts'!$D$2535,0)))</f>
        <v>1.7557870370370373E-2</v>
      </c>
      <c r="T231" s="136" t="str">
        <f t="array" ref="T231">IF(U231="","",INDEX(Podcasts!$J$10:'Podcasts'!$J$2535,MATCH(U231&amp;$B231,Podcasts!$E$10:'Podcasts'!$E$2535&amp;Podcasts!$D$10:'Podcasts'!$D$2535,0)))</f>
        <v>Zentrale</v>
      </c>
      <c r="U231" s="133">
        <f t="array" ref="U231">IF(COUNTIF(Podcasts!$D$10:'Podcasts'!$D$2535,$B231)&lt;COLUMN(F194),"",SMALL(IF(Podcasts!$D$10:'Podcasts'!$D$2535=$B231,Podcasts!$E$10:'Podcasts'!$E$2535),COLUMN(F194)))</f>
        <v>44295</v>
      </c>
      <c r="V231" s="132">
        <f t="array" ref="V231">IF(U231="","",INDEX(Podcasts!$F$10:'Podcasts'!$F$2535,MATCH(U231&amp;$B231,Podcasts!$E$10:'Podcasts'!$E$2535&amp;Podcasts!$D$10:'Podcasts'!$D$2535,0)))</f>
        <v>0.16869212962962962</v>
      </c>
      <c r="W231" s="136" t="str">
        <f t="array" ref="W231">IF(X231="","",INDEX(Podcasts!$J$10:'Podcasts'!$J$2535,MATCH(X231&amp;$B231,Podcasts!$E$10:'Podcasts'!$E$2535&amp;Podcasts!$D$10:'Podcasts'!$D$2535,0)))</f>
        <v/>
      </c>
      <c r="X231" s="133" t="str">
        <f t="array" ref="X231">IF(COUNTIF(Podcasts!$D$10:'Podcasts'!$D$2535,$B231)&lt;COLUMN(G194),"",SMALL(IF(Podcasts!$D$10:'Podcasts'!$D$2535=$B231,Podcasts!$E$10:'Podcasts'!$E$2535),COLUMN(G194)))</f>
        <v/>
      </c>
      <c r="Y231" s="132" t="str">
        <f t="array" ref="Y231">IF(X231="","",INDEX(Podcasts!$F$10:'Podcasts'!$F$2535,MATCH(X231&amp;$B231,Podcasts!$E$10:'Podcasts'!$E$2535&amp;Podcasts!$D$10:'Podcasts'!$D$2535,0)))</f>
        <v/>
      </c>
      <c r="Z231" s="136" t="str">
        <f t="array" ref="Z231">IF(AA231="","",INDEX(Podcasts!$J$10:'Podcasts'!$J$2535,MATCH(AA231&amp;$B231,Podcasts!$E$10:'Podcasts'!$E$2535&amp;Podcasts!$D$10:'Podcasts'!$D$2535,0)))</f>
        <v/>
      </c>
      <c r="AA231" s="134" t="str">
        <f t="array" ref="AA231">IF(COUNTIF(Podcasts!$D$10:'Podcasts'!$D$2535,$B231)&lt;COLUMN(H194),"",SMALL(IF(Podcasts!$D$10:'Podcasts'!$D$2535=$B231,Podcasts!$E$10:'Podcasts'!$E$2535),COLUMN(H194)))</f>
        <v/>
      </c>
      <c r="AB231" s="404" t="str">
        <f t="array" ref="AB231">IF(AA231="","",INDEX(Podcasts!$F$10:'Podcasts'!$F$2535,MATCH(AA231&amp;$B231,Podcasts!$E$10:'Podcasts'!$E$2535&amp;Podcasts!$D$10:'Podcasts'!$D$2535,0)))</f>
        <v/>
      </c>
      <c r="AC231" s="406" t="str">
        <f t="array" ref="AC231">IF(AD231="","",INDEX(Podcasts!$J$10:'Podcasts'!$J$2535,MATCH(AD231&amp;$B231,Podcasts!$E$10:'Podcasts'!$E$2535&amp;Podcasts!$D$10:'Podcasts'!$D$2535,0)))</f>
        <v/>
      </c>
      <c r="AD231" s="400" t="str">
        <f t="array" ref="AD231">IF(COUNTIF(Podcasts!$D$10:'Podcasts'!$D$2535,$B231)&lt;COLUMN(I194),"",SMALL(IF(Podcasts!$D$10:'Podcasts'!$D$2535=$B231,Podcasts!$E$10:'Podcasts'!$E$2535),COLUMN(I194)))</f>
        <v/>
      </c>
      <c r="AE231" s="401" t="str">
        <f t="array" ref="AE231">IF(AD231="","",INDEX(Podcasts!$F$10:'Podcasts'!$F$2535,MATCH(AD231&amp;$B231,Podcasts!$E$10:'Podcasts'!$E$2535&amp;Podcasts!$D$10:'Podcasts'!$D$2535,0)))</f>
        <v/>
      </c>
      <c r="AF231" s="406" t="str">
        <f t="array" ref="AF231">IF(AG231="","",INDEX(Podcasts!$J$10:'Podcasts'!$J$2535,MATCH(AG231&amp;$B231,Podcasts!$E$10:'Podcasts'!$E$2535&amp;Podcasts!$D$10:'Podcasts'!$D$2535,0)))</f>
        <v/>
      </c>
      <c r="AG231" s="400" t="str">
        <f t="array" ref="AG231">IF(COUNTIF(Podcasts!$D$10:'Podcasts'!$D$2535,$B231)&lt;COLUMN(J194),"",SMALL(IF(Podcasts!$D$10:'Podcasts'!$D$2535=$B231,Podcasts!$E$10:'Podcasts'!$E$2535),COLUMN(J194)))</f>
        <v/>
      </c>
      <c r="AH231" s="401" t="str">
        <f t="array" ref="AH231">IF(AG231="","",INDEX(Podcasts!$F$10:'Podcasts'!$F$2535,MATCH(AG231&amp;$B231,Podcasts!$E$10:'Podcasts'!$E$2535&amp;Podcasts!$D$10:'Podcasts'!$D$2535,0)))</f>
        <v/>
      </c>
      <c r="AI231" s="406" t="str">
        <f t="array" ref="AI231">IF(AJ231="","",INDEX(Podcasts!$J$10:'Podcasts'!$J$2535,MATCH(AJ231&amp;$B231,Podcasts!$E$10:'Podcasts'!$E$2535&amp;Podcasts!$D$10:'Podcasts'!$D$2535,0)))</f>
        <v/>
      </c>
      <c r="AJ231" s="400" t="str">
        <f t="array" ref="AJ231">IF(COUNTIF(Podcasts!$D$10:'Podcasts'!$D$2535,$B231)&lt;COLUMN(K194),"",SMALL(IF(Podcasts!$D$10:'Podcasts'!$D$2535=$B231,Podcasts!$E$10:'Podcasts'!$E$2535),COLUMN(K194)))</f>
        <v/>
      </c>
      <c r="AK231" s="401" t="str">
        <f t="array" ref="AK231">IF(AJ231="","",INDEX(Podcasts!$F$10:'Podcasts'!$F$2535,MATCH(AJ231&amp;$B231,Podcasts!$E$10:'Podcasts'!$E$2535&amp;Podcasts!$D$10:'Podcasts'!$D$2535,0)))</f>
        <v/>
      </c>
      <c r="AL231" s="406" t="str">
        <f t="array" ref="AL231">IF(AM231="","",INDEX(Podcasts!$J$10:'Podcasts'!$J$2535,MATCH(AM231&amp;$B231,Podcasts!$E$10:'Podcasts'!$E$2535&amp;Podcasts!$D$10:'Podcasts'!$D$2535,0)))</f>
        <v/>
      </c>
      <c r="AM231" s="400" t="str">
        <f t="array" ref="AM231">IF(COUNTIF(Podcasts!$D$10:'Podcasts'!$D$2535,$B231)&lt;COLUMN(L194),"",SMALL(IF(Podcasts!$D$10:'Podcasts'!$D$2535=$B231,Podcasts!$E$10:'Podcasts'!$E$2535),COLUMN(L194)))</f>
        <v/>
      </c>
      <c r="AN231" s="401" t="str">
        <f t="array" ref="AN231">IF(AM231="","",INDEX(Podcasts!$F$10:'Podcasts'!$F$2535,MATCH(AM231&amp;$B231,Podcasts!$E$10:'Podcasts'!$E$2535&amp;Podcasts!$D$10:'Podcasts'!$D$2535,0)))</f>
        <v/>
      </c>
      <c r="AO231" s="402"/>
      <c r="AP231" s="119"/>
      <c r="AQ231" s="117"/>
      <c r="AR231" s="117"/>
      <c r="AS231" s="117">
        <f t="array" aca="1" ref="AS231" ca="1">IFERROR(SMALL(IF(COUNTIF(Podcasts!$D$244:'Podcasts'!$D$299,ROW(INDIRECT("1:"&amp;K$2)))=0,ROW(INDIRECT("1:"&amp;K$2))),ROW($A188)),"")</f>
        <v>225</v>
      </c>
      <c r="AT231" s="117"/>
      <c r="AU231" s="117">
        <f t="array" aca="1" ref="AU231" ca="1">IFERROR(SMALL(IF(COUNTIF(Podcasts!$D$479:'Podcasts'!$D$488,ROW(INDIRECT("1:"&amp;K$2)))=0,ROW(INDIRECT("1:"&amp;K$2))),ROW($A188)),"")</f>
        <v>192</v>
      </c>
      <c r="AV231" s="117">
        <f t="array" aca="1" ref="AV231" ca="1">IFERROR(SMALL(IF(COUNTIF(Podcasts!$D$494:'Podcasts'!$D$518,ROW(INDIRECT("1:"&amp;K$2)))=0,ROW(INDIRECT("1:"&amp;K$2))),ROW($A188)),"")</f>
        <v>213</v>
      </c>
      <c r="AW231" s="117">
        <f t="array" aca="1" ref="AW231" ca="1">IFERROR(SMALL(IF(COUNTIF(Podcasts!$D$524:'Podcasts'!$D$532,ROW(INDIRECT("1:"&amp;K$2)))=0,ROW(INDIRECT("1:"&amp;K$2))),ROW($A188)),"")</f>
        <v>195</v>
      </c>
      <c r="AX231" s="117"/>
      <c r="AY231" s="117"/>
      <c r="AZ231" s="445"/>
      <c r="BA231" s="117"/>
      <c r="BB231" s="117">
        <f t="array" aca="1" ref="BB231" ca="1">IFERROR(SMALL(IF(COUNTIF(Podcasts!$D$1257:'Podcasts'!$D$1267,ROW(INDIRECT("1:"&amp;K$2)))=0,ROW(INDIRECT("1:"&amp;K$2))),ROW($A188)),"")</f>
        <v>195</v>
      </c>
      <c r="BC231" s="117">
        <f t="array" aca="1" ref="BC231" ca="1">IFERROR(SMALL(IF(COUNTIF(Podcasts!$D$1273:'Podcasts'!$D$1283,ROW(INDIRECT("1:"&amp;K$2)))=0,ROW(INDIRECT("1:"&amp;K$2))),ROW($A188)),"")</f>
        <v>194</v>
      </c>
      <c r="BD231" s="117">
        <f t="array" aca="1" ref="BD231" ca="1">IFERROR(SMALL(IF(COUNTIF(Podcasts!$D$1289:'Podcasts'!$D$1295,ROW(INDIRECT("1:"&amp;K$2)))=0,ROW(INDIRECT("1:"&amp;K$2))),ROW($A188)),"")</f>
        <v>194</v>
      </c>
      <c r="BE231" s="117"/>
      <c r="BF231" s="117">
        <f t="array" aca="1" ref="BF231" ca="1">IFERROR(SMALL(IF(COUNTIF(Podcasts!$D$1362:'Podcasts'!$D$1364,ROW(INDIRECT("1:"&amp;K$2)))=0,ROW(INDIRECT("1:"&amp;K$2))),ROW($A188)),"")</f>
        <v>191</v>
      </c>
      <c r="BG231" s="202" t="str">
        <f t="array" aca="1" ref="BG231" ca="1">IFERROR(SMALL(IF(COUNTIF(Podcasts!$D$1370:'Podcasts'!$D$1419,ROW(INDIRECT("1:"&amp;K$2)))=0,ROW(INDIRECT("1:"&amp;K$2))),ROW($A188)),"")</f>
        <v/>
      </c>
      <c r="BH231" s="202">
        <f t="array" aca="1" ref="BH231" ca="1">IFERROR(SMALL(IF(COUNTIF(Podcasts!$D$1425:'Podcasts'!$D$1446,ROW(INDIRECT("1:"&amp;K$2)))=0,ROW(INDIRECT("1:"&amp;K$2))),ROW($A188)),"")</f>
        <v>200</v>
      </c>
      <c r="BI231" s="202"/>
      <c r="BJ231" s="202"/>
      <c r="BK231" s="202"/>
      <c r="BL231" s="202">
        <f t="array" aca="1" ref="BL231" ca="1">IFERROR(SMALL(IF(COUNTIF(Podcasts!$D$1839:'Podcasts'!$D$1855,ROW(INDIRECT("1:"&amp;K$2)))=0,ROW(INDIRECT("1:"&amp;K$2))),ROW($A188)),"")</f>
        <v>197</v>
      </c>
      <c r="BM231" s="567"/>
      <c r="BN231" s="567"/>
      <c r="BO231" s="567">
        <f t="array" aca="1" ref="BO231" ca="1">IFERROR(SMALL(IF(COUNTIF(Podcasts!$D$2063:'Podcasts'!$D$2071,ROW(INDIRECT("1:"&amp;K$2)))=0,ROW(INDIRECT("1:"&amp;K$2))),ROW($A188)),"")</f>
        <v>196</v>
      </c>
      <c r="BP231" s="202">
        <f t="array" aca="1" ref="BP231" ca="1">IFERROR(SMALL(IF(COUNTIF(Podcasts!$D$2077:'Podcasts'!$D$2092,ROW(INDIRECT("1:"&amp;K$2)))=0,ROW(INDIRECT("1:"&amp;K$2))),ROW($A188)),"")</f>
        <v>199</v>
      </c>
      <c r="BQ231" s="741">
        <f t="array" aca="1" ref="BQ231" ca="1">IFERROR(SMALL(IF(COUNTIF(Podcasts!$D$2098:'Podcasts'!$D$2114,ROW(INDIRECT("1:"&amp;K$2)))=0,ROW(INDIRECT("1:"&amp;K$2))),ROW($A188)),"")</f>
        <v>203</v>
      </c>
      <c r="BR231" s="744">
        <f t="array" aca="1" ref="BR231" ca="1">IFERROR(SMALL(IF(COUNTIF(Podcasts!$D$2120:'Podcasts'!$D$2124,ROW(INDIRECT("1:"&amp;K$2)))=0,ROW(INDIRECT("1:"&amp;K$2))),ROW($A188)),"")</f>
        <v>190</v>
      </c>
      <c r="BS231" s="28"/>
    </row>
    <row r="232" spans="1:71" outlineLevel="1">
      <c r="A232" s="28"/>
      <c r="B232" s="161">
        <v>189</v>
      </c>
      <c r="C232" s="161">
        <f>COUNTIF(Podcasts!$D$10:'Podcasts'!$D$2535,B232)</f>
        <v>5</v>
      </c>
      <c r="D232" s="160" t="s">
        <v>1213</v>
      </c>
      <c r="E232" s="156" t="str">
        <f t="array" ref="E232">IF(F232="","",INDEX(Podcasts!$J$10:'Podcasts'!$J$2535,MATCH(F232&amp;$B232,Podcasts!$E$10:'Podcasts'!$E$2535&amp;Podcasts!$D$10:'Podcasts'!$D$2535,0)))</f>
        <v>Ohr</v>
      </c>
      <c r="F232" s="131">
        <f t="array" ref="F232">IF(COUNTIF(Podcasts!$D$10:'Podcasts'!$D$2535,$B232)&lt;COLUMN(A195),"",SMALL(IF(Podcasts!$D$10:'Podcasts'!$D$2535=$B232,Podcasts!$E$10:'Podcasts'!$E$2535),COLUMN(A195)))</f>
        <v>43040</v>
      </c>
      <c r="G232" s="132">
        <f t="array" ref="G232">IF(F232="","",INDEX(Podcasts!$F$10:'Podcasts'!$F$2535,MATCH(F232&amp;$B232,Podcasts!$E$10:'Podcasts'!$E$2535&amp;Podcasts!$D$10:'Podcasts'!$D$2535,0)))</f>
        <v>2.3263888888888887E-3</v>
      </c>
      <c r="H232" s="136" t="str">
        <f t="array" ref="H232">IF(I232="","",INDEX(Podcasts!$J$10:'Podcasts'!$J$2535,MATCH(I232&amp;$B232,Podcasts!$E$10:'Podcasts'!$E$2535&amp;Podcasts!$D$10:'Podcasts'!$D$2535,0)))</f>
        <v>???od</v>
      </c>
      <c r="I232" s="133">
        <f t="array" ref="I232">IF(COUNTIF(Podcasts!$D$10:'Podcasts'!$D$2535,$B232)&lt;COLUMN(B195),"",SMALL(IF(Podcasts!$D$10:'Podcasts'!$D$2535=$B232,Podcasts!$E$10:'Podcasts'!$E$2535),COLUMN(B195)))</f>
        <v>43052</v>
      </c>
      <c r="J232" s="132">
        <f t="array" ref="J232">IF(I232="","",INDEX(Podcasts!$F$10:'Podcasts'!$F$2535,MATCH(I232&amp;$B232,Podcasts!$E$10:'Podcasts'!$E$2535&amp;Podcasts!$D$10:'Podcasts'!$D$2535,0)))</f>
        <v>8.0069444444444443E-2</v>
      </c>
      <c r="K232" s="136" t="str">
        <f t="array" ref="K232">IF(L232="","",INDEX(Podcasts!$J$10:'Podcasts'!$J$2535,MATCH(L232&amp;$B232,Podcasts!$E$10:'Podcasts'!$E$2535&amp;Podcasts!$D$10:'Podcasts'!$D$2535,0)))</f>
        <v>???od</v>
      </c>
      <c r="L232" s="133">
        <f t="array" ref="L232">IF(COUNTIF(Podcasts!$D$10:'Podcasts'!$D$2535,$B232)&lt;COLUMN(C195),"",SMALL(IF(Podcasts!$D$10:'Podcasts'!$D$2535=$B232,Podcasts!$E$10:'Podcasts'!$E$2535),COLUMN(C195)))</f>
        <v>43052</v>
      </c>
      <c r="M232" s="132">
        <f t="array" ref="M232">IF(L232="","",INDEX(Podcasts!$F$10:'Podcasts'!$F$2535,MATCH(L232&amp;$B232,Podcasts!$E$10:'Podcasts'!$E$2535&amp;Podcasts!$D$10:'Podcasts'!$D$2535,0)))</f>
        <v>8.0069444444444443E-2</v>
      </c>
      <c r="N232" s="136" t="str">
        <f t="array" ref="N232">IF(O232="","",INDEX(Podcasts!$J$10:'Podcasts'!$J$2535,MATCH(O232&amp;$B232,Podcasts!$E$10:'Podcasts'!$E$2535&amp;Podcasts!$D$10:'Podcasts'!$D$2535,0)))</f>
        <v>Kuchen</v>
      </c>
      <c r="O232" s="133">
        <f t="array" ref="O232">IF(COUNTIF(Podcasts!$D$10:'Podcasts'!$D$2535,$B232)&lt;COLUMN(D195),"",SMALL(IF(Podcasts!$D$10:'Podcasts'!$D$2535=$B232,Podcasts!$E$10:'Podcasts'!$E$2535),COLUMN(D195)))</f>
        <v>44178</v>
      </c>
      <c r="P232" s="132">
        <f t="array" ref="P232">IF(O232="","",INDEX(Podcasts!$F$10:'Podcasts'!$F$2535,MATCH(O232&amp;$B232,Podcasts!$E$10:'Podcasts'!$E$2535&amp;Podcasts!$D$10:'Podcasts'!$D$2535,0)))</f>
        <v>5.5335648148148148E-2</v>
      </c>
      <c r="Q232" s="136" t="str">
        <f t="array" ref="Q232">IF(R232="","",INDEX(Podcasts!$J$10:'Podcasts'!$J$2535,MATCH(R232&amp;$B232,Podcasts!$E$10:'Podcasts'!$E$2535&amp;Podcasts!$D$10:'Podcasts'!$D$2535,0)))</f>
        <v>Zeichen</v>
      </c>
      <c r="R232" s="133">
        <f t="array" ref="R232">IF(COUNTIF(Podcasts!$D$10:'Podcasts'!$D$2535,$B232)&lt;COLUMN(E195),"",SMALL(IF(Podcasts!$D$10:'Podcasts'!$D$2535=$B232,Podcasts!$E$10:'Podcasts'!$E$2535),COLUMN(E195)))</f>
        <v>45009</v>
      </c>
      <c r="S232" s="132">
        <f t="array" ref="S232">IF(R232="","",INDEX(Podcasts!$F$10:'Podcasts'!$F$2535,MATCH(R232&amp;$B232,Podcasts!$E$10:'Podcasts'!$E$2535&amp;Podcasts!$D$10:'Podcasts'!$D$2535,0)))</f>
        <v>8.2129629629629622E-2</v>
      </c>
      <c r="T232" s="136" t="str">
        <f t="array" ref="T232">IF(U232="","",INDEX(Podcasts!$J$10:'Podcasts'!$J$2535,MATCH(U232&amp;$B232,Podcasts!$E$10:'Podcasts'!$E$2535&amp;Podcasts!$D$10:'Podcasts'!$D$2535,0)))</f>
        <v/>
      </c>
      <c r="U232" s="133" t="str">
        <f t="array" ref="U232">IF(COUNTIF(Podcasts!$D$10:'Podcasts'!$D$2535,$B232)&lt;COLUMN(F195),"",SMALL(IF(Podcasts!$D$10:'Podcasts'!$D$2535=$B232,Podcasts!$E$10:'Podcasts'!$E$2535),COLUMN(F195)))</f>
        <v/>
      </c>
      <c r="V232" s="132" t="str">
        <f t="array" ref="V232">IF(U232="","",INDEX(Podcasts!$F$10:'Podcasts'!$F$2535,MATCH(U232&amp;$B232,Podcasts!$E$10:'Podcasts'!$E$2535&amp;Podcasts!$D$10:'Podcasts'!$D$2535,0)))</f>
        <v/>
      </c>
      <c r="W232" s="136" t="str">
        <f t="array" ref="W232">IF(X232="","",INDEX(Podcasts!$J$10:'Podcasts'!$J$2535,MATCH(X232&amp;$B232,Podcasts!$E$10:'Podcasts'!$E$2535&amp;Podcasts!$D$10:'Podcasts'!$D$2535,0)))</f>
        <v/>
      </c>
      <c r="X232" s="133" t="str">
        <f t="array" ref="X232">IF(COUNTIF(Podcasts!$D$10:'Podcasts'!$D$2535,$B232)&lt;COLUMN(G195),"",SMALL(IF(Podcasts!$D$10:'Podcasts'!$D$2535=$B232,Podcasts!$E$10:'Podcasts'!$E$2535),COLUMN(G195)))</f>
        <v/>
      </c>
      <c r="Y232" s="132" t="str">
        <f t="array" ref="Y232">IF(X232="","",INDEX(Podcasts!$F$10:'Podcasts'!$F$2535,MATCH(X232&amp;$B232,Podcasts!$E$10:'Podcasts'!$E$2535&amp;Podcasts!$D$10:'Podcasts'!$D$2535,0)))</f>
        <v/>
      </c>
      <c r="Z232" s="136" t="str">
        <f t="array" ref="Z232">IF(AA232="","",INDEX(Podcasts!$J$10:'Podcasts'!$J$2535,MATCH(AA232&amp;$B232,Podcasts!$E$10:'Podcasts'!$E$2535&amp;Podcasts!$D$10:'Podcasts'!$D$2535,0)))</f>
        <v/>
      </c>
      <c r="AA232" s="134" t="str">
        <f t="array" ref="AA232">IF(COUNTIF(Podcasts!$D$10:'Podcasts'!$D$2535,$B232)&lt;COLUMN(H195),"",SMALL(IF(Podcasts!$D$10:'Podcasts'!$D$2535=$B232,Podcasts!$E$10:'Podcasts'!$E$2535),COLUMN(H195)))</f>
        <v/>
      </c>
      <c r="AB232" s="404" t="str">
        <f t="array" ref="AB232">IF(AA232="","",INDEX(Podcasts!$F$10:'Podcasts'!$F$2535,MATCH(AA232&amp;$B232,Podcasts!$E$10:'Podcasts'!$E$2535&amp;Podcasts!$D$10:'Podcasts'!$D$2535,0)))</f>
        <v/>
      </c>
      <c r="AC232" s="406" t="str">
        <f t="array" ref="AC232">IF(AD232="","",INDEX(Podcasts!$J$10:'Podcasts'!$J$2535,MATCH(AD232&amp;$B232,Podcasts!$E$10:'Podcasts'!$E$2535&amp;Podcasts!$D$10:'Podcasts'!$D$2535,0)))</f>
        <v/>
      </c>
      <c r="AD232" s="400" t="str">
        <f t="array" ref="AD232">IF(COUNTIF(Podcasts!$D$10:'Podcasts'!$D$2535,$B232)&lt;COLUMN(I195),"",SMALL(IF(Podcasts!$D$10:'Podcasts'!$D$2535=$B232,Podcasts!$E$10:'Podcasts'!$E$2535),COLUMN(I195)))</f>
        <v/>
      </c>
      <c r="AE232" s="401" t="str">
        <f t="array" ref="AE232">IF(AD232="","",INDEX(Podcasts!$F$10:'Podcasts'!$F$2535,MATCH(AD232&amp;$B232,Podcasts!$E$10:'Podcasts'!$E$2535&amp;Podcasts!$D$10:'Podcasts'!$D$2535,0)))</f>
        <v/>
      </c>
      <c r="AF232" s="406" t="str">
        <f t="array" ref="AF232">IF(AG232="","",INDEX(Podcasts!$J$10:'Podcasts'!$J$2535,MATCH(AG232&amp;$B232,Podcasts!$E$10:'Podcasts'!$E$2535&amp;Podcasts!$D$10:'Podcasts'!$D$2535,0)))</f>
        <v/>
      </c>
      <c r="AG232" s="400" t="str">
        <f t="array" ref="AG232">IF(COUNTIF(Podcasts!$D$10:'Podcasts'!$D$2535,$B232)&lt;COLUMN(J195),"",SMALL(IF(Podcasts!$D$10:'Podcasts'!$D$2535=$B232,Podcasts!$E$10:'Podcasts'!$E$2535),COLUMN(J195)))</f>
        <v/>
      </c>
      <c r="AH232" s="401" t="str">
        <f t="array" ref="AH232">IF(AG232="","",INDEX(Podcasts!$F$10:'Podcasts'!$F$2535,MATCH(AG232&amp;$B232,Podcasts!$E$10:'Podcasts'!$E$2535&amp;Podcasts!$D$10:'Podcasts'!$D$2535,0)))</f>
        <v/>
      </c>
      <c r="AI232" s="406" t="str">
        <f t="array" ref="AI232">IF(AJ232="","",INDEX(Podcasts!$J$10:'Podcasts'!$J$2535,MATCH(AJ232&amp;$B232,Podcasts!$E$10:'Podcasts'!$E$2535&amp;Podcasts!$D$10:'Podcasts'!$D$2535,0)))</f>
        <v/>
      </c>
      <c r="AJ232" s="400" t="str">
        <f t="array" ref="AJ232">IF(COUNTIF(Podcasts!$D$10:'Podcasts'!$D$2535,$B232)&lt;COLUMN(K195),"",SMALL(IF(Podcasts!$D$10:'Podcasts'!$D$2535=$B232,Podcasts!$E$10:'Podcasts'!$E$2535),COLUMN(K195)))</f>
        <v/>
      </c>
      <c r="AK232" s="401" t="str">
        <f t="array" ref="AK232">IF(AJ232="","",INDEX(Podcasts!$F$10:'Podcasts'!$F$2535,MATCH(AJ232&amp;$B232,Podcasts!$E$10:'Podcasts'!$E$2535&amp;Podcasts!$D$10:'Podcasts'!$D$2535,0)))</f>
        <v/>
      </c>
      <c r="AL232" s="406" t="str">
        <f t="array" ref="AL232">IF(AM232="","",INDEX(Podcasts!$J$10:'Podcasts'!$J$2535,MATCH(AM232&amp;$B232,Podcasts!$E$10:'Podcasts'!$E$2535&amp;Podcasts!$D$10:'Podcasts'!$D$2535,0)))</f>
        <v/>
      </c>
      <c r="AM232" s="400" t="str">
        <f t="array" ref="AM232">IF(COUNTIF(Podcasts!$D$10:'Podcasts'!$D$2535,$B232)&lt;COLUMN(L195),"",SMALL(IF(Podcasts!$D$10:'Podcasts'!$D$2535=$B232,Podcasts!$E$10:'Podcasts'!$E$2535),COLUMN(L195)))</f>
        <v/>
      </c>
      <c r="AN232" s="401" t="str">
        <f t="array" ref="AN232">IF(AM232="","",INDEX(Podcasts!$F$10:'Podcasts'!$F$2535,MATCH(AM232&amp;$B232,Podcasts!$E$10:'Podcasts'!$E$2535&amp;Podcasts!$D$10:'Podcasts'!$D$2535,0)))</f>
        <v/>
      </c>
      <c r="AO232" s="402"/>
      <c r="AP232" s="119"/>
      <c r="AQ232" s="117"/>
      <c r="AR232" s="117"/>
      <c r="AS232" s="117">
        <f t="array" aca="1" ref="AS232" ca="1">IFERROR(SMALL(IF(COUNTIF(Podcasts!$D$244:'Podcasts'!$D$299,ROW(INDIRECT("1:"&amp;K$2)))=0,ROW(INDIRECT("1:"&amp;K$2))),ROW($A189)),"")</f>
        <v>226</v>
      </c>
      <c r="AT232" s="117"/>
      <c r="AU232" s="117">
        <f t="array" aca="1" ref="AU232" ca="1">IFERROR(SMALL(IF(COUNTIF(Podcasts!$D$479:'Podcasts'!$D$488,ROW(INDIRECT("1:"&amp;K$2)))=0,ROW(INDIRECT("1:"&amp;K$2))),ROW($A189)),"")</f>
        <v>193</v>
      </c>
      <c r="AV232" s="117">
        <f t="array" aca="1" ref="AV232" ca="1">IFERROR(SMALL(IF(COUNTIF(Podcasts!$D$494:'Podcasts'!$D$518,ROW(INDIRECT("1:"&amp;K$2)))=0,ROW(INDIRECT("1:"&amp;K$2))),ROW($A189)),"")</f>
        <v>214</v>
      </c>
      <c r="AW232" s="117">
        <f t="array" aca="1" ref="AW232" ca="1">IFERROR(SMALL(IF(COUNTIF(Podcasts!$D$524:'Podcasts'!$D$532,ROW(INDIRECT("1:"&amp;K$2)))=0,ROW(INDIRECT("1:"&amp;K$2))),ROW($A189)),"")</f>
        <v>196</v>
      </c>
      <c r="AX232" s="117"/>
      <c r="AY232" s="117"/>
      <c r="AZ232" s="445"/>
      <c r="BA232" s="117"/>
      <c r="BB232" s="117">
        <f t="array" aca="1" ref="BB232" ca="1">IFERROR(SMALL(IF(COUNTIF(Podcasts!$D$1257:'Podcasts'!$D$1267,ROW(INDIRECT("1:"&amp;K$2)))=0,ROW(INDIRECT("1:"&amp;K$2))),ROW($A189)),"")</f>
        <v>196</v>
      </c>
      <c r="BC232" s="117">
        <f t="array" aca="1" ref="BC232" ca="1">IFERROR(SMALL(IF(COUNTIF(Podcasts!$D$1273:'Podcasts'!$D$1283,ROW(INDIRECT("1:"&amp;K$2)))=0,ROW(INDIRECT("1:"&amp;K$2))),ROW($A189)),"")</f>
        <v>195</v>
      </c>
      <c r="BD232" s="117">
        <f t="array" aca="1" ref="BD232" ca="1">IFERROR(SMALL(IF(COUNTIF(Podcasts!$D$1289:'Podcasts'!$D$1295,ROW(INDIRECT("1:"&amp;K$2)))=0,ROW(INDIRECT("1:"&amp;K$2))),ROW($A189)),"")</f>
        <v>195</v>
      </c>
      <c r="BE232" s="117"/>
      <c r="BF232" s="117">
        <f t="array" aca="1" ref="BF232" ca="1">IFERROR(SMALL(IF(COUNTIF(Podcasts!$D$1362:'Podcasts'!$D$1364,ROW(INDIRECT("1:"&amp;K$2)))=0,ROW(INDIRECT("1:"&amp;K$2))),ROW($A189)),"")</f>
        <v>192</v>
      </c>
      <c r="BG232" s="202"/>
      <c r="BH232" s="202">
        <f t="array" aca="1" ref="BH232" ca="1">IFERROR(SMALL(IF(COUNTIF(Podcasts!$D$1425:'Podcasts'!$D$1446,ROW(INDIRECT("1:"&amp;K$2)))=0,ROW(INDIRECT("1:"&amp;K$2))),ROW($A189)),"")</f>
        <v>201</v>
      </c>
      <c r="BI232" s="202"/>
      <c r="BJ232" s="202"/>
      <c r="BK232" s="202"/>
      <c r="BL232" s="202">
        <f t="array" aca="1" ref="BL232" ca="1">IFERROR(SMALL(IF(COUNTIF(Podcasts!$D$1839:'Podcasts'!$D$1855,ROW(INDIRECT("1:"&amp;K$2)))=0,ROW(INDIRECT("1:"&amp;K$2))),ROW($A189)),"")</f>
        <v>198</v>
      </c>
      <c r="BM232" s="567"/>
      <c r="BN232" s="567"/>
      <c r="BO232" s="567">
        <f t="array" aca="1" ref="BO232" ca="1">IFERROR(SMALL(IF(COUNTIF(Podcasts!$D$2063:'Podcasts'!$D$2071,ROW(INDIRECT("1:"&amp;K$2)))=0,ROW(INDIRECT("1:"&amp;K$2))),ROW($A189)),"")</f>
        <v>197</v>
      </c>
      <c r="BP232" s="202">
        <f t="array" aca="1" ref="BP232" ca="1">IFERROR(SMALL(IF(COUNTIF(Podcasts!$D$2077:'Podcasts'!$D$2092,ROW(INDIRECT("1:"&amp;K$2)))=0,ROW(INDIRECT("1:"&amp;K$2))),ROW($A189)),"")</f>
        <v>200</v>
      </c>
      <c r="BQ232" s="741">
        <f t="array" aca="1" ref="BQ232" ca="1">IFERROR(SMALL(IF(COUNTIF(Podcasts!$D$2098:'Podcasts'!$D$2114,ROW(INDIRECT("1:"&amp;K$2)))=0,ROW(INDIRECT("1:"&amp;K$2))),ROW($A189)),"")</f>
        <v>204</v>
      </c>
      <c r="BR232" s="744">
        <f t="array" aca="1" ref="BR232" ca="1">IFERROR(SMALL(IF(COUNTIF(Podcasts!$D$2120:'Podcasts'!$D$2124,ROW(INDIRECT("1:"&amp;K$2)))=0,ROW(INDIRECT("1:"&amp;K$2))),ROW($A189)),"")</f>
        <v>191</v>
      </c>
      <c r="BS232" s="28"/>
    </row>
    <row r="233" spans="1:71" outlineLevel="1">
      <c r="A233" s="28"/>
      <c r="B233" s="161">
        <v>190</v>
      </c>
      <c r="C233" s="161">
        <f>COUNTIF(Podcasts!$D$10:'Podcasts'!$D$2535,B233)</f>
        <v>3</v>
      </c>
      <c r="D233" s="160" t="s">
        <v>1214</v>
      </c>
      <c r="E233" s="156" t="str">
        <f t="array" ref="E233">IF(F233="","",INDEX(Podcasts!$J$10:'Podcasts'!$J$2535,MATCH(F233&amp;$B233,Podcasts!$E$10:'Podcasts'!$E$2535&amp;Podcasts!$D$10:'Podcasts'!$D$2535,0)))</f>
        <v>Ohr</v>
      </c>
      <c r="F233" s="131">
        <f t="array" ref="F233">IF(COUNTIF(Podcasts!$D$10:'Podcasts'!$D$2535,$B233)&lt;COLUMN(A196),"",SMALL(IF(Podcasts!$D$10:'Podcasts'!$D$2535=$B233,Podcasts!$E$10:'Podcasts'!$E$2535),COLUMN(A196)))</f>
        <v>43124</v>
      </c>
      <c r="G233" s="132">
        <f t="array" ref="G233">IF(F233="","",INDEX(Podcasts!$F$10:'Podcasts'!$F$2535,MATCH(F233&amp;$B233,Podcasts!$E$10:'Podcasts'!$E$2535&amp;Podcasts!$D$10:'Podcasts'!$D$2535,0)))</f>
        <v>3.0439814814814821E-3</v>
      </c>
      <c r="H233" s="136" t="str">
        <f t="array" ref="H233">IF(I233="","",INDEX(Podcasts!$J$10:'Podcasts'!$J$2535,MATCH(I233&amp;$B233,Podcasts!$E$10:'Podcasts'!$E$2535&amp;Podcasts!$D$10:'Podcasts'!$D$2535,0)))</f>
        <v>SSP</v>
      </c>
      <c r="I233" s="133">
        <f t="array" ref="I233">IF(COUNTIF(Podcasts!$D$10:'Podcasts'!$D$2535,$B233)&lt;COLUMN(B196),"",SMALL(IF(Podcasts!$D$10:'Podcasts'!$D$2535=$B233,Podcasts!$E$10:'Podcasts'!$E$2535),COLUMN(B196)))</f>
        <v>43903</v>
      </c>
      <c r="J233" s="132">
        <f t="array" ref="J233">IF(I233="","",INDEX(Podcasts!$F$10:'Podcasts'!$F$2535,MATCH(I233&amp;$B233,Podcasts!$E$10:'Podcasts'!$E$2535&amp;Podcasts!$D$10:'Podcasts'!$D$2535,0)))</f>
        <v>8.0069444444444443E-2</v>
      </c>
      <c r="K233" s="136" t="str">
        <f t="array" ref="K233">IF(L233="","",INDEX(Podcasts!$J$10:'Podcasts'!$J$2535,MATCH(L233&amp;$B233,Podcasts!$E$10:'Podcasts'!$E$2535&amp;Podcasts!$D$10:'Podcasts'!$D$2535,0)))</f>
        <v>???od</v>
      </c>
      <c r="L233" s="133">
        <f t="array" ref="L233">IF(COUNTIF(Podcasts!$D$10:'Podcasts'!$D$2535,$B233)&lt;COLUMN(C196),"",SMALL(IF(Podcasts!$D$10:'Podcasts'!$D$2535=$B233,Podcasts!$E$10:'Podcasts'!$E$2535),COLUMN(C196)))</f>
        <v>45298</v>
      </c>
      <c r="M233" s="132">
        <f t="array" ref="M233">IF(L233="","",INDEX(Podcasts!$F$10:'Podcasts'!$F$2535,MATCH(L233&amp;$B233,Podcasts!$E$10:'Podcasts'!$E$2535&amp;Podcasts!$D$10:'Podcasts'!$D$2535,0)))</f>
        <v>5.451388888888889E-2</v>
      </c>
      <c r="N233" s="136" t="str">
        <f t="array" ref="N233">IF(O233="","",INDEX(Podcasts!$J$10:'Podcasts'!$J$2535,MATCH(O233&amp;$B233,Podcasts!$E$10:'Podcasts'!$E$2535&amp;Podcasts!$D$10:'Podcasts'!$D$2535,0)))</f>
        <v/>
      </c>
      <c r="O233" s="133" t="str">
        <f t="array" ref="O233">IF(COUNTIF(Podcasts!$D$10:'Podcasts'!$D$2535,$B233)&lt;COLUMN(D196),"",SMALL(IF(Podcasts!$D$10:'Podcasts'!$D$2535=$B233,Podcasts!$E$10:'Podcasts'!$E$2535),COLUMN(D196)))</f>
        <v/>
      </c>
      <c r="P233" s="132" t="str">
        <f t="array" ref="P233">IF(O233="","",INDEX(Podcasts!$F$10:'Podcasts'!$F$2535,MATCH(O233&amp;$B233,Podcasts!$E$10:'Podcasts'!$E$2535&amp;Podcasts!$D$10:'Podcasts'!$D$2535,0)))</f>
        <v/>
      </c>
      <c r="Q233" s="136" t="str">
        <f t="array" ref="Q233">IF(R233="","",INDEX(Podcasts!$J$10:'Podcasts'!$J$2535,MATCH(R233&amp;$B233,Podcasts!$E$10:'Podcasts'!$E$2535&amp;Podcasts!$D$10:'Podcasts'!$D$2535,0)))</f>
        <v/>
      </c>
      <c r="R233" s="133" t="str">
        <f t="array" ref="R233">IF(COUNTIF(Podcasts!$D$10:'Podcasts'!$D$2535,$B233)&lt;COLUMN(E196),"",SMALL(IF(Podcasts!$D$10:'Podcasts'!$D$2535=$B233,Podcasts!$E$10:'Podcasts'!$E$2535),COLUMN(E196)))</f>
        <v/>
      </c>
      <c r="S233" s="132" t="str">
        <f t="array" ref="S233">IF(R233="","",INDEX(Podcasts!$F$10:'Podcasts'!$F$2535,MATCH(R233&amp;$B233,Podcasts!$E$10:'Podcasts'!$E$2535&amp;Podcasts!$D$10:'Podcasts'!$D$2535,0)))</f>
        <v/>
      </c>
      <c r="T233" s="136" t="str">
        <f t="array" ref="T233">IF(U233="","",INDEX(Podcasts!$J$10:'Podcasts'!$J$2535,MATCH(U233&amp;$B233,Podcasts!$E$10:'Podcasts'!$E$2535&amp;Podcasts!$D$10:'Podcasts'!$D$2535,0)))</f>
        <v/>
      </c>
      <c r="U233" s="133" t="str">
        <f t="array" ref="U233">IF(COUNTIF(Podcasts!$D$10:'Podcasts'!$D$2535,$B233)&lt;COLUMN(F196),"",SMALL(IF(Podcasts!$D$10:'Podcasts'!$D$2535=$B233,Podcasts!$E$10:'Podcasts'!$E$2535),COLUMN(F196)))</f>
        <v/>
      </c>
      <c r="V233" s="132" t="str">
        <f t="array" ref="V233">IF(U233="","",INDEX(Podcasts!$F$10:'Podcasts'!$F$2535,MATCH(U233&amp;$B233,Podcasts!$E$10:'Podcasts'!$E$2535&amp;Podcasts!$D$10:'Podcasts'!$D$2535,0)))</f>
        <v/>
      </c>
      <c r="W233" s="136" t="str">
        <f t="array" ref="W233">IF(X233="","",INDEX(Podcasts!$J$10:'Podcasts'!$J$2535,MATCH(X233&amp;$B233,Podcasts!$E$10:'Podcasts'!$E$2535&amp;Podcasts!$D$10:'Podcasts'!$D$2535,0)))</f>
        <v/>
      </c>
      <c r="X233" s="133" t="str">
        <f t="array" ref="X233">IF(COUNTIF(Podcasts!$D$10:'Podcasts'!$D$2535,$B233)&lt;COLUMN(G196),"",SMALL(IF(Podcasts!$D$10:'Podcasts'!$D$2535=$B233,Podcasts!$E$10:'Podcasts'!$E$2535),COLUMN(G196)))</f>
        <v/>
      </c>
      <c r="Y233" s="132" t="str">
        <f t="array" ref="Y233">IF(X233="","",INDEX(Podcasts!$F$10:'Podcasts'!$F$2535,MATCH(X233&amp;$B233,Podcasts!$E$10:'Podcasts'!$E$2535&amp;Podcasts!$D$10:'Podcasts'!$D$2535,0)))</f>
        <v/>
      </c>
      <c r="Z233" s="136" t="str">
        <f t="array" ref="Z233">IF(AA233="","",INDEX(Podcasts!$J$10:'Podcasts'!$J$2535,MATCH(AA233&amp;$B233,Podcasts!$E$10:'Podcasts'!$E$2535&amp;Podcasts!$D$10:'Podcasts'!$D$2535,0)))</f>
        <v/>
      </c>
      <c r="AA233" s="134" t="str">
        <f t="array" ref="AA233">IF(COUNTIF(Podcasts!$D$10:'Podcasts'!$D$2535,$B233)&lt;COLUMN(H196),"",SMALL(IF(Podcasts!$D$10:'Podcasts'!$D$2535=$B233,Podcasts!$E$10:'Podcasts'!$E$2535),COLUMN(H196)))</f>
        <v/>
      </c>
      <c r="AB233" s="404" t="str">
        <f t="array" ref="AB233">IF(AA233="","",INDEX(Podcasts!$F$10:'Podcasts'!$F$2535,MATCH(AA233&amp;$B233,Podcasts!$E$10:'Podcasts'!$E$2535&amp;Podcasts!$D$10:'Podcasts'!$D$2535,0)))</f>
        <v/>
      </c>
      <c r="AC233" s="406" t="str">
        <f t="array" ref="AC233">IF(AD233="","",INDEX(Podcasts!$J$10:'Podcasts'!$J$2535,MATCH(AD233&amp;$B233,Podcasts!$E$10:'Podcasts'!$E$2535&amp;Podcasts!$D$10:'Podcasts'!$D$2535,0)))</f>
        <v/>
      </c>
      <c r="AD233" s="400" t="str">
        <f t="array" ref="AD233">IF(COUNTIF(Podcasts!$D$10:'Podcasts'!$D$2535,$B233)&lt;COLUMN(I196),"",SMALL(IF(Podcasts!$D$10:'Podcasts'!$D$2535=$B233,Podcasts!$E$10:'Podcasts'!$E$2535),COLUMN(I196)))</f>
        <v/>
      </c>
      <c r="AE233" s="401" t="str">
        <f t="array" ref="AE233">IF(AD233="","",INDEX(Podcasts!$F$10:'Podcasts'!$F$2535,MATCH(AD233&amp;$B233,Podcasts!$E$10:'Podcasts'!$E$2535&amp;Podcasts!$D$10:'Podcasts'!$D$2535,0)))</f>
        <v/>
      </c>
      <c r="AF233" s="406" t="str">
        <f t="array" ref="AF233">IF(AG233="","",INDEX(Podcasts!$J$10:'Podcasts'!$J$2535,MATCH(AG233&amp;$B233,Podcasts!$E$10:'Podcasts'!$E$2535&amp;Podcasts!$D$10:'Podcasts'!$D$2535,0)))</f>
        <v/>
      </c>
      <c r="AG233" s="400" t="str">
        <f t="array" ref="AG233">IF(COUNTIF(Podcasts!$D$10:'Podcasts'!$D$2535,$B233)&lt;COLUMN(J196),"",SMALL(IF(Podcasts!$D$10:'Podcasts'!$D$2535=$B233,Podcasts!$E$10:'Podcasts'!$E$2535),COLUMN(J196)))</f>
        <v/>
      </c>
      <c r="AH233" s="401" t="str">
        <f t="array" ref="AH233">IF(AG233="","",INDEX(Podcasts!$F$10:'Podcasts'!$F$2535,MATCH(AG233&amp;$B233,Podcasts!$E$10:'Podcasts'!$E$2535&amp;Podcasts!$D$10:'Podcasts'!$D$2535,0)))</f>
        <v/>
      </c>
      <c r="AI233" s="406" t="str">
        <f t="array" ref="AI233">IF(AJ233="","",INDEX(Podcasts!$J$10:'Podcasts'!$J$2535,MATCH(AJ233&amp;$B233,Podcasts!$E$10:'Podcasts'!$E$2535&amp;Podcasts!$D$10:'Podcasts'!$D$2535,0)))</f>
        <v/>
      </c>
      <c r="AJ233" s="400" t="str">
        <f t="array" ref="AJ233">IF(COUNTIF(Podcasts!$D$10:'Podcasts'!$D$2535,$B233)&lt;COLUMN(K196),"",SMALL(IF(Podcasts!$D$10:'Podcasts'!$D$2535=$B233,Podcasts!$E$10:'Podcasts'!$E$2535),COLUMN(K196)))</f>
        <v/>
      </c>
      <c r="AK233" s="401" t="str">
        <f t="array" ref="AK233">IF(AJ233="","",INDEX(Podcasts!$F$10:'Podcasts'!$F$2535,MATCH(AJ233&amp;$B233,Podcasts!$E$10:'Podcasts'!$E$2535&amp;Podcasts!$D$10:'Podcasts'!$D$2535,0)))</f>
        <v/>
      </c>
      <c r="AL233" s="406" t="str">
        <f t="array" ref="AL233">IF(AM233="","",INDEX(Podcasts!$J$10:'Podcasts'!$J$2535,MATCH(AM233&amp;$B233,Podcasts!$E$10:'Podcasts'!$E$2535&amp;Podcasts!$D$10:'Podcasts'!$D$2535,0)))</f>
        <v/>
      </c>
      <c r="AM233" s="400" t="str">
        <f t="array" ref="AM233">IF(COUNTIF(Podcasts!$D$10:'Podcasts'!$D$2535,$B233)&lt;COLUMN(L196),"",SMALL(IF(Podcasts!$D$10:'Podcasts'!$D$2535=$B233,Podcasts!$E$10:'Podcasts'!$E$2535),COLUMN(L196)))</f>
        <v/>
      </c>
      <c r="AN233" s="401" t="str">
        <f t="array" ref="AN233">IF(AM233="","",INDEX(Podcasts!$F$10:'Podcasts'!$F$2535,MATCH(AM233&amp;$B233,Podcasts!$E$10:'Podcasts'!$E$2535&amp;Podcasts!$D$10:'Podcasts'!$D$2535,0)))</f>
        <v/>
      </c>
      <c r="AO233" s="402"/>
      <c r="AP233" s="119"/>
      <c r="AQ233" s="117"/>
      <c r="AR233" s="117"/>
      <c r="AS233" s="117" t="str">
        <f t="array" aca="1" ref="AS233" ca="1">IFERROR(SMALL(IF(COUNTIF(Podcasts!$D$244:'Podcasts'!$D$299,ROW(INDIRECT("1:"&amp;K$2)))=0,ROW(INDIRECT("1:"&amp;K$2))),ROW($A190)),"")</f>
        <v/>
      </c>
      <c r="AT233" s="117"/>
      <c r="AU233" s="117">
        <f t="array" aca="1" ref="AU233" ca="1">IFERROR(SMALL(IF(COUNTIF(Podcasts!$D$479:'Podcasts'!$D$488,ROW(INDIRECT("1:"&amp;K$2)))=0,ROW(INDIRECT("1:"&amp;K$2))),ROW($A190)),"")</f>
        <v>194</v>
      </c>
      <c r="AV233" s="117">
        <f t="array" aca="1" ref="AV233" ca="1">IFERROR(SMALL(IF(COUNTIF(Podcasts!$D$494:'Podcasts'!$D$518,ROW(INDIRECT("1:"&amp;K$2)))=0,ROW(INDIRECT("1:"&amp;K$2))),ROW($A190)),"")</f>
        <v>215</v>
      </c>
      <c r="AW233" s="117">
        <f t="array" aca="1" ref="AW233" ca="1">IFERROR(SMALL(IF(COUNTIF(Podcasts!$D$524:'Podcasts'!$D$532,ROW(INDIRECT("1:"&amp;K$2)))=0,ROW(INDIRECT("1:"&amp;K$2))),ROW($A190)),"")</f>
        <v>197</v>
      </c>
      <c r="AX233" s="117"/>
      <c r="AY233" s="117"/>
      <c r="AZ233" s="445"/>
      <c r="BA233" s="117"/>
      <c r="BB233" s="117">
        <f t="array" aca="1" ref="BB233" ca="1">IFERROR(SMALL(IF(COUNTIF(Podcasts!$D$1257:'Podcasts'!$D$1267,ROW(INDIRECT("1:"&amp;K$2)))=0,ROW(INDIRECT("1:"&amp;K$2))),ROW($A190)),"")</f>
        <v>197</v>
      </c>
      <c r="BC233" s="117">
        <f t="array" aca="1" ref="BC233" ca="1">IFERROR(SMALL(IF(COUNTIF(Podcasts!$D$1273:'Podcasts'!$D$1283,ROW(INDIRECT("1:"&amp;K$2)))=0,ROW(INDIRECT("1:"&amp;K$2))),ROW($A190)),"")</f>
        <v>196</v>
      </c>
      <c r="BD233" s="117">
        <f t="array" aca="1" ref="BD233" ca="1">IFERROR(SMALL(IF(COUNTIF(Podcasts!$D$1289:'Podcasts'!$D$1295,ROW(INDIRECT("1:"&amp;K$2)))=0,ROW(INDIRECT("1:"&amp;K$2))),ROW($A190)),"")</f>
        <v>196</v>
      </c>
      <c r="BE233" s="117"/>
      <c r="BF233" s="117">
        <f t="array" aca="1" ref="BF233" ca="1">IFERROR(SMALL(IF(COUNTIF(Podcasts!$D$1362:'Podcasts'!$D$1364,ROW(INDIRECT("1:"&amp;K$2)))=0,ROW(INDIRECT("1:"&amp;K$2))),ROW($A190)),"")</f>
        <v>193</v>
      </c>
      <c r="BG233" s="202"/>
      <c r="BH233" s="202">
        <f t="array" aca="1" ref="BH233" ca="1">IFERROR(SMALL(IF(COUNTIF(Podcasts!$D$1425:'Podcasts'!$D$1446,ROW(INDIRECT("1:"&amp;K$2)))=0,ROW(INDIRECT("1:"&amp;K$2))),ROW($A190)),"")</f>
        <v>203</v>
      </c>
      <c r="BI233" s="202"/>
      <c r="BJ233" s="202"/>
      <c r="BK233" s="202"/>
      <c r="BL233" s="202">
        <f t="array" aca="1" ref="BL233" ca="1">IFERROR(SMALL(IF(COUNTIF(Podcasts!$D$1839:'Podcasts'!$D$1855,ROW(INDIRECT("1:"&amp;K$2)))=0,ROW(INDIRECT("1:"&amp;K$2))),ROW($A190)),"")</f>
        <v>199</v>
      </c>
      <c r="BM233" s="567"/>
      <c r="BN233" s="567"/>
      <c r="BO233" s="567">
        <f t="array" aca="1" ref="BO233" ca="1">IFERROR(SMALL(IF(COUNTIF(Podcasts!$D$2063:'Podcasts'!$D$2071,ROW(INDIRECT("1:"&amp;K$2)))=0,ROW(INDIRECT("1:"&amp;K$2))),ROW($A190)),"")</f>
        <v>198</v>
      </c>
      <c r="BP233" s="202">
        <f t="array" aca="1" ref="BP233" ca="1">IFERROR(SMALL(IF(COUNTIF(Podcasts!$D$2077:'Podcasts'!$D$2092,ROW(INDIRECT("1:"&amp;K$2)))=0,ROW(INDIRECT("1:"&amp;K$2))),ROW($A190)),"")</f>
        <v>201</v>
      </c>
      <c r="BQ233" s="741">
        <f t="array" aca="1" ref="BQ233" ca="1">IFERROR(SMALL(IF(COUNTIF(Podcasts!$D$2098:'Podcasts'!$D$2114,ROW(INDIRECT("1:"&amp;K$2)))=0,ROW(INDIRECT("1:"&amp;K$2))),ROW($A190)),"")</f>
        <v>205</v>
      </c>
      <c r="BR233" s="744">
        <f t="array" aca="1" ref="BR233" ca="1">IFERROR(SMALL(IF(COUNTIF(Podcasts!$D$2120:'Podcasts'!$D$2124,ROW(INDIRECT("1:"&amp;K$2)))=0,ROW(INDIRECT("1:"&amp;K$2))),ROW($A190)),"")</f>
        <v>192</v>
      </c>
      <c r="BS233" s="28"/>
    </row>
    <row r="234" spans="1:71" outlineLevel="1">
      <c r="A234" s="28"/>
      <c r="B234" s="161">
        <v>191</v>
      </c>
      <c r="C234" s="161">
        <f>COUNTIF(Podcasts!$D$10:'Podcasts'!$D$2535,B234)</f>
        <v>3</v>
      </c>
      <c r="D234" s="160" t="s">
        <v>1215</v>
      </c>
      <c r="E234" s="156" t="str">
        <f t="array" ref="E234">IF(F234="","",INDEX(Podcasts!$J$10:'Podcasts'!$J$2535,MATCH(F234&amp;$B234,Podcasts!$E$10:'Podcasts'!$E$2535&amp;Podcasts!$D$10:'Podcasts'!$D$2535,0)))</f>
        <v>Ohr</v>
      </c>
      <c r="F234" s="131">
        <f t="array" ref="F234">IF(COUNTIF(Podcasts!$D$10:'Podcasts'!$D$2535,$B234)&lt;COLUMN(A197),"",SMALL(IF(Podcasts!$D$10:'Podcasts'!$D$2535=$B234,Podcasts!$E$10:'Podcasts'!$E$2535),COLUMN(A197)))</f>
        <v>43154</v>
      </c>
      <c r="G234" s="132">
        <f t="array" ref="G234">IF(F234="","",INDEX(Podcasts!$F$10:'Podcasts'!$F$2535,MATCH(F234&amp;$B234,Podcasts!$E$10:'Podcasts'!$E$2535&amp;Podcasts!$D$10:'Podcasts'!$D$2535,0)))</f>
        <v>2.3958333333333336E-3</v>
      </c>
      <c r="H234" s="136" t="str">
        <f t="array" ref="H234">IF(I234="","",INDEX(Podcasts!$J$10:'Podcasts'!$J$2535,MATCH(I234&amp;$B234,Podcasts!$E$10:'Podcasts'!$E$2535&amp;Podcasts!$D$10:'Podcasts'!$D$2535,0)))</f>
        <v>Pirat</v>
      </c>
      <c r="I234" s="133">
        <f t="array" ref="I234">IF(COUNTIF(Podcasts!$D$10:'Podcasts'!$D$2535,$B234)&lt;COLUMN(B197),"",SMALL(IF(Podcasts!$D$10:'Podcasts'!$D$2535=$B234,Podcasts!$E$10:'Podcasts'!$E$2535),COLUMN(B197)))</f>
        <v>43163</v>
      </c>
      <c r="J234" s="132">
        <f t="array" ref="J234">IF(I234="","",INDEX(Podcasts!$F$10:'Podcasts'!$F$2535,MATCH(I234&amp;$B234,Podcasts!$E$10:'Podcasts'!$E$2535&amp;Podcasts!$D$10:'Podcasts'!$D$2535,0)))</f>
        <v>7.4421296296296293E-3</v>
      </c>
      <c r="K234" s="136" t="str">
        <f t="array" ref="K234">IF(L234="","",INDEX(Podcasts!$J$10:'Podcasts'!$J$2535,MATCH(L234&amp;$B234,Podcasts!$E$10:'Podcasts'!$E$2535&amp;Podcasts!$D$10:'Podcasts'!$D$2535,0)))</f>
        <v>Kuchen</v>
      </c>
      <c r="L234" s="133">
        <f t="array" ref="L234">IF(COUNTIF(Podcasts!$D$10:'Podcasts'!$D$2535,$B234)&lt;COLUMN(C197),"",SMALL(IF(Podcasts!$D$10:'Podcasts'!$D$2535=$B234,Podcasts!$E$10:'Podcasts'!$E$2535),COLUMN(C197)))</f>
        <v>44423</v>
      </c>
      <c r="M234" s="132">
        <f t="array" ref="M234">IF(L234="","",INDEX(Podcasts!$F$10:'Podcasts'!$F$2535,MATCH(L234&amp;$B234,Podcasts!$E$10:'Podcasts'!$E$2535&amp;Podcasts!$D$10:'Podcasts'!$D$2535,0)))</f>
        <v>6.582175925925926E-2</v>
      </c>
      <c r="N234" s="136" t="str">
        <f t="array" ref="N234">IF(O234="","",INDEX(Podcasts!$J$10:'Podcasts'!$J$2535,MATCH(O234&amp;$B234,Podcasts!$E$10:'Podcasts'!$E$2535&amp;Podcasts!$D$10:'Podcasts'!$D$2535,0)))</f>
        <v/>
      </c>
      <c r="O234" s="133" t="str">
        <f t="array" ref="O234">IF(COUNTIF(Podcasts!$D$10:'Podcasts'!$D$2535,$B234)&lt;COLUMN(D197),"",SMALL(IF(Podcasts!$D$10:'Podcasts'!$D$2535=$B234,Podcasts!$E$10:'Podcasts'!$E$2535),COLUMN(D197)))</f>
        <v/>
      </c>
      <c r="P234" s="132" t="str">
        <f t="array" ref="P234">IF(O234="","",INDEX(Podcasts!$F$10:'Podcasts'!$F$2535,MATCH(O234&amp;$B234,Podcasts!$E$10:'Podcasts'!$E$2535&amp;Podcasts!$D$10:'Podcasts'!$D$2535,0)))</f>
        <v/>
      </c>
      <c r="Q234" s="136" t="str">
        <f t="array" ref="Q234">IF(R234="","",INDEX(Podcasts!$J$10:'Podcasts'!$J$2535,MATCH(R234&amp;$B234,Podcasts!$E$10:'Podcasts'!$E$2535&amp;Podcasts!$D$10:'Podcasts'!$D$2535,0)))</f>
        <v/>
      </c>
      <c r="R234" s="133" t="str">
        <f t="array" ref="R234">IF(COUNTIF(Podcasts!$D$10:'Podcasts'!$D$2535,$B234)&lt;COLUMN(E197),"",SMALL(IF(Podcasts!$D$10:'Podcasts'!$D$2535=$B234,Podcasts!$E$10:'Podcasts'!$E$2535),COLUMN(E197)))</f>
        <v/>
      </c>
      <c r="S234" s="132" t="str">
        <f t="array" ref="S234">IF(R234="","",INDEX(Podcasts!$F$10:'Podcasts'!$F$2535,MATCH(R234&amp;$B234,Podcasts!$E$10:'Podcasts'!$E$2535&amp;Podcasts!$D$10:'Podcasts'!$D$2535,0)))</f>
        <v/>
      </c>
      <c r="T234" s="136" t="str">
        <f t="array" ref="T234">IF(U234="","",INDEX(Podcasts!$J$10:'Podcasts'!$J$2535,MATCH(U234&amp;$B234,Podcasts!$E$10:'Podcasts'!$E$2535&amp;Podcasts!$D$10:'Podcasts'!$D$2535,0)))</f>
        <v/>
      </c>
      <c r="U234" s="133" t="str">
        <f t="array" ref="U234">IF(COUNTIF(Podcasts!$D$10:'Podcasts'!$D$2535,$B234)&lt;COLUMN(F197),"",SMALL(IF(Podcasts!$D$10:'Podcasts'!$D$2535=$B234,Podcasts!$E$10:'Podcasts'!$E$2535),COLUMN(F197)))</f>
        <v/>
      </c>
      <c r="V234" s="132" t="str">
        <f t="array" ref="V234">IF(U234="","",INDEX(Podcasts!$F$10:'Podcasts'!$F$2535,MATCH(U234&amp;$B234,Podcasts!$E$10:'Podcasts'!$E$2535&amp;Podcasts!$D$10:'Podcasts'!$D$2535,0)))</f>
        <v/>
      </c>
      <c r="W234" s="136" t="str">
        <f t="array" ref="W234">IF(X234="","",INDEX(Podcasts!$J$10:'Podcasts'!$J$2535,MATCH(X234&amp;$B234,Podcasts!$E$10:'Podcasts'!$E$2535&amp;Podcasts!$D$10:'Podcasts'!$D$2535,0)))</f>
        <v/>
      </c>
      <c r="X234" s="133" t="str">
        <f t="array" ref="X234">IF(COUNTIF(Podcasts!$D$10:'Podcasts'!$D$2535,$B234)&lt;COLUMN(G197),"",SMALL(IF(Podcasts!$D$10:'Podcasts'!$D$2535=$B234,Podcasts!$E$10:'Podcasts'!$E$2535),COLUMN(G197)))</f>
        <v/>
      </c>
      <c r="Y234" s="132" t="str">
        <f t="array" ref="Y234">IF(X234="","",INDEX(Podcasts!$F$10:'Podcasts'!$F$2535,MATCH(X234&amp;$B234,Podcasts!$E$10:'Podcasts'!$E$2535&amp;Podcasts!$D$10:'Podcasts'!$D$2535,0)))</f>
        <v/>
      </c>
      <c r="Z234" s="136" t="str">
        <f t="array" ref="Z234">IF(AA234="","",INDEX(Podcasts!$J$10:'Podcasts'!$J$2535,MATCH(AA234&amp;$B234,Podcasts!$E$10:'Podcasts'!$E$2535&amp;Podcasts!$D$10:'Podcasts'!$D$2535,0)))</f>
        <v/>
      </c>
      <c r="AA234" s="134" t="str">
        <f t="array" ref="AA234">IF(COUNTIF(Podcasts!$D$10:'Podcasts'!$D$2535,$B234)&lt;COLUMN(H197),"",SMALL(IF(Podcasts!$D$10:'Podcasts'!$D$2535=$B234,Podcasts!$E$10:'Podcasts'!$E$2535),COLUMN(H197)))</f>
        <v/>
      </c>
      <c r="AB234" s="404" t="str">
        <f t="array" ref="AB234">IF(AA234="","",INDEX(Podcasts!$F$10:'Podcasts'!$F$2535,MATCH(AA234&amp;$B234,Podcasts!$E$10:'Podcasts'!$E$2535&amp;Podcasts!$D$10:'Podcasts'!$D$2535,0)))</f>
        <v/>
      </c>
      <c r="AC234" s="406" t="str">
        <f t="array" ref="AC234">IF(AD234="","",INDEX(Podcasts!$J$10:'Podcasts'!$J$2535,MATCH(AD234&amp;$B234,Podcasts!$E$10:'Podcasts'!$E$2535&amp;Podcasts!$D$10:'Podcasts'!$D$2535,0)))</f>
        <v/>
      </c>
      <c r="AD234" s="400" t="str">
        <f t="array" ref="AD234">IF(COUNTIF(Podcasts!$D$10:'Podcasts'!$D$2535,$B234)&lt;COLUMN(I197),"",SMALL(IF(Podcasts!$D$10:'Podcasts'!$D$2535=$B234,Podcasts!$E$10:'Podcasts'!$E$2535),COLUMN(I197)))</f>
        <v/>
      </c>
      <c r="AE234" s="401" t="str">
        <f t="array" ref="AE234">IF(AD234="","",INDEX(Podcasts!$F$10:'Podcasts'!$F$2535,MATCH(AD234&amp;$B234,Podcasts!$E$10:'Podcasts'!$E$2535&amp;Podcasts!$D$10:'Podcasts'!$D$2535,0)))</f>
        <v/>
      </c>
      <c r="AF234" s="406" t="str">
        <f t="array" ref="AF234">IF(AG234="","",INDEX(Podcasts!$J$10:'Podcasts'!$J$2535,MATCH(AG234&amp;$B234,Podcasts!$E$10:'Podcasts'!$E$2535&amp;Podcasts!$D$10:'Podcasts'!$D$2535,0)))</f>
        <v/>
      </c>
      <c r="AG234" s="400" t="str">
        <f t="array" ref="AG234">IF(COUNTIF(Podcasts!$D$10:'Podcasts'!$D$2535,$B234)&lt;COLUMN(J197),"",SMALL(IF(Podcasts!$D$10:'Podcasts'!$D$2535=$B234,Podcasts!$E$10:'Podcasts'!$E$2535),COLUMN(J197)))</f>
        <v/>
      </c>
      <c r="AH234" s="401" t="str">
        <f t="array" ref="AH234">IF(AG234="","",INDEX(Podcasts!$F$10:'Podcasts'!$F$2535,MATCH(AG234&amp;$B234,Podcasts!$E$10:'Podcasts'!$E$2535&amp;Podcasts!$D$10:'Podcasts'!$D$2535,0)))</f>
        <v/>
      </c>
      <c r="AI234" s="406" t="str">
        <f t="array" ref="AI234">IF(AJ234="","",INDEX(Podcasts!$J$10:'Podcasts'!$J$2535,MATCH(AJ234&amp;$B234,Podcasts!$E$10:'Podcasts'!$E$2535&amp;Podcasts!$D$10:'Podcasts'!$D$2535,0)))</f>
        <v/>
      </c>
      <c r="AJ234" s="400" t="str">
        <f t="array" ref="AJ234">IF(COUNTIF(Podcasts!$D$10:'Podcasts'!$D$2535,$B234)&lt;COLUMN(K197),"",SMALL(IF(Podcasts!$D$10:'Podcasts'!$D$2535=$B234,Podcasts!$E$10:'Podcasts'!$E$2535),COLUMN(K197)))</f>
        <v/>
      </c>
      <c r="AK234" s="401" t="str">
        <f t="array" ref="AK234">IF(AJ234="","",INDEX(Podcasts!$F$10:'Podcasts'!$F$2535,MATCH(AJ234&amp;$B234,Podcasts!$E$10:'Podcasts'!$E$2535&amp;Podcasts!$D$10:'Podcasts'!$D$2535,0)))</f>
        <v/>
      </c>
      <c r="AL234" s="406" t="str">
        <f t="array" ref="AL234">IF(AM234="","",INDEX(Podcasts!$J$10:'Podcasts'!$J$2535,MATCH(AM234&amp;$B234,Podcasts!$E$10:'Podcasts'!$E$2535&amp;Podcasts!$D$10:'Podcasts'!$D$2535,0)))</f>
        <v/>
      </c>
      <c r="AM234" s="400" t="str">
        <f t="array" ref="AM234">IF(COUNTIF(Podcasts!$D$10:'Podcasts'!$D$2535,$B234)&lt;COLUMN(L197),"",SMALL(IF(Podcasts!$D$10:'Podcasts'!$D$2535=$B234,Podcasts!$E$10:'Podcasts'!$E$2535),COLUMN(L197)))</f>
        <v/>
      </c>
      <c r="AN234" s="401" t="str">
        <f t="array" ref="AN234">IF(AM234="","",INDEX(Podcasts!$F$10:'Podcasts'!$F$2535,MATCH(AM234&amp;$B234,Podcasts!$E$10:'Podcasts'!$E$2535&amp;Podcasts!$D$10:'Podcasts'!$D$2535,0)))</f>
        <v/>
      </c>
      <c r="AO234" s="402"/>
      <c r="AP234" s="119"/>
      <c r="AQ234" s="117"/>
      <c r="AR234" s="117"/>
      <c r="AS234" s="117" t="str">
        <f t="array" aca="1" ref="AS234" ca="1">IFERROR(SMALL(IF(COUNTIF(Podcasts!$D$244:'Podcasts'!$D$299,ROW(INDIRECT("1:"&amp;K$2)))=0,ROW(INDIRECT("1:"&amp;K$2))),ROW($A191)),"")</f>
        <v/>
      </c>
      <c r="AT234" s="117"/>
      <c r="AU234" s="117">
        <f t="array" aca="1" ref="AU234" ca="1">IFERROR(SMALL(IF(COUNTIF(Podcasts!$D$479:'Podcasts'!$D$488,ROW(INDIRECT("1:"&amp;K$2)))=0,ROW(INDIRECT("1:"&amp;K$2))),ROW($A191)),"")</f>
        <v>195</v>
      </c>
      <c r="AV234" s="117">
        <f t="array" aca="1" ref="AV234" ca="1">IFERROR(SMALL(IF(COUNTIF(Podcasts!$D$494:'Podcasts'!$D$518,ROW(INDIRECT("1:"&amp;K$2)))=0,ROW(INDIRECT("1:"&amp;K$2))),ROW($A191)),"")</f>
        <v>216</v>
      </c>
      <c r="AW234" s="117">
        <f t="array" aca="1" ref="AW234" ca="1">IFERROR(SMALL(IF(COUNTIF(Podcasts!$D$524:'Podcasts'!$D$532,ROW(INDIRECT("1:"&amp;K$2)))=0,ROW(INDIRECT("1:"&amp;K$2))),ROW($A191)),"")</f>
        <v>198</v>
      </c>
      <c r="AX234" s="117"/>
      <c r="AY234" s="117"/>
      <c r="AZ234" s="445"/>
      <c r="BA234" s="117"/>
      <c r="BB234" s="117">
        <f t="array" aca="1" ref="BB234" ca="1">IFERROR(SMALL(IF(COUNTIF(Podcasts!$D$1257:'Podcasts'!$D$1267,ROW(INDIRECT("1:"&amp;K$2)))=0,ROW(INDIRECT("1:"&amp;K$2))),ROW($A191)),"")</f>
        <v>198</v>
      </c>
      <c r="BC234" s="117">
        <f t="array" aca="1" ref="BC234" ca="1">IFERROR(SMALL(IF(COUNTIF(Podcasts!$D$1273:'Podcasts'!$D$1283,ROW(INDIRECT("1:"&amp;K$2)))=0,ROW(INDIRECT("1:"&amp;K$2))),ROW($A191)),"")</f>
        <v>197</v>
      </c>
      <c r="BD234" s="117">
        <f t="array" aca="1" ref="BD234" ca="1">IFERROR(SMALL(IF(COUNTIF(Podcasts!$D$1289:'Podcasts'!$D$1295,ROW(INDIRECT("1:"&amp;K$2)))=0,ROW(INDIRECT("1:"&amp;K$2))),ROW($A191)),"")</f>
        <v>197</v>
      </c>
      <c r="BE234" s="117"/>
      <c r="BF234" s="117">
        <f t="array" aca="1" ref="BF234" ca="1">IFERROR(SMALL(IF(COUNTIF(Podcasts!$D$1362:'Podcasts'!$D$1364,ROW(INDIRECT("1:"&amp;K$2)))=0,ROW(INDIRECT("1:"&amp;K$2))),ROW($A191)),"")</f>
        <v>194</v>
      </c>
      <c r="BG234" s="202"/>
      <c r="BH234" s="202">
        <f t="array" aca="1" ref="BH234" ca="1">IFERROR(SMALL(IF(COUNTIF(Podcasts!$D$1425:'Podcasts'!$D$1446,ROW(INDIRECT("1:"&amp;K$2)))=0,ROW(INDIRECT("1:"&amp;K$2))),ROW($A191)),"")</f>
        <v>204</v>
      </c>
      <c r="BI234" s="202"/>
      <c r="BJ234" s="202"/>
      <c r="BK234" s="202"/>
      <c r="BL234" s="202">
        <f t="array" aca="1" ref="BL234" ca="1">IFERROR(SMALL(IF(COUNTIF(Podcasts!$D$1839:'Podcasts'!$D$1855,ROW(INDIRECT("1:"&amp;K$2)))=0,ROW(INDIRECT("1:"&amp;K$2))),ROW($A191)),"")</f>
        <v>200</v>
      </c>
      <c r="BM234" s="567"/>
      <c r="BN234" s="567"/>
      <c r="BO234" s="567">
        <f t="array" aca="1" ref="BO234" ca="1">IFERROR(SMALL(IF(COUNTIF(Podcasts!$D$2063:'Podcasts'!$D$2071,ROW(INDIRECT("1:"&amp;K$2)))=0,ROW(INDIRECT("1:"&amp;K$2))),ROW($A191)),"")</f>
        <v>199</v>
      </c>
      <c r="BP234" s="202">
        <f t="array" aca="1" ref="BP234" ca="1">IFERROR(SMALL(IF(COUNTIF(Podcasts!$D$2077:'Podcasts'!$D$2092,ROW(INDIRECT("1:"&amp;K$2)))=0,ROW(INDIRECT("1:"&amp;K$2))),ROW($A191)),"")</f>
        <v>202</v>
      </c>
      <c r="BQ234" s="741">
        <f t="array" aca="1" ref="BQ234" ca="1">IFERROR(SMALL(IF(COUNTIF(Podcasts!$D$2098:'Podcasts'!$D$2114,ROW(INDIRECT("1:"&amp;K$2)))=0,ROW(INDIRECT("1:"&amp;K$2))),ROW($A191)),"")</f>
        <v>206</v>
      </c>
      <c r="BR234" s="744">
        <f t="array" aca="1" ref="BR234" ca="1">IFERROR(SMALL(IF(COUNTIF(Podcasts!$D$2120:'Podcasts'!$D$2124,ROW(INDIRECT("1:"&amp;K$2)))=0,ROW(INDIRECT("1:"&amp;K$2))),ROW($A191)),"")</f>
        <v>193</v>
      </c>
      <c r="BS234" s="28"/>
    </row>
    <row r="235" spans="1:71" outlineLevel="1">
      <c r="A235" s="28"/>
      <c r="B235" s="161">
        <v>192</v>
      </c>
      <c r="C235" s="161">
        <f>COUNTIF(Podcasts!$D$10:'Podcasts'!$D$2535,B235)-1</f>
        <v>4</v>
      </c>
      <c r="D235" s="160" t="s">
        <v>1216</v>
      </c>
      <c r="E235" s="156" t="str">
        <f t="array" ref="E235">IF(F235="","",INDEX(Podcasts!$J$10:'Podcasts'!$J$2535,MATCH(F235&amp;$B235,Podcasts!$E$10:'Podcasts'!$E$2535&amp;Podcasts!$D$10:'Podcasts'!$D$2535,0)))</f>
        <v>Pirat</v>
      </c>
      <c r="F235" s="131">
        <f t="array" ref="F235">IF(COUNTIF(Podcasts!$D$10:'Podcasts'!$D$2535,$B235)&lt;COLUMN(A198),"",SMALL(IF(Podcasts!$D$10:'Podcasts'!$D$2535=$B235,Podcasts!$E$10:'Podcasts'!$E$2535),COLUMN(A198)))</f>
        <v>43190</v>
      </c>
      <c r="G235" s="132">
        <f t="array" ref="G235">IF(F235="","",INDEX(Podcasts!$F$10:'Podcasts'!$F$2535,MATCH(F235&amp;$B235,Podcasts!$E$10:'Podcasts'!$E$2535&amp;Podcasts!$D$10:'Podcasts'!$D$2535,0)))</f>
        <v>8.8773148148148153E-3</v>
      </c>
      <c r="H235" s="136" t="str">
        <f t="array" ref="H235">IF(I235="","",INDEX(Podcasts!$J$10:'Podcasts'!$J$2535,MATCH(I235&amp;$B235,Podcasts!$E$10:'Podcasts'!$E$2535&amp;Podcasts!$D$10:'Podcasts'!$D$2535,0)))</f>
        <v>Ohr</v>
      </c>
      <c r="I235" s="133">
        <f t="array" ref="I235">IF(COUNTIF(Podcasts!$D$10:'Podcasts'!$D$2535,$B235)&lt;COLUMN(B198),"",SMALL(IF(Podcasts!$D$10:'Podcasts'!$D$2535=$B235,Podcasts!$E$10:'Podcasts'!$E$2535),COLUMN(B198)))</f>
        <v>43219</v>
      </c>
      <c r="J235" s="132">
        <f t="array" ref="J235">IF(I235="","",INDEX(Podcasts!$F$10:'Podcasts'!$F$2535,MATCH(I235&amp;$B235,Podcasts!$E$10:'Podcasts'!$E$2535&amp;Podcasts!$D$10:'Podcasts'!$D$2535,0)))</f>
        <v>4.3287037037037035E-3</v>
      </c>
      <c r="K235" s="136" t="str">
        <f t="array" ref="K235">IF(L235="","",INDEX(Podcasts!$J$10:'Podcasts'!$J$2535,MATCH(L235&amp;$B235,Podcasts!$E$10:'Podcasts'!$E$2535&amp;Podcasts!$D$10:'Podcasts'!$D$2535,0)))</f>
        <v>SSP</v>
      </c>
      <c r="L235" s="133">
        <f t="array" ref="L235">IF(COUNTIF(Podcasts!$D$10:'Podcasts'!$D$2535,$B235)&lt;COLUMN(C198),"",SMALL(IF(Podcasts!$D$10:'Podcasts'!$D$2535=$B235,Podcasts!$E$10:'Podcasts'!$E$2535),COLUMN(C198)))</f>
        <v>44154</v>
      </c>
      <c r="M235" s="132">
        <f t="array" ref="M235">IF(L235="","",INDEX(Podcasts!$F$10:'Podcasts'!$F$2535,MATCH(L235&amp;$B235,Podcasts!$E$10:'Podcasts'!$E$2535&amp;Podcasts!$D$10:'Podcasts'!$D$2535,0)))</f>
        <v>6.9155092592592601E-2</v>
      </c>
      <c r="N235" s="136" t="str">
        <f t="array" ref="N235">IF(O235="","",INDEX(Podcasts!$J$10:'Podcasts'!$J$2535,MATCH(O235&amp;$B235,Podcasts!$E$10:'Podcasts'!$E$2535&amp;Podcasts!$D$10:'Podcasts'!$D$2535,0)))</f>
        <v>Kuchen</v>
      </c>
      <c r="O235" s="133">
        <f t="array" ref="O235">IF(COUNTIF(Podcasts!$D$10:'Podcasts'!$D$2535,$B235)&lt;COLUMN(D198),"",SMALL(IF(Podcasts!$D$10:'Podcasts'!$D$2535=$B235,Podcasts!$E$10:'Podcasts'!$E$2535),COLUMN(D198)))</f>
        <v>44794</v>
      </c>
      <c r="P235" s="132">
        <f t="array" ref="P235">IF(O235="","",INDEX(Podcasts!$F$10:'Podcasts'!$F$2535,MATCH(O235&amp;$B235,Podcasts!$E$10:'Podcasts'!$E$2535&amp;Podcasts!$D$10:'Podcasts'!$D$2535,0)))</f>
        <v>5.28587962962963E-2</v>
      </c>
      <c r="Q235" s="136" t="str">
        <f t="array" ref="Q235">IF(R235="","",INDEX(Podcasts!$J$10:'Podcasts'!$J$2535,MATCH(R235&amp;$B235,Podcasts!$E$10:'Podcasts'!$E$2535&amp;Podcasts!$D$10:'Podcasts'!$D$2535,0)))</f>
        <v>Schrott</v>
      </c>
      <c r="R235" s="133">
        <f t="array" ref="R235">IF(COUNTIF(Podcasts!$D$10:'Podcasts'!$D$2535,$B235)&lt;COLUMN(E198),"",SMALL(IF(Podcasts!$D$10:'Podcasts'!$D$2535=$B235,Podcasts!$E$10:'Podcasts'!$E$2535),COLUMN(E198)))</f>
        <v>46203</v>
      </c>
      <c r="S235" s="132">
        <f t="array" ref="S235">IF(R235="","",INDEX(Podcasts!$F$10:'Podcasts'!$F$2535,MATCH(R235&amp;$B235,Podcasts!$E$10:'Podcasts'!$E$2535&amp;Podcasts!$D$10:'Podcasts'!$D$2535,0)))</f>
        <v>0</v>
      </c>
      <c r="T235" s="136" t="str">
        <f t="array" ref="T235">IF(U235="","",INDEX(Podcasts!$J$10:'Podcasts'!$J$2535,MATCH(U235&amp;$B235,Podcasts!$E$10:'Podcasts'!$E$2535&amp;Podcasts!$D$10:'Podcasts'!$D$2535,0)))</f>
        <v/>
      </c>
      <c r="U235" s="133" t="str">
        <f t="array" ref="U235">IF(COUNTIF(Podcasts!$D$10:'Podcasts'!$D$2535,$B235)&lt;COLUMN(F198),"",SMALL(IF(Podcasts!$D$10:'Podcasts'!$D$2535=$B235,Podcasts!$E$10:'Podcasts'!$E$2535),COLUMN(F198)))</f>
        <v/>
      </c>
      <c r="V235" s="132" t="str">
        <f t="array" ref="V235">IF(U235="","",INDEX(Podcasts!$F$10:'Podcasts'!$F$2535,MATCH(U235&amp;$B235,Podcasts!$E$10:'Podcasts'!$E$2535&amp;Podcasts!$D$10:'Podcasts'!$D$2535,0)))</f>
        <v/>
      </c>
      <c r="W235" s="136" t="str">
        <f t="array" ref="W235">IF(X235="","",INDEX(Podcasts!$J$10:'Podcasts'!$J$2535,MATCH(X235&amp;$B235,Podcasts!$E$10:'Podcasts'!$E$2535&amp;Podcasts!$D$10:'Podcasts'!$D$2535,0)))</f>
        <v/>
      </c>
      <c r="X235" s="133" t="str">
        <f t="array" ref="X235">IF(COUNTIF(Podcasts!$D$10:'Podcasts'!$D$2535,$B235)&lt;COLUMN(G198),"",SMALL(IF(Podcasts!$D$10:'Podcasts'!$D$2535=$B235,Podcasts!$E$10:'Podcasts'!$E$2535),COLUMN(G198)))</f>
        <v/>
      </c>
      <c r="Y235" s="132" t="str">
        <f t="array" ref="Y235">IF(X235="","",INDEX(Podcasts!$F$10:'Podcasts'!$F$2535,MATCH(X235&amp;$B235,Podcasts!$E$10:'Podcasts'!$E$2535&amp;Podcasts!$D$10:'Podcasts'!$D$2535,0)))</f>
        <v/>
      </c>
      <c r="Z235" s="136" t="str">
        <f t="array" ref="Z235">IF(AA235="","",INDEX(Podcasts!$J$10:'Podcasts'!$J$2535,MATCH(AA235&amp;$B235,Podcasts!$E$10:'Podcasts'!$E$2535&amp;Podcasts!$D$10:'Podcasts'!$D$2535,0)))</f>
        <v/>
      </c>
      <c r="AA235" s="134" t="str">
        <f t="array" ref="AA235">IF(COUNTIF(Podcasts!$D$10:'Podcasts'!$D$2535,$B235)&lt;COLUMN(H198),"",SMALL(IF(Podcasts!$D$10:'Podcasts'!$D$2535=$B235,Podcasts!$E$10:'Podcasts'!$E$2535),COLUMN(H198)))</f>
        <v/>
      </c>
      <c r="AB235" s="404" t="str">
        <f t="array" ref="AB235">IF(AA235="","",INDEX(Podcasts!$F$10:'Podcasts'!$F$2535,MATCH(AA235&amp;$B235,Podcasts!$E$10:'Podcasts'!$E$2535&amp;Podcasts!$D$10:'Podcasts'!$D$2535,0)))</f>
        <v/>
      </c>
      <c r="AC235" s="406" t="str">
        <f t="array" ref="AC235">IF(AD235="","",INDEX(Podcasts!$J$10:'Podcasts'!$J$2535,MATCH(AD235&amp;$B235,Podcasts!$E$10:'Podcasts'!$E$2535&amp;Podcasts!$D$10:'Podcasts'!$D$2535,0)))</f>
        <v/>
      </c>
      <c r="AD235" s="400" t="str">
        <f t="array" ref="AD235">IF(COUNTIF(Podcasts!$D$10:'Podcasts'!$D$2535,$B235)&lt;COLUMN(I198),"",SMALL(IF(Podcasts!$D$10:'Podcasts'!$D$2535=$B235,Podcasts!$E$10:'Podcasts'!$E$2535),COLUMN(I198)))</f>
        <v/>
      </c>
      <c r="AE235" s="401" t="str">
        <f t="array" ref="AE235">IF(AD235="","",INDEX(Podcasts!$F$10:'Podcasts'!$F$2535,MATCH(AD235&amp;$B235,Podcasts!$E$10:'Podcasts'!$E$2535&amp;Podcasts!$D$10:'Podcasts'!$D$2535,0)))</f>
        <v/>
      </c>
      <c r="AF235" s="406" t="str">
        <f t="array" ref="AF235">IF(AG235="","",INDEX(Podcasts!$J$10:'Podcasts'!$J$2535,MATCH(AG235&amp;$B235,Podcasts!$E$10:'Podcasts'!$E$2535&amp;Podcasts!$D$10:'Podcasts'!$D$2535,0)))</f>
        <v/>
      </c>
      <c r="AG235" s="400" t="str">
        <f t="array" ref="AG235">IF(COUNTIF(Podcasts!$D$10:'Podcasts'!$D$2535,$B235)&lt;COLUMN(J198),"",SMALL(IF(Podcasts!$D$10:'Podcasts'!$D$2535=$B235,Podcasts!$E$10:'Podcasts'!$E$2535),COLUMN(J198)))</f>
        <v/>
      </c>
      <c r="AH235" s="401" t="str">
        <f t="array" ref="AH235">IF(AG235="","",INDEX(Podcasts!$F$10:'Podcasts'!$F$2535,MATCH(AG235&amp;$B235,Podcasts!$E$10:'Podcasts'!$E$2535&amp;Podcasts!$D$10:'Podcasts'!$D$2535,0)))</f>
        <v/>
      </c>
      <c r="AI235" s="406" t="str">
        <f t="array" ref="AI235">IF(AJ235="","",INDEX(Podcasts!$J$10:'Podcasts'!$J$2535,MATCH(AJ235&amp;$B235,Podcasts!$E$10:'Podcasts'!$E$2535&amp;Podcasts!$D$10:'Podcasts'!$D$2535,0)))</f>
        <v/>
      </c>
      <c r="AJ235" s="400" t="str">
        <f t="array" ref="AJ235">IF(COUNTIF(Podcasts!$D$10:'Podcasts'!$D$2535,$B235)&lt;COLUMN(K198),"",SMALL(IF(Podcasts!$D$10:'Podcasts'!$D$2535=$B235,Podcasts!$E$10:'Podcasts'!$E$2535),COLUMN(K198)))</f>
        <v/>
      </c>
      <c r="AK235" s="401" t="str">
        <f t="array" ref="AK235">IF(AJ235="","",INDEX(Podcasts!$F$10:'Podcasts'!$F$2535,MATCH(AJ235&amp;$B235,Podcasts!$E$10:'Podcasts'!$E$2535&amp;Podcasts!$D$10:'Podcasts'!$D$2535,0)))</f>
        <v/>
      </c>
      <c r="AL235" s="406" t="str">
        <f t="array" ref="AL235">IF(AM235="","",INDEX(Podcasts!$J$10:'Podcasts'!$J$2535,MATCH(AM235&amp;$B235,Podcasts!$E$10:'Podcasts'!$E$2535&amp;Podcasts!$D$10:'Podcasts'!$D$2535,0)))</f>
        <v/>
      </c>
      <c r="AM235" s="400" t="str">
        <f t="array" ref="AM235">IF(COUNTIF(Podcasts!$D$10:'Podcasts'!$D$2535,$B235)&lt;COLUMN(L198),"",SMALL(IF(Podcasts!$D$10:'Podcasts'!$D$2535=$B235,Podcasts!$E$10:'Podcasts'!$E$2535),COLUMN(L198)))</f>
        <v/>
      </c>
      <c r="AN235" s="401" t="str">
        <f t="array" ref="AN235">IF(AM235="","",INDEX(Podcasts!$F$10:'Podcasts'!$F$2535,MATCH(AM235&amp;$B235,Podcasts!$E$10:'Podcasts'!$E$2535&amp;Podcasts!$D$10:'Podcasts'!$D$2535,0)))</f>
        <v/>
      </c>
      <c r="AO235" s="402"/>
      <c r="AP235" s="119"/>
      <c r="AQ235" s="117"/>
      <c r="AR235" s="117"/>
      <c r="AS235" s="117" t="str">
        <f t="array" aca="1" ref="AS235" ca="1">IFERROR(SMALL(IF(COUNTIF(Podcasts!$D$244:'Podcasts'!$D$299,ROW(INDIRECT("1:"&amp;K$2)))=0,ROW(INDIRECT("1:"&amp;K$2))),ROW($A192)),"")</f>
        <v/>
      </c>
      <c r="AT235" s="117"/>
      <c r="AU235" s="117">
        <f t="array" aca="1" ref="AU235" ca="1">IFERROR(SMALL(IF(COUNTIF(Podcasts!$D$479:'Podcasts'!$D$488,ROW(INDIRECT("1:"&amp;K$2)))=0,ROW(INDIRECT("1:"&amp;K$2))),ROW($A192)),"")</f>
        <v>196</v>
      </c>
      <c r="AV235" s="117">
        <f t="array" aca="1" ref="AV235" ca="1">IFERROR(SMALL(IF(COUNTIF(Podcasts!$D$494:'Podcasts'!$D$518,ROW(INDIRECT("1:"&amp;K$2)))=0,ROW(INDIRECT("1:"&amp;K$2))),ROW($A192)),"")</f>
        <v>217</v>
      </c>
      <c r="AW235" s="117">
        <f t="array" aca="1" ref="AW235" ca="1">IFERROR(SMALL(IF(COUNTIF(Podcasts!$D$524:'Podcasts'!$D$532,ROW(INDIRECT("1:"&amp;K$2)))=0,ROW(INDIRECT("1:"&amp;K$2))),ROW($A192)),"")</f>
        <v>199</v>
      </c>
      <c r="AX235" s="117"/>
      <c r="AY235" s="117"/>
      <c r="AZ235" s="445"/>
      <c r="BA235" s="117"/>
      <c r="BB235" s="117">
        <f t="array" aca="1" ref="BB235" ca="1">IFERROR(SMALL(IF(COUNTIF(Podcasts!$D$1257:'Podcasts'!$D$1267,ROW(INDIRECT("1:"&amp;K$2)))=0,ROW(INDIRECT("1:"&amp;K$2))),ROW($A192)),"")</f>
        <v>199</v>
      </c>
      <c r="BC235" s="117">
        <f t="array" aca="1" ref="BC235" ca="1">IFERROR(SMALL(IF(COUNTIF(Podcasts!$D$1273:'Podcasts'!$D$1283,ROW(INDIRECT("1:"&amp;K$2)))=0,ROW(INDIRECT("1:"&amp;K$2))),ROW($A192)),"")</f>
        <v>198</v>
      </c>
      <c r="BD235" s="117">
        <f t="array" aca="1" ref="BD235" ca="1">IFERROR(SMALL(IF(COUNTIF(Podcasts!$D$1289:'Podcasts'!$D$1295,ROW(INDIRECT("1:"&amp;K$2)))=0,ROW(INDIRECT("1:"&amp;K$2))),ROW($A192)),"")</f>
        <v>198</v>
      </c>
      <c r="BE235" s="117"/>
      <c r="BF235" s="117">
        <f t="array" aca="1" ref="BF235" ca="1">IFERROR(SMALL(IF(COUNTIF(Podcasts!$D$1362:'Podcasts'!$D$1364,ROW(INDIRECT("1:"&amp;K$2)))=0,ROW(INDIRECT("1:"&amp;K$2))),ROW($A192)),"")</f>
        <v>195</v>
      </c>
      <c r="BG235" s="202"/>
      <c r="BH235" s="202">
        <f t="array" aca="1" ref="BH235" ca="1">IFERROR(SMALL(IF(COUNTIF(Podcasts!$D$1425:'Podcasts'!$D$1446,ROW(INDIRECT("1:"&amp;K$2)))=0,ROW(INDIRECT("1:"&amp;K$2))),ROW($A192)),"")</f>
        <v>205</v>
      </c>
      <c r="BI235" s="202"/>
      <c r="BJ235" s="202"/>
      <c r="BK235" s="202"/>
      <c r="BL235" s="202">
        <f t="array" aca="1" ref="BL235" ca="1">IFERROR(SMALL(IF(COUNTIF(Podcasts!$D$1839:'Podcasts'!$D$1855,ROW(INDIRECT("1:"&amp;K$2)))=0,ROW(INDIRECT("1:"&amp;K$2))),ROW($A192)),"")</f>
        <v>201</v>
      </c>
      <c r="BM235" s="567"/>
      <c r="BN235" s="567"/>
      <c r="BO235" s="567">
        <f t="array" aca="1" ref="BO235" ca="1">IFERROR(SMALL(IF(COUNTIF(Podcasts!$D$2063:'Podcasts'!$D$2071,ROW(INDIRECT("1:"&amp;K$2)))=0,ROW(INDIRECT("1:"&amp;K$2))),ROW($A192)),"")</f>
        <v>200</v>
      </c>
      <c r="BP235" s="202">
        <f t="array" aca="1" ref="BP235" ca="1">IFERROR(SMALL(IF(COUNTIF(Podcasts!$D$2077:'Podcasts'!$D$2092,ROW(INDIRECT("1:"&amp;K$2)))=0,ROW(INDIRECT("1:"&amp;K$2))),ROW($A192)),"")</f>
        <v>203</v>
      </c>
      <c r="BQ235" s="741">
        <f t="array" aca="1" ref="BQ235" ca="1">IFERROR(SMALL(IF(COUNTIF(Podcasts!$D$2098:'Podcasts'!$D$2114,ROW(INDIRECT("1:"&amp;K$2)))=0,ROW(INDIRECT("1:"&amp;K$2))),ROW($A192)),"")</f>
        <v>207</v>
      </c>
      <c r="BR235" s="744">
        <f t="array" aca="1" ref="BR235" ca="1">IFERROR(SMALL(IF(COUNTIF(Podcasts!$D$2120:'Podcasts'!$D$2124,ROW(INDIRECT("1:"&amp;K$2)))=0,ROW(INDIRECT("1:"&amp;K$2))),ROW($A192)),"")</f>
        <v>194</v>
      </c>
      <c r="BS235" s="28"/>
    </row>
    <row r="236" spans="1:71" outlineLevel="1">
      <c r="A236" s="28"/>
      <c r="B236" s="161">
        <v>193</v>
      </c>
      <c r="C236" s="161">
        <f>COUNTIF(Podcasts!$D$10:'Podcasts'!$D$2535,B236)</f>
        <v>1</v>
      </c>
      <c r="D236" s="160" t="s">
        <v>1217</v>
      </c>
      <c r="E236" s="156" t="str">
        <f t="array" ref="E236">IF(F236="","",INDEX(Podcasts!$J$10:'Podcasts'!$J$2535,MATCH(F236&amp;$B236,Podcasts!$E$10:'Podcasts'!$E$2535&amp;Podcasts!$D$10:'Podcasts'!$D$2535,0)))</f>
        <v>Ohr</v>
      </c>
      <c r="F236" s="131">
        <f t="array" ref="F236">IF(COUNTIF(Podcasts!$D$10:'Podcasts'!$D$2535,$B236)&lt;COLUMN(A199),"",SMALL(IF(Podcasts!$D$10:'Podcasts'!$D$2535=$B236,Podcasts!$E$10:'Podcasts'!$E$2535),COLUMN(A199)))</f>
        <v>43280</v>
      </c>
      <c r="G236" s="132">
        <f t="array" ref="G236">IF(F236="","",INDEX(Podcasts!$F$10:'Podcasts'!$F$2535,MATCH(F236&amp;$B236,Podcasts!$E$10:'Podcasts'!$E$2535&amp;Podcasts!$D$10:'Podcasts'!$D$2535,0)))</f>
        <v>3.8657407407407408E-3</v>
      </c>
      <c r="H236" s="136" t="str">
        <f t="array" ref="H236">IF(I236="","",INDEX(Podcasts!$J$10:'Podcasts'!$J$2535,MATCH(I236&amp;$B236,Podcasts!$E$10:'Podcasts'!$E$2535&amp;Podcasts!$D$10:'Podcasts'!$D$2535,0)))</f>
        <v/>
      </c>
      <c r="I236" s="133" t="str">
        <f t="array" ref="I236">IF(COUNTIF(Podcasts!$D$10:'Podcasts'!$D$2535,$B236)&lt;COLUMN(B199),"",SMALL(IF(Podcasts!$D$10:'Podcasts'!$D$2535=$B236,Podcasts!$E$10:'Podcasts'!$E$2535),COLUMN(B199)))</f>
        <v/>
      </c>
      <c r="J236" s="132" t="str">
        <f t="array" ref="J236">IF(I236="","",INDEX(Podcasts!$F$10:'Podcasts'!$F$2535,MATCH(I236&amp;$B236,Podcasts!$E$10:'Podcasts'!$E$2535&amp;Podcasts!$D$10:'Podcasts'!$D$2535,0)))</f>
        <v/>
      </c>
      <c r="K236" s="136" t="str">
        <f t="array" ref="K236">IF(L236="","",INDEX(Podcasts!$J$10:'Podcasts'!$J$2535,MATCH(L236&amp;$B236,Podcasts!$E$10:'Podcasts'!$E$2535&amp;Podcasts!$D$10:'Podcasts'!$D$2535,0)))</f>
        <v/>
      </c>
      <c r="L236" s="133" t="str">
        <f t="array" ref="L236">IF(COUNTIF(Podcasts!$D$10:'Podcasts'!$D$2535,$B236)&lt;COLUMN(C199),"",SMALL(IF(Podcasts!$D$10:'Podcasts'!$D$2535=$B236,Podcasts!$E$10:'Podcasts'!$E$2535),COLUMN(C199)))</f>
        <v/>
      </c>
      <c r="M236" s="132" t="str">
        <f t="array" ref="M236">IF(L236="","",INDEX(Podcasts!$F$10:'Podcasts'!$F$2535,MATCH(L236&amp;$B236,Podcasts!$E$10:'Podcasts'!$E$2535&amp;Podcasts!$D$10:'Podcasts'!$D$2535,0)))</f>
        <v/>
      </c>
      <c r="N236" s="136" t="str">
        <f t="array" ref="N236">IF(O236="","",INDEX(Podcasts!$J$10:'Podcasts'!$J$2535,MATCH(O236&amp;$B236,Podcasts!$E$10:'Podcasts'!$E$2535&amp;Podcasts!$D$10:'Podcasts'!$D$2535,0)))</f>
        <v/>
      </c>
      <c r="O236" s="133" t="str">
        <f t="array" ref="O236">IF(COUNTIF(Podcasts!$D$10:'Podcasts'!$D$2535,$B236)&lt;COLUMN(D199),"",SMALL(IF(Podcasts!$D$10:'Podcasts'!$D$2535=$B236,Podcasts!$E$10:'Podcasts'!$E$2535),COLUMN(D199)))</f>
        <v/>
      </c>
      <c r="P236" s="132" t="str">
        <f t="array" ref="P236">IF(O236="","",INDEX(Podcasts!$F$10:'Podcasts'!$F$2535,MATCH(O236&amp;$B236,Podcasts!$E$10:'Podcasts'!$E$2535&amp;Podcasts!$D$10:'Podcasts'!$D$2535,0)))</f>
        <v/>
      </c>
      <c r="Q236" s="136" t="str">
        <f t="array" ref="Q236">IF(R236="","",INDEX(Podcasts!$J$10:'Podcasts'!$J$2535,MATCH(R236&amp;$B236,Podcasts!$E$10:'Podcasts'!$E$2535&amp;Podcasts!$D$10:'Podcasts'!$D$2535,0)))</f>
        <v/>
      </c>
      <c r="R236" s="133" t="str">
        <f t="array" ref="R236">IF(COUNTIF(Podcasts!$D$10:'Podcasts'!$D$2535,$B236)&lt;COLUMN(E199),"",SMALL(IF(Podcasts!$D$10:'Podcasts'!$D$2535=$B236,Podcasts!$E$10:'Podcasts'!$E$2535),COLUMN(E199)))</f>
        <v/>
      </c>
      <c r="S236" s="132" t="str">
        <f t="array" ref="S236">IF(R236="","",INDEX(Podcasts!$F$10:'Podcasts'!$F$2535,MATCH(R236&amp;$B236,Podcasts!$E$10:'Podcasts'!$E$2535&amp;Podcasts!$D$10:'Podcasts'!$D$2535,0)))</f>
        <v/>
      </c>
      <c r="T236" s="136" t="str">
        <f t="array" ref="T236">IF(U236="","",INDEX(Podcasts!$J$10:'Podcasts'!$J$2535,MATCH(U236&amp;$B236,Podcasts!$E$10:'Podcasts'!$E$2535&amp;Podcasts!$D$10:'Podcasts'!$D$2535,0)))</f>
        <v/>
      </c>
      <c r="U236" s="133" t="str">
        <f t="array" ref="U236">IF(COUNTIF(Podcasts!$D$10:'Podcasts'!$D$2535,$B236)&lt;COLUMN(F199),"",SMALL(IF(Podcasts!$D$10:'Podcasts'!$D$2535=$B236,Podcasts!$E$10:'Podcasts'!$E$2535),COLUMN(F199)))</f>
        <v/>
      </c>
      <c r="V236" s="132" t="str">
        <f t="array" ref="V236">IF(U236="","",INDEX(Podcasts!$F$10:'Podcasts'!$F$2535,MATCH(U236&amp;$B236,Podcasts!$E$10:'Podcasts'!$E$2535&amp;Podcasts!$D$10:'Podcasts'!$D$2535,0)))</f>
        <v/>
      </c>
      <c r="W236" s="136" t="str">
        <f t="array" ref="W236">IF(X236="","",INDEX(Podcasts!$J$10:'Podcasts'!$J$2535,MATCH(X236&amp;$B236,Podcasts!$E$10:'Podcasts'!$E$2535&amp;Podcasts!$D$10:'Podcasts'!$D$2535,0)))</f>
        <v/>
      </c>
      <c r="X236" s="133" t="str">
        <f t="array" ref="X236">IF(COUNTIF(Podcasts!$D$10:'Podcasts'!$D$2535,$B236)&lt;COLUMN(G199),"",SMALL(IF(Podcasts!$D$10:'Podcasts'!$D$2535=$B236,Podcasts!$E$10:'Podcasts'!$E$2535),COLUMN(G199)))</f>
        <v/>
      </c>
      <c r="Y236" s="132" t="str">
        <f t="array" ref="Y236">IF(X236="","",INDEX(Podcasts!$F$10:'Podcasts'!$F$2535,MATCH(X236&amp;$B236,Podcasts!$E$10:'Podcasts'!$E$2535&amp;Podcasts!$D$10:'Podcasts'!$D$2535,0)))</f>
        <v/>
      </c>
      <c r="Z236" s="136" t="str">
        <f t="array" ref="Z236">IF(AA236="","",INDEX(Podcasts!$J$10:'Podcasts'!$J$2535,MATCH(AA236&amp;$B236,Podcasts!$E$10:'Podcasts'!$E$2535&amp;Podcasts!$D$10:'Podcasts'!$D$2535,0)))</f>
        <v/>
      </c>
      <c r="AA236" s="134" t="str">
        <f t="array" ref="AA236">IF(COUNTIF(Podcasts!$D$10:'Podcasts'!$D$2535,$B236)&lt;COLUMN(H199),"",SMALL(IF(Podcasts!$D$10:'Podcasts'!$D$2535=$B236,Podcasts!$E$10:'Podcasts'!$E$2535),COLUMN(H199)))</f>
        <v/>
      </c>
      <c r="AB236" s="404" t="str">
        <f t="array" ref="AB236">IF(AA236="","",INDEX(Podcasts!$F$10:'Podcasts'!$F$2535,MATCH(AA236&amp;$B236,Podcasts!$E$10:'Podcasts'!$E$2535&amp;Podcasts!$D$10:'Podcasts'!$D$2535,0)))</f>
        <v/>
      </c>
      <c r="AC236" s="406" t="str">
        <f t="array" ref="AC236">IF(AD236="","",INDEX(Podcasts!$J$10:'Podcasts'!$J$2535,MATCH(AD236&amp;$B236,Podcasts!$E$10:'Podcasts'!$E$2535&amp;Podcasts!$D$10:'Podcasts'!$D$2535,0)))</f>
        <v/>
      </c>
      <c r="AD236" s="400" t="str">
        <f t="array" ref="AD236">IF(COUNTIF(Podcasts!$D$10:'Podcasts'!$D$2535,$B236)&lt;COLUMN(I199),"",SMALL(IF(Podcasts!$D$10:'Podcasts'!$D$2535=$B236,Podcasts!$E$10:'Podcasts'!$E$2535),COLUMN(I199)))</f>
        <v/>
      </c>
      <c r="AE236" s="401" t="str">
        <f t="array" ref="AE236">IF(AD236="","",INDEX(Podcasts!$F$10:'Podcasts'!$F$2535,MATCH(AD236&amp;$B236,Podcasts!$E$10:'Podcasts'!$E$2535&amp;Podcasts!$D$10:'Podcasts'!$D$2535,0)))</f>
        <v/>
      </c>
      <c r="AF236" s="406" t="str">
        <f t="array" ref="AF236">IF(AG236="","",INDEX(Podcasts!$J$10:'Podcasts'!$J$2535,MATCH(AG236&amp;$B236,Podcasts!$E$10:'Podcasts'!$E$2535&amp;Podcasts!$D$10:'Podcasts'!$D$2535,0)))</f>
        <v/>
      </c>
      <c r="AG236" s="400" t="str">
        <f t="array" ref="AG236">IF(COUNTIF(Podcasts!$D$10:'Podcasts'!$D$2535,$B236)&lt;COLUMN(J199),"",SMALL(IF(Podcasts!$D$10:'Podcasts'!$D$2535=$B236,Podcasts!$E$10:'Podcasts'!$E$2535),COLUMN(J199)))</f>
        <v/>
      </c>
      <c r="AH236" s="401" t="str">
        <f t="array" ref="AH236">IF(AG236="","",INDEX(Podcasts!$F$10:'Podcasts'!$F$2535,MATCH(AG236&amp;$B236,Podcasts!$E$10:'Podcasts'!$E$2535&amp;Podcasts!$D$10:'Podcasts'!$D$2535,0)))</f>
        <v/>
      </c>
      <c r="AI236" s="406" t="str">
        <f t="array" ref="AI236">IF(AJ236="","",INDEX(Podcasts!$J$10:'Podcasts'!$J$2535,MATCH(AJ236&amp;$B236,Podcasts!$E$10:'Podcasts'!$E$2535&amp;Podcasts!$D$10:'Podcasts'!$D$2535,0)))</f>
        <v/>
      </c>
      <c r="AJ236" s="400" t="str">
        <f t="array" ref="AJ236">IF(COUNTIF(Podcasts!$D$10:'Podcasts'!$D$2535,$B236)&lt;COLUMN(K199),"",SMALL(IF(Podcasts!$D$10:'Podcasts'!$D$2535=$B236,Podcasts!$E$10:'Podcasts'!$E$2535),COLUMN(K199)))</f>
        <v/>
      </c>
      <c r="AK236" s="401" t="str">
        <f t="array" ref="AK236">IF(AJ236="","",INDEX(Podcasts!$F$10:'Podcasts'!$F$2535,MATCH(AJ236&amp;$B236,Podcasts!$E$10:'Podcasts'!$E$2535&amp;Podcasts!$D$10:'Podcasts'!$D$2535,0)))</f>
        <v/>
      </c>
      <c r="AL236" s="406" t="str">
        <f t="array" ref="AL236">IF(AM236="","",INDEX(Podcasts!$J$10:'Podcasts'!$J$2535,MATCH(AM236&amp;$B236,Podcasts!$E$10:'Podcasts'!$E$2535&amp;Podcasts!$D$10:'Podcasts'!$D$2535,0)))</f>
        <v/>
      </c>
      <c r="AM236" s="400" t="str">
        <f t="array" ref="AM236">IF(COUNTIF(Podcasts!$D$10:'Podcasts'!$D$2535,$B236)&lt;COLUMN(L199),"",SMALL(IF(Podcasts!$D$10:'Podcasts'!$D$2535=$B236,Podcasts!$E$10:'Podcasts'!$E$2535),COLUMN(L199)))</f>
        <v/>
      </c>
      <c r="AN236" s="401" t="str">
        <f t="array" ref="AN236">IF(AM236="","",INDEX(Podcasts!$F$10:'Podcasts'!$F$2535,MATCH(AM236&amp;$B236,Podcasts!$E$10:'Podcasts'!$E$2535&amp;Podcasts!$D$10:'Podcasts'!$D$2535,0)))</f>
        <v/>
      </c>
      <c r="AO236" s="402"/>
      <c r="AP236" s="119"/>
      <c r="AQ236" s="117"/>
      <c r="AR236" s="117"/>
      <c r="AS236" s="117" t="str">
        <f t="array" aca="1" ref="AS236" ca="1">IFERROR(SMALL(IF(COUNTIF(Podcasts!$D$244:'Podcasts'!$D$299,ROW(INDIRECT("1:"&amp;K$2)))=0,ROW(INDIRECT("1:"&amp;K$2))),ROW($A193)),"")</f>
        <v/>
      </c>
      <c r="AT236" s="117"/>
      <c r="AU236" s="117">
        <f t="array" aca="1" ref="AU236" ca="1">IFERROR(SMALL(IF(COUNTIF(Podcasts!$D$479:'Podcasts'!$D$488,ROW(INDIRECT("1:"&amp;K$2)))=0,ROW(INDIRECT("1:"&amp;K$2))),ROW($A193)),"")</f>
        <v>197</v>
      </c>
      <c r="AV236" s="117">
        <f t="array" aca="1" ref="AV236" ca="1">IFERROR(SMALL(IF(COUNTIF(Podcasts!$D$494:'Podcasts'!$D$518,ROW(INDIRECT("1:"&amp;K$2)))=0,ROW(INDIRECT("1:"&amp;K$2))),ROW($A193)),"")</f>
        <v>218</v>
      </c>
      <c r="AW236" s="117">
        <f t="array" aca="1" ref="AW236" ca="1">IFERROR(SMALL(IF(COUNTIF(Podcasts!$D$524:'Podcasts'!$D$532,ROW(INDIRECT("1:"&amp;K$2)))=0,ROW(INDIRECT("1:"&amp;K$2))),ROW($A193)),"")</f>
        <v>200</v>
      </c>
      <c r="AX236" s="117"/>
      <c r="AY236" s="117"/>
      <c r="AZ236" s="445"/>
      <c r="BA236" s="117"/>
      <c r="BB236" s="117">
        <f t="array" aca="1" ref="BB236" ca="1">IFERROR(SMALL(IF(COUNTIF(Podcasts!$D$1257:'Podcasts'!$D$1267,ROW(INDIRECT("1:"&amp;K$2)))=0,ROW(INDIRECT("1:"&amp;K$2))),ROW($A193)),"")</f>
        <v>200</v>
      </c>
      <c r="BC236" s="117">
        <f t="array" aca="1" ref="BC236" ca="1">IFERROR(SMALL(IF(COUNTIF(Podcasts!$D$1273:'Podcasts'!$D$1283,ROW(INDIRECT("1:"&amp;K$2)))=0,ROW(INDIRECT("1:"&amp;K$2))),ROW($A193)),"")</f>
        <v>199</v>
      </c>
      <c r="BD236" s="117">
        <f t="array" aca="1" ref="BD236" ca="1">IFERROR(SMALL(IF(COUNTIF(Podcasts!$D$1289:'Podcasts'!$D$1295,ROW(INDIRECT("1:"&amp;K$2)))=0,ROW(INDIRECT("1:"&amp;K$2))),ROW($A193)),"")</f>
        <v>199</v>
      </c>
      <c r="BE236" s="117"/>
      <c r="BF236" s="117">
        <f t="array" aca="1" ref="BF236" ca="1">IFERROR(SMALL(IF(COUNTIF(Podcasts!$D$1362:'Podcasts'!$D$1364,ROW(INDIRECT("1:"&amp;K$2)))=0,ROW(INDIRECT("1:"&amp;K$2))),ROW($A193)),"")</f>
        <v>196</v>
      </c>
      <c r="BG236" s="202"/>
      <c r="BH236" s="202">
        <f t="array" aca="1" ref="BH236" ca="1">IFERROR(SMALL(IF(COUNTIF(Podcasts!$D$1425:'Podcasts'!$D$1446,ROW(INDIRECT("1:"&amp;K$2)))=0,ROW(INDIRECT("1:"&amp;K$2))),ROW($A193)),"")</f>
        <v>206</v>
      </c>
      <c r="BI236" s="202"/>
      <c r="BJ236" s="202"/>
      <c r="BK236" s="202"/>
      <c r="BL236" s="202">
        <f t="array" aca="1" ref="BL236" ca="1">IFERROR(SMALL(IF(COUNTIF(Podcasts!$D$1839:'Podcasts'!$D$1855,ROW(INDIRECT("1:"&amp;K$2)))=0,ROW(INDIRECT("1:"&amp;K$2))),ROW($A193)),"")</f>
        <v>202</v>
      </c>
      <c r="BM236" s="567"/>
      <c r="BN236" s="567"/>
      <c r="BO236" s="567">
        <f t="array" aca="1" ref="BO236" ca="1">IFERROR(SMALL(IF(COUNTIF(Podcasts!$D$2063:'Podcasts'!$D$2071,ROW(INDIRECT("1:"&amp;K$2)))=0,ROW(INDIRECT("1:"&amp;K$2))),ROW($A193)),"")</f>
        <v>201</v>
      </c>
      <c r="BP236" s="202">
        <f t="array" aca="1" ref="BP236" ca="1">IFERROR(SMALL(IF(COUNTIF(Podcasts!$D$2077:'Podcasts'!$D$2092,ROW(INDIRECT("1:"&amp;K$2)))=0,ROW(INDIRECT("1:"&amp;K$2))),ROW($A193)),"")</f>
        <v>204</v>
      </c>
      <c r="BQ236" s="741">
        <f t="array" aca="1" ref="BQ236" ca="1">IFERROR(SMALL(IF(COUNTIF(Podcasts!$D$2098:'Podcasts'!$D$2114,ROW(INDIRECT("1:"&amp;K$2)))=0,ROW(INDIRECT("1:"&amp;K$2))),ROW($A193)),"")</f>
        <v>208</v>
      </c>
      <c r="BR236" s="744">
        <f t="array" aca="1" ref="BR236" ca="1">IFERROR(SMALL(IF(COUNTIF(Podcasts!$D$2120:'Podcasts'!$D$2124,ROW(INDIRECT("1:"&amp;K$2)))=0,ROW(INDIRECT("1:"&amp;K$2))),ROW($A193)),"")</f>
        <v>195</v>
      </c>
      <c r="BS236" s="28"/>
    </row>
    <row r="237" spans="1:71" outlineLevel="1">
      <c r="A237" s="28"/>
      <c r="B237" s="161">
        <v>194</v>
      </c>
      <c r="C237" s="161">
        <f>COUNTIF(Podcasts!$D$10:'Podcasts'!$D$2535,B237)</f>
        <v>5</v>
      </c>
      <c r="D237" s="160" t="s">
        <v>1218</v>
      </c>
      <c r="E237" s="156" t="str">
        <f t="array" ref="E237">IF(F237="","",INDEX(Podcasts!$J$10:'Podcasts'!$J$2535,MATCH(F237&amp;$B237,Podcasts!$E$10:'Podcasts'!$E$2535&amp;Podcasts!$D$10:'Podcasts'!$D$2535,0)))</f>
        <v>Ohr</v>
      </c>
      <c r="F237" s="131">
        <f t="array" ref="F237">IF(COUNTIF(Podcasts!$D$10:'Podcasts'!$D$2535,$B237)&lt;COLUMN(A200),"",SMALL(IF(Podcasts!$D$10:'Podcasts'!$D$2535=$B237,Podcasts!$E$10:'Podcasts'!$E$2535),COLUMN(A200)))</f>
        <v>43336</v>
      </c>
      <c r="G237" s="132">
        <f t="array" ref="G237">IF(F237="","",INDEX(Podcasts!$F$10:'Podcasts'!$F$2535,MATCH(F237&amp;$B237,Podcasts!$E$10:'Podcasts'!$E$2535&amp;Podcasts!$D$10:'Podcasts'!$D$2535,0)))</f>
        <v>2.3379629629629631E-3</v>
      </c>
      <c r="H237" s="136" t="str">
        <f t="array" ref="H237">IF(I237="","",INDEX(Podcasts!$J$10:'Podcasts'!$J$2535,MATCH(I237&amp;$B237,Podcasts!$E$10:'Podcasts'!$E$2535&amp;Podcasts!$D$10:'Podcasts'!$D$2535,0)))</f>
        <v>???od</v>
      </c>
      <c r="I237" s="133">
        <f t="array" ref="I237">IF(COUNTIF(Podcasts!$D$10:'Podcasts'!$D$2535,$B237)&lt;COLUMN(B200),"",SMALL(IF(Podcasts!$D$10:'Podcasts'!$D$2535=$B237,Podcasts!$E$10:'Podcasts'!$E$2535),COLUMN(B200)))</f>
        <v>43457</v>
      </c>
      <c r="J237" s="132">
        <f t="array" ref="J237">IF(I237="","",INDEX(Podcasts!$F$10:'Podcasts'!$F$2535,MATCH(I237&amp;$B237,Podcasts!$E$10:'Podcasts'!$E$2535&amp;Podcasts!$D$10:'Podcasts'!$D$2535,0)))</f>
        <v>8.0358796296296289E-2</v>
      </c>
      <c r="K237" s="136" t="str">
        <f t="array" ref="K237">IF(L237="","",INDEX(Podcasts!$J$10:'Podcasts'!$J$2535,MATCH(L237&amp;$B237,Podcasts!$E$10:'Podcasts'!$E$2535&amp;Podcasts!$D$10:'Podcasts'!$D$2535,0)))</f>
        <v>Zentrale</v>
      </c>
      <c r="L237" s="133">
        <f t="array" ref="L237">IF(COUNTIF(Podcasts!$D$10:'Podcasts'!$D$2535,$B237)&lt;COLUMN(C200),"",SMALL(IF(Podcasts!$D$10:'Podcasts'!$D$2535=$B237,Podcasts!$E$10:'Podcasts'!$E$2535),COLUMN(C200)))</f>
        <v>43582.783599537041</v>
      </c>
      <c r="M237" s="132">
        <f t="array" ref="M237">IF(L237="","",INDEX(Podcasts!$F$10:'Podcasts'!$F$2535,MATCH(L237&amp;$B237,Podcasts!$E$10:'Podcasts'!$E$2535&amp;Podcasts!$D$10:'Podcasts'!$D$2535,0)))</f>
        <v>7.7002314814814815E-2</v>
      </c>
      <c r="N237" s="136" t="str">
        <f t="array" ref="N237">IF(O237="","",INDEX(Podcasts!$J$10:'Podcasts'!$J$2535,MATCH(O237&amp;$B237,Podcasts!$E$10:'Podcasts'!$E$2535&amp;Podcasts!$D$10:'Podcasts'!$D$2535,0)))</f>
        <v>Kaffee</v>
      </c>
      <c r="O237" s="133">
        <f t="array" ref="O237">IF(COUNTIF(Podcasts!$D$10:'Podcasts'!$D$2535,$B237)&lt;COLUMN(D200),"",SMALL(IF(Podcasts!$D$10:'Podcasts'!$D$2535=$B237,Podcasts!$E$10:'Podcasts'!$E$2535),COLUMN(D200)))</f>
        <v>44435</v>
      </c>
      <c r="P237" s="132">
        <f t="array" ref="P237">IF(O237="","",INDEX(Podcasts!$F$10:'Podcasts'!$F$2535,MATCH(O237&amp;$B237,Podcasts!$E$10:'Podcasts'!$E$2535&amp;Podcasts!$D$10:'Podcasts'!$D$2535,0)))</f>
        <v>1.6273148148148148E-2</v>
      </c>
      <c r="Q237" s="136" t="str">
        <f t="array" ref="Q237">IF(R237="","",INDEX(Podcasts!$J$10:'Podcasts'!$J$2535,MATCH(R237&amp;$B237,Podcasts!$E$10:'Podcasts'!$E$2535&amp;Podcasts!$D$10:'Podcasts'!$D$2535,0)))</f>
        <v>Kuchen</v>
      </c>
      <c r="R237" s="133">
        <f t="array" ref="R237">IF(COUNTIF(Podcasts!$D$10:'Podcasts'!$D$2535,$B237)&lt;COLUMN(E200),"",SMALL(IF(Podcasts!$D$10:'Podcasts'!$D$2535=$B237,Podcasts!$E$10:'Podcasts'!$E$2535),COLUMN(E200)))</f>
        <v>44507</v>
      </c>
      <c r="S237" s="132">
        <f t="array" ref="S237">IF(R237="","",INDEX(Podcasts!$F$10:'Podcasts'!$F$2535,MATCH(R237&amp;$B237,Podcasts!$E$10:'Podcasts'!$E$2535&amp;Podcasts!$D$10:'Podcasts'!$D$2535,0)))</f>
        <v>7.9131944444444449E-2</v>
      </c>
      <c r="T237" s="136" t="str">
        <f t="array" ref="T237">IF(U237="","",INDEX(Podcasts!$J$10:'Podcasts'!$J$2535,MATCH(U237&amp;$B237,Podcasts!$E$10:'Podcasts'!$E$2535&amp;Podcasts!$D$10:'Podcasts'!$D$2535,0)))</f>
        <v/>
      </c>
      <c r="U237" s="133" t="str">
        <f t="array" ref="U237">IF(COUNTIF(Podcasts!$D$10:'Podcasts'!$D$2535,$B237)&lt;COLUMN(F200),"",SMALL(IF(Podcasts!$D$10:'Podcasts'!$D$2535=$B237,Podcasts!$E$10:'Podcasts'!$E$2535),COLUMN(F200)))</f>
        <v/>
      </c>
      <c r="V237" s="132" t="str">
        <f t="array" ref="V237">IF(U237="","",INDEX(Podcasts!$F$10:'Podcasts'!$F$2535,MATCH(U237&amp;$B237,Podcasts!$E$10:'Podcasts'!$E$2535&amp;Podcasts!$D$10:'Podcasts'!$D$2535,0)))</f>
        <v/>
      </c>
      <c r="W237" s="136" t="str">
        <f t="array" ref="W237">IF(X237="","",INDEX(Podcasts!$J$10:'Podcasts'!$J$2535,MATCH(X237&amp;$B237,Podcasts!$E$10:'Podcasts'!$E$2535&amp;Podcasts!$D$10:'Podcasts'!$D$2535,0)))</f>
        <v/>
      </c>
      <c r="X237" s="133" t="str">
        <f t="array" ref="X237">IF(COUNTIF(Podcasts!$D$10:'Podcasts'!$D$2535,$B237)&lt;COLUMN(G200),"",SMALL(IF(Podcasts!$D$10:'Podcasts'!$D$2535=$B237,Podcasts!$E$10:'Podcasts'!$E$2535),COLUMN(G200)))</f>
        <v/>
      </c>
      <c r="Y237" s="132" t="str">
        <f t="array" ref="Y237">IF(X237="","",INDEX(Podcasts!$F$10:'Podcasts'!$F$2535,MATCH(X237&amp;$B237,Podcasts!$E$10:'Podcasts'!$E$2535&amp;Podcasts!$D$10:'Podcasts'!$D$2535,0)))</f>
        <v/>
      </c>
      <c r="Z237" s="136" t="str">
        <f t="array" ref="Z237">IF(AA237="","",INDEX(Podcasts!$J$10:'Podcasts'!$J$2535,MATCH(AA237&amp;$B237,Podcasts!$E$10:'Podcasts'!$E$2535&amp;Podcasts!$D$10:'Podcasts'!$D$2535,0)))</f>
        <v/>
      </c>
      <c r="AA237" s="134" t="str">
        <f t="array" ref="AA237">IF(COUNTIF(Podcasts!$D$10:'Podcasts'!$D$2535,$B237)&lt;COLUMN(H200),"",SMALL(IF(Podcasts!$D$10:'Podcasts'!$D$2535=$B237,Podcasts!$E$10:'Podcasts'!$E$2535),COLUMN(H200)))</f>
        <v/>
      </c>
      <c r="AB237" s="404" t="str">
        <f t="array" ref="AB237">IF(AA237="","",INDEX(Podcasts!$F$10:'Podcasts'!$F$2535,MATCH(AA237&amp;$B237,Podcasts!$E$10:'Podcasts'!$E$2535&amp;Podcasts!$D$10:'Podcasts'!$D$2535,0)))</f>
        <v/>
      </c>
      <c r="AC237" s="406" t="str">
        <f t="array" ref="AC237">IF(AD237="","",INDEX(Podcasts!$J$10:'Podcasts'!$J$2535,MATCH(AD237&amp;$B237,Podcasts!$E$10:'Podcasts'!$E$2535&amp;Podcasts!$D$10:'Podcasts'!$D$2535,0)))</f>
        <v/>
      </c>
      <c r="AD237" s="400" t="str">
        <f t="array" ref="AD237">IF(COUNTIF(Podcasts!$D$10:'Podcasts'!$D$2535,$B237)&lt;COLUMN(I200),"",SMALL(IF(Podcasts!$D$10:'Podcasts'!$D$2535=$B237,Podcasts!$E$10:'Podcasts'!$E$2535),COLUMN(I200)))</f>
        <v/>
      </c>
      <c r="AE237" s="401" t="str">
        <f t="array" ref="AE237">IF(AD237="","",INDEX(Podcasts!$F$10:'Podcasts'!$F$2535,MATCH(AD237&amp;$B237,Podcasts!$E$10:'Podcasts'!$E$2535&amp;Podcasts!$D$10:'Podcasts'!$D$2535,0)))</f>
        <v/>
      </c>
      <c r="AF237" s="406" t="str">
        <f t="array" ref="AF237">IF(AG237="","",INDEX(Podcasts!$J$10:'Podcasts'!$J$2535,MATCH(AG237&amp;$B237,Podcasts!$E$10:'Podcasts'!$E$2535&amp;Podcasts!$D$10:'Podcasts'!$D$2535,0)))</f>
        <v/>
      </c>
      <c r="AG237" s="400" t="str">
        <f t="array" ref="AG237">IF(COUNTIF(Podcasts!$D$10:'Podcasts'!$D$2535,$B237)&lt;COLUMN(J200),"",SMALL(IF(Podcasts!$D$10:'Podcasts'!$D$2535=$B237,Podcasts!$E$10:'Podcasts'!$E$2535),COLUMN(J200)))</f>
        <v/>
      </c>
      <c r="AH237" s="401" t="str">
        <f t="array" ref="AH237">IF(AG237="","",INDEX(Podcasts!$F$10:'Podcasts'!$F$2535,MATCH(AG237&amp;$B237,Podcasts!$E$10:'Podcasts'!$E$2535&amp;Podcasts!$D$10:'Podcasts'!$D$2535,0)))</f>
        <v/>
      </c>
      <c r="AI237" s="406" t="str">
        <f t="array" ref="AI237">IF(AJ237="","",INDEX(Podcasts!$J$10:'Podcasts'!$J$2535,MATCH(AJ237&amp;$B237,Podcasts!$E$10:'Podcasts'!$E$2535&amp;Podcasts!$D$10:'Podcasts'!$D$2535,0)))</f>
        <v/>
      </c>
      <c r="AJ237" s="400" t="str">
        <f t="array" ref="AJ237">IF(COUNTIF(Podcasts!$D$10:'Podcasts'!$D$2535,$B237)&lt;COLUMN(K200),"",SMALL(IF(Podcasts!$D$10:'Podcasts'!$D$2535=$B237,Podcasts!$E$10:'Podcasts'!$E$2535),COLUMN(K200)))</f>
        <v/>
      </c>
      <c r="AK237" s="401" t="str">
        <f t="array" ref="AK237">IF(AJ237="","",INDEX(Podcasts!$F$10:'Podcasts'!$F$2535,MATCH(AJ237&amp;$B237,Podcasts!$E$10:'Podcasts'!$E$2535&amp;Podcasts!$D$10:'Podcasts'!$D$2535,0)))</f>
        <v/>
      </c>
      <c r="AL237" s="406" t="str">
        <f t="array" ref="AL237">IF(AM237="","",INDEX(Podcasts!$J$10:'Podcasts'!$J$2535,MATCH(AM237&amp;$B237,Podcasts!$E$10:'Podcasts'!$E$2535&amp;Podcasts!$D$10:'Podcasts'!$D$2535,0)))</f>
        <v/>
      </c>
      <c r="AM237" s="400" t="str">
        <f t="array" ref="AM237">IF(COUNTIF(Podcasts!$D$10:'Podcasts'!$D$2535,$B237)&lt;COLUMN(L200),"",SMALL(IF(Podcasts!$D$10:'Podcasts'!$D$2535=$B237,Podcasts!$E$10:'Podcasts'!$E$2535),COLUMN(L200)))</f>
        <v/>
      </c>
      <c r="AN237" s="401" t="str">
        <f t="array" ref="AN237">IF(AM237="","",INDEX(Podcasts!$F$10:'Podcasts'!$F$2535,MATCH(AM237&amp;$B237,Podcasts!$E$10:'Podcasts'!$E$2535&amp;Podcasts!$D$10:'Podcasts'!$D$2535,0)))</f>
        <v/>
      </c>
      <c r="AO237" s="402"/>
      <c r="AP237" s="119"/>
      <c r="AQ237" s="117"/>
      <c r="AR237" s="117"/>
      <c r="AS237" s="117"/>
      <c r="AT237" s="117"/>
      <c r="AU237" s="117">
        <f t="array" aca="1" ref="AU237" ca="1">IFERROR(SMALL(IF(COUNTIF(Podcasts!$D$479:'Podcasts'!$D$488,ROW(INDIRECT("1:"&amp;K$2)))=0,ROW(INDIRECT("1:"&amp;K$2))),ROW($A194)),"")</f>
        <v>198</v>
      </c>
      <c r="AV237" s="117">
        <f t="array" aca="1" ref="AV237" ca="1">IFERROR(SMALL(IF(COUNTIF(Podcasts!$D$494:'Podcasts'!$D$518,ROW(INDIRECT("1:"&amp;K$2)))=0,ROW(INDIRECT("1:"&amp;K$2))),ROW($A194)),"")</f>
        <v>219</v>
      </c>
      <c r="AW237" s="117">
        <f t="array" aca="1" ref="AW237" ca="1">IFERROR(SMALL(IF(COUNTIF(Podcasts!$D$524:'Podcasts'!$D$532,ROW(INDIRECT("1:"&amp;K$2)))=0,ROW(INDIRECT("1:"&amp;K$2))),ROW($A194)),"")</f>
        <v>201</v>
      </c>
      <c r="AX237" s="117"/>
      <c r="AY237" s="117"/>
      <c r="AZ237" s="445"/>
      <c r="BA237" s="117"/>
      <c r="BB237" s="117">
        <f t="array" aca="1" ref="BB237" ca="1">IFERROR(SMALL(IF(COUNTIF(Podcasts!$D$1257:'Podcasts'!$D$1267,ROW(INDIRECT("1:"&amp;K$2)))=0,ROW(INDIRECT("1:"&amp;K$2))),ROW($A194)),"")</f>
        <v>201</v>
      </c>
      <c r="BC237" s="117">
        <f t="array" aca="1" ref="BC237" ca="1">IFERROR(SMALL(IF(COUNTIF(Podcasts!$D$1273:'Podcasts'!$D$1283,ROW(INDIRECT("1:"&amp;K$2)))=0,ROW(INDIRECT("1:"&amp;K$2))),ROW($A194)),"")</f>
        <v>201</v>
      </c>
      <c r="BD237" s="117">
        <f t="array" aca="1" ref="BD237" ca="1">IFERROR(SMALL(IF(COUNTIF(Podcasts!$D$1289:'Podcasts'!$D$1295,ROW(INDIRECT("1:"&amp;K$2)))=0,ROW(INDIRECT("1:"&amp;K$2))),ROW($A194)),"")</f>
        <v>200</v>
      </c>
      <c r="BE237" s="117"/>
      <c r="BF237" s="117">
        <f t="array" aca="1" ref="BF237" ca="1">IFERROR(SMALL(IF(COUNTIF(Podcasts!$D$1362:'Podcasts'!$D$1364,ROW(INDIRECT("1:"&amp;K$2)))=0,ROW(INDIRECT("1:"&amp;K$2))),ROW($A194)),"")</f>
        <v>197</v>
      </c>
      <c r="BG237" s="202"/>
      <c r="BH237" s="202">
        <f t="array" aca="1" ref="BH237" ca="1">IFERROR(SMALL(IF(COUNTIF(Podcasts!$D$1425:'Podcasts'!$D$1446,ROW(INDIRECT("1:"&amp;K$2)))=0,ROW(INDIRECT("1:"&amp;K$2))),ROW($A194)),"")</f>
        <v>207</v>
      </c>
      <c r="BI237" s="202"/>
      <c r="BJ237" s="202"/>
      <c r="BK237" s="202"/>
      <c r="BL237" s="202">
        <f t="array" aca="1" ref="BL237" ca="1">IFERROR(SMALL(IF(COUNTIF(Podcasts!$D$1839:'Podcasts'!$D$1855,ROW(INDIRECT("1:"&amp;K$2)))=0,ROW(INDIRECT("1:"&amp;K$2))),ROW($A194)),"")</f>
        <v>203</v>
      </c>
      <c r="BM237" s="567"/>
      <c r="BN237" s="567"/>
      <c r="BO237" s="567">
        <f t="array" aca="1" ref="BO237" ca="1">IFERROR(SMALL(IF(COUNTIF(Podcasts!$D$2063:'Podcasts'!$D$2071,ROW(INDIRECT("1:"&amp;K$2)))=0,ROW(INDIRECT("1:"&amp;K$2))),ROW($A194)),"")</f>
        <v>202</v>
      </c>
      <c r="BP237" s="202">
        <f t="array" aca="1" ref="BP237" ca="1">IFERROR(SMALL(IF(COUNTIF(Podcasts!$D$2077:'Podcasts'!$D$2092,ROW(INDIRECT("1:"&amp;K$2)))=0,ROW(INDIRECT("1:"&amp;K$2))),ROW($A194)),"")</f>
        <v>205</v>
      </c>
      <c r="BQ237" s="741">
        <f t="array" aca="1" ref="BQ237" ca="1">IFERROR(SMALL(IF(COUNTIF(Podcasts!$D$2098:'Podcasts'!$D$2114,ROW(INDIRECT("1:"&amp;K$2)))=0,ROW(INDIRECT("1:"&amp;K$2))),ROW($A194)),"")</f>
        <v>209</v>
      </c>
      <c r="BR237" s="744">
        <f t="array" aca="1" ref="BR237" ca="1">IFERROR(SMALL(IF(COUNTIF(Podcasts!$D$2120:'Podcasts'!$D$2124,ROW(INDIRECT("1:"&amp;K$2)))=0,ROW(INDIRECT("1:"&amp;K$2))),ROW($A194)),"")</f>
        <v>196</v>
      </c>
      <c r="BS237" s="28"/>
    </row>
    <row r="238" spans="1:71" outlineLevel="1">
      <c r="A238" s="28"/>
      <c r="B238" s="161">
        <v>195</v>
      </c>
      <c r="C238" s="161">
        <f>COUNTIF(Podcasts!$D$10:'Podcasts'!$D$2535,B238)</f>
        <v>2</v>
      </c>
      <c r="D238" s="160" t="s">
        <v>1219</v>
      </c>
      <c r="E238" s="156" t="str">
        <f t="array" ref="E238">IF(F238="","",INDEX(Podcasts!$J$10:'Podcasts'!$J$2535,MATCH(F238&amp;$B238,Podcasts!$E$10:'Podcasts'!$E$2535&amp;Podcasts!$D$10:'Podcasts'!$D$2535,0)))</f>
        <v>Ohr</v>
      </c>
      <c r="F238" s="131">
        <f t="array" ref="F238">IF(COUNTIF(Podcasts!$D$10:'Podcasts'!$D$2535,$B238)&lt;COLUMN(A201),"",SMALL(IF(Podcasts!$D$10:'Podcasts'!$D$2535=$B238,Podcasts!$E$10:'Podcasts'!$E$2535),COLUMN(A201)))</f>
        <v>43404</v>
      </c>
      <c r="G238" s="132">
        <f t="array" ref="G238">IF(F238="","",INDEX(Podcasts!$F$10:'Podcasts'!$F$2535,MATCH(F238&amp;$B238,Podcasts!$E$10:'Podcasts'!$E$2535&amp;Podcasts!$D$10:'Podcasts'!$D$2535,0)))</f>
        <v>4.7106481481481478E-3</v>
      </c>
      <c r="H238" s="136" t="str">
        <f t="array" ref="H238">IF(I238="","",INDEX(Podcasts!$J$10:'Podcasts'!$J$2535,MATCH(I238&amp;$B238,Podcasts!$E$10:'Podcasts'!$E$2535&amp;Podcasts!$D$10:'Podcasts'!$D$2535,0)))</f>
        <v>Kuchen</v>
      </c>
      <c r="I238" s="133">
        <f t="array" ref="I238">IF(COUNTIF(Podcasts!$D$10:'Podcasts'!$D$2535,$B238)&lt;COLUMN(B201),"",SMALL(IF(Podcasts!$D$10:'Podcasts'!$D$2535=$B238,Podcasts!$E$10:'Podcasts'!$E$2535),COLUMN(B201)))</f>
        <v>44325</v>
      </c>
      <c r="J238" s="132">
        <f t="array" ref="J238">IF(I238="","",INDEX(Podcasts!$F$10:'Podcasts'!$F$2535,MATCH(I238&amp;$B238,Podcasts!$E$10:'Podcasts'!$E$2535&amp;Podcasts!$D$10:'Podcasts'!$D$2535,0)))</f>
        <v>5.7939814814814812E-2</v>
      </c>
      <c r="K238" s="136" t="str">
        <f t="array" ref="K238">IF(L238="","",INDEX(Podcasts!$J$10:'Podcasts'!$J$2535,MATCH(L238&amp;$B238,Podcasts!$E$10:'Podcasts'!$E$2535&amp;Podcasts!$D$10:'Podcasts'!$D$2535,0)))</f>
        <v/>
      </c>
      <c r="L238" s="133" t="str">
        <f t="array" ref="L238">IF(COUNTIF(Podcasts!$D$10:'Podcasts'!$D$2535,$B238)&lt;COLUMN(C201),"",SMALL(IF(Podcasts!$D$10:'Podcasts'!$D$2535=$B238,Podcasts!$E$10:'Podcasts'!$E$2535),COLUMN(C201)))</f>
        <v/>
      </c>
      <c r="M238" s="132" t="str">
        <f t="array" ref="M238">IF(L238="","",INDEX(Podcasts!$F$10:'Podcasts'!$F$2535,MATCH(L238&amp;$B238,Podcasts!$E$10:'Podcasts'!$E$2535&amp;Podcasts!$D$10:'Podcasts'!$D$2535,0)))</f>
        <v/>
      </c>
      <c r="N238" s="136" t="str">
        <f t="array" ref="N238">IF(O238="","",INDEX(Podcasts!$J$10:'Podcasts'!$J$2535,MATCH(O238&amp;$B238,Podcasts!$E$10:'Podcasts'!$E$2535&amp;Podcasts!$D$10:'Podcasts'!$D$2535,0)))</f>
        <v/>
      </c>
      <c r="O238" s="133" t="str">
        <f t="array" ref="O238">IF(COUNTIF(Podcasts!$D$10:'Podcasts'!$D$2535,$B238)&lt;COLUMN(D201),"",SMALL(IF(Podcasts!$D$10:'Podcasts'!$D$2535=$B238,Podcasts!$E$10:'Podcasts'!$E$2535),COLUMN(D201)))</f>
        <v/>
      </c>
      <c r="P238" s="132" t="str">
        <f t="array" ref="P238">IF(O238="","",INDEX(Podcasts!$F$10:'Podcasts'!$F$2535,MATCH(O238&amp;$B238,Podcasts!$E$10:'Podcasts'!$E$2535&amp;Podcasts!$D$10:'Podcasts'!$D$2535,0)))</f>
        <v/>
      </c>
      <c r="Q238" s="136" t="str">
        <f t="array" ref="Q238">IF(R238="","",INDEX(Podcasts!$J$10:'Podcasts'!$J$2535,MATCH(R238&amp;$B238,Podcasts!$E$10:'Podcasts'!$E$2535&amp;Podcasts!$D$10:'Podcasts'!$D$2535,0)))</f>
        <v/>
      </c>
      <c r="R238" s="133" t="str">
        <f t="array" ref="R238">IF(COUNTIF(Podcasts!$D$10:'Podcasts'!$D$2535,$B238)&lt;COLUMN(E201),"",SMALL(IF(Podcasts!$D$10:'Podcasts'!$D$2535=$B238,Podcasts!$E$10:'Podcasts'!$E$2535),COLUMN(E201)))</f>
        <v/>
      </c>
      <c r="S238" s="132" t="str">
        <f t="array" ref="S238">IF(R238="","",INDEX(Podcasts!$F$10:'Podcasts'!$F$2535,MATCH(R238&amp;$B238,Podcasts!$E$10:'Podcasts'!$E$2535&amp;Podcasts!$D$10:'Podcasts'!$D$2535,0)))</f>
        <v/>
      </c>
      <c r="T238" s="136" t="str">
        <f t="array" ref="T238">IF(U238="","",INDEX(Podcasts!$J$10:'Podcasts'!$J$2535,MATCH(U238&amp;$B238,Podcasts!$E$10:'Podcasts'!$E$2535&amp;Podcasts!$D$10:'Podcasts'!$D$2535,0)))</f>
        <v/>
      </c>
      <c r="U238" s="133" t="str">
        <f t="array" ref="U238">IF(COUNTIF(Podcasts!$D$10:'Podcasts'!$D$2535,$B238)&lt;COLUMN(F201),"",SMALL(IF(Podcasts!$D$10:'Podcasts'!$D$2535=$B238,Podcasts!$E$10:'Podcasts'!$E$2535),COLUMN(F201)))</f>
        <v/>
      </c>
      <c r="V238" s="132" t="str">
        <f t="array" ref="V238">IF(U238="","",INDEX(Podcasts!$F$10:'Podcasts'!$F$2535,MATCH(U238&amp;$B238,Podcasts!$E$10:'Podcasts'!$E$2535&amp;Podcasts!$D$10:'Podcasts'!$D$2535,0)))</f>
        <v/>
      </c>
      <c r="W238" s="136" t="str">
        <f t="array" ref="W238">IF(X238="","",INDEX(Podcasts!$J$10:'Podcasts'!$J$2535,MATCH(X238&amp;$B238,Podcasts!$E$10:'Podcasts'!$E$2535&amp;Podcasts!$D$10:'Podcasts'!$D$2535,0)))</f>
        <v/>
      </c>
      <c r="X238" s="133" t="str">
        <f t="array" ref="X238">IF(COUNTIF(Podcasts!$D$10:'Podcasts'!$D$2535,$B238)&lt;COLUMN(G201),"",SMALL(IF(Podcasts!$D$10:'Podcasts'!$D$2535=$B238,Podcasts!$E$10:'Podcasts'!$E$2535),COLUMN(G201)))</f>
        <v/>
      </c>
      <c r="Y238" s="132" t="str">
        <f t="array" ref="Y238">IF(X238="","",INDEX(Podcasts!$F$10:'Podcasts'!$F$2535,MATCH(X238&amp;$B238,Podcasts!$E$10:'Podcasts'!$E$2535&amp;Podcasts!$D$10:'Podcasts'!$D$2535,0)))</f>
        <v/>
      </c>
      <c r="Z238" s="136" t="str">
        <f t="array" ref="Z238">IF(AA238="","",INDEX(Podcasts!$J$10:'Podcasts'!$J$2535,MATCH(AA238&amp;$B238,Podcasts!$E$10:'Podcasts'!$E$2535&amp;Podcasts!$D$10:'Podcasts'!$D$2535,0)))</f>
        <v/>
      </c>
      <c r="AA238" s="134" t="str">
        <f t="array" ref="AA238">IF(COUNTIF(Podcasts!$D$10:'Podcasts'!$D$2535,$B238)&lt;COLUMN(H201),"",SMALL(IF(Podcasts!$D$10:'Podcasts'!$D$2535=$B238,Podcasts!$E$10:'Podcasts'!$E$2535),COLUMN(H201)))</f>
        <v/>
      </c>
      <c r="AB238" s="404" t="str">
        <f t="array" ref="AB238">IF(AA238="","",INDEX(Podcasts!$F$10:'Podcasts'!$F$2535,MATCH(AA238&amp;$B238,Podcasts!$E$10:'Podcasts'!$E$2535&amp;Podcasts!$D$10:'Podcasts'!$D$2535,0)))</f>
        <v/>
      </c>
      <c r="AC238" s="406" t="str">
        <f t="array" ref="AC238">IF(AD238="","",INDEX(Podcasts!$J$10:'Podcasts'!$J$2535,MATCH(AD238&amp;$B238,Podcasts!$E$10:'Podcasts'!$E$2535&amp;Podcasts!$D$10:'Podcasts'!$D$2535,0)))</f>
        <v/>
      </c>
      <c r="AD238" s="400" t="str">
        <f t="array" ref="AD238">IF(COUNTIF(Podcasts!$D$10:'Podcasts'!$D$2535,$B238)&lt;COLUMN(I201),"",SMALL(IF(Podcasts!$D$10:'Podcasts'!$D$2535=$B238,Podcasts!$E$10:'Podcasts'!$E$2535),COLUMN(I201)))</f>
        <v/>
      </c>
      <c r="AE238" s="401" t="str">
        <f t="array" ref="AE238">IF(AD238="","",INDEX(Podcasts!$F$10:'Podcasts'!$F$2535,MATCH(AD238&amp;$B238,Podcasts!$E$10:'Podcasts'!$E$2535&amp;Podcasts!$D$10:'Podcasts'!$D$2535,0)))</f>
        <v/>
      </c>
      <c r="AF238" s="406" t="str">
        <f t="array" ref="AF238">IF(AG238="","",INDEX(Podcasts!$J$10:'Podcasts'!$J$2535,MATCH(AG238&amp;$B238,Podcasts!$E$10:'Podcasts'!$E$2535&amp;Podcasts!$D$10:'Podcasts'!$D$2535,0)))</f>
        <v/>
      </c>
      <c r="AG238" s="400" t="str">
        <f t="array" ref="AG238">IF(COUNTIF(Podcasts!$D$10:'Podcasts'!$D$2535,$B238)&lt;COLUMN(J201),"",SMALL(IF(Podcasts!$D$10:'Podcasts'!$D$2535=$B238,Podcasts!$E$10:'Podcasts'!$E$2535),COLUMN(J201)))</f>
        <v/>
      </c>
      <c r="AH238" s="401" t="str">
        <f t="array" ref="AH238">IF(AG238="","",INDEX(Podcasts!$F$10:'Podcasts'!$F$2535,MATCH(AG238&amp;$B238,Podcasts!$E$10:'Podcasts'!$E$2535&amp;Podcasts!$D$10:'Podcasts'!$D$2535,0)))</f>
        <v/>
      </c>
      <c r="AI238" s="406" t="str">
        <f t="array" ref="AI238">IF(AJ238="","",INDEX(Podcasts!$J$10:'Podcasts'!$J$2535,MATCH(AJ238&amp;$B238,Podcasts!$E$10:'Podcasts'!$E$2535&amp;Podcasts!$D$10:'Podcasts'!$D$2535,0)))</f>
        <v/>
      </c>
      <c r="AJ238" s="400" t="str">
        <f t="array" ref="AJ238">IF(COUNTIF(Podcasts!$D$10:'Podcasts'!$D$2535,$B238)&lt;COLUMN(K201),"",SMALL(IF(Podcasts!$D$10:'Podcasts'!$D$2535=$B238,Podcasts!$E$10:'Podcasts'!$E$2535),COLUMN(K201)))</f>
        <v/>
      </c>
      <c r="AK238" s="401" t="str">
        <f t="array" ref="AK238">IF(AJ238="","",INDEX(Podcasts!$F$10:'Podcasts'!$F$2535,MATCH(AJ238&amp;$B238,Podcasts!$E$10:'Podcasts'!$E$2535&amp;Podcasts!$D$10:'Podcasts'!$D$2535,0)))</f>
        <v/>
      </c>
      <c r="AL238" s="406" t="str">
        <f t="array" ref="AL238">IF(AM238="","",INDEX(Podcasts!$J$10:'Podcasts'!$J$2535,MATCH(AM238&amp;$B238,Podcasts!$E$10:'Podcasts'!$E$2535&amp;Podcasts!$D$10:'Podcasts'!$D$2535,0)))</f>
        <v/>
      </c>
      <c r="AM238" s="400" t="str">
        <f t="array" ref="AM238">IF(COUNTIF(Podcasts!$D$10:'Podcasts'!$D$2535,$B238)&lt;COLUMN(L201),"",SMALL(IF(Podcasts!$D$10:'Podcasts'!$D$2535=$B238,Podcasts!$E$10:'Podcasts'!$E$2535),COLUMN(L201)))</f>
        <v/>
      </c>
      <c r="AN238" s="401" t="str">
        <f t="array" ref="AN238">IF(AM238="","",INDEX(Podcasts!$F$10:'Podcasts'!$F$2535,MATCH(AM238&amp;$B238,Podcasts!$E$10:'Podcasts'!$E$2535&amp;Podcasts!$D$10:'Podcasts'!$D$2535,0)))</f>
        <v/>
      </c>
      <c r="AO238" s="402"/>
      <c r="AP238" s="119"/>
      <c r="AQ238" s="117"/>
      <c r="AR238" s="117"/>
      <c r="AS238" s="117"/>
      <c r="AT238" s="117"/>
      <c r="AU238" s="117">
        <f t="array" aca="1" ref="AU238" ca="1">IFERROR(SMALL(IF(COUNTIF(Podcasts!$D$479:'Podcasts'!$D$488,ROW(INDIRECT("1:"&amp;K$2)))=0,ROW(INDIRECT("1:"&amp;K$2))),ROW($A195)),"")</f>
        <v>199</v>
      </c>
      <c r="AV238" s="117">
        <f t="array" aca="1" ref="AV238" ca="1">IFERROR(SMALL(IF(COUNTIF(Podcasts!$D$494:'Podcasts'!$D$518,ROW(INDIRECT("1:"&amp;K$2)))=0,ROW(INDIRECT("1:"&amp;K$2))),ROW($A195)),"")</f>
        <v>220</v>
      </c>
      <c r="AW238" s="117">
        <f t="array" aca="1" ref="AW238" ca="1">IFERROR(SMALL(IF(COUNTIF(Podcasts!$D$524:'Podcasts'!$D$532,ROW(INDIRECT("1:"&amp;K$2)))=0,ROW(INDIRECT("1:"&amp;K$2))),ROW($A195)),"")</f>
        <v>202</v>
      </c>
      <c r="AX238" s="117"/>
      <c r="AY238" s="117"/>
      <c r="AZ238" s="445"/>
      <c r="BA238" s="117"/>
      <c r="BB238" s="117">
        <f t="array" aca="1" ref="BB238" ca="1">IFERROR(SMALL(IF(COUNTIF(Podcasts!$D$1257:'Podcasts'!$D$1267,ROW(INDIRECT("1:"&amp;K$2)))=0,ROW(INDIRECT("1:"&amp;K$2))),ROW($A195)),"")</f>
        <v>202</v>
      </c>
      <c r="BC238" s="117">
        <f t="array" aca="1" ref="BC238" ca="1">IFERROR(SMALL(IF(COUNTIF(Podcasts!$D$1273:'Podcasts'!$D$1283,ROW(INDIRECT("1:"&amp;K$2)))=0,ROW(INDIRECT("1:"&amp;K$2))),ROW($A195)),"")</f>
        <v>202</v>
      </c>
      <c r="BD238" s="117">
        <f t="array" aca="1" ref="BD238" ca="1">IFERROR(SMALL(IF(COUNTIF(Podcasts!$D$1289:'Podcasts'!$D$1295,ROW(INDIRECT("1:"&amp;K$2)))=0,ROW(INDIRECT("1:"&amp;K$2))),ROW($A195)),"")</f>
        <v>201</v>
      </c>
      <c r="BE238" s="117"/>
      <c r="BF238" s="117">
        <f t="array" aca="1" ref="BF238" ca="1">IFERROR(SMALL(IF(COUNTIF(Podcasts!$D$1362:'Podcasts'!$D$1364,ROW(INDIRECT("1:"&amp;K$2)))=0,ROW(INDIRECT("1:"&amp;K$2))),ROW($A195)),"")</f>
        <v>198</v>
      </c>
      <c r="BG238" s="202"/>
      <c r="BH238" s="202">
        <f t="array" aca="1" ref="BH238" ca="1">IFERROR(SMALL(IF(COUNTIF(Podcasts!$D$1425:'Podcasts'!$D$1446,ROW(INDIRECT("1:"&amp;K$2)))=0,ROW(INDIRECT("1:"&amp;K$2))),ROW($A195)),"")</f>
        <v>208</v>
      </c>
      <c r="BI238" s="202"/>
      <c r="BJ238" s="202"/>
      <c r="BK238" s="202"/>
      <c r="BL238" s="202">
        <f t="array" aca="1" ref="BL238" ca="1">IFERROR(SMALL(IF(COUNTIF(Podcasts!$D$1839:'Podcasts'!$D$1855,ROW(INDIRECT("1:"&amp;K$2)))=0,ROW(INDIRECT("1:"&amp;K$2))),ROW($A195)),"")</f>
        <v>204</v>
      </c>
      <c r="BM238" s="567"/>
      <c r="BN238" s="567"/>
      <c r="BO238" s="567">
        <f t="array" aca="1" ref="BO238" ca="1">IFERROR(SMALL(IF(COUNTIF(Podcasts!$D$2063:'Podcasts'!$D$2071,ROW(INDIRECT("1:"&amp;K$2)))=0,ROW(INDIRECT("1:"&amp;K$2))),ROW($A195)),"")</f>
        <v>203</v>
      </c>
      <c r="BP238" s="202">
        <f t="array" aca="1" ref="BP238" ca="1">IFERROR(SMALL(IF(COUNTIF(Podcasts!$D$2077:'Podcasts'!$D$2092,ROW(INDIRECT("1:"&amp;K$2)))=0,ROW(INDIRECT("1:"&amp;K$2))),ROW($A195)),"")</f>
        <v>206</v>
      </c>
      <c r="BQ238" s="741">
        <f t="array" aca="1" ref="BQ238" ca="1">IFERROR(SMALL(IF(COUNTIF(Podcasts!$D$2098:'Podcasts'!$D$2114,ROW(INDIRECT("1:"&amp;K$2)))=0,ROW(INDIRECT("1:"&amp;K$2))),ROW($A195)),"")</f>
        <v>210</v>
      </c>
      <c r="BR238" s="744">
        <f t="array" aca="1" ref="BR238" ca="1">IFERROR(SMALL(IF(COUNTIF(Podcasts!$D$2120:'Podcasts'!$D$2124,ROW(INDIRECT("1:"&amp;K$2)))=0,ROW(INDIRECT("1:"&amp;K$2))),ROW($A195)),"")</f>
        <v>197</v>
      </c>
      <c r="BS238" s="28"/>
    </row>
    <row r="239" spans="1:71" outlineLevel="1">
      <c r="A239" s="28"/>
      <c r="B239" s="161">
        <v>196</v>
      </c>
      <c r="C239" s="161">
        <f>COUNTIF(Podcasts!$D$10:'Podcasts'!$D$2535,B239)</f>
        <v>3</v>
      </c>
      <c r="D239" s="160" t="s">
        <v>1220</v>
      </c>
      <c r="E239" s="156" t="str">
        <f t="array" ref="E239">IF(F239="","",INDEX(Podcasts!$J$10:'Podcasts'!$J$2535,MATCH(F239&amp;$B239,Podcasts!$E$10:'Podcasts'!$E$2535&amp;Podcasts!$D$10:'Podcasts'!$D$2535,0)))</f>
        <v>Ohr</v>
      </c>
      <c r="F239" s="131">
        <f t="array" ref="F239">IF(COUNTIF(Podcasts!$D$10:'Podcasts'!$D$2535,$B239)&lt;COLUMN(A202),"",SMALL(IF(Podcasts!$D$10:'Podcasts'!$D$2535=$B239,Podcasts!$E$10:'Podcasts'!$E$2535),COLUMN(A202)))</f>
        <v>43484</v>
      </c>
      <c r="G239" s="132">
        <f t="array" ref="G239">IF(F239="","",INDEX(Podcasts!$F$10:'Podcasts'!$F$2535,MATCH(F239&amp;$B239,Podcasts!$E$10:'Podcasts'!$E$2535&amp;Podcasts!$D$10:'Podcasts'!$D$2535,0)))</f>
        <v>2.7083333333333334E-3</v>
      </c>
      <c r="H239" s="136" t="str">
        <f t="array" ref="H239">IF(I239="","",INDEX(Podcasts!$J$10:'Podcasts'!$J$2535,MATCH(I239&amp;$B239,Podcasts!$E$10:'Podcasts'!$E$2535&amp;Podcasts!$D$10:'Podcasts'!$D$2535,0)))</f>
        <v>SSP</v>
      </c>
      <c r="I239" s="133">
        <f t="array" ref="I239">IF(COUNTIF(Podcasts!$D$10:'Podcasts'!$D$2535,$B239)&lt;COLUMN(B202),"",SMALL(IF(Podcasts!$D$10:'Podcasts'!$D$2535=$B239,Podcasts!$E$10:'Podcasts'!$E$2535),COLUMN(B202)))</f>
        <v>43734</v>
      </c>
      <c r="J239" s="132">
        <f t="array" ref="J239">IF(I239="","",INDEX(Podcasts!$F$10:'Podcasts'!$F$2535,MATCH(I239&amp;$B239,Podcasts!$E$10:'Podcasts'!$E$2535&amp;Podcasts!$D$10:'Podcasts'!$D$2535,0)))</f>
        <v>6.8298611111111115E-2</v>
      </c>
      <c r="K239" s="136" t="str">
        <f t="array" ref="K239">IF(L239="","",INDEX(Podcasts!$J$10:'Podcasts'!$J$2535,MATCH(L239&amp;$B239,Podcasts!$E$10:'Podcasts'!$E$2535&amp;Podcasts!$D$10:'Podcasts'!$D$2535,0)))</f>
        <v>Verstärker</v>
      </c>
      <c r="L239" s="133">
        <f t="array" ref="L239">IF(COUNTIF(Podcasts!$D$10:'Podcasts'!$D$2535,$B239)&lt;COLUMN(C202),"",SMALL(IF(Podcasts!$D$10:'Podcasts'!$D$2535=$B239,Podcasts!$E$10:'Podcasts'!$E$2535),COLUMN(C202)))</f>
        <v>44960</v>
      </c>
      <c r="M239" s="132">
        <f t="array" ref="M239">IF(L239="","",INDEX(Podcasts!$F$10:'Podcasts'!$F$2535,MATCH(L239&amp;$B239,Podcasts!$E$10:'Podcasts'!$E$2535&amp;Podcasts!$D$10:'Podcasts'!$D$2535,0)))</f>
        <v>2.1250000000000002E-2</v>
      </c>
      <c r="N239" s="136" t="str">
        <f t="array" ref="N239">IF(O239="","",INDEX(Podcasts!$J$10:'Podcasts'!$J$2535,MATCH(O239&amp;$B239,Podcasts!$E$10:'Podcasts'!$E$2535&amp;Podcasts!$D$10:'Podcasts'!$D$2535,0)))</f>
        <v/>
      </c>
      <c r="O239" s="133" t="str">
        <f t="array" ref="O239">IF(COUNTIF(Podcasts!$D$10:'Podcasts'!$D$2535,$B239)&lt;COLUMN(D202),"",SMALL(IF(Podcasts!$D$10:'Podcasts'!$D$2535=$B239,Podcasts!$E$10:'Podcasts'!$E$2535),COLUMN(D202)))</f>
        <v/>
      </c>
      <c r="P239" s="132" t="str">
        <f t="array" ref="P239">IF(O239="","",INDEX(Podcasts!$F$10:'Podcasts'!$F$2535,MATCH(O239&amp;$B239,Podcasts!$E$10:'Podcasts'!$E$2535&amp;Podcasts!$D$10:'Podcasts'!$D$2535,0)))</f>
        <v/>
      </c>
      <c r="Q239" s="136" t="str">
        <f t="array" ref="Q239">IF(R239="","",INDEX(Podcasts!$J$10:'Podcasts'!$J$2535,MATCH(R239&amp;$B239,Podcasts!$E$10:'Podcasts'!$E$2535&amp;Podcasts!$D$10:'Podcasts'!$D$2535,0)))</f>
        <v/>
      </c>
      <c r="R239" s="133" t="str">
        <f t="array" ref="R239">IF(COUNTIF(Podcasts!$D$10:'Podcasts'!$D$2535,$B239)&lt;COLUMN(E202),"",SMALL(IF(Podcasts!$D$10:'Podcasts'!$D$2535=$B239,Podcasts!$E$10:'Podcasts'!$E$2535),COLUMN(E202)))</f>
        <v/>
      </c>
      <c r="S239" s="132" t="str">
        <f t="array" ref="S239">IF(R239="","",INDEX(Podcasts!$F$10:'Podcasts'!$F$2535,MATCH(R239&amp;$B239,Podcasts!$E$10:'Podcasts'!$E$2535&amp;Podcasts!$D$10:'Podcasts'!$D$2535,0)))</f>
        <v/>
      </c>
      <c r="T239" s="136" t="str">
        <f t="array" ref="T239">IF(U239="","",INDEX(Podcasts!$J$10:'Podcasts'!$J$2535,MATCH(U239&amp;$B239,Podcasts!$E$10:'Podcasts'!$E$2535&amp;Podcasts!$D$10:'Podcasts'!$D$2535,0)))</f>
        <v/>
      </c>
      <c r="U239" s="133" t="str">
        <f t="array" ref="U239">IF(COUNTIF(Podcasts!$D$10:'Podcasts'!$D$2535,$B239)&lt;COLUMN(F202),"",SMALL(IF(Podcasts!$D$10:'Podcasts'!$D$2535=$B239,Podcasts!$E$10:'Podcasts'!$E$2535),COLUMN(F202)))</f>
        <v/>
      </c>
      <c r="V239" s="132" t="str">
        <f t="array" ref="V239">IF(U239="","",INDEX(Podcasts!$F$10:'Podcasts'!$F$2535,MATCH(U239&amp;$B239,Podcasts!$E$10:'Podcasts'!$E$2535&amp;Podcasts!$D$10:'Podcasts'!$D$2535,0)))</f>
        <v/>
      </c>
      <c r="W239" s="136" t="str">
        <f t="array" ref="W239">IF(X239="","",INDEX(Podcasts!$J$10:'Podcasts'!$J$2535,MATCH(X239&amp;$B239,Podcasts!$E$10:'Podcasts'!$E$2535&amp;Podcasts!$D$10:'Podcasts'!$D$2535,0)))</f>
        <v/>
      </c>
      <c r="X239" s="133" t="str">
        <f t="array" ref="X239">IF(COUNTIF(Podcasts!$D$10:'Podcasts'!$D$2535,$B239)&lt;COLUMN(G202),"",SMALL(IF(Podcasts!$D$10:'Podcasts'!$D$2535=$B239,Podcasts!$E$10:'Podcasts'!$E$2535),COLUMN(G202)))</f>
        <v/>
      </c>
      <c r="Y239" s="132" t="str">
        <f t="array" ref="Y239">IF(X239="","",INDEX(Podcasts!$F$10:'Podcasts'!$F$2535,MATCH(X239&amp;$B239,Podcasts!$E$10:'Podcasts'!$E$2535&amp;Podcasts!$D$10:'Podcasts'!$D$2535,0)))</f>
        <v/>
      </c>
      <c r="Z239" s="136" t="str">
        <f t="array" ref="Z239">IF(AA239="","",INDEX(Podcasts!$J$10:'Podcasts'!$J$2535,MATCH(AA239&amp;$B239,Podcasts!$E$10:'Podcasts'!$E$2535&amp;Podcasts!$D$10:'Podcasts'!$D$2535,0)))</f>
        <v/>
      </c>
      <c r="AA239" s="134" t="str">
        <f t="array" ref="AA239">IF(COUNTIF(Podcasts!$D$10:'Podcasts'!$D$2535,$B239)&lt;COLUMN(H202),"",SMALL(IF(Podcasts!$D$10:'Podcasts'!$D$2535=$B239,Podcasts!$E$10:'Podcasts'!$E$2535),COLUMN(H202)))</f>
        <v/>
      </c>
      <c r="AB239" s="404" t="str">
        <f t="array" ref="AB239">IF(AA239="","",INDEX(Podcasts!$F$10:'Podcasts'!$F$2535,MATCH(AA239&amp;$B239,Podcasts!$E$10:'Podcasts'!$E$2535&amp;Podcasts!$D$10:'Podcasts'!$D$2535,0)))</f>
        <v/>
      </c>
      <c r="AC239" s="406" t="str">
        <f t="array" ref="AC239">IF(AD239="","",INDEX(Podcasts!$J$10:'Podcasts'!$J$2535,MATCH(AD239&amp;$B239,Podcasts!$E$10:'Podcasts'!$E$2535&amp;Podcasts!$D$10:'Podcasts'!$D$2535,0)))</f>
        <v/>
      </c>
      <c r="AD239" s="400" t="str">
        <f t="array" ref="AD239">IF(COUNTIF(Podcasts!$D$10:'Podcasts'!$D$2535,$B239)&lt;COLUMN(I202),"",SMALL(IF(Podcasts!$D$10:'Podcasts'!$D$2535=$B239,Podcasts!$E$10:'Podcasts'!$E$2535),COLUMN(I202)))</f>
        <v/>
      </c>
      <c r="AE239" s="401" t="str">
        <f t="array" ref="AE239">IF(AD239="","",INDEX(Podcasts!$F$10:'Podcasts'!$F$2535,MATCH(AD239&amp;$B239,Podcasts!$E$10:'Podcasts'!$E$2535&amp;Podcasts!$D$10:'Podcasts'!$D$2535,0)))</f>
        <v/>
      </c>
      <c r="AF239" s="406" t="str">
        <f t="array" ref="AF239">IF(AG239="","",INDEX(Podcasts!$J$10:'Podcasts'!$J$2535,MATCH(AG239&amp;$B239,Podcasts!$E$10:'Podcasts'!$E$2535&amp;Podcasts!$D$10:'Podcasts'!$D$2535,0)))</f>
        <v/>
      </c>
      <c r="AG239" s="400" t="str">
        <f t="array" ref="AG239">IF(COUNTIF(Podcasts!$D$10:'Podcasts'!$D$2535,$B239)&lt;COLUMN(J202),"",SMALL(IF(Podcasts!$D$10:'Podcasts'!$D$2535=$B239,Podcasts!$E$10:'Podcasts'!$E$2535),COLUMN(J202)))</f>
        <v/>
      </c>
      <c r="AH239" s="401" t="str">
        <f t="array" ref="AH239">IF(AG239="","",INDEX(Podcasts!$F$10:'Podcasts'!$F$2535,MATCH(AG239&amp;$B239,Podcasts!$E$10:'Podcasts'!$E$2535&amp;Podcasts!$D$10:'Podcasts'!$D$2535,0)))</f>
        <v/>
      </c>
      <c r="AI239" s="406" t="str">
        <f t="array" ref="AI239">IF(AJ239="","",INDEX(Podcasts!$J$10:'Podcasts'!$J$2535,MATCH(AJ239&amp;$B239,Podcasts!$E$10:'Podcasts'!$E$2535&amp;Podcasts!$D$10:'Podcasts'!$D$2535,0)))</f>
        <v/>
      </c>
      <c r="AJ239" s="400" t="str">
        <f t="array" ref="AJ239">IF(COUNTIF(Podcasts!$D$10:'Podcasts'!$D$2535,$B239)&lt;COLUMN(K202),"",SMALL(IF(Podcasts!$D$10:'Podcasts'!$D$2535=$B239,Podcasts!$E$10:'Podcasts'!$E$2535),COLUMN(K202)))</f>
        <v/>
      </c>
      <c r="AK239" s="401" t="str">
        <f t="array" ref="AK239">IF(AJ239="","",INDEX(Podcasts!$F$10:'Podcasts'!$F$2535,MATCH(AJ239&amp;$B239,Podcasts!$E$10:'Podcasts'!$E$2535&amp;Podcasts!$D$10:'Podcasts'!$D$2535,0)))</f>
        <v/>
      </c>
      <c r="AL239" s="406" t="str">
        <f t="array" ref="AL239">IF(AM239="","",INDEX(Podcasts!$J$10:'Podcasts'!$J$2535,MATCH(AM239&amp;$B239,Podcasts!$E$10:'Podcasts'!$E$2535&amp;Podcasts!$D$10:'Podcasts'!$D$2535,0)))</f>
        <v/>
      </c>
      <c r="AM239" s="400" t="str">
        <f t="array" ref="AM239">IF(COUNTIF(Podcasts!$D$10:'Podcasts'!$D$2535,$B239)&lt;COLUMN(L202),"",SMALL(IF(Podcasts!$D$10:'Podcasts'!$D$2535=$B239,Podcasts!$E$10:'Podcasts'!$E$2535),COLUMN(L202)))</f>
        <v/>
      </c>
      <c r="AN239" s="401" t="str">
        <f t="array" ref="AN239">IF(AM239="","",INDEX(Podcasts!$F$10:'Podcasts'!$F$2535,MATCH(AM239&amp;$B239,Podcasts!$E$10:'Podcasts'!$E$2535&amp;Podcasts!$D$10:'Podcasts'!$D$2535,0)))</f>
        <v/>
      </c>
      <c r="AO239" s="402"/>
      <c r="AP239" s="119"/>
      <c r="AQ239" s="117"/>
      <c r="AR239" s="117"/>
      <c r="AS239" s="117"/>
      <c r="AT239" s="117"/>
      <c r="AU239" s="117">
        <f t="array" aca="1" ref="AU239" ca="1">IFERROR(SMALL(IF(COUNTIF(Podcasts!$D$479:'Podcasts'!$D$488,ROW(INDIRECT("1:"&amp;K$2)))=0,ROW(INDIRECT("1:"&amp;K$2))),ROW($A196)),"")</f>
        <v>200</v>
      </c>
      <c r="AV239" s="117">
        <f t="array" aca="1" ref="AV239" ca="1">IFERROR(SMALL(IF(COUNTIF(Podcasts!$D$494:'Podcasts'!$D$518,ROW(INDIRECT("1:"&amp;K$2)))=0,ROW(INDIRECT("1:"&amp;K$2))),ROW($A196)),"")</f>
        <v>221</v>
      </c>
      <c r="AW239" s="117">
        <f t="array" aca="1" ref="AW239" ca="1">IFERROR(SMALL(IF(COUNTIF(Podcasts!$D$524:'Podcasts'!$D$532,ROW(INDIRECT("1:"&amp;K$2)))=0,ROW(INDIRECT("1:"&amp;K$2))),ROW($A196)),"")</f>
        <v>203</v>
      </c>
      <c r="AX239" s="117"/>
      <c r="AY239" s="117"/>
      <c r="AZ239" s="445"/>
      <c r="BA239" s="117"/>
      <c r="BB239" s="117">
        <f t="array" aca="1" ref="BB239" ca="1">IFERROR(SMALL(IF(COUNTIF(Podcasts!$D$1257:'Podcasts'!$D$1267,ROW(INDIRECT("1:"&amp;K$2)))=0,ROW(INDIRECT("1:"&amp;K$2))),ROW($A196)),"")</f>
        <v>203</v>
      </c>
      <c r="BC239" s="117">
        <f t="array" aca="1" ref="BC239" ca="1">IFERROR(SMALL(IF(COUNTIF(Podcasts!$D$1273:'Podcasts'!$D$1283,ROW(INDIRECT("1:"&amp;K$2)))=0,ROW(INDIRECT("1:"&amp;K$2))),ROW($A196)),"")</f>
        <v>203</v>
      </c>
      <c r="BD239" s="117">
        <f t="array" aca="1" ref="BD239" ca="1">IFERROR(SMALL(IF(COUNTIF(Podcasts!$D$1289:'Podcasts'!$D$1295,ROW(INDIRECT("1:"&amp;K$2)))=0,ROW(INDIRECT("1:"&amp;K$2))),ROW($A196)),"")</f>
        <v>202</v>
      </c>
      <c r="BE239" s="117"/>
      <c r="BF239" s="117">
        <f t="array" aca="1" ref="BF239" ca="1">IFERROR(SMALL(IF(COUNTIF(Podcasts!$D$1362:'Podcasts'!$D$1364,ROW(INDIRECT("1:"&amp;K$2)))=0,ROW(INDIRECT("1:"&amp;K$2))),ROW($A196)),"")</f>
        <v>199</v>
      </c>
      <c r="BG239" s="202"/>
      <c r="BH239" s="202">
        <f t="array" aca="1" ref="BH239" ca="1">IFERROR(SMALL(IF(COUNTIF(Podcasts!$D$1425:'Podcasts'!$D$1446,ROW(INDIRECT("1:"&amp;K$2)))=0,ROW(INDIRECT("1:"&amp;K$2))),ROW($A196)),"")</f>
        <v>209</v>
      </c>
      <c r="BI239" s="202"/>
      <c r="BJ239" s="202"/>
      <c r="BK239" s="202"/>
      <c r="BL239" s="202">
        <f t="array" aca="1" ref="BL239" ca="1">IFERROR(SMALL(IF(COUNTIF(Podcasts!$D$1839:'Podcasts'!$D$1855,ROW(INDIRECT("1:"&amp;K$2)))=0,ROW(INDIRECT("1:"&amp;K$2))),ROW($A196)),"")</f>
        <v>205</v>
      </c>
      <c r="BM239" s="567"/>
      <c r="BN239" s="567"/>
      <c r="BO239" s="567">
        <f t="array" aca="1" ref="BO239" ca="1">IFERROR(SMALL(IF(COUNTIF(Podcasts!$D$2063:'Podcasts'!$D$2071,ROW(INDIRECT("1:"&amp;K$2)))=0,ROW(INDIRECT("1:"&amp;K$2))),ROW($A196)),"")</f>
        <v>204</v>
      </c>
      <c r="BP239" s="202">
        <f t="array" aca="1" ref="BP239" ca="1">IFERROR(SMALL(IF(COUNTIF(Podcasts!$D$2077:'Podcasts'!$D$2092,ROW(INDIRECT("1:"&amp;K$2)))=0,ROW(INDIRECT("1:"&amp;K$2))),ROW($A196)),"")</f>
        <v>207</v>
      </c>
      <c r="BQ239" s="741">
        <f t="array" aca="1" ref="BQ239" ca="1">IFERROR(SMALL(IF(COUNTIF(Podcasts!$D$2098:'Podcasts'!$D$2114,ROW(INDIRECT("1:"&amp;K$2)))=0,ROW(INDIRECT("1:"&amp;K$2))),ROW($A196)),"")</f>
        <v>211</v>
      </c>
      <c r="BR239" s="744">
        <f t="array" aca="1" ref="BR239" ca="1">IFERROR(SMALL(IF(COUNTIF(Podcasts!$D$2120:'Podcasts'!$D$2124,ROW(INDIRECT("1:"&amp;K$2)))=0,ROW(INDIRECT("1:"&amp;K$2))),ROW($A196)),"")</f>
        <v>198</v>
      </c>
      <c r="BS239" s="28"/>
    </row>
    <row r="240" spans="1:71" outlineLevel="1">
      <c r="A240" s="28"/>
      <c r="B240" s="161">
        <v>197</v>
      </c>
      <c r="C240" s="161">
        <f>COUNTIF(Podcasts!$D$10:'Podcasts'!$D$2535,B240)</f>
        <v>3</v>
      </c>
      <c r="D240" s="160" t="s">
        <v>1221</v>
      </c>
      <c r="E240" s="156" t="str">
        <f t="array" ref="E240">IF(F240="","",INDEX(Podcasts!$J$10:'Podcasts'!$J$2535,MATCH(F240&amp;$B240,Podcasts!$E$10:'Podcasts'!$E$2535&amp;Podcasts!$D$10:'Podcasts'!$D$2535,0)))</f>
        <v>Zentrale</v>
      </c>
      <c r="F240" s="131">
        <f t="array" ref="F240">IF(COUNTIF(Podcasts!$D$10:'Podcasts'!$D$2535,$B240)&lt;COLUMN(A203),"",SMALL(IF(Podcasts!$D$10:'Podcasts'!$D$2535=$B240,Podcasts!$E$10:'Podcasts'!$E$2535),COLUMN(A203)))</f>
        <v>43539.77003472222</v>
      </c>
      <c r="G240" s="132">
        <f t="array" ref="G240">IF(F240="","",INDEX(Podcasts!$F$10:'Podcasts'!$F$2535,MATCH(F240&amp;$B240,Podcasts!$E$10:'Podcasts'!$E$2535&amp;Podcasts!$D$10:'Podcasts'!$D$2535,0)))</f>
        <v>8.7604166666666664E-2</v>
      </c>
      <c r="H240" s="136" t="str">
        <f t="array" ref="H240">IF(I240="","",INDEX(Podcasts!$J$10:'Podcasts'!$J$2535,MATCH(I240&amp;$B240,Podcasts!$E$10:'Podcasts'!$E$2535&amp;Podcasts!$D$10:'Podcasts'!$D$2535,0)))</f>
        <v>Ohr</v>
      </c>
      <c r="I240" s="133">
        <f t="array" ref="I240">IF(COUNTIF(Podcasts!$D$10:'Podcasts'!$D$2535,$B240)&lt;COLUMN(B203),"",SMALL(IF(Podcasts!$D$10:'Podcasts'!$D$2535=$B240,Podcasts!$E$10:'Podcasts'!$E$2535),COLUMN(B203)))</f>
        <v>43540</v>
      </c>
      <c r="J240" s="132">
        <f t="array" ref="J240">IF(I240="","",INDEX(Podcasts!$F$10:'Podcasts'!$F$2535,MATCH(I240&amp;$B240,Podcasts!$E$10:'Podcasts'!$E$2535&amp;Podcasts!$D$10:'Podcasts'!$D$2535,0)))</f>
        <v>2.0023148148148148E-3</v>
      </c>
      <c r="K240" s="136" t="str">
        <f t="array" ref="K240">IF(L240="","",INDEX(Podcasts!$J$10:'Podcasts'!$J$2535,MATCH(L240&amp;$B240,Podcasts!$E$10:'Podcasts'!$E$2535&amp;Podcasts!$D$10:'Podcasts'!$D$2535,0)))</f>
        <v>SSP</v>
      </c>
      <c r="L240" s="133">
        <f t="array" ref="L240">IF(COUNTIF(Podcasts!$D$10:'Podcasts'!$D$2535,$B240)&lt;COLUMN(C203),"",SMALL(IF(Podcasts!$D$10:'Podcasts'!$D$2535=$B240,Podcasts!$E$10:'Podcasts'!$E$2535),COLUMN(C203)))</f>
        <v>44905</v>
      </c>
      <c r="M240" s="132">
        <f t="array" ref="M240">IF(L240="","",INDEX(Podcasts!$F$10:'Podcasts'!$F$2535,MATCH(L240&amp;$B240,Podcasts!$E$10:'Podcasts'!$E$2535&amp;Podcasts!$D$10:'Podcasts'!$D$2535,0)))</f>
        <v>9.2581018518518521E-2</v>
      </c>
      <c r="N240" s="136" t="str">
        <f t="array" ref="N240">IF(O240="","",INDEX(Podcasts!$J$10:'Podcasts'!$J$2535,MATCH(O240&amp;$B240,Podcasts!$E$10:'Podcasts'!$E$2535&amp;Podcasts!$D$10:'Podcasts'!$D$2535,0)))</f>
        <v/>
      </c>
      <c r="O240" s="133" t="str">
        <f t="array" ref="O240">IF(COUNTIF(Podcasts!$D$10:'Podcasts'!$D$2535,$B240)&lt;COLUMN(D203),"",SMALL(IF(Podcasts!$D$10:'Podcasts'!$D$2535=$B240,Podcasts!$E$10:'Podcasts'!$E$2535),COLUMN(D203)))</f>
        <v/>
      </c>
      <c r="P240" s="132" t="str">
        <f t="array" ref="P240">IF(O240="","",INDEX(Podcasts!$F$10:'Podcasts'!$F$2535,MATCH(O240&amp;$B240,Podcasts!$E$10:'Podcasts'!$E$2535&amp;Podcasts!$D$10:'Podcasts'!$D$2535,0)))</f>
        <v/>
      </c>
      <c r="Q240" s="136" t="str">
        <f t="array" ref="Q240">IF(R240="","",INDEX(Podcasts!$J$10:'Podcasts'!$J$2535,MATCH(R240&amp;$B240,Podcasts!$E$10:'Podcasts'!$E$2535&amp;Podcasts!$D$10:'Podcasts'!$D$2535,0)))</f>
        <v/>
      </c>
      <c r="R240" s="133" t="str">
        <f t="array" ref="R240">IF(COUNTIF(Podcasts!$D$10:'Podcasts'!$D$2535,$B240)&lt;COLUMN(E203),"",SMALL(IF(Podcasts!$D$10:'Podcasts'!$D$2535=$B240,Podcasts!$E$10:'Podcasts'!$E$2535),COLUMN(E203)))</f>
        <v/>
      </c>
      <c r="S240" s="132" t="str">
        <f t="array" ref="S240">IF(R240="","",INDEX(Podcasts!$F$10:'Podcasts'!$F$2535,MATCH(R240&amp;$B240,Podcasts!$E$10:'Podcasts'!$E$2535&amp;Podcasts!$D$10:'Podcasts'!$D$2535,0)))</f>
        <v/>
      </c>
      <c r="T240" s="136" t="str">
        <f t="array" ref="T240">IF(U240="","",INDEX(Podcasts!$J$10:'Podcasts'!$J$2535,MATCH(U240&amp;$B240,Podcasts!$E$10:'Podcasts'!$E$2535&amp;Podcasts!$D$10:'Podcasts'!$D$2535,0)))</f>
        <v/>
      </c>
      <c r="U240" s="133" t="str">
        <f t="array" ref="U240">IF(COUNTIF(Podcasts!$D$10:'Podcasts'!$D$2535,$B240)&lt;COLUMN(F203),"",SMALL(IF(Podcasts!$D$10:'Podcasts'!$D$2535=$B240,Podcasts!$E$10:'Podcasts'!$E$2535),COLUMN(F203)))</f>
        <v/>
      </c>
      <c r="V240" s="132" t="str">
        <f t="array" ref="V240">IF(U240="","",INDEX(Podcasts!$F$10:'Podcasts'!$F$2535,MATCH(U240&amp;$B240,Podcasts!$E$10:'Podcasts'!$E$2535&amp;Podcasts!$D$10:'Podcasts'!$D$2535,0)))</f>
        <v/>
      </c>
      <c r="W240" s="136" t="str">
        <f t="array" ref="W240">IF(X240="","",INDEX(Podcasts!$J$10:'Podcasts'!$J$2535,MATCH(X240&amp;$B240,Podcasts!$E$10:'Podcasts'!$E$2535&amp;Podcasts!$D$10:'Podcasts'!$D$2535,0)))</f>
        <v/>
      </c>
      <c r="X240" s="133" t="str">
        <f t="array" ref="X240">IF(COUNTIF(Podcasts!$D$10:'Podcasts'!$D$2535,$B240)&lt;COLUMN(G203),"",SMALL(IF(Podcasts!$D$10:'Podcasts'!$D$2535=$B240,Podcasts!$E$10:'Podcasts'!$E$2535),COLUMN(G203)))</f>
        <v/>
      </c>
      <c r="Y240" s="132" t="str">
        <f t="array" ref="Y240">IF(X240="","",INDEX(Podcasts!$F$10:'Podcasts'!$F$2535,MATCH(X240&amp;$B240,Podcasts!$E$10:'Podcasts'!$E$2535&amp;Podcasts!$D$10:'Podcasts'!$D$2535,0)))</f>
        <v/>
      </c>
      <c r="Z240" s="136" t="str">
        <f t="array" ref="Z240">IF(AA240="","",INDEX(Podcasts!$J$10:'Podcasts'!$J$2535,MATCH(AA240&amp;$B240,Podcasts!$E$10:'Podcasts'!$E$2535&amp;Podcasts!$D$10:'Podcasts'!$D$2535,0)))</f>
        <v/>
      </c>
      <c r="AA240" s="134" t="str">
        <f t="array" ref="AA240">IF(COUNTIF(Podcasts!$D$10:'Podcasts'!$D$2535,$B240)&lt;COLUMN(H203),"",SMALL(IF(Podcasts!$D$10:'Podcasts'!$D$2535=$B240,Podcasts!$E$10:'Podcasts'!$E$2535),COLUMN(H203)))</f>
        <v/>
      </c>
      <c r="AB240" s="404" t="str">
        <f t="array" ref="AB240">IF(AA240="","",INDEX(Podcasts!$F$10:'Podcasts'!$F$2535,MATCH(AA240&amp;$B240,Podcasts!$E$10:'Podcasts'!$E$2535&amp;Podcasts!$D$10:'Podcasts'!$D$2535,0)))</f>
        <v/>
      </c>
      <c r="AC240" s="406" t="str">
        <f t="array" ref="AC240">IF(AD240="","",INDEX(Podcasts!$J$10:'Podcasts'!$J$2535,MATCH(AD240&amp;$B240,Podcasts!$E$10:'Podcasts'!$E$2535&amp;Podcasts!$D$10:'Podcasts'!$D$2535,0)))</f>
        <v/>
      </c>
      <c r="AD240" s="400" t="str">
        <f t="array" ref="AD240">IF(COUNTIF(Podcasts!$D$10:'Podcasts'!$D$2535,$B240)&lt;COLUMN(I203),"",SMALL(IF(Podcasts!$D$10:'Podcasts'!$D$2535=$B240,Podcasts!$E$10:'Podcasts'!$E$2535),COLUMN(I203)))</f>
        <v/>
      </c>
      <c r="AE240" s="401" t="str">
        <f t="array" ref="AE240">IF(AD240="","",INDEX(Podcasts!$F$10:'Podcasts'!$F$2535,MATCH(AD240&amp;$B240,Podcasts!$E$10:'Podcasts'!$E$2535&amp;Podcasts!$D$10:'Podcasts'!$D$2535,0)))</f>
        <v/>
      </c>
      <c r="AF240" s="406" t="str">
        <f t="array" ref="AF240">IF(AG240="","",INDEX(Podcasts!$J$10:'Podcasts'!$J$2535,MATCH(AG240&amp;$B240,Podcasts!$E$10:'Podcasts'!$E$2535&amp;Podcasts!$D$10:'Podcasts'!$D$2535,0)))</f>
        <v/>
      </c>
      <c r="AG240" s="400" t="str">
        <f t="array" ref="AG240">IF(COUNTIF(Podcasts!$D$10:'Podcasts'!$D$2535,$B240)&lt;COLUMN(J203),"",SMALL(IF(Podcasts!$D$10:'Podcasts'!$D$2535=$B240,Podcasts!$E$10:'Podcasts'!$E$2535),COLUMN(J203)))</f>
        <v/>
      </c>
      <c r="AH240" s="401" t="str">
        <f t="array" ref="AH240">IF(AG240="","",INDEX(Podcasts!$F$10:'Podcasts'!$F$2535,MATCH(AG240&amp;$B240,Podcasts!$E$10:'Podcasts'!$E$2535&amp;Podcasts!$D$10:'Podcasts'!$D$2535,0)))</f>
        <v/>
      </c>
      <c r="AI240" s="406" t="str">
        <f t="array" ref="AI240">IF(AJ240="","",INDEX(Podcasts!$J$10:'Podcasts'!$J$2535,MATCH(AJ240&amp;$B240,Podcasts!$E$10:'Podcasts'!$E$2535&amp;Podcasts!$D$10:'Podcasts'!$D$2535,0)))</f>
        <v/>
      </c>
      <c r="AJ240" s="400" t="str">
        <f t="array" ref="AJ240">IF(COUNTIF(Podcasts!$D$10:'Podcasts'!$D$2535,$B240)&lt;COLUMN(K203),"",SMALL(IF(Podcasts!$D$10:'Podcasts'!$D$2535=$B240,Podcasts!$E$10:'Podcasts'!$E$2535),COLUMN(K203)))</f>
        <v/>
      </c>
      <c r="AK240" s="401" t="str">
        <f t="array" ref="AK240">IF(AJ240="","",INDEX(Podcasts!$F$10:'Podcasts'!$F$2535,MATCH(AJ240&amp;$B240,Podcasts!$E$10:'Podcasts'!$E$2535&amp;Podcasts!$D$10:'Podcasts'!$D$2535,0)))</f>
        <v/>
      </c>
      <c r="AL240" s="406" t="str">
        <f t="array" ref="AL240">IF(AM240="","",INDEX(Podcasts!$J$10:'Podcasts'!$J$2535,MATCH(AM240&amp;$B240,Podcasts!$E$10:'Podcasts'!$E$2535&amp;Podcasts!$D$10:'Podcasts'!$D$2535,0)))</f>
        <v/>
      </c>
      <c r="AM240" s="400" t="str">
        <f t="array" ref="AM240">IF(COUNTIF(Podcasts!$D$10:'Podcasts'!$D$2535,$B240)&lt;COLUMN(L203),"",SMALL(IF(Podcasts!$D$10:'Podcasts'!$D$2535=$B240,Podcasts!$E$10:'Podcasts'!$E$2535),COLUMN(L203)))</f>
        <v/>
      </c>
      <c r="AN240" s="401" t="str">
        <f t="array" ref="AN240">IF(AM240="","",INDEX(Podcasts!$F$10:'Podcasts'!$F$2535,MATCH(AM240&amp;$B240,Podcasts!$E$10:'Podcasts'!$E$2535&amp;Podcasts!$D$10:'Podcasts'!$D$2535,0)))</f>
        <v/>
      </c>
      <c r="AO240" s="402"/>
      <c r="AP240" s="119"/>
      <c r="AQ240" s="117"/>
      <c r="AR240" s="117"/>
      <c r="AS240" s="117"/>
      <c r="AT240" s="117"/>
      <c r="AU240" s="117">
        <f t="array" aca="1" ref="AU240" ca="1">IFERROR(SMALL(IF(COUNTIF(Podcasts!$D$479:'Podcasts'!$D$488,ROW(INDIRECT("1:"&amp;K$2)))=0,ROW(INDIRECT("1:"&amp;K$2))),ROW($A197)),"")</f>
        <v>201</v>
      </c>
      <c r="AV240" s="117">
        <f t="array" aca="1" ref="AV240" ca="1">IFERROR(SMALL(IF(COUNTIF(Podcasts!$D$494:'Podcasts'!$D$518,ROW(INDIRECT("1:"&amp;K$2)))=0,ROW(INDIRECT("1:"&amp;K$2))),ROW($A197)),"")</f>
        <v>222</v>
      </c>
      <c r="AW240" s="117">
        <f t="array" aca="1" ref="AW240" ca="1">IFERROR(SMALL(IF(COUNTIF(Podcasts!$D$524:'Podcasts'!$D$532,ROW(INDIRECT("1:"&amp;K$2)))=0,ROW(INDIRECT("1:"&amp;K$2))),ROW($A197)),"")</f>
        <v>204</v>
      </c>
      <c r="AX240" s="117"/>
      <c r="AY240" s="117"/>
      <c r="AZ240" s="445"/>
      <c r="BA240" s="117"/>
      <c r="BB240" s="117">
        <f t="array" aca="1" ref="BB240" ca="1">IFERROR(SMALL(IF(COUNTIF(Podcasts!$D$1257:'Podcasts'!$D$1267,ROW(INDIRECT("1:"&amp;K$2)))=0,ROW(INDIRECT("1:"&amp;K$2))),ROW($A197)),"")</f>
        <v>204</v>
      </c>
      <c r="BC240" s="117">
        <f t="array" aca="1" ref="BC240" ca="1">IFERROR(SMALL(IF(COUNTIF(Podcasts!$D$1273:'Podcasts'!$D$1283,ROW(INDIRECT("1:"&amp;K$2)))=0,ROW(INDIRECT("1:"&amp;K$2))),ROW($A197)),"")</f>
        <v>204</v>
      </c>
      <c r="BD240" s="117">
        <f t="array" aca="1" ref="BD240" ca="1">IFERROR(SMALL(IF(COUNTIF(Podcasts!$D$1289:'Podcasts'!$D$1295,ROW(INDIRECT("1:"&amp;K$2)))=0,ROW(INDIRECT("1:"&amp;K$2))),ROW($A197)),"")</f>
        <v>203</v>
      </c>
      <c r="BE240" s="117"/>
      <c r="BF240" s="117">
        <f t="array" aca="1" ref="BF240" ca="1">IFERROR(SMALL(IF(COUNTIF(Podcasts!$D$1362:'Podcasts'!$D$1364,ROW(INDIRECT("1:"&amp;K$2)))=0,ROW(INDIRECT("1:"&amp;K$2))),ROW($A197)),"")</f>
        <v>200</v>
      </c>
      <c r="BG240" s="202"/>
      <c r="BH240" s="202">
        <f t="array" aca="1" ref="BH240" ca="1">IFERROR(SMALL(IF(COUNTIF(Podcasts!$D$1425:'Podcasts'!$D$1446,ROW(INDIRECT("1:"&amp;K$2)))=0,ROW(INDIRECT("1:"&amp;K$2))),ROW($A197)),"")</f>
        <v>210</v>
      </c>
      <c r="BI240" s="202"/>
      <c r="BJ240" s="202"/>
      <c r="BK240" s="202"/>
      <c r="BL240" s="202">
        <f t="array" aca="1" ref="BL240" ca="1">IFERROR(SMALL(IF(COUNTIF(Podcasts!$D$1839:'Podcasts'!$D$1855,ROW(INDIRECT("1:"&amp;K$2)))=0,ROW(INDIRECT("1:"&amp;K$2))),ROW($A197)),"")</f>
        <v>206</v>
      </c>
      <c r="BM240" s="567"/>
      <c r="BN240" s="567"/>
      <c r="BO240" s="567">
        <f t="array" aca="1" ref="BO240" ca="1">IFERROR(SMALL(IF(COUNTIF(Podcasts!$D$2063:'Podcasts'!$D$2071,ROW(INDIRECT("1:"&amp;K$2)))=0,ROW(INDIRECT("1:"&amp;K$2))),ROW($A197)),"")</f>
        <v>205</v>
      </c>
      <c r="BP240" s="202">
        <f t="array" aca="1" ref="BP240" ca="1">IFERROR(SMALL(IF(COUNTIF(Podcasts!$D$2077:'Podcasts'!$D$2092,ROW(INDIRECT("1:"&amp;K$2)))=0,ROW(INDIRECT("1:"&amp;K$2))),ROW($A197)),"")</f>
        <v>208</v>
      </c>
      <c r="BQ240" s="741">
        <f t="array" aca="1" ref="BQ240" ca="1">IFERROR(SMALL(IF(COUNTIF(Podcasts!$D$2098:'Podcasts'!$D$2114,ROW(INDIRECT("1:"&amp;K$2)))=0,ROW(INDIRECT("1:"&amp;K$2))),ROW($A197)),"")</f>
        <v>212</v>
      </c>
      <c r="BR240" s="744">
        <f t="array" aca="1" ref="BR240" ca="1">IFERROR(SMALL(IF(COUNTIF(Podcasts!$D$2120:'Podcasts'!$D$2124,ROW(INDIRECT("1:"&amp;K$2)))=0,ROW(INDIRECT("1:"&amp;K$2))),ROW($A197)),"")</f>
        <v>199</v>
      </c>
      <c r="BS240" s="28"/>
    </row>
    <row r="241" spans="1:71" outlineLevel="1">
      <c r="A241" s="28"/>
      <c r="B241" s="161">
        <v>198</v>
      </c>
      <c r="C241" s="161">
        <f>COUNTIF(Podcasts!$D$10:'Podcasts'!$D$2535,B241)</f>
        <v>3</v>
      </c>
      <c r="D241" s="160" t="s">
        <v>1222</v>
      </c>
      <c r="E241" s="156" t="str">
        <f t="array" ref="E241">IF(F241="","",INDEX(Podcasts!$J$10:'Podcasts'!$J$2535,MATCH(F241&amp;$B241,Podcasts!$E$10:'Podcasts'!$E$2535&amp;Podcasts!$D$10:'Podcasts'!$D$2535,0)))</f>
        <v>Zentrale</v>
      </c>
      <c r="F241" s="131">
        <f t="array" ref="F241">IF(COUNTIF(Podcasts!$D$10:'Podcasts'!$D$2535,$B241)&lt;COLUMN(A204),"",SMALL(IF(Podcasts!$D$10:'Podcasts'!$D$2535=$B241,Podcasts!$E$10:'Podcasts'!$E$2535),COLUMN(A204)))</f>
        <v>43554.262002314812</v>
      </c>
      <c r="G241" s="132">
        <f t="array" ref="G241">IF(F241="","",INDEX(Podcasts!$F$10:'Podcasts'!$F$2535,MATCH(F241&amp;$B241,Podcasts!$E$10:'Podcasts'!$E$2535&amp;Podcasts!$D$10:'Podcasts'!$D$2535,0)))</f>
        <v>0.10244212962962962</v>
      </c>
      <c r="H241" s="136" t="str">
        <f t="array" ref="H241">IF(I241="","",INDEX(Podcasts!$J$10:'Podcasts'!$J$2535,MATCH(I241&amp;$B241,Podcasts!$E$10:'Podcasts'!$E$2535&amp;Podcasts!$D$10:'Podcasts'!$D$2535,0)))</f>
        <v>Ohr</v>
      </c>
      <c r="I241" s="133">
        <f t="array" ref="I241">IF(COUNTIF(Podcasts!$D$10:'Podcasts'!$D$2535,$B241)&lt;COLUMN(B204),"",SMALL(IF(Podcasts!$D$10:'Podcasts'!$D$2535=$B241,Podcasts!$E$10:'Podcasts'!$E$2535),COLUMN(B204)))</f>
        <v>43590</v>
      </c>
      <c r="J241" s="132">
        <f t="array" ref="J241">IF(I241="","",INDEX(Podcasts!$F$10:'Podcasts'!$F$2535,MATCH(I241&amp;$B241,Podcasts!$E$10:'Podcasts'!$E$2535&amp;Podcasts!$D$10:'Podcasts'!$D$2535,0)))</f>
        <v>4.8495370370370368E-3</v>
      </c>
      <c r="K241" s="136" t="str">
        <f t="array" ref="K241">IF(L241="","",INDEX(Podcasts!$J$10:'Podcasts'!$J$2535,MATCH(L241&amp;$B241,Podcasts!$E$10:'Podcasts'!$E$2535&amp;Podcasts!$D$10:'Podcasts'!$D$2535,0)))</f>
        <v>Verstärker</v>
      </c>
      <c r="L241" s="133">
        <f t="array" ref="L241">IF(COUNTIF(Podcasts!$D$10:'Podcasts'!$D$2535,$B241)&lt;COLUMN(C204),"",SMALL(IF(Podcasts!$D$10:'Podcasts'!$D$2535=$B241,Podcasts!$E$10:'Podcasts'!$E$2535),COLUMN(C204)))</f>
        <v>44350</v>
      </c>
      <c r="M241" s="132">
        <f t="array" ref="M241">IF(L241="","",INDEX(Podcasts!$F$10:'Podcasts'!$F$2535,MATCH(L241&amp;$B241,Podcasts!$E$10:'Podcasts'!$E$2535&amp;Podcasts!$D$10:'Podcasts'!$D$2535,0)))</f>
        <v>2.0509259259259258E-2</v>
      </c>
      <c r="N241" s="136" t="str">
        <f t="array" ref="N241">IF(O241="","",INDEX(Podcasts!$J$10:'Podcasts'!$J$2535,MATCH(O241&amp;$B241,Podcasts!$E$10:'Podcasts'!$E$2535&amp;Podcasts!$D$10:'Podcasts'!$D$2535,0)))</f>
        <v/>
      </c>
      <c r="O241" s="133" t="str">
        <f t="array" ref="O241">IF(COUNTIF(Podcasts!$D$10:'Podcasts'!$D$2535,$B241)&lt;COLUMN(D204),"",SMALL(IF(Podcasts!$D$10:'Podcasts'!$D$2535=$B241,Podcasts!$E$10:'Podcasts'!$E$2535),COLUMN(D204)))</f>
        <v/>
      </c>
      <c r="P241" s="132" t="str">
        <f t="array" ref="P241">IF(O241="","",INDEX(Podcasts!$F$10:'Podcasts'!$F$2535,MATCH(O241&amp;$B241,Podcasts!$E$10:'Podcasts'!$E$2535&amp;Podcasts!$D$10:'Podcasts'!$D$2535,0)))</f>
        <v/>
      </c>
      <c r="Q241" s="136" t="str">
        <f t="array" ref="Q241">IF(R241="","",INDEX(Podcasts!$J$10:'Podcasts'!$J$2535,MATCH(R241&amp;$B241,Podcasts!$E$10:'Podcasts'!$E$2535&amp;Podcasts!$D$10:'Podcasts'!$D$2535,0)))</f>
        <v/>
      </c>
      <c r="R241" s="133" t="str">
        <f t="array" ref="R241">IF(COUNTIF(Podcasts!$D$10:'Podcasts'!$D$2535,$B241)&lt;COLUMN(E204),"",SMALL(IF(Podcasts!$D$10:'Podcasts'!$D$2535=$B241,Podcasts!$E$10:'Podcasts'!$E$2535),COLUMN(E204)))</f>
        <v/>
      </c>
      <c r="S241" s="132" t="str">
        <f t="array" ref="S241">IF(R241="","",INDEX(Podcasts!$F$10:'Podcasts'!$F$2535,MATCH(R241&amp;$B241,Podcasts!$E$10:'Podcasts'!$E$2535&amp;Podcasts!$D$10:'Podcasts'!$D$2535,0)))</f>
        <v/>
      </c>
      <c r="T241" s="136" t="str">
        <f t="array" ref="T241">IF(U241="","",INDEX(Podcasts!$J$10:'Podcasts'!$J$2535,MATCH(U241&amp;$B241,Podcasts!$E$10:'Podcasts'!$E$2535&amp;Podcasts!$D$10:'Podcasts'!$D$2535,0)))</f>
        <v/>
      </c>
      <c r="U241" s="133" t="str">
        <f t="array" ref="U241">IF(COUNTIF(Podcasts!$D$10:'Podcasts'!$D$2535,$B241)&lt;COLUMN(F204),"",SMALL(IF(Podcasts!$D$10:'Podcasts'!$D$2535=$B241,Podcasts!$E$10:'Podcasts'!$E$2535),COLUMN(F204)))</f>
        <v/>
      </c>
      <c r="V241" s="132" t="str">
        <f t="array" ref="V241">IF(U241="","",INDEX(Podcasts!$F$10:'Podcasts'!$F$2535,MATCH(U241&amp;$B241,Podcasts!$E$10:'Podcasts'!$E$2535&amp;Podcasts!$D$10:'Podcasts'!$D$2535,0)))</f>
        <v/>
      </c>
      <c r="W241" s="136" t="str">
        <f t="array" ref="W241">IF(X241="","",INDEX(Podcasts!$J$10:'Podcasts'!$J$2535,MATCH(X241&amp;$B241,Podcasts!$E$10:'Podcasts'!$E$2535&amp;Podcasts!$D$10:'Podcasts'!$D$2535,0)))</f>
        <v/>
      </c>
      <c r="X241" s="133" t="str">
        <f t="array" ref="X241">IF(COUNTIF(Podcasts!$D$10:'Podcasts'!$D$2535,$B241)&lt;COLUMN(G204),"",SMALL(IF(Podcasts!$D$10:'Podcasts'!$D$2535=$B241,Podcasts!$E$10:'Podcasts'!$E$2535),COLUMN(G204)))</f>
        <v/>
      </c>
      <c r="Y241" s="132" t="str">
        <f t="array" ref="Y241">IF(X241="","",INDEX(Podcasts!$F$10:'Podcasts'!$F$2535,MATCH(X241&amp;$B241,Podcasts!$E$10:'Podcasts'!$E$2535&amp;Podcasts!$D$10:'Podcasts'!$D$2535,0)))</f>
        <v/>
      </c>
      <c r="Z241" s="136" t="str">
        <f t="array" ref="Z241">IF(AA241="","",INDEX(Podcasts!$J$10:'Podcasts'!$J$2535,MATCH(AA241&amp;$B241,Podcasts!$E$10:'Podcasts'!$E$2535&amp;Podcasts!$D$10:'Podcasts'!$D$2535,0)))</f>
        <v/>
      </c>
      <c r="AA241" s="134" t="str">
        <f t="array" ref="AA241">IF(COUNTIF(Podcasts!$D$10:'Podcasts'!$D$2535,$B241)&lt;COLUMN(H204),"",SMALL(IF(Podcasts!$D$10:'Podcasts'!$D$2535=$B241,Podcasts!$E$10:'Podcasts'!$E$2535),COLUMN(H204)))</f>
        <v/>
      </c>
      <c r="AB241" s="404" t="str">
        <f t="array" ref="AB241">IF(AA241="","",INDEX(Podcasts!$F$10:'Podcasts'!$F$2535,MATCH(AA241&amp;$B241,Podcasts!$E$10:'Podcasts'!$E$2535&amp;Podcasts!$D$10:'Podcasts'!$D$2535,0)))</f>
        <v/>
      </c>
      <c r="AC241" s="406" t="str">
        <f t="array" ref="AC241">IF(AD241="","",INDEX(Podcasts!$J$10:'Podcasts'!$J$2535,MATCH(AD241&amp;$B241,Podcasts!$E$10:'Podcasts'!$E$2535&amp;Podcasts!$D$10:'Podcasts'!$D$2535,0)))</f>
        <v/>
      </c>
      <c r="AD241" s="400" t="str">
        <f t="array" ref="AD241">IF(COUNTIF(Podcasts!$D$10:'Podcasts'!$D$2535,$B241)&lt;COLUMN(I204),"",SMALL(IF(Podcasts!$D$10:'Podcasts'!$D$2535=$B241,Podcasts!$E$10:'Podcasts'!$E$2535),COLUMN(I204)))</f>
        <v/>
      </c>
      <c r="AE241" s="401" t="str">
        <f t="array" ref="AE241">IF(AD241="","",INDEX(Podcasts!$F$10:'Podcasts'!$F$2535,MATCH(AD241&amp;$B241,Podcasts!$E$10:'Podcasts'!$E$2535&amp;Podcasts!$D$10:'Podcasts'!$D$2535,0)))</f>
        <v/>
      </c>
      <c r="AF241" s="406" t="str">
        <f t="array" ref="AF241">IF(AG241="","",INDEX(Podcasts!$J$10:'Podcasts'!$J$2535,MATCH(AG241&amp;$B241,Podcasts!$E$10:'Podcasts'!$E$2535&amp;Podcasts!$D$10:'Podcasts'!$D$2535,0)))</f>
        <v/>
      </c>
      <c r="AG241" s="400" t="str">
        <f t="array" ref="AG241">IF(COUNTIF(Podcasts!$D$10:'Podcasts'!$D$2535,$B241)&lt;COLUMN(J204),"",SMALL(IF(Podcasts!$D$10:'Podcasts'!$D$2535=$B241,Podcasts!$E$10:'Podcasts'!$E$2535),COLUMN(J204)))</f>
        <v/>
      </c>
      <c r="AH241" s="401" t="str">
        <f t="array" ref="AH241">IF(AG241="","",INDEX(Podcasts!$F$10:'Podcasts'!$F$2535,MATCH(AG241&amp;$B241,Podcasts!$E$10:'Podcasts'!$E$2535&amp;Podcasts!$D$10:'Podcasts'!$D$2535,0)))</f>
        <v/>
      </c>
      <c r="AI241" s="406" t="str">
        <f t="array" ref="AI241">IF(AJ241="","",INDEX(Podcasts!$J$10:'Podcasts'!$J$2535,MATCH(AJ241&amp;$B241,Podcasts!$E$10:'Podcasts'!$E$2535&amp;Podcasts!$D$10:'Podcasts'!$D$2535,0)))</f>
        <v/>
      </c>
      <c r="AJ241" s="400" t="str">
        <f t="array" ref="AJ241">IF(COUNTIF(Podcasts!$D$10:'Podcasts'!$D$2535,$B241)&lt;COLUMN(K204),"",SMALL(IF(Podcasts!$D$10:'Podcasts'!$D$2535=$B241,Podcasts!$E$10:'Podcasts'!$E$2535),COLUMN(K204)))</f>
        <v/>
      </c>
      <c r="AK241" s="401" t="str">
        <f t="array" ref="AK241">IF(AJ241="","",INDEX(Podcasts!$F$10:'Podcasts'!$F$2535,MATCH(AJ241&amp;$B241,Podcasts!$E$10:'Podcasts'!$E$2535&amp;Podcasts!$D$10:'Podcasts'!$D$2535,0)))</f>
        <v/>
      </c>
      <c r="AL241" s="406" t="str">
        <f t="array" ref="AL241">IF(AM241="","",INDEX(Podcasts!$J$10:'Podcasts'!$J$2535,MATCH(AM241&amp;$B241,Podcasts!$E$10:'Podcasts'!$E$2535&amp;Podcasts!$D$10:'Podcasts'!$D$2535,0)))</f>
        <v/>
      </c>
      <c r="AM241" s="400" t="str">
        <f t="array" ref="AM241">IF(COUNTIF(Podcasts!$D$10:'Podcasts'!$D$2535,$B241)&lt;COLUMN(L204),"",SMALL(IF(Podcasts!$D$10:'Podcasts'!$D$2535=$B241,Podcasts!$E$10:'Podcasts'!$E$2535),COLUMN(L204)))</f>
        <v/>
      </c>
      <c r="AN241" s="401" t="str">
        <f t="array" ref="AN241">IF(AM241="","",INDEX(Podcasts!$F$10:'Podcasts'!$F$2535,MATCH(AM241&amp;$B241,Podcasts!$E$10:'Podcasts'!$E$2535&amp;Podcasts!$D$10:'Podcasts'!$D$2535,0)))</f>
        <v/>
      </c>
      <c r="AO241" s="402"/>
      <c r="AP241" s="119"/>
      <c r="AQ241" s="117"/>
      <c r="AR241" s="117"/>
      <c r="AS241" s="117"/>
      <c r="AT241" s="117"/>
      <c r="AU241" s="117">
        <f t="array" aca="1" ref="AU241" ca="1">IFERROR(SMALL(IF(COUNTIF(Podcasts!$D$479:'Podcasts'!$D$488,ROW(INDIRECT("1:"&amp;K$2)))=0,ROW(INDIRECT("1:"&amp;K$2))),ROW($A198)),"")</f>
        <v>202</v>
      </c>
      <c r="AV241" s="117">
        <f t="array" aca="1" ref="AV241" ca="1">IFERROR(SMALL(IF(COUNTIF(Podcasts!$D$494:'Podcasts'!$D$518,ROW(INDIRECT("1:"&amp;K$2)))=0,ROW(INDIRECT("1:"&amp;K$2))),ROW($A198)),"")</f>
        <v>223</v>
      </c>
      <c r="AW241" s="117">
        <f t="array" aca="1" ref="AW241" ca="1">IFERROR(SMALL(IF(COUNTIF(Podcasts!$D$524:'Podcasts'!$D$532,ROW(INDIRECT("1:"&amp;K$2)))=0,ROW(INDIRECT("1:"&amp;K$2))),ROW($A198)),"")</f>
        <v>205</v>
      </c>
      <c r="AX241" s="117"/>
      <c r="AY241" s="117"/>
      <c r="AZ241" s="445"/>
      <c r="BA241" s="117"/>
      <c r="BB241" s="117">
        <f t="array" aca="1" ref="BB241" ca="1">IFERROR(SMALL(IF(COUNTIF(Podcasts!$D$1257:'Podcasts'!$D$1267,ROW(INDIRECT("1:"&amp;K$2)))=0,ROW(INDIRECT("1:"&amp;K$2))),ROW($A198)),"")</f>
        <v>205</v>
      </c>
      <c r="BC241" s="117">
        <f t="array" aca="1" ref="BC241" ca="1">IFERROR(SMALL(IF(COUNTIF(Podcasts!$D$1273:'Podcasts'!$D$1283,ROW(INDIRECT("1:"&amp;K$2)))=0,ROW(INDIRECT("1:"&amp;K$2))),ROW($A198)),"")</f>
        <v>205</v>
      </c>
      <c r="BD241" s="117">
        <f t="array" aca="1" ref="BD241" ca="1">IFERROR(SMALL(IF(COUNTIF(Podcasts!$D$1289:'Podcasts'!$D$1295,ROW(INDIRECT("1:"&amp;K$2)))=0,ROW(INDIRECT("1:"&amp;K$2))),ROW($A198)),"")</f>
        <v>204</v>
      </c>
      <c r="BE241" s="117"/>
      <c r="BF241" s="117">
        <f t="array" aca="1" ref="BF241" ca="1">IFERROR(SMALL(IF(COUNTIF(Podcasts!$D$1362:'Podcasts'!$D$1364,ROW(INDIRECT("1:"&amp;K$2)))=0,ROW(INDIRECT("1:"&amp;K$2))),ROW($A198)),"")</f>
        <v>201</v>
      </c>
      <c r="BG241" s="202"/>
      <c r="BH241" s="202">
        <f t="array" aca="1" ref="BH241" ca="1">IFERROR(SMALL(IF(COUNTIF(Podcasts!$D$1425:'Podcasts'!$D$1446,ROW(INDIRECT("1:"&amp;K$2)))=0,ROW(INDIRECT("1:"&amp;K$2))),ROW($A198)),"")</f>
        <v>211</v>
      </c>
      <c r="BI241" s="202"/>
      <c r="BJ241" s="202"/>
      <c r="BK241" s="202"/>
      <c r="BL241" s="202">
        <f t="array" aca="1" ref="BL241" ca="1">IFERROR(SMALL(IF(COUNTIF(Podcasts!$D$1839:'Podcasts'!$D$1855,ROW(INDIRECT("1:"&amp;K$2)))=0,ROW(INDIRECT("1:"&amp;K$2))),ROW($A198)),"")</f>
        <v>207</v>
      </c>
      <c r="BM241" s="567"/>
      <c r="BN241" s="567"/>
      <c r="BO241" s="567">
        <f t="array" aca="1" ref="BO241" ca="1">IFERROR(SMALL(IF(COUNTIF(Podcasts!$D$2063:'Podcasts'!$D$2071,ROW(INDIRECT("1:"&amp;K$2)))=0,ROW(INDIRECT("1:"&amp;K$2))),ROW($A198)),"")</f>
        <v>206</v>
      </c>
      <c r="BP241" s="202">
        <f t="array" aca="1" ref="BP241" ca="1">IFERROR(SMALL(IF(COUNTIF(Podcasts!$D$2077:'Podcasts'!$D$2092,ROW(INDIRECT("1:"&amp;K$2)))=0,ROW(INDIRECT("1:"&amp;K$2))),ROW($A198)),"")</f>
        <v>209</v>
      </c>
      <c r="BQ241" s="741">
        <f t="array" aca="1" ref="BQ241" ca="1">IFERROR(SMALL(IF(COUNTIF(Podcasts!$D$2098:'Podcasts'!$D$2114,ROW(INDIRECT("1:"&amp;K$2)))=0,ROW(INDIRECT("1:"&amp;K$2))),ROW($A198)),"")</f>
        <v>213</v>
      </c>
      <c r="BR241" s="744">
        <f t="array" aca="1" ref="BR241" ca="1">IFERROR(SMALL(IF(COUNTIF(Podcasts!$D$2120:'Podcasts'!$D$2124,ROW(INDIRECT("1:"&amp;K$2)))=0,ROW(INDIRECT("1:"&amp;K$2))),ROW($A198)),"")</f>
        <v>200</v>
      </c>
      <c r="BS241" s="28"/>
    </row>
    <row r="242" spans="1:71" outlineLevel="1">
      <c r="A242" s="28"/>
      <c r="B242" s="161">
        <v>199</v>
      </c>
      <c r="C242" s="161">
        <f>COUNTIF(Podcasts!$D$10:'Podcasts'!$D$2535,B242)</f>
        <v>4</v>
      </c>
      <c r="D242" s="160" t="s">
        <v>1223</v>
      </c>
      <c r="E242" s="156" t="str">
        <f t="array" ref="E242">IF(F242="","",INDEX(Podcasts!$J$10:'Podcasts'!$J$2535,MATCH(F242&amp;$B242,Podcasts!$E$10:'Podcasts'!$E$2535&amp;Podcasts!$D$10:'Podcasts'!$D$2535,0)))</f>
        <v>Ohr</v>
      </c>
      <c r="F242" s="131">
        <f t="array" ref="F242">IF(COUNTIF(Podcasts!$D$10:'Podcasts'!$D$2535,$B242)&lt;COLUMN(A205),"",SMALL(IF(Podcasts!$D$10:'Podcasts'!$D$2535=$B242,Podcasts!$E$10:'Podcasts'!$E$2535),COLUMN(A205)))</f>
        <v>43615</v>
      </c>
      <c r="G242" s="132">
        <f t="array" ref="G242">IF(F242="","",INDEX(Podcasts!$F$10:'Podcasts'!$F$2535,MATCH(F242&amp;$B242,Podcasts!$E$10:'Podcasts'!$E$2535&amp;Podcasts!$D$10:'Podcasts'!$D$2535,0)))</f>
        <v>3.3449074074074071E-3</v>
      </c>
      <c r="H242" s="136" t="str">
        <f t="array" ref="H242">IF(I242="","",INDEX(Podcasts!$J$10:'Podcasts'!$J$2535,MATCH(I242&amp;$B242,Podcasts!$E$10:'Podcasts'!$E$2535&amp;Podcasts!$D$10:'Podcasts'!$D$2535,0)))</f>
        <v>Zentrale</v>
      </c>
      <c r="I242" s="133">
        <f t="array" ref="I242">IF(COUNTIF(Podcasts!$D$10:'Podcasts'!$D$2535,$B242)&lt;COLUMN(B205),"",SMALL(IF(Podcasts!$D$10:'Podcasts'!$D$2535=$B242,Podcasts!$E$10:'Podcasts'!$E$2535),COLUMN(B205)))</f>
        <v>43623</v>
      </c>
      <c r="J242" s="132">
        <f t="array" ref="J242">IF(I242="","",INDEX(Podcasts!$F$10:'Podcasts'!$F$2535,MATCH(I242&amp;$B242,Podcasts!$E$10:'Podcasts'!$E$2535&amp;Podcasts!$D$10:'Podcasts'!$D$2535,0)))</f>
        <v>0.11021990740740741</v>
      </c>
      <c r="K242" s="136" t="str">
        <f t="array" ref="K242">IF(L242="","",INDEX(Podcasts!$J$10:'Podcasts'!$J$2535,MATCH(L242&amp;$B242,Podcasts!$E$10:'Podcasts'!$E$2535&amp;Podcasts!$D$10:'Podcasts'!$D$2535,0)))</f>
        <v>Kaffee</v>
      </c>
      <c r="L242" s="133">
        <f t="array" ref="L242">IF(COUNTIF(Podcasts!$D$10:'Podcasts'!$D$2535,$B242)&lt;COLUMN(C205),"",SMALL(IF(Podcasts!$D$10:'Podcasts'!$D$2535=$B242,Podcasts!$E$10:'Podcasts'!$E$2535),COLUMN(C205)))</f>
        <v>44253</v>
      </c>
      <c r="M242" s="132">
        <f t="array" ref="M242">IF(L242="","",INDEX(Podcasts!$F$10:'Podcasts'!$F$2535,MATCH(L242&amp;$B242,Podcasts!$E$10:'Podcasts'!$E$2535&amp;Podcasts!$D$10:'Podcasts'!$D$2535,0)))</f>
        <v>1.4965277777777779E-2</v>
      </c>
      <c r="N242" s="136" t="str">
        <f t="array" ref="N242">IF(O242="","",INDEX(Podcasts!$J$10:'Podcasts'!$J$2535,MATCH(O242&amp;$B242,Podcasts!$E$10:'Podcasts'!$E$2535&amp;Podcasts!$D$10:'Podcasts'!$D$2535,0)))</f>
        <v>???od</v>
      </c>
      <c r="O242" s="133">
        <f t="array" ref="O242">IF(COUNTIF(Podcasts!$D$10:'Podcasts'!$D$2535,$B242)&lt;COLUMN(D205),"",SMALL(IF(Podcasts!$D$10:'Podcasts'!$D$2535=$B242,Podcasts!$E$10:'Podcasts'!$E$2535),COLUMN(D205)))</f>
        <v>45105</v>
      </c>
      <c r="P242" s="132">
        <f t="array" ref="P242">IF(O242="","",INDEX(Podcasts!$F$10:'Podcasts'!$F$2535,MATCH(O242&amp;$B242,Podcasts!$E$10:'Podcasts'!$E$2535&amp;Podcasts!$D$10:'Podcasts'!$D$2535,0)))</f>
        <v>6.1932870370370374E-2</v>
      </c>
      <c r="Q242" s="136" t="str">
        <f t="array" ref="Q242">IF(R242="","",INDEX(Podcasts!$J$10:'Podcasts'!$J$2535,MATCH(R242&amp;$B242,Podcasts!$E$10:'Podcasts'!$E$2535&amp;Podcasts!$D$10:'Podcasts'!$D$2535,0)))</f>
        <v/>
      </c>
      <c r="R242" s="133" t="str">
        <f t="array" ref="R242">IF(COUNTIF(Podcasts!$D$10:'Podcasts'!$D$2535,$B242)&lt;COLUMN(E205),"",SMALL(IF(Podcasts!$D$10:'Podcasts'!$D$2535=$B242,Podcasts!$E$10:'Podcasts'!$E$2535),COLUMN(E205)))</f>
        <v/>
      </c>
      <c r="S242" s="132" t="str">
        <f t="array" ref="S242">IF(R242="","",INDEX(Podcasts!$F$10:'Podcasts'!$F$2535,MATCH(R242&amp;$B242,Podcasts!$E$10:'Podcasts'!$E$2535&amp;Podcasts!$D$10:'Podcasts'!$D$2535,0)))</f>
        <v/>
      </c>
      <c r="T242" s="136" t="str">
        <f t="array" ref="T242">IF(U242="","",INDEX(Podcasts!$J$10:'Podcasts'!$J$2535,MATCH(U242&amp;$B242,Podcasts!$E$10:'Podcasts'!$E$2535&amp;Podcasts!$D$10:'Podcasts'!$D$2535,0)))</f>
        <v/>
      </c>
      <c r="U242" s="133" t="str">
        <f t="array" ref="U242">IF(COUNTIF(Podcasts!$D$10:'Podcasts'!$D$2535,$B242)&lt;COLUMN(F205),"",SMALL(IF(Podcasts!$D$10:'Podcasts'!$D$2535=$B242,Podcasts!$E$10:'Podcasts'!$E$2535),COLUMN(F205)))</f>
        <v/>
      </c>
      <c r="V242" s="132" t="str">
        <f t="array" ref="V242">IF(U242="","",INDEX(Podcasts!$F$10:'Podcasts'!$F$2535,MATCH(U242&amp;$B242,Podcasts!$E$10:'Podcasts'!$E$2535&amp;Podcasts!$D$10:'Podcasts'!$D$2535,0)))</f>
        <v/>
      </c>
      <c r="W242" s="136" t="str">
        <f t="array" ref="W242">IF(X242="","",INDEX(Podcasts!$J$10:'Podcasts'!$J$2535,MATCH(X242&amp;$B242,Podcasts!$E$10:'Podcasts'!$E$2535&amp;Podcasts!$D$10:'Podcasts'!$D$2535,0)))</f>
        <v/>
      </c>
      <c r="X242" s="133" t="str">
        <f t="array" ref="X242">IF(COUNTIF(Podcasts!$D$10:'Podcasts'!$D$2535,$B242)&lt;COLUMN(G205),"",SMALL(IF(Podcasts!$D$10:'Podcasts'!$D$2535=$B242,Podcasts!$E$10:'Podcasts'!$E$2535),COLUMN(G205)))</f>
        <v/>
      </c>
      <c r="Y242" s="132" t="str">
        <f t="array" ref="Y242">IF(X242="","",INDEX(Podcasts!$F$10:'Podcasts'!$F$2535,MATCH(X242&amp;$B242,Podcasts!$E$10:'Podcasts'!$E$2535&amp;Podcasts!$D$10:'Podcasts'!$D$2535,0)))</f>
        <v/>
      </c>
      <c r="Z242" s="136" t="str">
        <f t="array" ref="Z242">IF(AA242="","",INDEX(Podcasts!$J$10:'Podcasts'!$J$2535,MATCH(AA242&amp;$B242,Podcasts!$E$10:'Podcasts'!$E$2535&amp;Podcasts!$D$10:'Podcasts'!$D$2535,0)))</f>
        <v/>
      </c>
      <c r="AA242" s="134" t="str">
        <f t="array" ref="AA242">IF(COUNTIF(Podcasts!$D$10:'Podcasts'!$D$2535,$B242)&lt;COLUMN(H205),"",SMALL(IF(Podcasts!$D$10:'Podcasts'!$D$2535=$B242,Podcasts!$E$10:'Podcasts'!$E$2535),COLUMN(H205)))</f>
        <v/>
      </c>
      <c r="AB242" s="404" t="str">
        <f t="array" ref="AB242">IF(AA242="","",INDEX(Podcasts!$F$10:'Podcasts'!$F$2535,MATCH(AA242&amp;$B242,Podcasts!$E$10:'Podcasts'!$E$2535&amp;Podcasts!$D$10:'Podcasts'!$D$2535,0)))</f>
        <v/>
      </c>
      <c r="AC242" s="406" t="str">
        <f t="array" ref="AC242">IF(AD242="","",INDEX(Podcasts!$J$10:'Podcasts'!$J$2535,MATCH(AD242&amp;$B242,Podcasts!$E$10:'Podcasts'!$E$2535&amp;Podcasts!$D$10:'Podcasts'!$D$2535,0)))</f>
        <v/>
      </c>
      <c r="AD242" s="400" t="str">
        <f t="array" ref="AD242">IF(COUNTIF(Podcasts!$D$10:'Podcasts'!$D$2535,$B242)&lt;COLUMN(I205),"",SMALL(IF(Podcasts!$D$10:'Podcasts'!$D$2535=$B242,Podcasts!$E$10:'Podcasts'!$E$2535),COLUMN(I205)))</f>
        <v/>
      </c>
      <c r="AE242" s="401" t="str">
        <f t="array" ref="AE242">IF(AD242="","",INDEX(Podcasts!$F$10:'Podcasts'!$F$2535,MATCH(AD242&amp;$B242,Podcasts!$E$10:'Podcasts'!$E$2535&amp;Podcasts!$D$10:'Podcasts'!$D$2535,0)))</f>
        <v/>
      </c>
      <c r="AF242" s="406" t="str">
        <f t="array" ref="AF242">IF(AG242="","",INDEX(Podcasts!$J$10:'Podcasts'!$J$2535,MATCH(AG242&amp;$B242,Podcasts!$E$10:'Podcasts'!$E$2535&amp;Podcasts!$D$10:'Podcasts'!$D$2535,0)))</f>
        <v/>
      </c>
      <c r="AG242" s="400" t="str">
        <f t="array" ref="AG242">IF(COUNTIF(Podcasts!$D$10:'Podcasts'!$D$2535,$B242)&lt;COLUMN(J205),"",SMALL(IF(Podcasts!$D$10:'Podcasts'!$D$2535=$B242,Podcasts!$E$10:'Podcasts'!$E$2535),COLUMN(J205)))</f>
        <v/>
      </c>
      <c r="AH242" s="401" t="str">
        <f t="array" ref="AH242">IF(AG242="","",INDEX(Podcasts!$F$10:'Podcasts'!$F$2535,MATCH(AG242&amp;$B242,Podcasts!$E$10:'Podcasts'!$E$2535&amp;Podcasts!$D$10:'Podcasts'!$D$2535,0)))</f>
        <v/>
      </c>
      <c r="AI242" s="406" t="str">
        <f t="array" ref="AI242">IF(AJ242="","",INDEX(Podcasts!$J$10:'Podcasts'!$J$2535,MATCH(AJ242&amp;$B242,Podcasts!$E$10:'Podcasts'!$E$2535&amp;Podcasts!$D$10:'Podcasts'!$D$2535,0)))</f>
        <v/>
      </c>
      <c r="AJ242" s="400" t="str">
        <f t="array" ref="AJ242">IF(COUNTIF(Podcasts!$D$10:'Podcasts'!$D$2535,$B242)&lt;COLUMN(K205),"",SMALL(IF(Podcasts!$D$10:'Podcasts'!$D$2535=$B242,Podcasts!$E$10:'Podcasts'!$E$2535),COLUMN(K205)))</f>
        <v/>
      </c>
      <c r="AK242" s="401" t="str">
        <f t="array" ref="AK242">IF(AJ242="","",INDEX(Podcasts!$F$10:'Podcasts'!$F$2535,MATCH(AJ242&amp;$B242,Podcasts!$E$10:'Podcasts'!$E$2535&amp;Podcasts!$D$10:'Podcasts'!$D$2535,0)))</f>
        <v/>
      </c>
      <c r="AL242" s="406" t="str">
        <f t="array" ref="AL242">IF(AM242="","",INDEX(Podcasts!$J$10:'Podcasts'!$J$2535,MATCH(AM242&amp;$B242,Podcasts!$E$10:'Podcasts'!$E$2535&amp;Podcasts!$D$10:'Podcasts'!$D$2535,0)))</f>
        <v/>
      </c>
      <c r="AM242" s="400" t="str">
        <f t="array" ref="AM242">IF(COUNTIF(Podcasts!$D$10:'Podcasts'!$D$2535,$B242)&lt;COLUMN(L205),"",SMALL(IF(Podcasts!$D$10:'Podcasts'!$D$2535=$B242,Podcasts!$E$10:'Podcasts'!$E$2535),COLUMN(L205)))</f>
        <v/>
      </c>
      <c r="AN242" s="401" t="str">
        <f t="array" ref="AN242">IF(AM242="","",INDEX(Podcasts!$F$10:'Podcasts'!$F$2535,MATCH(AM242&amp;$B242,Podcasts!$E$10:'Podcasts'!$E$2535&amp;Podcasts!$D$10:'Podcasts'!$D$2535,0)))</f>
        <v/>
      </c>
      <c r="AO242" s="402"/>
      <c r="AP242" s="119"/>
      <c r="AQ242" s="117"/>
      <c r="AR242" s="117"/>
      <c r="AS242" s="117"/>
      <c r="AT242" s="117"/>
      <c r="AU242" s="117">
        <f t="array" aca="1" ref="AU242" ca="1">IFERROR(SMALL(IF(COUNTIF(Podcasts!$D$479:'Podcasts'!$D$488,ROW(INDIRECT("1:"&amp;K$2)))=0,ROW(INDIRECT("1:"&amp;K$2))),ROW($A199)),"")</f>
        <v>203</v>
      </c>
      <c r="AV242" s="117">
        <f t="array" aca="1" ref="AV242" ca="1">IFERROR(SMALL(IF(COUNTIF(Podcasts!$D$494:'Podcasts'!$D$518,ROW(INDIRECT("1:"&amp;K$2)))=0,ROW(INDIRECT("1:"&amp;K$2))),ROW($A199)),"")</f>
        <v>224</v>
      </c>
      <c r="AW242" s="117">
        <f t="array" aca="1" ref="AW242" ca="1">IFERROR(SMALL(IF(COUNTIF(Podcasts!$D$524:'Podcasts'!$D$532,ROW(INDIRECT("1:"&amp;K$2)))=0,ROW(INDIRECT("1:"&amp;K$2))),ROW($A199)),"")</f>
        <v>206</v>
      </c>
      <c r="AX242" s="117"/>
      <c r="AY242" s="117"/>
      <c r="AZ242" s="445"/>
      <c r="BA242" s="117"/>
      <c r="BB242" s="117">
        <f t="array" aca="1" ref="BB242" ca="1">IFERROR(SMALL(IF(COUNTIF(Podcasts!$D$1257:'Podcasts'!$D$1267,ROW(INDIRECT("1:"&amp;K$2)))=0,ROW(INDIRECT("1:"&amp;K$2))),ROW($A199)),"")</f>
        <v>206</v>
      </c>
      <c r="BC242" s="117">
        <f t="array" aca="1" ref="BC242" ca="1">IFERROR(SMALL(IF(COUNTIF(Podcasts!$D$1273:'Podcasts'!$D$1283,ROW(INDIRECT("1:"&amp;K$2)))=0,ROW(INDIRECT("1:"&amp;K$2))),ROW($A199)),"")</f>
        <v>206</v>
      </c>
      <c r="BD242" s="117">
        <f t="array" aca="1" ref="BD242" ca="1">IFERROR(SMALL(IF(COUNTIF(Podcasts!$D$1289:'Podcasts'!$D$1295,ROW(INDIRECT("1:"&amp;K$2)))=0,ROW(INDIRECT("1:"&amp;K$2))),ROW($A199)),"")</f>
        <v>205</v>
      </c>
      <c r="BE242" s="117"/>
      <c r="BF242" s="117">
        <f t="array" aca="1" ref="BF242" ca="1">IFERROR(SMALL(IF(COUNTIF(Podcasts!$D$1362:'Podcasts'!$D$1364,ROW(INDIRECT("1:"&amp;K$2)))=0,ROW(INDIRECT("1:"&amp;K$2))),ROW($A199)),"")</f>
        <v>202</v>
      </c>
      <c r="BG242" s="202"/>
      <c r="BH242" s="202">
        <f t="array" aca="1" ref="BH242" ca="1">IFERROR(SMALL(IF(COUNTIF(Podcasts!$D$1425:'Podcasts'!$D$1446,ROW(INDIRECT("1:"&amp;K$2)))=0,ROW(INDIRECT("1:"&amp;K$2))),ROW($A199)),"")</f>
        <v>212</v>
      </c>
      <c r="BI242" s="202"/>
      <c r="BJ242" s="202"/>
      <c r="BK242" s="202"/>
      <c r="BL242" s="202">
        <f t="array" aca="1" ref="BL242" ca="1">IFERROR(SMALL(IF(COUNTIF(Podcasts!$D$1839:'Podcasts'!$D$1855,ROW(INDIRECT("1:"&amp;K$2)))=0,ROW(INDIRECT("1:"&amp;K$2))),ROW($A199)),"")</f>
        <v>208</v>
      </c>
      <c r="BM242" s="567"/>
      <c r="BN242" s="567"/>
      <c r="BO242" s="567">
        <f t="array" aca="1" ref="BO242" ca="1">IFERROR(SMALL(IF(COUNTIF(Podcasts!$D$2063:'Podcasts'!$D$2071,ROW(INDIRECT("1:"&amp;K$2)))=0,ROW(INDIRECT("1:"&amp;K$2))),ROW($A199)),"")</f>
        <v>207</v>
      </c>
      <c r="BP242" s="202">
        <f t="array" aca="1" ref="BP242" ca="1">IFERROR(SMALL(IF(COUNTIF(Podcasts!$D$2077:'Podcasts'!$D$2092,ROW(INDIRECT("1:"&amp;K$2)))=0,ROW(INDIRECT("1:"&amp;K$2))),ROW($A199)),"")</f>
        <v>210</v>
      </c>
      <c r="BQ242" s="741">
        <f t="array" aca="1" ref="BQ242" ca="1">IFERROR(SMALL(IF(COUNTIF(Podcasts!$D$2098:'Podcasts'!$D$2114,ROW(INDIRECT("1:"&amp;K$2)))=0,ROW(INDIRECT("1:"&amp;K$2))),ROW($A199)),"")</f>
        <v>214</v>
      </c>
      <c r="BR242" s="744">
        <f t="array" aca="1" ref="BR242" ca="1">IFERROR(SMALL(IF(COUNTIF(Podcasts!$D$2120:'Podcasts'!$D$2124,ROW(INDIRECT("1:"&amp;K$2)))=0,ROW(INDIRECT("1:"&amp;K$2))),ROW($A199)),"")</f>
        <v>201</v>
      </c>
      <c r="BS242" s="28"/>
    </row>
    <row r="243" spans="1:71" outlineLevel="1">
      <c r="A243" s="28"/>
      <c r="B243" s="161">
        <v>200</v>
      </c>
      <c r="C243" s="161">
        <f>COUNTIF(Podcasts!$D$10:'Podcasts'!$D$2535,B243)-9</f>
        <v>6</v>
      </c>
      <c r="D243" s="160" t="s">
        <v>1228</v>
      </c>
      <c r="E243" s="156" t="str">
        <f t="array" ref="E243">IF(F243="","",INDEX(Podcasts!$J$10:'Podcasts'!$J$2535,MATCH(F243&amp;$B243,Podcasts!$E$10:'Podcasts'!$E$2535&amp;Podcasts!$D$10:'Podcasts'!$D$2535,0)))</f>
        <v>Retro</v>
      </c>
      <c r="F243" s="131">
        <f t="array" ref="F243">IF(COUNTIF(Podcasts!$D$10:'Podcasts'!$D$2535,$B243)&lt;COLUMN(A206),"",SMALL(IF(Podcasts!$D$10:'Podcasts'!$D$2535=$B243,Podcasts!$E$10:'Podcasts'!$E$2535),COLUMN(A206)))</f>
        <v>43679</v>
      </c>
      <c r="G243" s="132">
        <f t="array" ref="G243">IF(F243="","",INDEX(Podcasts!$F$10:'Podcasts'!$F$2535,MATCH(F243&amp;$B243,Podcasts!$E$10:'Podcasts'!$E$2535&amp;Podcasts!$D$10:'Podcasts'!$D$2535,0)))</f>
        <v>6.3668981481481479E-2</v>
      </c>
      <c r="H243" s="136" t="str">
        <f t="array" ref="H243">IF(I243="","",INDEX(Podcasts!$J$10:'Podcasts'!$J$2535,MATCH(I243&amp;$B243,Podcasts!$E$10:'Podcasts'!$E$2535&amp;Podcasts!$D$10:'Podcasts'!$D$2535,0)))</f>
        <v>Retro</v>
      </c>
      <c r="I243" s="133">
        <f t="array" ref="I243">IF(COUNTIF(Podcasts!$D$10:'Podcasts'!$D$2535,$B243)&lt;COLUMN(B206),"",SMALL(IF(Podcasts!$D$10:'Podcasts'!$D$2535=$B243,Podcasts!$E$10:'Podcasts'!$E$2535),COLUMN(B206)))</f>
        <v>43686</v>
      </c>
      <c r="J243" s="132">
        <f t="array" ref="J243">IF(I243="","",INDEX(Podcasts!$F$10:'Podcasts'!$F$2535,MATCH(I243&amp;$B243,Podcasts!$E$10:'Podcasts'!$E$2535&amp;Podcasts!$D$10:'Podcasts'!$D$2535,0)))</f>
        <v>6.773148148148149E-2</v>
      </c>
      <c r="K243" s="136" t="str">
        <f t="array" ref="K243">IF(L243="","",INDEX(Podcasts!$J$10:'Podcasts'!$J$2535,MATCH(L243&amp;$B243,Podcasts!$E$10:'Podcasts'!$E$2535&amp;Podcasts!$D$10:'Podcasts'!$D$2535,0)))</f>
        <v>Retro</v>
      </c>
      <c r="L243" s="133">
        <f t="array" ref="L243">IF(COUNTIF(Podcasts!$D$10:'Podcasts'!$D$2535,$B243)&lt;COLUMN(C206),"",SMALL(IF(Podcasts!$D$10:'Podcasts'!$D$2535=$B243,Podcasts!$E$10:'Podcasts'!$E$2535),COLUMN(C206)))</f>
        <v>43707</v>
      </c>
      <c r="M243" s="132">
        <f t="array" ref="M243">IF(L243="","",INDEX(Podcasts!$F$10:'Podcasts'!$F$2535,MATCH(L243&amp;$B243,Podcasts!$E$10:'Podcasts'!$E$2535&amp;Podcasts!$D$10:'Podcasts'!$D$2535,0)))</f>
        <v>6.3657407407407399E-2</v>
      </c>
      <c r="N243" s="136" t="str">
        <f t="array" ref="N243">IF(O243="","",INDEX(Podcasts!$J$10:'Podcasts'!$J$2535,MATCH(O243&amp;$B243,Podcasts!$E$10:'Podcasts'!$E$2535&amp;Podcasts!$D$10:'Podcasts'!$D$2535,0)))</f>
        <v>Retro</v>
      </c>
      <c r="O243" s="133">
        <f t="array" ref="O243">IF(COUNTIF(Podcasts!$D$10:'Podcasts'!$D$2535,$B243)&lt;COLUMN(D206),"",SMALL(IF(Podcasts!$D$10:'Podcasts'!$D$2535=$B243,Podcasts!$E$10:'Podcasts'!$E$2535),COLUMN(D206)))</f>
        <v>43714</v>
      </c>
      <c r="P243" s="132">
        <f t="array" ref="P243">IF(O243="","",INDEX(Podcasts!$F$10:'Podcasts'!$F$2535,MATCH(O243&amp;$B243,Podcasts!$E$10:'Podcasts'!$E$2535&amp;Podcasts!$D$10:'Podcasts'!$D$2535,0)))</f>
        <v>7.795138888888889E-2</v>
      </c>
      <c r="Q243" s="136" t="str">
        <f t="array" ref="Q243">IF(R243="","",INDEX(Podcasts!$J$10:'Podcasts'!$J$2535,MATCH(R243&amp;$B243,Podcasts!$E$10:'Podcasts'!$E$2535&amp;Podcasts!$D$10:'Podcasts'!$D$2535,0)))</f>
        <v>Ohr</v>
      </c>
      <c r="R243" s="133">
        <f t="array" ref="R243">IF(COUNTIF(Podcasts!$D$10:'Podcasts'!$D$2535,$B243)&lt;COLUMN(E206),"",SMALL(IF(Podcasts!$D$10:'Podcasts'!$D$2535=$B243,Podcasts!$E$10:'Podcasts'!$E$2535),COLUMN(E206)))</f>
        <v>43748</v>
      </c>
      <c r="S243" s="132">
        <f t="array" ref="S243">IF(R243="","",INDEX(Podcasts!$F$10:'Podcasts'!$F$2535,MATCH(R243&amp;$B243,Podcasts!$E$10:'Podcasts'!$E$2535&amp;Podcasts!$D$10:'Podcasts'!$D$2535,0)))</f>
        <v>5.5092592592592589E-3</v>
      </c>
      <c r="T243" s="136" t="str">
        <f t="array" ref="T243">IF(U243="","",INDEX(Podcasts!$J$10:'Podcasts'!$J$2535,MATCH(U243&amp;$B243,Podcasts!$E$10:'Podcasts'!$E$2535&amp;Podcasts!$D$10:'Podcasts'!$D$2535,0)))</f>
        <v>R&amp;A</v>
      </c>
      <c r="U243" s="133">
        <f t="array" ref="U243">IF(COUNTIF(Podcasts!$D$10:'Podcasts'!$D$2535,$B243)&lt;COLUMN(F206),"",SMALL(IF(Podcasts!$D$10:'Podcasts'!$D$2535=$B243,Podcasts!$E$10:'Podcasts'!$E$2535),COLUMN(F206)))</f>
        <v>43827.779618055552</v>
      </c>
      <c r="V243" s="132">
        <f t="array" ref="V243">IF(U243="","",INDEX(Podcasts!$F$10:'Podcasts'!$F$2535,MATCH(U243&amp;$B243,Podcasts!$E$10:'Podcasts'!$E$2535&amp;Podcasts!$D$10:'Podcasts'!$D$2535,0)))</f>
        <v>3.6168981481481483E-2</v>
      </c>
      <c r="W243" s="136" t="str">
        <f t="array" ref="W243">IF(X243="","",INDEX(Podcasts!$J$10:'Podcasts'!$J$2535,MATCH(X243&amp;$B243,Podcasts!$E$10:'Podcasts'!$E$2535&amp;Podcasts!$D$10:'Podcasts'!$D$2535,0)))</f>
        <v>Zentrale</v>
      </c>
      <c r="X243" s="133">
        <f t="array" ref="X243">IF(COUNTIF(Podcasts!$D$10:'Podcasts'!$D$2535,$B243)&lt;COLUMN(G206),"",SMALL(IF(Podcasts!$D$10:'Podcasts'!$D$2535=$B243,Podcasts!$E$10:'Podcasts'!$E$2535),COLUMN(G206)))</f>
        <v>43947.886805555558</v>
      </c>
      <c r="Y243" s="132">
        <f t="array" ref="Y243">IF(X243="","",INDEX(Podcasts!$F$10:'Podcasts'!$F$2535,MATCH(X243&amp;$B243,Podcasts!$E$10:'Podcasts'!$E$2535&amp;Podcasts!$D$10:'Podcasts'!$D$2535,0)))</f>
        <v>0.21721064814814817</v>
      </c>
      <c r="Z243" s="136" t="str">
        <f t="array" ref="Z243">IF(AA243="","",INDEX(Podcasts!$J$10:'Podcasts'!$J$2535,MATCH(AA243&amp;$B243,Podcasts!$E$10:'Podcasts'!$E$2535&amp;Podcasts!$D$10:'Podcasts'!$D$2535,0)))</f>
        <v>Zentrale</v>
      </c>
      <c r="AA243" s="134">
        <f t="array" ref="AA243">IF(COUNTIF(Podcasts!$D$10:'Podcasts'!$D$2535,$B243)&lt;COLUMN(H206),"",SMALL(IF(Podcasts!$D$10:'Podcasts'!$D$2535=$B243,Podcasts!$E$10:'Podcasts'!$E$2535),COLUMN(H206)))</f>
        <v>43947.934074074074</v>
      </c>
      <c r="AB243" s="404">
        <f t="array" ref="AB243">IF(AA243="","",INDEX(Podcasts!$F$10:'Podcasts'!$F$2535,MATCH(AA243&amp;$B243,Podcasts!$E$10:'Podcasts'!$E$2535&amp;Podcasts!$D$10:'Podcasts'!$D$2535,0)))</f>
        <v>0.1471412037037037</v>
      </c>
      <c r="AC243" s="406" t="str">
        <f t="array" ref="AC243">IF(AD243="","",INDEX(Podcasts!$J$10:'Podcasts'!$J$2535,MATCH(AD243&amp;$B243,Podcasts!$E$10:'Podcasts'!$E$2535&amp;Podcasts!$D$10:'Podcasts'!$D$2535,0)))</f>
        <v>Zentrale</v>
      </c>
      <c r="AD243" s="400">
        <f t="array" ref="AD243">IF(COUNTIF(Podcasts!$D$10:'Podcasts'!$D$2535,$B243)&lt;COLUMN(I206),"",SMALL(IF(Podcasts!$D$10:'Podcasts'!$D$2535=$B243,Podcasts!$E$10:'Podcasts'!$E$2535),COLUMN(I206)))</f>
        <v>43948.023090277777</v>
      </c>
      <c r="AE243" s="401">
        <f t="array" ref="AE243">IF(AD243="","",INDEX(Podcasts!$F$10:'Podcasts'!$F$2535,MATCH(AD243&amp;$B243,Podcasts!$E$10:'Podcasts'!$E$2535&amp;Podcasts!$D$10:'Podcasts'!$D$2535,0)))</f>
        <v>0.11391203703703705</v>
      </c>
      <c r="AF243" s="406" t="str">
        <f t="array" ref="AF243">IF(AG243="","",INDEX(Podcasts!$J$10:'Podcasts'!$J$2535,MATCH(AG243&amp;$B243,Podcasts!$E$10:'Podcasts'!$E$2535&amp;Podcasts!$D$10:'Podcasts'!$D$2535,0)))</f>
        <v>Zentrale</v>
      </c>
      <c r="AG243" s="400">
        <f t="array" ref="AG243">IF(COUNTIF(Podcasts!$D$10:'Podcasts'!$D$2535,$B243)&lt;COLUMN(J206),"",SMALL(IF(Podcasts!$D$10:'Podcasts'!$D$2535=$B243,Podcasts!$E$10:'Podcasts'!$E$2535),COLUMN(J206)))</f>
        <v>43948.082291666666</v>
      </c>
      <c r="AH243" s="401">
        <f t="array" ref="AH243">IF(AG243="","",INDEX(Podcasts!$F$10:'Podcasts'!$F$2535,MATCH(AG243&amp;$B243,Podcasts!$E$10:'Podcasts'!$E$2535&amp;Podcasts!$D$10:'Podcasts'!$D$2535,0)))</f>
        <v>0.16546296296296295</v>
      </c>
      <c r="AI243" s="406" t="str">
        <f t="array" ref="AI243">IF(AJ243="","",INDEX(Podcasts!$J$10:'Podcasts'!$J$2535,MATCH(AJ243&amp;$B243,Podcasts!$E$10:'Podcasts'!$E$2535&amp;Podcasts!$D$10:'Podcasts'!$D$2535,0)))</f>
        <v>Verstärker</v>
      </c>
      <c r="AJ243" s="400">
        <f t="array" ref="AJ243">IF(COUNTIF(Podcasts!$D$10:'Podcasts'!$D$2535,$B243)&lt;COLUMN(K206),"",SMALL(IF(Podcasts!$D$10:'Podcasts'!$D$2535=$B243,Podcasts!$E$10:'Podcasts'!$E$2535),COLUMN(K206)))</f>
        <v>44380</v>
      </c>
      <c r="AK243" s="401">
        <f t="array" ref="AK243">IF(AJ243="","",INDEX(Podcasts!$F$10:'Podcasts'!$F$2535,MATCH(AJ243&amp;$B243,Podcasts!$E$10:'Podcasts'!$E$2535&amp;Podcasts!$D$10:'Podcasts'!$D$2535,0)))</f>
        <v>2.8344907407407412E-2</v>
      </c>
      <c r="AL243" s="406" t="str">
        <f t="array" ref="AL243">IF(AM243="","",INDEX(Podcasts!$J$10:'Podcasts'!$J$2535,MATCH(AM243&amp;$B243,Podcasts!$E$10:'Podcasts'!$E$2535&amp;Podcasts!$D$10:'Podcasts'!$D$2535,0)))</f>
        <v>SSP</v>
      </c>
      <c r="AM243" s="400">
        <f t="array" ref="AM243">IF(COUNTIF(Podcasts!$D$10:'Podcasts'!$D$2535,$B243)&lt;COLUMN(L206),"",SMALL(IF(Podcasts!$D$10:'Podcasts'!$D$2535=$B243,Podcasts!$E$10:'Podcasts'!$E$2535),COLUMN(L206)))</f>
        <v>44554</v>
      </c>
      <c r="AN243" s="401">
        <f t="array" ref="AN243">IF(AM243="","",INDEX(Podcasts!$F$10:'Podcasts'!$F$2535,MATCH(AM243&amp;$B243,Podcasts!$E$10:'Podcasts'!$E$2535&amp;Podcasts!$D$10:'Podcasts'!$D$2535,0)))</f>
        <v>6.9270833333333337E-2</v>
      </c>
      <c r="AO243" s="402"/>
      <c r="AP243" s="119"/>
      <c r="AQ243" s="117"/>
      <c r="AR243" s="117"/>
      <c r="AS243" s="117"/>
      <c r="AT243" s="117"/>
      <c r="AU243" s="117">
        <f t="array" aca="1" ref="AU243" ca="1">IFERROR(SMALL(IF(COUNTIF(Podcasts!$D$479:'Podcasts'!$D$488,ROW(INDIRECT("1:"&amp;K$2)))=0,ROW(INDIRECT("1:"&amp;K$2))),ROW($A200)),"")</f>
        <v>204</v>
      </c>
      <c r="AV243" s="117">
        <f t="array" aca="1" ref="AV243" ca="1">IFERROR(SMALL(IF(COUNTIF(Podcasts!$D$494:'Podcasts'!$D$518,ROW(INDIRECT("1:"&amp;K$2)))=0,ROW(INDIRECT("1:"&amp;K$2))),ROW($A200)),"")</f>
        <v>225</v>
      </c>
      <c r="AW243" s="117">
        <f t="array" aca="1" ref="AW243" ca="1">IFERROR(SMALL(IF(COUNTIF(Podcasts!$D$524:'Podcasts'!$D$532,ROW(INDIRECT("1:"&amp;K$2)))=0,ROW(INDIRECT("1:"&amp;K$2))),ROW($A200)),"")</f>
        <v>207</v>
      </c>
      <c r="AX243" s="117"/>
      <c r="AY243" s="117"/>
      <c r="AZ243" s="445"/>
      <c r="BA243" s="117"/>
      <c r="BB243" s="117">
        <f t="array" aca="1" ref="BB243" ca="1">IFERROR(SMALL(IF(COUNTIF(Podcasts!$D$1257:'Podcasts'!$D$1267,ROW(INDIRECT("1:"&amp;K$2)))=0,ROW(INDIRECT("1:"&amp;K$2))),ROW($A200)),"")</f>
        <v>207</v>
      </c>
      <c r="BC243" s="117">
        <f t="array" aca="1" ref="BC243" ca="1">IFERROR(SMALL(IF(COUNTIF(Podcasts!$D$1273:'Podcasts'!$D$1283,ROW(INDIRECT("1:"&amp;K$2)))=0,ROW(INDIRECT("1:"&amp;K$2))),ROW($A200)),"")</f>
        <v>207</v>
      </c>
      <c r="BD243" s="117">
        <f t="array" aca="1" ref="BD243" ca="1">IFERROR(SMALL(IF(COUNTIF(Podcasts!$D$1289:'Podcasts'!$D$1295,ROW(INDIRECT("1:"&amp;K$2)))=0,ROW(INDIRECT("1:"&amp;K$2))),ROW($A200)),"")</f>
        <v>206</v>
      </c>
      <c r="BE243" s="117"/>
      <c r="BF243" s="117">
        <f t="array" aca="1" ref="BF243" ca="1">IFERROR(SMALL(IF(COUNTIF(Podcasts!$D$1362:'Podcasts'!$D$1364,ROW(INDIRECT("1:"&amp;K$2)))=0,ROW(INDIRECT("1:"&amp;K$2))),ROW($A200)),"")</f>
        <v>203</v>
      </c>
      <c r="BG243" s="202"/>
      <c r="BH243" s="202">
        <f t="array" aca="1" ref="BH243" ca="1">IFERROR(SMALL(IF(COUNTIF(Podcasts!$D$1425:'Podcasts'!$D$1446,ROW(INDIRECT("1:"&amp;K$2)))=0,ROW(INDIRECT("1:"&amp;K$2))),ROW($A200)),"")</f>
        <v>213</v>
      </c>
      <c r="BI243" s="202"/>
      <c r="BJ243" s="202"/>
      <c r="BK243" s="202"/>
      <c r="BL243" s="202">
        <f t="array" aca="1" ref="BL243" ca="1">IFERROR(SMALL(IF(COUNTIF(Podcasts!$D$1839:'Podcasts'!$D$1855,ROW(INDIRECT("1:"&amp;K$2)))=0,ROW(INDIRECT("1:"&amp;K$2))),ROW($A200)),"")</f>
        <v>209</v>
      </c>
      <c r="BM243" s="567"/>
      <c r="BN243" s="567"/>
      <c r="BO243" s="567">
        <f t="array" aca="1" ref="BO243" ca="1">IFERROR(SMALL(IF(COUNTIF(Podcasts!$D$2063:'Podcasts'!$D$2071,ROW(INDIRECT("1:"&amp;K$2)))=0,ROW(INDIRECT("1:"&amp;K$2))),ROW($A200)),"")</f>
        <v>208</v>
      </c>
      <c r="BP243" s="202">
        <f t="array" aca="1" ref="BP243" ca="1">IFERROR(SMALL(IF(COUNTIF(Podcasts!$D$2077:'Podcasts'!$D$2092,ROW(INDIRECT("1:"&amp;K$2)))=0,ROW(INDIRECT("1:"&amp;K$2))),ROW($A200)),"")</f>
        <v>211</v>
      </c>
      <c r="BQ243" s="741">
        <f t="array" aca="1" ref="BQ243" ca="1">IFERROR(SMALL(IF(COUNTIF(Podcasts!$D$2098:'Podcasts'!$D$2114,ROW(INDIRECT("1:"&amp;K$2)))=0,ROW(INDIRECT("1:"&amp;K$2))),ROW($A200)),"")</f>
        <v>215</v>
      </c>
      <c r="BR243" s="744">
        <f t="array" aca="1" ref="BR243" ca="1">IFERROR(SMALL(IF(COUNTIF(Podcasts!$D$2120:'Podcasts'!$D$2124,ROW(INDIRECT("1:"&amp;K$2)))=0,ROW(INDIRECT("1:"&amp;K$2))),ROW($A200)),"")</f>
        <v>202</v>
      </c>
      <c r="BS243" s="28"/>
    </row>
    <row r="244" spans="1:71" outlineLevel="1">
      <c r="A244" s="28"/>
      <c r="B244" s="161">
        <v>201</v>
      </c>
      <c r="C244" s="161">
        <f>COUNTIF(Podcasts!$D$10:'Podcasts'!$D$2535,B244)</f>
        <v>4</v>
      </c>
      <c r="D244" s="160" t="s">
        <v>2702</v>
      </c>
      <c r="E244" s="156" t="str">
        <f t="array" ref="E244">IF(F244="","",INDEX(Podcasts!$J$10:'Podcasts'!$J$2535,MATCH(F244&amp;$B244,Podcasts!$E$10:'Podcasts'!$E$2535&amp;Podcasts!$D$10:'Podcasts'!$D$2535,0)))</f>
        <v>Ohr</v>
      </c>
      <c r="F244" s="131">
        <f t="array" ref="F244">IF(COUNTIF(Podcasts!$D$10:'Podcasts'!$D$2535,$B244)&lt;COLUMN(A207),"",SMALL(IF(Podcasts!$D$10:'Podcasts'!$D$2535=$B244,Podcasts!$E$10:'Podcasts'!$E$2535),COLUMN(A207)))</f>
        <v>43776</v>
      </c>
      <c r="G244" s="132">
        <f t="array" ref="G244">IF(F244="","",INDEX(Podcasts!$F$10:'Podcasts'!$F$2535,MATCH(F244&amp;$B244,Podcasts!$E$10:'Podcasts'!$E$2535&amp;Podcasts!$D$10:'Podcasts'!$D$2535,0)))</f>
        <v>3.7037037037037034E-3</v>
      </c>
      <c r="H244" s="136" t="str">
        <f t="array" ref="H244">IF(I244="","",INDEX(Podcasts!$J$10:'Podcasts'!$J$2535,MATCH(I244&amp;$B244,Podcasts!$E$10:'Podcasts'!$E$2535&amp;Podcasts!$D$10:'Podcasts'!$D$2535,0)))</f>
        <v>SSP</v>
      </c>
      <c r="I244" s="133">
        <f t="array" ref="I244">IF(COUNTIF(Podcasts!$D$10:'Podcasts'!$D$2535,$B244)&lt;COLUMN(B207),"",SMALL(IF(Podcasts!$D$10:'Podcasts'!$D$2535=$B244,Podcasts!$E$10:'Podcasts'!$E$2535),COLUMN(B207)))</f>
        <v>43915</v>
      </c>
      <c r="J244" s="132">
        <f t="array" ref="J244">IF(I244="","",INDEX(Podcasts!$F$10:'Podcasts'!$F$2535,MATCH(I244&amp;$B244,Podcasts!$E$10:'Podcasts'!$E$2535&amp;Podcasts!$D$10:'Podcasts'!$D$2535,0)))</f>
        <v>7.5150462962962961E-2</v>
      </c>
      <c r="K244" s="136" t="str">
        <f t="array" ref="K244">IF(L244="","",INDEX(Podcasts!$J$10:'Podcasts'!$J$2535,MATCH(L244&amp;$B244,Podcasts!$E$10:'Podcasts'!$E$2535&amp;Podcasts!$D$10:'Podcasts'!$D$2535,0)))</f>
        <v>Kuchen</v>
      </c>
      <c r="L244" s="133">
        <f t="array" ref="L244">IF(COUNTIF(Podcasts!$D$10:'Podcasts'!$D$2535,$B244)&lt;COLUMN(C207),"",SMALL(IF(Podcasts!$D$10:'Podcasts'!$D$2535=$B244,Podcasts!$E$10:'Podcasts'!$E$2535),COLUMN(C207)))</f>
        <v>44585.000949074078</v>
      </c>
      <c r="M244" s="132">
        <f t="array" ref="M244">IF(L244="","",INDEX(Podcasts!$F$10:'Podcasts'!$F$2535,MATCH(L244&amp;$B244,Podcasts!$E$10:'Podcasts'!$E$2535&amp;Podcasts!$D$10:'Podcasts'!$D$2535,0)))</f>
        <v>7.4548611111111107E-2</v>
      </c>
      <c r="N244" s="136" t="str">
        <f t="array" ref="N244">IF(O244="","",INDEX(Podcasts!$J$10:'Podcasts'!$J$2535,MATCH(O244&amp;$B244,Podcasts!$E$10:'Podcasts'!$E$2535&amp;Podcasts!$D$10:'Podcasts'!$D$2535,0)))</f>
        <v>Zw3i</v>
      </c>
      <c r="O244" s="133">
        <f t="array" ref="O244">IF(COUNTIF(Podcasts!$D$10:'Podcasts'!$D$2535,$B244)&lt;COLUMN(D207),"",SMALL(IF(Podcasts!$D$10:'Podcasts'!$D$2535=$B244,Podcasts!$E$10:'Podcasts'!$E$2535),COLUMN(D207)))</f>
        <v>44974</v>
      </c>
      <c r="P244" s="132">
        <f t="array" ref="P244">IF(O244="","",INDEX(Podcasts!$F$10:'Podcasts'!$F$2535,MATCH(O244&amp;$B244,Podcasts!$E$10:'Podcasts'!$E$2535&amp;Podcasts!$D$10:'Podcasts'!$D$2535,0)))</f>
        <v>7.4305555555555555E-2</v>
      </c>
      <c r="Q244" s="136" t="str">
        <f t="array" ref="Q244">IF(R244="","",INDEX(Podcasts!$J$10:'Podcasts'!$J$2535,MATCH(R244&amp;$B244,Podcasts!$E$10:'Podcasts'!$E$2535&amp;Podcasts!$D$10:'Podcasts'!$D$2535,0)))</f>
        <v/>
      </c>
      <c r="R244" s="133" t="str">
        <f t="array" ref="R244">IF(COUNTIF(Podcasts!$D$10:'Podcasts'!$D$2535,$B244)&lt;COLUMN(E207),"",SMALL(IF(Podcasts!$D$10:'Podcasts'!$D$2535=$B244,Podcasts!$E$10:'Podcasts'!$E$2535),COLUMN(E207)))</f>
        <v/>
      </c>
      <c r="S244" s="132" t="str">
        <f t="array" ref="S244">IF(R244="","",INDEX(Podcasts!$F$10:'Podcasts'!$F$2535,MATCH(R244&amp;$B244,Podcasts!$E$10:'Podcasts'!$E$2535&amp;Podcasts!$D$10:'Podcasts'!$D$2535,0)))</f>
        <v/>
      </c>
      <c r="T244" s="136" t="str">
        <f t="array" ref="T244">IF(U244="","",INDEX(Podcasts!$J$10:'Podcasts'!$J$2535,MATCH(U244&amp;$B244,Podcasts!$E$10:'Podcasts'!$E$2535&amp;Podcasts!$D$10:'Podcasts'!$D$2535,0)))</f>
        <v/>
      </c>
      <c r="U244" s="133" t="str">
        <f t="array" ref="U244">IF(COUNTIF(Podcasts!$D$10:'Podcasts'!$D$2535,$B244)&lt;COLUMN(F207),"",SMALL(IF(Podcasts!$D$10:'Podcasts'!$D$2535=$B244,Podcasts!$E$10:'Podcasts'!$E$2535),COLUMN(F207)))</f>
        <v/>
      </c>
      <c r="V244" s="132" t="str">
        <f t="array" ref="V244">IF(U244="","",INDEX(Podcasts!$F$10:'Podcasts'!$F$2535,MATCH(U244&amp;$B244,Podcasts!$E$10:'Podcasts'!$E$2535&amp;Podcasts!$D$10:'Podcasts'!$D$2535,0)))</f>
        <v/>
      </c>
      <c r="W244" s="136" t="str">
        <f t="array" ref="W244">IF(X244="","",INDEX(Podcasts!$J$10:'Podcasts'!$J$2535,MATCH(X244&amp;$B244,Podcasts!$E$10:'Podcasts'!$E$2535&amp;Podcasts!$D$10:'Podcasts'!$D$2535,0)))</f>
        <v/>
      </c>
      <c r="X244" s="133" t="str">
        <f t="array" ref="X244">IF(COUNTIF(Podcasts!$D$10:'Podcasts'!$D$2535,$B244)&lt;COLUMN(G207),"",SMALL(IF(Podcasts!$D$10:'Podcasts'!$D$2535=$B244,Podcasts!$E$10:'Podcasts'!$E$2535),COLUMN(G207)))</f>
        <v/>
      </c>
      <c r="Y244" s="132" t="str">
        <f t="array" ref="Y244">IF(X244="","",INDEX(Podcasts!$F$10:'Podcasts'!$F$2535,MATCH(X244&amp;$B244,Podcasts!$E$10:'Podcasts'!$E$2535&amp;Podcasts!$D$10:'Podcasts'!$D$2535,0)))</f>
        <v/>
      </c>
      <c r="Z244" s="136" t="str">
        <f t="array" ref="Z244">IF(AA244="","",INDEX(Podcasts!$J$10:'Podcasts'!$J$2535,MATCH(AA244&amp;$B244,Podcasts!$E$10:'Podcasts'!$E$2535&amp;Podcasts!$D$10:'Podcasts'!$D$2535,0)))</f>
        <v/>
      </c>
      <c r="AA244" s="134" t="str">
        <f t="array" ref="AA244">IF(COUNTIF(Podcasts!$D$10:'Podcasts'!$D$2535,$B244)&lt;COLUMN(H207),"",SMALL(IF(Podcasts!$D$10:'Podcasts'!$D$2535=$B244,Podcasts!$E$10:'Podcasts'!$E$2535),COLUMN(H207)))</f>
        <v/>
      </c>
      <c r="AB244" s="404" t="str">
        <f t="array" ref="AB244">IF(AA244="","",INDEX(Podcasts!$F$10:'Podcasts'!$F$2535,MATCH(AA244&amp;$B244,Podcasts!$E$10:'Podcasts'!$E$2535&amp;Podcasts!$D$10:'Podcasts'!$D$2535,0)))</f>
        <v/>
      </c>
      <c r="AC244" s="406" t="str">
        <f t="array" ref="AC244">IF(AD244="","",INDEX(Podcasts!$J$10:'Podcasts'!$J$2535,MATCH(AD244&amp;$B244,Podcasts!$E$10:'Podcasts'!$E$2535&amp;Podcasts!$D$10:'Podcasts'!$D$2535,0)))</f>
        <v/>
      </c>
      <c r="AD244" s="400" t="str">
        <f t="array" ref="AD244">IF(COUNTIF(Podcasts!$D$10:'Podcasts'!$D$2535,$B244)&lt;COLUMN(I207),"",SMALL(IF(Podcasts!$D$10:'Podcasts'!$D$2535=$B244,Podcasts!$E$10:'Podcasts'!$E$2535),COLUMN(I207)))</f>
        <v/>
      </c>
      <c r="AE244" s="401" t="str">
        <f t="array" ref="AE244">IF(AD244="","",INDEX(Podcasts!$F$10:'Podcasts'!$F$2535,MATCH(AD244&amp;$B244,Podcasts!$E$10:'Podcasts'!$E$2535&amp;Podcasts!$D$10:'Podcasts'!$D$2535,0)))</f>
        <v/>
      </c>
      <c r="AF244" s="406" t="str">
        <f t="array" ref="AF244">IF(AG244="","",INDEX(Podcasts!$J$10:'Podcasts'!$J$2535,MATCH(AG244&amp;$B244,Podcasts!$E$10:'Podcasts'!$E$2535&amp;Podcasts!$D$10:'Podcasts'!$D$2535,0)))</f>
        <v/>
      </c>
      <c r="AG244" s="400" t="str">
        <f t="array" ref="AG244">IF(COUNTIF(Podcasts!$D$10:'Podcasts'!$D$2535,$B244)&lt;COLUMN(J207),"",SMALL(IF(Podcasts!$D$10:'Podcasts'!$D$2535=$B244,Podcasts!$E$10:'Podcasts'!$E$2535),COLUMN(J207)))</f>
        <v/>
      </c>
      <c r="AH244" s="401" t="str">
        <f t="array" ref="AH244">IF(AG244="","",INDEX(Podcasts!$F$10:'Podcasts'!$F$2535,MATCH(AG244&amp;$B244,Podcasts!$E$10:'Podcasts'!$E$2535&amp;Podcasts!$D$10:'Podcasts'!$D$2535,0)))</f>
        <v/>
      </c>
      <c r="AI244" s="406" t="str">
        <f t="array" ref="AI244">IF(AJ244="","",INDEX(Podcasts!$J$10:'Podcasts'!$J$2535,MATCH(AJ244&amp;$B244,Podcasts!$E$10:'Podcasts'!$E$2535&amp;Podcasts!$D$10:'Podcasts'!$D$2535,0)))</f>
        <v/>
      </c>
      <c r="AJ244" s="400" t="str">
        <f t="array" ref="AJ244">IF(COUNTIF(Podcasts!$D$10:'Podcasts'!$D$2535,$B244)&lt;COLUMN(K207),"",SMALL(IF(Podcasts!$D$10:'Podcasts'!$D$2535=$B244,Podcasts!$E$10:'Podcasts'!$E$2535),COLUMN(K207)))</f>
        <v/>
      </c>
      <c r="AK244" s="401" t="str">
        <f t="array" ref="AK244">IF(AJ244="","",INDEX(Podcasts!$F$10:'Podcasts'!$F$2535,MATCH(AJ244&amp;$B244,Podcasts!$E$10:'Podcasts'!$E$2535&amp;Podcasts!$D$10:'Podcasts'!$D$2535,0)))</f>
        <v/>
      </c>
      <c r="AL244" s="406" t="str">
        <f t="array" ref="AL244">IF(AM244="","",INDEX(Podcasts!$J$10:'Podcasts'!$J$2535,MATCH(AM244&amp;$B244,Podcasts!$E$10:'Podcasts'!$E$2535&amp;Podcasts!$D$10:'Podcasts'!$D$2535,0)))</f>
        <v/>
      </c>
      <c r="AM244" s="400" t="str">
        <f t="array" ref="AM244">IF(COUNTIF(Podcasts!$D$10:'Podcasts'!$D$2535,$B244)&lt;COLUMN(L207),"",SMALL(IF(Podcasts!$D$10:'Podcasts'!$D$2535=$B244,Podcasts!$E$10:'Podcasts'!$E$2535),COLUMN(L207)))</f>
        <v/>
      </c>
      <c r="AN244" s="401" t="str">
        <f t="array" ref="AN244">IF(AM244="","",INDEX(Podcasts!$F$10:'Podcasts'!$F$2535,MATCH(AM244&amp;$B244,Podcasts!$E$10:'Podcasts'!$E$2535&amp;Podcasts!$D$10:'Podcasts'!$D$2535,0)))</f>
        <v/>
      </c>
      <c r="AO244" s="402"/>
      <c r="AP244" s="119"/>
      <c r="AQ244" s="117"/>
      <c r="AR244" s="117"/>
      <c r="AS244" s="117"/>
      <c r="AT244" s="117"/>
      <c r="AU244" s="117">
        <f t="array" aca="1" ref="AU244" ca="1">IFERROR(SMALL(IF(COUNTIF(Podcasts!$D$479:'Podcasts'!$D$488,ROW(INDIRECT("1:"&amp;K$2)))=0,ROW(INDIRECT("1:"&amp;K$2))),ROW($A201)),"")</f>
        <v>205</v>
      </c>
      <c r="AV244" s="117">
        <f t="array" aca="1" ref="AV244" ca="1">IFERROR(SMALL(IF(COUNTIF(Podcasts!$D$494:'Podcasts'!$D$518,ROW(INDIRECT("1:"&amp;K$2)))=0,ROW(INDIRECT("1:"&amp;K$2))),ROW($A201)),"")</f>
        <v>226</v>
      </c>
      <c r="AW244" s="117">
        <f t="array" aca="1" ref="AW244" ca="1">IFERROR(SMALL(IF(COUNTIF(Podcasts!$D$524:'Podcasts'!$D$532,ROW(INDIRECT("1:"&amp;K$2)))=0,ROW(INDIRECT("1:"&amp;K$2))),ROW($A201)),"")</f>
        <v>208</v>
      </c>
      <c r="AX244" s="117"/>
      <c r="AY244" s="117"/>
      <c r="AZ244" s="445"/>
      <c r="BA244" s="117"/>
      <c r="BB244" s="117">
        <f t="array" aca="1" ref="BB244" ca="1">IFERROR(SMALL(IF(COUNTIF(Podcasts!$D$1257:'Podcasts'!$D$1267,ROW(INDIRECT("1:"&amp;K$2)))=0,ROW(INDIRECT("1:"&amp;K$2))),ROW($A201)),"")</f>
        <v>208</v>
      </c>
      <c r="BC244" s="117">
        <f t="array" aca="1" ref="BC244" ca="1">IFERROR(SMALL(IF(COUNTIF(Podcasts!$D$1273:'Podcasts'!$D$1283,ROW(INDIRECT("1:"&amp;K$2)))=0,ROW(INDIRECT("1:"&amp;K$2))),ROW($A201)),"")</f>
        <v>208</v>
      </c>
      <c r="BD244" s="117">
        <f t="array" aca="1" ref="BD244" ca="1">IFERROR(SMALL(IF(COUNTIF(Podcasts!$D$1289:'Podcasts'!$D$1295,ROW(INDIRECT("1:"&amp;K$2)))=0,ROW(INDIRECT("1:"&amp;K$2))),ROW($A201)),"")</f>
        <v>208</v>
      </c>
      <c r="BE244" s="117"/>
      <c r="BF244" s="117">
        <f t="array" aca="1" ref="BF244" ca="1">IFERROR(SMALL(IF(COUNTIF(Podcasts!$D$1362:'Podcasts'!$D$1364,ROW(INDIRECT("1:"&amp;K$2)))=0,ROW(INDIRECT("1:"&amp;K$2))),ROW($A201)),"")</f>
        <v>204</v>
      </c>
      <c r="BG244" s="202"/>
      <c r="BH244" s="202">
        <f t="array" aca="1" ref="BH244" ca="1">IFERROR(SMALL(IF(COUNTIF(Podcasts!$D$1425:'Podcasts'!$D$1446,ROW(INDIRECT("1:"&amp;K$2)))=0,ROW(INDIRECT("1:"&amp;K$2))),ROW($A201)),"")</f>
        <v>214</v>
      </c>
      <c r="BI244" s="202"/>
      <c r="BJ244" s="202"/>
      <c r="BK244" s="202"/>
      <c r="BL244" s="202">
        <f t="array" aca="1" ref="BL244" ca="1">IFERROR(SMALL(IF(COUNTIF(Podcasts!$D$1839:'Podcasts'!$D$1855,ROW(INDIRECT("1:"&amp;K$2)))=0,ROW(INDIRECT("1:"&amp;K$2))),ROW($A201)),"")</f>
        <v>210</v>
      </c>
      <c r="BM244" s="567"/>
      <c r="BN244" s="567"/>
      <c r="BO244" s="567">
        <f t="array" aca="1" ref="BO244" ca="1">IFERROR(SMALL(IF(COUNTIF(Podcasts!$D$2063:'Podcasts'!$D$2071,ROW(INDIRECT("1:"&amp;K$2)))=0,ROW(INDIRECT("1:"&amp;K$2))),ROW($A201)),"")</f>
        <v>209</v>
      </c>
      <c r="BP244" s="202">
        <f t="array" aca="1" ref="BP244" ca="1">IFERROR(SMALL(IF(COUNTIF(Podcasts!$D$2077:'Podcasts'!$D$2092,ROW(INDIRECT("1:"&amp;K$2)))=0,ROW(INDIRECT("1:"&amp;K$2))),ROW($A201)),"")</f>
        <v>212</v>
      </c>
      <c r="BQ244" s="741">
        <f t="array" aca="1" ref="BQ244" ca="1">IFERROR(SMALL(IF(COUNTIF(Podcasts!$D$2098:'Podcasts'!$D$2114,ROW(INDIRECT("1:"&amp;K$2)))=0,ROW(INDIRECT("1:"&amp;K$2))),ROW($A201)),"")</f>
        <v>216</v>
      </c>
      <c r="BR244" s="744">
        <f t="array" aca="1" ref="BR244" ca="1">IFERROR(SMALL(IF(COUNTIF(Podcasts!$D$2120:'Podcasts'!$D$2124,ROW(INDIRECT("1:"&amp;K$2)))=0,ROW(INDIRECT("1:"&amp;K$2))),ROW($A201)),"")</f>
        <v>203</v>
      </c>
      <c r="BS244" s="28"/>
    </row>
    <row r="245" spans="1:71" outlineLevel="1">
      <c r="A245" s="28"/>
      <c r="B245" s="161">
        <v>202</v>
      </c>
      <c r="C245" s="161">
        <f>COUNTIF(Podcasts!$D$10:'Podcasts'!$D$2535,B245)</f>
        <v>5</v>
      </c>
      <c r="D245" s="160" t="s">
        <v>2703</v>
      </c>
      <c r="E245" s="156" t="str">
        <f t="array" ref="E245">IF(F245="","",INDEX(Podcasts!$J$10:'Podcasts'!$J$2535,MATCH(F245&amp;$B245,Podcasts!$E$10:'Podcasts'!$E$2535&amp;Podcasts!$D$10:'Podcasts'!$D$2535,0)))</f>
        <v>Ohr</v>
      </c>
      <c r="F245" s="131">
        <f t="array" ref="F245">IF(COUNTIF(Podcasts!$D$10:'Podcasts'!$D$2535,$B245)&lt;COLUMN(A208),"",SMALL(IF(Podcasts!$D$10:'Podcasts'!$D$2535=$B245,Podcasts!$E$10:'Podcasts'!$E$2535),COLUMN(A208)))</f>
        <v>43844</v>
      </c>
      <c r="G245" s="132">
        <f t="array" ref="G245">IF(F245="","",INDEX(Podcasts!$F$10:'Podcasts'!$F$2535,MATCH(F245&amp;$B245,Podcasts!$E$10:'Podcasts'!$E$2535&amp;Podcasts!$D$10:'Podcasts'!$D$2535,0)))</f>
        <v>1.6435185185185183E-3</v>
      </c>
      <c r="H245" s="136" t="str">
        <f t="array" ref="H245">IF(I245="","",INDEX(Podcasts!$J$10:'Podcasts'!$J$2535,MATCH(I245&amp;$B245,Podcasts!$E$10:'Podcasts'!$E$2535&amp;Podcasts!$D$10:'Podcasts'!$D$2535,0)))</f>
        <v>JAM</v>
      </c>
      <c r="I245" s="133">
        <f t="array" ref="I245">IF(COUNTIF(Podcasts!$D$10:'Podcasts'!$D$2535,$B245)&lt;COLUMN(B208),"",SMALL(IF(Podcasts!$D$10:'Podcasts'!$D$2535=$B245,Podcasts!$E$10:'Podcasts'!$E$2535),COLUMN(B208)))</f>
        <v>44171</v>
      </c>
      <c r="J245" s="132">
        <f t="array" ref="J245">IF(I245="","",INDEX(Podcasts!$F$10:'Podcasts'!$F$2535,MATCH(I245&amp;$B245,Podcasts!$E$10:'Podcasts'!$E$2535&amp;Podcasts!$D$10:'Podcasts'!$D$2535,0)))</f>
        <v>4.0590277777777781E-2</v>
      </c>
      <c r="K245" s="136" t="str">
        <f t="array" ref="K245">IF(L245="","",INDEX(Podcasts!$J$10:'Podcasts'!$J$2535,MATCH(L245&amp;$B245,Podcasts!$E$10:'Podcasts'!$E$2535&amp;Podcasts!$D$10:'Podcasts'!$D$2535,0)))</f>
        <v>SSP</v>
      </c>
      <c r="L245" s="133">
        <f t="array" ref="L245">IF(COUNTIF(Podcasts!$D$10:'Podcasts'!$D$2535,$B245)&lt;COLUMN(C208),"",SMALL(IF(Podcasts!$D$10:'Podcasts'!$D$2535=$B245,Podcasts!$E$10:'Podcasts'!$E$2535),COLUMN(C208)))</f>
        <v>44221</v>
      </c>
      <c r="M245" s="132">
        <f t="array" ref="M245">IF(L245="","",INDEX(Podcasts!$F$10:'Podcasts'!$F$2535,MATCH(L245&amp;$B245,Podcasts!$E$10:'Podcasts'!$E$2535&amp;Podcasts!$D$10:'Podcasts'!$D$2535,0)))</f>
        <v>7.0891203703703706E-2</v>
      </c>
      <c r="N245" s="136" t="str">
        <f t="array" ref="N245">IF(O245="","",INDEX(Podcasts!$J$10:'Podcasts'!$J$2535,MATCH(O245&amp;$B245,Podcasts!$E$10:'Podcasts'!$E$2535&amp;Podcasts!$D$10:'Podcasts'!$D$2535,0)))</f>
        <v>Fan</v>
      </c>
      <c r="O245" s="133">
        <f t="array" ref="O245">IF(COUNTIF(Podcasts!$D$10:'Podcasts'!$D$2535,$B245)&lt;COLUMN(D208),"",SMALL(IF(Podcasts!$D$10:'Podcasts'!$D$2535=$B245,Podcasts!$E$10:'Podcasts'!$E$2535),COLUMN(D208)))</f>
        <v>44339</v>
      </c>
      <c r="P245" s="132">
        <f t="array" ref="P245">IF(O245="","",INDEX(Podcasts!$F$10:'Podcasts'!$F$2535,MATCH(O245&amp;$B245,Podcasts!$E$10:'Podcasts'!$E$2535&amp;Podcasts!$D$10:'Podcasts'!$D$2535,0)))</f>
        <v>7.0057870370370368E-2</v>
      </c>
      <c r="Q245" s="136" t="str">
        <f t="array" ref="Q245">IF(R245="","",INDEX(Podcasts!$J$10:'Podcasts'!$J$2535,MATCH(R245&amp;$B245,Podcasts!$E$10:'Podcasts'!$E$2535&amp;Podcasts!$D$10:'Podcasts'!$D$2535,0)))</f>
        <v>Kaffee</v>
      </c>
      <c r="R245" s="133">
        <f t="array" ref="R245">IF(COUNTIF(Podcasts!$D$10:'Podcasts'!$D$2535,$B245)&lt;COLUMN(E208),"",SMALL(IF(Podcasts!$D$10:'Podcasts'!$D$2535=$B245,Podcasts!$E$10:'Podcasts'!$E$2535),COLUMN(E208)))</f>
        <v>44827</v>
      </c>
      <c r="S245" s="132">
        <f t="array" ref="S245">IF(R245="","",INDEX(Podcasts!$F$10:'Podcasts'!$F$2535,MATCH(R245&amp;$B245,Podcasts!$E$10:'Podcasts'!$E$2535&amp;Podcasts!$D$10:'Podcasts'!$D$2535,0)))</f>
        <v>3.3773148148148149E-2</v>
      </c>
      <c r="T245" s="136" t="str">
        <f t="array" ref="T245">IF(U245="","",INDEX(Podcasts!$J$10:'Podcasts'!$J$2535,MATCH(U245&amp;$B245,Podcasts!$E$10:'Podcasts'!$E$2535&amp;Podcasts!$D$10:'Podcasts'!$D$2535,0)))</f>
        <v/>
      </c>
      <c r="U245" s="133" t="str">
        <f t="array" ref="U245">IF(COUNTIF(Podcasts!$D$10:'Podcasts'!$D$2535,$B245)&lt;COLUMN(F208),"",SMALL(IF(Podcasts!$D$10:'Podcasts'!$D$2535=$B245,Podcasts!$E$10:'Podcasts'!$E$2535),COLUMN(F208)))</f>
        <v/>
      </c>
      <c r="V245" s="132" t="str">
        <f t="array" ref="V245">IF(U245="","",INDEX(Podcasts!$F$10:'Podcasts'!$F$2535,MATCH(U245&amp;$B245,Podcasts!$E$10:'Podcasts'!$E$2535&amp;Podcasts!$D$10:'Podcasts'!$D$2535,0)))</f>
        <v/>
      </c>
      <c r="W245" s="136" t="str">
        <f t="array" ref="W245">IF(X245="","",INDEX(Podcasts!$J$10:'Podcasts'!$J$2535,MATCH(X245&amp;$B245,Podcasts!$E$10:'Podcasts'!$E$2535&amp;Podcasts!$D$10:'Podcasts'!$D$2535,0)))</f>
        <v/>
      </c>
      <c r="X245" s="133" t="str">
        <f t="array" ref="X245">IF(COUNTIF(Podcasts!$D$10:'Podcasts'!$D$2535,$B245)&lt;COLUMN(G208),"",SMALL(IF(Podcasts!$D$10:'Podcasts'!$D$2535=$B245,Podcasts!$E$10:'Podcasts'!$E$2535),COLUMN(G208)))</f>
        <v/>
      </c>
      <c r="Y245" s="132" t="str">
        <f t="array" ref="Y245">IF(X245="","",INDEX(Podcasts!$F$10:'Podcasts'!$F$2535,MATCH(X245&amp;$B245,Podcasts!$E$10:'Podcasts'!$E$2535&amp;Podcasts!$D$10:'Podcasts'!$D$2535,0)))</f>
        <v/>
      </c>
      <c r="Z245" s="136" t="str">
        <f t="array" ref="Z245">IF(AA245="","",INDEX(Podcasts!$J$10:'Podcasts'!$J$2535,MATCH(AA245&amp;$B245,Podcasts!$E$10:'Podcasts'!$E$2535&amp;Podcasts!$D$10:'Podcasts'!$D$2535,0)))</f>
        <v/>
      </c>
      <c r="AA245" s="134" t="str">
        <f t="array" ref="AA245">IF(COUNTIF(Podcasts!$D$10:'Podcasts'!$D$2535,$B245)&lt;COLUMN(H208),"",SMALL(IF(Podcasts!$D$10:'Podcasts'!$D$2535=$B245,Podcasts!$E$10:'Podcasts'!$E$2535),COLUMN(H208)))</f>
        <v/>
      </c>
      <c r="AB245" s="404" t="str">
        <f t="array" ref="AB245">IF(AA245="","",INDEX(Podcasts!$F$10:'Podcasts'!$F$2535,MATCH(AA245&amp;$B245,Podcasts!$E$10:'Podcasts'!$E$2535&amp;Podcasts!$D$10:'Podcasts'!$D$2535,0)))</f>
        <v/>
      </c>
      <c r="AC245" s="406" t="str">
        <f t="array" ref="AC245">IF(AD245="","",INDEX(Podcasts!$J$10:'Podcasts'!$J$2535,MATCH(AD245&amp;$B245,Podcasts!$E$10:'Podcasts'!$E$2535&amp;Podcasts!$D$10:'Podcasts'!$D$2535,0)))</f>
        <v/>
      </c>
      <c r="AD245" s="400" t="str">
        <f t="array" ref="AD245">IF(COUNTIF(Podcasts!$D$10:'Podcasts'!$D$2535,$B245)&lt;COLUMN(I208),"",SMALL(IF(Podcasts!$D$10:'Podcasts'!$D$2535=$B245,Podcasts!$E$10:'Podcasts'!$E$2535),COLUMN(I208)))</f>
        <v/>
      </c>
      <c r="AE245" s="401" t="str">
        <f t="array" ref="AE245">IF(AD245="","",INDEX(Podcasts!$F$10:'Podcasts'!$F$2535,MATCH(AD245&amp;$B245,Podcasts!$E$10:'Podcasts'!$E$2535&amp;Podcasts!$D$10:'Podcasts'!$D$2535,0)))</f>
        <v/>
      </c>
      <c r="AF245" s="406" t="str">
        <f t="array" ref="AF245">IF(AG245="","",INDEX(Podcasts!$J$10:'Podcasts'!$J$2535,MATCH(AG245&amp;$B245,Podcasts!$E$10:'Podcasts'!$E$2535&amp;Podcasts!$D$10:'Podcasts'!$D$2535,0)))</f>
        <v/>
      </c>
      <c r="AG245" s="400" t="str">
        <f t="array" ref="AG245">IF(COUNTIF(Podcasts!$D$10:'Podcasts'!$D$2535,$B245)&lt;COLUMN(J208),"",SMALL(IF(Podcasts!$D$10:'Podcasts'!$D$2535=$B245,Podcasts!$E$10:'Podcasts'!$E$2535),COLUMN(J208)))</f>
        <v/>
      </c>
      <c r="AH245" s="401" t="str">
        <f t="array" ref="AH245">IF(AG245="","",INDEX(Podcasts!$F$10:'Podcasts'!$F$2535,MATCH(AG245&amp;$B245,Podcasts!$E$10:'Podcasts'!$E$2535&amp;Podcasts!$D$10:'Podcasts'!$D$2535,0)))</f>
        <v/>
      </c>
      <c r="AI245" s="406" t="str">
        <f t="array" ref="AI245">IF(AJ245="","",INDEX(Podcasts!$J$10:'Podcasts'!$J$2535,MATCH(AJ245&amp;$B245,Podcasts!$E$10:'Podcasts'!$E$2535&amp;Podcasts!$D$10:'Podcasts'!$D$2535,0)))</f>
        <v/>
      </c>
      <c r="AJ245" s="400" t="str">
        <f t="array" ref="AJ245">IF(COUNTIF(Podcasts!$D$10:'Podcasts'!$D$2535,$B245)&lt;COLUMN(K208),"",SMALL(IF(Podcasts!$D$10:'Podcasts'!$D$2535=$B245,Podcasts!$E$10:'Podcasts'!$E$2535),COLUMN(K208)))</f>
        <v/>
      </c>
      <c r="AK245" s="401" t="str">
        <f t="array" ref="AK245">IF(AJ245="","",INDEX(Podcasts!$F$10:'Podcasts'!$F$2535,MATCH(AJ245&amp;$B245,Podcasts!$E$10:'Podcasts'!$E$2535&amp;Podcasts!$D$10:'Podcasts'!$D$2535,0)))</f>
        <v/>
      </c>
      <c r="AL245" s="406" t="str">
        <f t="array" ref="AL245">IF(AM245="","",INDEX(Podcasts!$J$10:'Podcasts'!$J$2535,MATCH(AM245&amp;$B245,Podcasts!$E$10:'Podcasts'!$E$2535&amp;Podcasts!$D$10:'Podcasts'!$D$2535,0)))</f>
        <v/>
      </c>
      <c r="AM245" s="400" t="str">
        <f t="array" ref="AM245">IF(COUNTIF(Podcasts!$D$10:'Podcasts'!$D$2535,$B245)&lt;COLUMN(L208),"",SMALL(IF(Podcasts!$D$10:'Podcasts'!$D$2535=$B245,Podcasts!$E$10:'Podcasts'!$E$2535),COLUMN(L208)))</f>
        <v/>
      </c>
      <c r="AN245" s="401" t="str">
        <f t="array" ref="AN245">IF(AM245="","",INDEX(Podcasts!$F$10:'Podcasts'!$F$2535,MATCH(AM245&amp;$B245,Podcasts!$E$10:'Podcasts'!$E$2535&amp;Podcasts!$D$10:'Podcasts'!$D$2535,0)))</f>
        <v/>
      </c>
      <c r="AO245" s="402"/>
      <c r="AP245" s="119"/>
      <c r="AQ245" s="117"/>
      <c r="AR245" s="117"/>
      <c r="AS245" s="117"/>
      <c r="AT245" s="117"/>
      <c r="AU245" s="117">
        <f t="array" aca="1" ref="AU245" ca="1">IFERROR(SMALL(IF(COUNTIF(Podcasts!$D$479:'Podcasts'!$D$488,ROW(INDIRECT("1:"&amp;K$2)))=0,ROW(INDIRECT("1:"&amp;K$2))),ROW($A202)),"")</f>
        <v>206</v>
      </c>
      <c r="AV245" s="117" t="str">
        <f t="array" aca="1" ref="AV245" ca="1">IFERROR(SMALL(IF(COUNTIF(Podcasts!$D$494:'Podcasts'!$D$518,ROW(INDIRECT("1:"&amp;K$2)))=0,ROW(INDIRECT("1:"&amp;K$2))),ROW($A202)),"")</f>
        <v/>
      </c>
      <c r="AW245" s="117">
        <f t="array" aca="1" ref="AW245" ca="1">IFERROR(SMALL(IF(COUNTIF(Podcasts!$D$524:'Podcasts'!$D$532,ROW(INDIRECT("1:"&amp;K$2)))=0,ROW(INDIRECT("1:"&amp;K$2))),ROW($A202)),"")</f>
        <v>209</v>
      </c>
      <c r="AX245" s="117"/>
      <c r="AY245" s="117"/>
      <c r="AZ245" s="445"/>
      <c r="BA245" s="117"/>
      <c r="BB245" s="117">
        <f t="array" aca="1" ref="BB245" ca="1">IFERROR(SMALL(IF(COUNTIF(Podcasts!$D$1257:'Podcasts'!$D$1267,ROW(INDIRECT("1:"&amp;K$2)))=0,ROW(INDIRECT("1:"&amp;K$2))),ROW($A202)),"")</f>
        <v>210</v>
      </c>
      <c r="BC245" s="117">
        <f t="array" aca="1" ref="BC245" ca="1">IFERROR(SMALL(IF(COUNTIF(Podcasts!$D$1273:'Podcasts'!$D$1283,ROW(INDIRECT("1:"&amp;K$2)))=0,ROW(INDIRECT("1:"&amp;K$2))),ROW($A202)),"")</f>
        <v>209</v>
      </c>
      <c r="BD245" s="117">
        <f t="array" aca="1" ref="BD245" ca="1">IFERROR(SMALL(IF(COUNTIF(Podcasts!$D$1289:'Podcasts'!$D$1295,ROW(INDIRECT("1:"&amp;K$2)))=0,ROW(INDIRECT("1:"&amp;K$2))),ROW($A202)),"")</f>
        <v>209</v>
      </c>
      <c r="BE245" s="117"/>
      <c r="BF245" s="117">
        <f t="array" aca="1" ref="BF245" ca="1">IFERROR(SMALL(IF(COUNTIF(Podcasts!$D$1362:'Podcasts'!$D$1364,ROW(INDIRECT("1:"&amp;K$2)))=0,ROW(INDIRECT("1:"&amp;K$2))),ROW($A202)),"")</f>
        <v>205</v>
      </c>
      <c r="BG245" s="202"/>
      <c r="BH245" s="202">
        <f t="array" aca="1" ref="BH245" ca="1">IFERROR(SMALL(IF(COUNTIF(Podcasts!$D$1425:'Podcasts'!$D$1446,ROW(INDIRECT("1:"&amp;K$2)))=0,ROW(INDIRECT("1:"&amp;K$2))),ROW($A202)),"")</f>
        <v>215</v>
      </c>
      <c r="BI245" s="202"/>
      <c r="BJ245" s="202"/>
      <c r="BK245" s="202"/>
      <c r="BL245" s="202">
        <f t="array" aca="1" ref="BL245" ca="1">IFERROR(SMALL(IF(COUNTIF(Podcasts!$D$1839:'Podcasts'!$D$1855,ROW(INDIRECT("1:"&amp;K$2)))=0,ROW(INDIRECT("1:"&amp;K$2))),ROW($A202)),"")</f>
        <v>211</v>
      </c>
      <c r="BM245" s="567"/>
      <c r="BN245" s="567"/>
      <c r="BO245" s="567">
        <f t="array" aca="1" ref="BO245" ca="1">IFERROR(SMALL(IF(COUNTIF(Podcasts!$D$2063:'Podcasts'!$D$2071,ROW(INDIRECT("1:"&amp;K$2)))=0,ROW(INDIRECT("1:"&amp;K$2))),ROW($A202)),"")</f>
        <v>210</v>
      </c>
      <c r="BP245" s="202">
        <f t="array" aca="1" ref="BP245" ca="1">IFERROR(SMALL(IF(COUNTIF(Podcasts!$D$2077:'Podcasts'!$D$2092,ROW(INDIRECT("1:"&amp;K$2)))=0,ROW(INDIRECT("1:"&amp;K$2))),ROW($A202)),"")</f>
        <v>213</v>
      </c>
      <c r="BQ245" s="741">
        <f t="array" aca="1" ref="BQ245" ca="1">IFERROR(SMALL(IF(COUNTIF(Podcasts!$D$2098:'Podcasts'!$D$2114,ROW(INDIRECT("1:"&amp;K$2)))=0,ROW(INDIRECT("1:"&amp;K$2))),ROW($A202)),"")</f>
        <v>217</v>
      </c>
      <c r="BR245" s="744">
        <f t="array" aca="1" ref="BR245" ca="1">IFERROR(SMALL(IF(COUNTIF(Podcasts!$D$2120:'Podcasts'!$D$2124,ROW(INDIRECT("1:"&amp;K$2)))=0,ROW(INDIRECT("1:"&amp;K$2))),ROW($A202)),"")</f>
        <v>204</v>
      </c>
      <c r="BS245" s="28"/>
    </row>
    <row r="246" spans="1:71" outlineLevel="1">
      <c r="A246" s="28"/>
      <c r="B246" s="161">
        <v>203</v>
      </c>
      <c r="C246" s="161">
        <f>COUNTIF(Podcasts!$D$10:'Podcasts'!$D$2535,B246)</f>
        <v>4</v>
      </c>
      <c r="D246" s="160" t="s">
        <v>2208</v>
      </c>
      <c r="E246" s="156" t="str">
        <f t="array" ref="E246">IF(F246="","",INDEX(Podcasts!$J$10:'Podcasts'!$J$2535,MATCH(F246&amp;$B246,Podcasts!$E$10:'Podcasts'!$E$2535&amp;Podcasts!$D$10:'Podcasts'!$D$2535,0)))</f>
        <v>Ohr</v>
      </c>
      <c r="F246" s="131">
        <f t="array" ref="F246">IF(COUNTIF(Podcasts!$D$10:'Podcasts'!$D$2535,$B246)&lt;COLUMN(A209),"",SMALL(IF(Podcasts!$D$10:'Podcasts'!$D$2535=$B246,Podcasts!$E$10:'Podcasts'!$E$2535),COLUMN(A209)))</f>
        <v>43901</v>
      </c>
      <c r="G246" s="132">
        <f t="array" ref="G246">IF(F246="","",INDEX(Podcasts!$F$10:'Podcasts'!$F$2535,MATCH(F246&amp;$B246,Podcasts!$E$10:'Podcasts'!$E$2535&amp;Podcasts!$D$10:'Podcasts'!$D$2535,0)))</f>
        <v>4.0856481481481481E-3</v>
      </c>
      <c r="H246" s="136" t="str">
        <f t="array" ref="H246">IF(I246="","",INDEX(Podcasts!$J$10:'Podcasts'!$J$2535,MATCH(I246&amp;$B246,Podcasts!$E$10:'Podcasts'!$E$2535&amp;Podcasts!$D$10:'Podcasts'!$D$2535,0)))</f>
        <v>Kaffee</v>
      </c>
      <c r="I246" s="133">
        <f t="array" ref="I246">IF(COUNTIF(Podcasts!$D$10:'Podcasts'!$D$2535,$B246)&lt;COLUMN(B209),"",SMALL(IF(Podcasts!$D$10:'Podcasts'!$D$2535=$B246,Podcasts!$E$10:'Podcasts'!$E$2535),COLUMN(B209)))</f>
        <v>44484</v>
      </c>
      <c r="J246" s="132">
        <f t="array" ref="J246">IF(I246="","",INDEX(Podcasts!$F$10:'Podcasts'!$F$2535,MATCH(I246&amp;$B246,Podcasts!$E$10:'Podcasts'!$E$2535&amp;Podcasts!$D$10:'Podcasts'!$D$2535,0)))</f>
        <v>2.631944444444444E-2</v>
      </c>
      <c r="K246" s="136" t="str">
        <f t="array" ref="K246">IF(L246="","",INDEX(Podcasts!$J$10:'Podcasts'!$J$2535,MATCH(L246&amp;$B246,Podcasts!$E$10:'Podcasts'!$E$2535&amp;Podcasts!$D$10:'Podcasts'!$D$2535,0)))</f>
        <v>Zw3i</v>
      </c>
      <c r="L246" s="133">
        <f t="array" ref="L246">IF(COUNTIF(Podcasts!$D$10:'Podcasts'!$D$2535,$B246)&lt;COLUMN(C209),"",SMALL(IF(Podcasts!$D$10:'Podcasts'!$D$2535=$B246,Podcasts!$E$10:'Podcasts'!$E$2535),COLUMN(C209)))</f>
        <v>44876</v>
      </c>
      <c r="M246" s="132">
        <f t="array" ref="M246">IF(L246="","",INDEX(Podcasts!$F$10:'Podcasts'!$F$2535,MATCH(L246&amp;$B246,Podcasts!$E$10:'Podcasts'!$E$2535&amp;Podcasts!$D$10:'Podcasts'!$D$2535,0)))</f>
        <v>0.12946759259259258</v>
      </c>
      <c r="N246" s="136" t="str">
        <f t="array" ref="N246">IF(O246="","",INDEX(Podcasts!$J$10:'Podcasts'!$J$2535,MATCH(O246&amp;$B246,Podcasts!$E$10:'Podcasts'!$E$2535&amp;Podcasts!$D$10:'Podcasts'!$D$2535,0)))</f>
        <v>Verstärker</v>
      </c>
      <c r="O246" s="133">
        <f t="array" ref="O246">IF(COUNTIF(Podcasts!$D$10:'Podcasts'!$D$2535,$B246)&lt;COLUMN(D209),"",SMALL(IF(Podcasts!$D$10:'Podcasts'!$D$2535=$B246,Podcasts!$E$10:'Podcasts'!$E$2535),COLUMN(D209)))</f>
        <v>45294</v>
      </c>
      <c r="P246" s="132">
        <f t="array" ref="P246">IF(O246="","",INDEX(Podcasts!$F$10:'Podcasts'!$F$2535,MATCH(O246&amp;$B246,Podcasts!$E$10:'Podcasts'!$E$2535&amp;Podcasts!$D$10:'Podcasts'!$D$2535,0)))</f>
        <v>2.7858796296296298E-2</v>
      </c>
      <c r="Q246" s="136" t="str">
        <f t="array" ref="Q246">IF(R246="","",INDEX(Podcasts!$J$10:'Podcasts'!$J$2535,MATCH(R246&amp;$B246,Podcasts!$E$10:'Podcasts'!$E$2535&amp;Podcasts!$D$10:'Podcasts'!$D$2535,0)))</f>
        <v/>
      </c>
      <c r="R246" s="133" t="str">
        <f t="array" ref="R246">IF(COUNTIF(Podcasts!$D$10:'Podcasts'!$D$2535,$B246)&lt;COLUMN(E209),"",SMALL(IF(Podcasts!$D$10:'Podcasts'!$D$2535=$B246,Podcasts!$E$10:'Podcasts'!$E$2535),COLUMN(E209)))</f>
        <v/>
      </c>
      <c r="S246" s="132" t="str">
        <f t="array" ref="S246">IF(R246="","",INDEX(Podcasts!$F$10:'Podcasts'!$F$2535,MATCH(R246&amp;$B246,Podcasts!$E$10:'Podcasts'!$E$2535&amp;Podcasts!$D$10:'Podcasts'!$D$2535,0)))</f>
        <v/>
      </c>
      <c r="T246" s="136" t="str">
        <f t="array" ref="T246">IF(U246="","",INDEX(Podcasts!$J$10:'Podcasts'!$J$2535,MATCH(U246&amp;$B246,Podcasts!$E$10:'Podcasts'!$E$2535&amp;Podcasts!$D$10:'Podcasts'!$D$2535,0)))</f>
        <v/>
      </c>
      <c r="U246" s="133" t="str">
        <f t="array" ref="U246">IF(COUNTIF(Podcasts!$D$10:'Podcasts'!$D$2535,$B246)&lt;COLUMN(F209),"",SMALL(IF(Podcasts!$D$10:'Podcasts'!$D$2535=$B246,Podcasts!$E$10:'Podcasts'!$E$2535),COLUMN(F209)))</f>
        <v/>
      </c>
      <c r="V246" s="132" t="str">
        <f t="array" ref="V246">IF(U246="","",INDEX(Podcasts!$F$10:'Podcasts'!$F$2535,MATCH(U246&amp;$B246,Podcasts!$E$10:'Podcasts'!$E$2535&amp;Podcasts!$D$10:'Podcasts'!$D$2535,0)))</f>
        <v/>
      </c>
      <c r="W246" s="136" t="str">
        <f t="array" ref="W246">IF(X246="","",INDEX(Podcasts!$J$10:'Podcasts'!$J$2535,MATCH(X246&amp;$B246,Podcasts!$E$10:'Podcasts'!$E$2535&amp;Podcasts!$D$10:'Podcasts'!$D$2535,0)))</f>
        <v/>
      </c>
      <c r="X246" s="133" t="str">
        <f t="array" ref="X246">IF(COUNTIF(Podcasts!$D$10:'Podcasts'!$D$2535,$B246)&lt;COLUMN(G209),"",SMALL(IF(Podcasts!$D$10:'Podcasts'!$D$2535=$B246,Podcasts!$E$10:'Podcasts'!$E$2535),COLUMN(G209)))</f>
        <v/>
      </c>
      <c r="Y246" s="132" t="str">
        <f t="array" ref="Y246">IF(X246="","",INDEX(Podcasts!$F$10:'Podcasts'!$F$2535,MATCH(X246&amp;$B246,Podcasts!$E$10:'Podcasts'!$E$2535&amp;Podcasts!$D$10:'Podcasts'!$D$2535,0)))</f>
        <v/>
      </c>
      <c r="Z246" s="136" t="str">
        <f t="array" ref="Z246">IF(AA246="","",INDEX(Podcasts!$J$10:'Podcasts'!$J$2535,MATCH(AA246&amp;$B246,Podcasts!$E$10:'Podcasts'!$E$2535&amp;Podcasts!$D$10:'Podcasts'!$D$2535,0)))</f>
        <v/>
      </c>
      <c r="AA246" s="134" t="str">
        <f t="array" ref="AA246">IF(COUNTIF(Podcasts!$D$10:'Podcasts'!$D$2535,$B246)&lt;COLUMN(H209),"",SMALL(IF(Podcasts!$D$10:'Podcasts'!$D$2535=$B246,Podcasts!$E$10:'Podcasts'!$E$2535),COLUMN(H209)))</f>
        <v/>
      </c>
      <c r="AB246" s="404" t="str">
        <f t="array" ref="AB246">IF(AA246="","",INDEX(Podcasts!$F$10:'Podcasts'!$F$2535,MATCH(AA246&amp;$B246,Podcasts!$E$10:'Podcasts'!$E$2535&amp;Podcasts!$D$10:'Podcasts'!$D$2535,0)))</f>
        <v/>
      </c>
      <c r="AC246" s="406" t="str">
        <f t="array" ref="AC246">IF(AD246="","",INDEX(Podcasts!$J$10:'Podcasts'!$J$2535,MATCH(AD246&amp;$B246,Podcasts!$E$10:'Podcasts'!$E$2535&amp;Podcasts!$D$10:'Podcasts'!$D$2535,0)))</f>
        <v/>
      </c>
      <c r="AD246" s="400" t="str">
        <f t="array" ref="AD246">IF(COUNTIF(Podcasts!$D$10:'Podcasts'!$D$2535,$B246)&lt;COLUMN(I209),"",SMALL(IF(Podcasts!$D$10:'Podcasts'!$D$2535=$B246,Podcasts!$E$10:'Podcasts'!$E$2535),COLUMN(I209)))</f>
        <v/>
      </c>
      <c r="AE246" s="401" t="str">
        <f t="array" ref="AE246">IF(AD246="","",INDEX(Podcasts!$F$10:'Podcasts'!$F$2535,MATCH(AD246&amp;$B246,Podcasts!$E$10:'Podcasts'!$E$2535&amp;Podcasts!$D$10:'Podcasts'!$D$2535,0)))</f>
        <v/>
      </c>
      <c r="AF246" s="406" t="str">
        <f t="array" ref="AF246">IF(AG246="","",INDEX(Podcasts!$J$10:'Podcasts'!$J$2535,MATCH(AG246&amp;$B246,Podcasts!$E$10:'Podcasts'!$E$2535&amp;Podcasts!$D$10:'Podcasts'!$D$2535,0)))</f>
        <v/>
      </c>
      <c r="AG246" s="400" t="str">
        <f t="array" ref="AG246">IF(COUNTIF(Podcasts!$D$10:'Podcasts'!$D$2535,$B246)&lt;COLUMN(J209),"",SMALL(IF(Podcasts!$D$10:'Podcasts'!$D$2535=$B246,Podcasts!$E$10:'Podcasts'!$E$2535),COLUMN(J209)))</f>
        <v/>
      </c>
      <c r="AH246" s="401" t="str">
        <f t="array" ref="AH246">IF(AG246="","",INDEX(Podcasts!$F$10:'Podcasts'!$F$2535,MATCH(AG246&amp;$B246,Podcasts!$E$10:'Podcasts'!$E$2535&amp;Podcasts!$D$10:'Podcasts'!$D$2535,0)))</f>
        <v/>
      </c>
      <c r="AI246" s="406" t="str">
        <f t="array" ref="AI246">IF(AJ246="","",INDEX(Podcasts!$J$10:'Podcasts'!$J$2535,MATCH(AJ246&amp;$B246,Podcasts!$E$10:'Podcasts'!$E$2535&amp;Podcasts!$D$10:'Podcasts'!$D$2535,0)))</f>
        <v/>
      </c>
      <c r="AJ246" s="400" t="str">
        <f t="array" ref="AJ246">IF(COUNTIF(Podcasts!$D$10:'Podcasts'!$D$2535,$B246)&lt;COLUMN(K209),"",SMALL(IF(Podcasts!$D$10:'Podcasts'!$D$2535=$B246,Podcasts!$E$10:'Podcasts'!$E$2535),COLUMN(K209)))</f>
        <v/>
      </c>
      <c r="AK246" s="401" t="str">
        <f t="array" ref="AK246">IF(AJ246="","",INDEX(Podcasts!$F$10:'Podcasts'!$F$2535,MATCH(AJ246&amp;$B246,Podcasts!$E$10:'Podcasts'!$E$2535&amp;Podcasts!$D$10:'Podcasts'!$D$2535,0)))</f>
        <v/>
      </c>
      <c r="AL246" s="406" t="str">
        <f t="array" ref="AL246">IF(AM246="","",INDEX(Podcasts!$J$10:'Podcasts'!$J$2535,MATCH(AM246&amp;$B246,Podcasts!$E$10:'Podcasts'!$E$2535&amp;Podcasts!$D$10:'Podcasts'!$D$2535,0)))</f>
        <v/>
      </c>
      <c r="AM246" s="400" t="str">
        <f t="array" ref="AM246">IF(COUNTIF(Podcasts!$D$10:'Podcasts'!$D$2535,$B246)&lt;COLUMN(L209),"",SMALL(IF(Podcasts!$D$10:'Podcasts'!$D$2535=$B246,Podcasts!$E$10:'Podcasts'!$E$2535),COLUMN(L209)))</f>
        <v/>
      </c>
      <c r="AN246" s="401" t="str">
        <f t="array" ref="AN246">IF(AM246="","",INDEX(Podcasts!$F$10:'Podcasts'!$F$2535,MATCH(AM246&amp;$B246,Podcasts!$E$10:'Podcasts'!$E$2535&amp;Podcasts!$D$10:'Podcasts'!$D$2535,0)))</f>
        <v/>
      </c>
      <c r="AO246" s="402"/>
      <c r="AP246" s="119"/>
      <c r="AQ246" s="117"/>
      <c r="AR246" s="117"/>
      <c r="AS246" s="117"/>
      <c r="AT246" s="117"/>
      <c r="AU246" s="117">
        <f t="array" aca="1" ref="AU246" ca="1">IFERROR(SMALL(IF(COUNTIF(Podcasts!$D$479:'Podcasts'!$D$488,ROW(INDIRECT("1:"&amp;K$2)))=0,ROW(INDIRECT("1:"&amp;K$2))),ROW($A203)),"")</f>
        <v>207</v>
      </c>
      <c r="AV246" s="117" t="str">
        <f t="array" aca="1" ref="AV246" ca="1">IFERROR(SMALL(IF(COUNTIF(Podcasts!$D$494:'Podcasts'!$D$518,ROW(INDIRECT("1:"&amp;K$2)))=0,ROW(INDIRECT("1:"&amp;K$2))),ROW($A203)),"")</f>
        <v/>
      </c>
      <c r="AW246" s="117">
        <f t="array" aca="1" ref="AW246" ca="1">IFERROR(SMALL(IF(COUNTIF(Podcasts!$D$524:'Podcasts'!$D$532,ROW(INDIRECT("1:"&amp;K$2)))=0,ROW(INDIRECT("1:"&amp;K$2))),ROW($A203)),"")</f>
        <v>210</v>
      </c>
      <c r="AX246" s="117"/>
      <c r="AY246" s="117"/>
      <c r="AZ246" s="445"/>
      <c r="BA246" s="117"/>
      <c r="BB246" s="117">
        <f t="array" aca="1" ref="BB246" ca="1">IFERROR(SMALL(IF(COUNTIF(Podcasts!$D$1257:'Podcasts'!$D$1267,ROW(INDIRECT("1:"&amp;K$2)))=0,ROW(INDIRECT("1:"&amp;K$2))),ROW($A203)),"")</f>
        <v>211</v>
      </c>
      <c r="BC246" s="117">
        <f t="array" aca="1" ref="BC246" ca="1">IFERROR(SMALL(IF(COUNTIF(Podcasts!$D$1273:'Podcasts'!$D$1283,ROW(INDIRECT("1:"&amp;K$2)))=0,ROW(INDIRECT("1:"&amp;K$2))),ROW($A203)),"")</f>
        <v>210</v>
      </c>
      <c r="BD246" s="117">
        <f t="array" aca="1" ref="BD246" ca="1">IFERROR(SMALL(IF(COUNTIF(Podcasts!$D$1289:'Podcasts'!$D$1295,ROW(INDIRECT("1:"&amp;K$2)))=0,ROW(INDIRECT("1:"&amp;K$2))),ROW($A203)),"")</f>
        <v>210</v>
      </c>
      <c r="BE246" s="117"/>
      <c r="BF246" s="117">
        <f t="array" aca="1" ref="BF246" ca="1">IFERROR(SMALL(IF(COUNTIF(Podcasts!$D$1362:'Podcasts'!$D$1364,ROW(INDIRECT("1:"&amp;K$2)))=0,ROW(INDIRECT("1:"&amp;K$2))),ROW($A203)),"")</f>
        <v>206</v>
      </c>
      <c r="BG246" s="202"/>
      <c r="BH246" s="202">
        <f t="array" aca="1" ref="BH246" ca="1">IFERROR(SMALL(IF(COUNTIF(Podcasts!$D$1425:'Podcasts'!$D$1446,ROW(INDIRECT("1:"&amp;K$2)))=0,ROW(INDIRECT("1:"&amp;K$2))),ROW($A203)),"")</f>
        <v>216</v>
      </c>
      <c r="BI246" s="202"/>
      <c r="BJ246" s="202"/>
      <c r="BK246" s="202"/>
      <c r="BL246" s="202">
        <f t="array" aca="1" ref="BL246" ca="1">IFERROR(SMALL(IF(COUNTIF(Podcasts!$D$1839:'Podcasts'!$D$1855,ROW(INDIRECT("1:"&amp;K$2)))=0,ROW(INDIRECT("1:"&amp;K$2))),ROW($A203)),"")</f>
        <v>212</v>
      </c>
      <c r="BM246" s="567"/>
      <c r="BN246" s="567"/>
      <c r="BO246" s="567">
        <f t="array" aca="1" ref="BO246" ca="1">IFERROR(SMALL(IF(COUNTIF(Podcasts!$D$2063:'Podcasts'!$D$2071,ROW(INDIRECT("1:"&amp;K$2)))=0,ROW(INDIRECT("1:"&amp;K$2))),ROW($A203)),"")</f>
        <v>211</v>
      </c>
      <c r="BP246" s="202">
        <f t="array" aca="1" ref="BP246" ca="1">IFERROR(SMALL(IF(COUNTIF(Podcasts!$D$2077:'Podcasts'!$D$2092,ROW(INDIRECT("1:"&amp;K$2)))=0,ROW(INDIRECT("1:"&amp;K$2))),ROW($A203)),"")</f>
        <v>214</v>
      </c>
      <c r="BQ246" s="741">
        <f t="array" aca="1" ref="BQ246" ca="1">IFERROR(SMALL(IF(COUNTIF(Podcasts!$D$2098:'Podcasts'!$D$2114,ROW(INDIRECT("1:"&amp;K$2)))=0,ROW(INDIRECT("1:"&amp;K$2))),ROW($A203)),"")</f>
        <v>218</v>
      </c>
      <c r="BR246" s="744">
        <f t="array" aca="1" ref="BR246" ca="1">IFERROR(SMALL(IF(COUNTIF(Podcasts!$D$2120:'Podcasts'!$D$2124,ROW(INDIRECT("1:"&amp;K$2)))=0,ROW(INDIRECT("1:"&amp;K$2))),ROW($A203)),"")</f>
        <v>205</v>
      </c>
      <c r="BS246" s="28"/>
    </row>
    <row r="247" spans="1:71" outlineLevel="1">
      <c r="A247" s="28"/>
      <c r="B247" s="161">
        <v>204</v>
      </c>
      <c r="C247" s="161">
        <f>COUNTIF(Podcasts!$D$10:'Podcasts'!$D$2535,B247)</f>
        <v>1</v>
      </c>
      <c r="D247" s="160" t="s">
        <v>2704</v>
      </c>
      <c r="E247" s="156" t="str">
        <f t="array" ref="E247">IF(F247="","",INDEX(Podcasts!$J$10:'Podcasts'!$J$2535,MATCH(F247&amp;$B247,Podcasts!$E$10:'Podcasts'!$E$2535&amp;Podcasts!$D$10:'Podcasts'!$D$2535,0)))</f>
        <v>Ohr</v>
      </c>
      <c r="F247" s="131">
        <f t="array" ref="F247">IF(COUNTIF(Podcasts!$D$10:'Podcasts'!$D$2535,$B247)&lt;COLUMN(A210),"",SMALL(IF(Podcasts!$D$10:'Podcasts'!$D$2535=$B247,Podcasts!$E$10:'Podcasts'!$E$2535),COLUMN(A210)))</f>
        <v>43937</v>
      </c>
      <c r="G247" s="132">
        <f t="array" ref="G247">IF(F247="","",INDEX(Podcasts!$F$10:'Podcasts'!$F$2535,MATCH(F247&amp;$B247,Podcasts!$E$10:'Podcasts'!$E$2535&amp;Podcasts!$D$10:'Podcasts'!$D$2535,0)))</f>
        <v>1.4351851851851854E-3</v>
      </c>
      <c r="H247" s="136" t="str">
        <f t="array" ref="H247">IF(I247="","",INDEX(Podcasts!$J$10:'Podcasts'!$J$2535,MATCH(I247&amp;$B247,Podcasts!$E$10:'Podcasts'!$E$2535&amp;Podcasts!$D$10:'Podcasts'!$D$2535,0)))</f>
        <v/>
      </c>
      <c r="I247" s="133" t="str">
        <f t="array" ref="I247">IF(COUNTIF(Podcasts!$D$10:'Podcasts'!$D$2535,$B247)&lt;COLUMN(B210),"",SMALL(IF(Podcasts!$D$10:'Podcasts'!$D$2535=$B247,Podcasts!$E$10:'Podcasts'!$E$2535),COLUMN(B210)))</f>
        <v/>
      </c>
      <c r="J247" s="132" t="str">
        <f t="array" ref="J247">IF(I247="","",INDEX(Podcasts!$F$10:'Podcasts'!$F$2535,MATCH(I247&amp;$B247,Podcasts!$E$10:'Podcasts'!$E$2535&amp;Podcasts!$D$10:'Podcasts'!$D$2535,0)))</f>
        <v/>
      </c>
      <c r="K247" s="136" t="str">
        <f t="array" ref="K247">IF(L247="","",INDEX(Podcasts!$J$10:'Podcasts'!$J$2535,MATCH(L247&amp;$B247,Podcasts!$E$10:'Podcasts'!$E$2535&amp;Podcasts!$D$10:'Podcasts'!$D$2535,0)))</f>
        <v/>
      </c>
      <c r="L247" s="133" t="str">
        <f t="array" ref="L247">IF(COUNTIF(Podcasts!$D$10:'Podcasts'!$D$2535,$B247)&lt;COLUMN(C210),"",SMALL(IF(Podcasts!$D$10:'Podcasts'!$D$2535=$B247,Podcasts!$E$10:'Podcasts'!$E$2535),COLUMN(C210)))</f>
        <v/>
      </c>
      <c r="M247" s="132" t="str">
        <f t="array" ref="M247">IF(L247="","",INDEX(Podcasts!$F$10:'Podcasts'!$F$2535,MATCH(L247&amp;$B247,Podcasts!$E$10:'Podcasts'!$E$2535&amp;Podcasts!$D$10:'Podcasts'!$D$2535,0)))</f>
        <v/>
      </c>
      <c r="N247" s="136" t="str">
        <f t="array" ref="N247">IF(O247="","",INDEX(Podcasts!$J$10:'Podcasts'!$J$2535,MATCH(O247&amp;$B247,Podcasts!$E$10:'Podcasts'!$E$2535&amp;Podcasts!$D$10:'Podcasts'!$D$2535,0)))</f>
        <v/>
      </c>
      <c r="O247" s="133" t="str">
        <f t="array" ref="O247">IF(COUNTIF(Podcasts!$D$10:'Podcasts'!$D$2535,$B247)&lt;COLUMN(D210),"",SMALL(IF(Podcasts!$D$10:'Podcasts'!$D$2535=$B247,Podcasts!$E$10:'Podcasts'!$E$2535),COLUMN(D210)))</f>
        <v/>
      </c>
      <c r="P247" s="132" t="str">
        <f t="array" ref="P247">IF(O247="","",INDEX(Podcasts!$F$10:'Podcasts'!$F$2535,MATCH(O247&amp;$B247,Podcasts!$E$10:'Podcasts'!$E$2535&amp;Podcasts!$D$10:'Podcasts'!$D$2535,0)))</f>
        <v/>
      </c>
      <c r="Q247" s="136" t="str">
        <f t="array" ref="Q247">IF(R247="","",INDEX(Podcasts!$J$10:'Podcasts'!$J$2535,MATCH(R247&amp;$B247,Podcasts!$E$10:'Podcasts'!$E$2535&amp;Podcasts!$D$10:'Podcasts'!$D$2535,0)))</f>
        <v/>
      </c>
      <c r="R247" s="133" t="str">
        <f t="array" ref="R247">IF(COUNTIF(Podcasts!$D$10:'Podcasts'!$D$2535,$B247)&lt;COLUMN(E210),"",SMALL(IF(Podcasts!$D$10:'Podcasts'!$D$2535=$B247,Podcasts!$E$10:'Podcasts'!$E$2535),COLUMN(E210)))</f>
        <v/>
      </c>
      <c r="S247" s="132" t="str">
        <f t="array" ref="S247">IF(R247="","",INDEX(Podcasts!$F$10:'Podcasts'!$F$2535,MATCH(R247&amp;$B247,Podcasts!$E$10:'Podcasts'!$E$2535&amp;Podcasts!$D$10:'Podcasts'!$D$2535,0)))</f>
        <v/>
      </c>
      <c r="T247" s="136" t="str">
        <f t="array" ref="T247">IF(U247="","",INDEX(Podcasts!$J$10:'Podcasts'!$J$2535,MATCH(U247&amp;$B247,Podcasts!$E$10:'Podcasts'!$E$2535&amp;Podcasts!$D$10:'Podcasts'!$D$2535,0)))</f>
        <v/>
      </c>
      <c r="U247" s="133" t="str">
        <f t="array" ref="U247">IF(COUNTIF(Podcasts!$D$10:'Podcasts'!$D$2535,$B247)&lt;COLUMN(F210),"",SMALL(IF(Podcasts!$D$10:'Podcasts'!$D$2535=$B247,Podcasts!$E$10:'Podcasts'!$E$2535),COLUMN(F210)))</f>
        <v/>
      </c>
      <c r="V247" s="132" t="str">
        <f t="array" ref="V247">IF(U247="","",INDEX(Podcasts!$F$10:'Podcasts'!$F$2535,MATCH(U247&amp;$B247,Podcasts!$E$10:'Podcasts'!$E$2535&amp;Podcasts!$D$10:'Podcasts'!$D$2535,0)))</f>
        <v/>
      </c>
      <c r="W247" s="136" t="str">
        <f t="array" ref="W247">IF(X247="","",INDEX(Podcasts!$J$10:'Podcasts'!$J$2535,MATCH(X247&amp;$B247,Podcasts!$E$10:'Podcasts'!$E$2535&amp;Podcasts!$D$10:'Podcasts'!$D$2535,0)))</f>
        <v/>
      </c>
      <c r="X247" s="133" t="str">
        <f t="array" ref="X247">IF(COUNTIF(Podcasts!$D$10:'Podcasts'!$D$2535,$B247)&lt;COLUMN(G210),"",SMALL(IF(Podcasts!$D$10:'Podcasts'!$D$2535=$B247,Podcasts!$E$10:'Podcasts'!$E$2535),COLUMN(G210)))</f>
        <v/>
      </c>
      <c r="Y247" s="132" t="str">
        <f t="array" ref="Y247">IF(X247="","",INDEX(Podcasts!$F$10:'Podcasts'!$F$2535,MATCH(X247&amp;$B247,Podcasts!$E$10:'Podcasts'!$E$2535&amp;Podcasts!$D$10:'Podcasts'!$D$2535,0)))</f>
        <v/>
      </c>
      <c r="Z247" s="136" t="str">
        <f t="array" ref="Z247">IF(AA247="","",INDEX(Podcasts!$J$10:'Podcasts'!$J$2535,MATCH(AA247&amp;$B247,Podcasts!$E$10:'Podcasts'!$E$2535&amp;Podcasts!$D$10:'Podcasts'!$D$2535,0)))</f>
        <v/>
      </c>
      <c r="AA247" s="134" t="str">
        <f t="array" ref="AA247">IF(COUNTIF(Podcasts!$D$10:'Podcasts'!$D$2535,$B247)&lt;COLUMN(H210),"",SMALL(IF(Podcasts!$D$10:'Podcasts'!$D$2535=$B247,Podcasts!$E$10:'Podcasts'!$E$2535),COLUMN(H210)))</f>
        <v/>
      </c>
      <c r="AB247" s="404" t="str">
        <f t="array" ref="AB247">IF(AA247="","",INDEX(Podcasts!$F$10:'Podcasts'!$F$2535,MATCH(AA247&amp;$B247,Podcasts!$E$10:'Podcasts'!$E$2535&amp;Podcasts!$D$10:'Podcasts'!$D$2535,0)))</f>
        <v/>
      </c>
      <c r="AC247" s="406" t="str">
        <f t="array" ref="AC247">IF(AD247="","",INDEX(Podcasts!$J$10:'Podcasts'!$J$2535,MATCH(AD247&amp;$B247,Podcasts!$E$10:'Podcasts'!$E$2535&amp;Podcasts!$D$10:'Podcasts'!$D$2535,0)))</f>
        <v/>
      </c>
      <c r="AD247" s="400" t="str">
        <f t="array" ref="AD247">IF(COUNTIF(Podcasts!$D$10:'Podcasts'!$D$2535,$B247)&lt;COLUMN(I210),"",SMALL(IF(Podcasts!$D$10:'Podcasts'!$D$2535=$B247,Podcasts!$E$10:'Podcasts'!$E$2535),COLUMN(I210)))</f>
        <v/>
      </c>
      <c r="AE247" s="401" t="str">
        <f t="array" ref="AE247">IF(AD247="","",INDEX(Podcasts!$F$10:'Podcasts'!$F$2535,MATCH(AD247&amp;$B247,Podcasts!$E$10:'Podcasts'!$E$2535&amp;Podcasts!$D$10:'Podcasts'!$D$2535,0)))</f>
        <v/>
      </c>
      <c r="AF247" s="406" t="str">
        <f t="array" ref="AF247">IF(AG247="","",INDEX(Podcasts!$J$10:'Podcasts'!$J$2535,MATCH(AG247&amp;$B247,Podcasts!$E$10:'Podcasts'!$E$2535&amp;Podcasts!$D$10:'Podcasts'!$D$2535,0)))</f>
        <v/>
      </c>
      <c r="AG247" s="400" t="str">
        <f t="array" ref="AG247">IF(COUNTIF(Podcasts!$D$10:'Podcasts'!$D$2535,$B247)&lt;COLUMN(J210),"",SMALL(IF(Podcasts!$D$10:'Podcasts'!$D$2535=$B247,Podcasts!$E$10:'Podcasts'!$E$2535),COLUMN(J210)))</f>
        <v/>
      </c>
      <c r="AH247" s="401" t="str">
        <f t="array" ref="AH247">IF(AG247="","",INDEX(Podcasts!$F$10:'Podcasts'!$F$2535,MATCH(AG247&amp;$B247,Podcasts!$E$10:'Podcasts'!$E$2535&amp;Podcasts!$D$10:'Podcasts'!$D$2535,0)))</f>
        <v/>
      </c>
      <c r="AI247" s="406" t="str">
        <f t="array" ref="AI247">IF(AJ247="","",INDEX(Podcasts!$J$10:'Podcasts'!$J$2535,MATCH(AJ247&amp;$B247,Podcasts!$E$10:'Podcasts'!$E$2535&amp;Podcasts!$D$10:'Podcasts'!$D$2535,0)))</f>
        <v/>
      </c>
      <c r="AJ247" s="400" t="str">
        <f t="array" ref="AJ247">IF(COUNTIF(Podcasts!$D$10:'Podcasts'!$D$2535,$B247)&lt;COLUMN(K210),"",SMALL(IF(Podcasts!$D$10:'Podcasts'!$D$2535=$B247,Podcasts!$E$10:'Podcasts'!$E$2535),COLUMN(K210)))</f>
        <v/>
      </c>
      <c r="AK247" s="401" t="str">
        <f t="array" ref="AK247">IF(AJ247="","",INDEX(Podcasts!$F$10:'Podcasts'!$F$2535,MATCH(AJ247&amp;$B247,Podcasts!$E$10:'Podcasts'!$E$2535&amp;Podcasts!$D$10:'Podcasts'!$D$2535,0)))</f>
        <v/>
      </c>
      <c r="AL247" s="406" t="str">
        <f t="array" ref="AL247">IF(AM247="","",INDEX(Podcasts!$J$10:'Podcasts'!$J$2535,MATCH(AM247&amp;$B247,Podcasts!$E$10:'Podcasts'!$E$2535&amp;Podcasts!$D$10:'Podcasts'!$D$2535,0)))</f>
        <v/>
      </c>
      <c r="AM247" s="400" t="str">
        <f t="array" ref="AM247">IF(COUNTIF(Podcasts!$D$10:'Podcasts'!$D$2535,$B247)&lt;COLUMN(L210),"",SMALL(IF(Podcasts!$D$10:'Podcasts'!$D$2535=$B247,Podcasts!$E$10:'Podcasts'!$E$2535),COLUMN(L210)))</f>
        <v/>
      </c>
      <c r="AN247" s="401" t="str">
        <f t="array" ref="AN247">IF(AM247="","",INDEX(Podcasts!$F$10:'Podcasts'!$F$2535,MATCH(AM247&amp;$B247,Podcasts!$E$10:'Podcasts'!$E$2535&amp;Podcasts!$D$10:'Podcasts'!$D$2535,0)))</f>
        <v/>
      </c>
      <c r="AO247" s="402"/>
      <c r="AP247" s="119"/>
      <c r="AQ247" s="117"/>
      <c r="AR247" s="117"/>
      <c r="AS247" s="117"/>
      <c r="AT247" s="117"/>
      <c r="AU247" s="117">
        <f t="array" aca="1" ref="AU247" ca="1">IFERROR(SMALL(IF(COUNTIF(Podcasts!$D$479:'Podcasts'!$D$488,ROW(INDIRECT("1:"&amp;K$2)))=0,ROW(INDIRECT("1:"&amp;K$2))),ROW($A204)),"")</f>
        <v>208</v>
      </c>
      <c r="AV247" s="117" t="str">
        <f t="array" aca="1" ref="AV247" ca="1">IFERROR(SMALL(IF(COUNTIF(Podcasts!$D$494:'Podcasts'!$D$518,ROW(INDIRECT("1:"&amp;K$2)))=0,ROW(INDIRECT("1:"&amp;K$2))),ROW($A204)),"")</f>
        <v/>
      </c>
      <c r="AW247" s="117">
        <f t="array" aca="1" ref="AW247" ca="1">IFERROR(SMALL(IF(COUNTIF(Podcasts!$D$524:'Podcasts'!$D$532,ROW(INDIRECT("1:"&amp;K$2)))=0,ROW(INDIRECT("1:"&amp;K$2))),ROW($A204)),"")</f>
        <v>211</v>
      </c>
      <c r="AX247" s="117"/>
      <c r="AY247" s="117"/>
      <c r="AZ247" s="445"/>
      <c r="BA247" s="117"/>
      <c r="BB247" s="117">
        <f t="array" aca="1" ref="BB247" ca="1">IFERROR(SMALL(IF(COUNTIF(Podcasts!$D$1257:'Podcasts'!$D$1267,ROW(INDIRECT("1:"&amp;K$2)))=0,ROW(INDIRECT("1:"&amp;K$2))),ROW($A204)),"")</f>
        <v>212</v>
      </c>
      <c r="BC247" s="117">
        <f t="array" aca="1" ref="BC247" ca="1">IFERROR(SMALL(IF(COUNTIF(Podcasts!$D$1273:'Podcasts'!$D$1283,ROW(INDIRECT("1:"&amp;K$2)))=0,ROW(INDIRECT("1:"&amp;K$2))),ROW($A204)),"")</f>
        <v>211</v>
      </c>
      <c r="BD247" s="117">
        <f t="array" aca="1" ref="BD247" ca="1">IFERROR(SMALL(IF(COUNTIF(Podcasts!$D$1289:'Podcasts'!$D$1295,ROW(INDIRECT("1:"&amp;K$2)))=0,ROW(INDIRECT("1:"&amp;K$2))),ROW($A204)),"")</f>
        <v>211</v>
      </c>
      <c r="BE247" s="117"/>
      <c r="BF247" s="117">
        <f t="array" aca="1" ref="BF247" ca="1">IFERROR(SMALL(IF(COUNTIF(Podcasts!$D$1362:'Podcasts'!$D$1364,ROW(INDIRECT("1:"&amp;K$2)))=0,ROW(INDIRECT("1:"&amp;K$2))),ROW($A204)),"")</f>
        <v>207</v>
      </c>
      <c r="BG247" s="202"/>
      <c r="BH247" s="202">
        <f t="array" aca="1" ref="BH247" ca="1">IFERROR(SMALL(IF(COUNTIF(Podcasts!$D$1425:'Podcasts'!$D$1446,ROW(INDIRECT("1:"&amp;K$2)))=0,ROW(INDIRECT("1:"&amp;K$2))),ROW($A204)),"")</f>
        <v>217</v>
      </c>
      <c r="BI247" s="202"/>
      <c r="BJ247" s="202"/>
      <c r="BK247" s="202"/>
      <c r="BL247" s="202">
        <f t="array" aca="1" ref="BL247" ca="1">IFERROR(SMALL(IF(COUNTIF(Podcasts!$D$1839:'Podcasts'!$D$1855,ROW(INDIRECT("1:"&amp;K$2)))=0,ROW(INDIRECT("1:"&amp;K$2))),ROW($A204)),"")</f>
        <v>213</v>
      </c>
      <c r="BM247" s="567"/>
      <c r="BN247" s="567"/>
      <c r="BO247" s="567">
        <f t="array" aca="1" ref="BO247" ca="1">IFERROR(SMALL(IF(COUNTIF(Podcasts!$D$2063:'Podcasts'!$D$2071,ROW(INDIRECT("1:"&amp;K$2)))=0,ROW(INDIRECT("1:"&amp;K$2))),ROW($A204)),"")</f>
        <v>212</v>
      </c>
      <c r="BP247" s="202">
        <f t="array" aca="1" ref="BP247" ca="1">IFERROR(SMALL(IF(COUNTIF(Podcasts!$D$2077:'Podcasts'!$D$2092,ROW(INDIRECT("1:"&amp;K$2)))=0,ROW(INDIRECT("1:"&amp;K$2))),ROW($A204)),"")</f>
        <v>215</v>
      </c>
      <c r="BQ247" s="741">
        <f t="array" aca="1" ref="BQ247" ca="1">IFERROR(SMALL(IF(COUNTIF(Podcasts!$D$2098:'Podcasts'!$D$2114,ROW(INDIRECT("1:"&amp;K$2)))=0,ROW(INDIRECT("1:"&amp;K$2))),ROW($A204)),"")</f>
        <v>219</v>
      </c>
      <c r="BR247" s="744">
        <f t="array" aca="1" ref="BR247" ca="1">IFERROR(SMALL(IF(COUNTIF(Podcasts!$D$2120:'Podcasts'!$D$2124,ROW(INDIRECT("1:"&amp;K$2)))=0,ROW(INDIRECT("1:"&amp;K$2))),ROW($A204)),"")</f>
        <v>206</v>
      </c>
      <c r="BS247" s="28"/>
    </row>
    <row r="248" spans="1:71" outlineLevel="1">
      <c r="A248" s="28"/>
      <c r="B248" s="161">
        <v>205</v>
      </c>
      <c r="C248" s="161">
        <f>COUNTIF(Podcasts!$D$10:'Podcasts'!$D$2535,B248)</f>
        <v>3</v>
      </c>
      <c r="D248" s="160" t="s">
        <v>2705</v>
      </c>
      <c r="E248" s="156" t="str">
        <f t="array" ref="E248">IF(F248="","",INDEX(Podcasts!$J$10:'Podcasts'!$J$2535,MATCH(F248&amp;$B248,Podcasts!$E$10:'Podcasts'!$E$2535&amp;Podcasts!$D$10:'Podcasts'!$D$2535,0)))</f>
        <v>Label</v>
      </c>
      <c r="F248" s="131">
        <f t="array" ref="F248">IF(COUNTIF(Podcasts!$D$10:'Podcasts'!$D$2535,$B248)&lt;COLUMN(A211),"",SMALL(IF(Podcasts!$D$10:'Podcasts'!$D$2535=$B248,Podcasts!$E$10:'Podcasts'!$E$2535),COLUMN(A211)))</f>
        <v>43959</v>
      </c>
      <c r="G248" s="132">
        <f t="array" ref="G248">IF(F248="","",INDEX(Podcasts!$F$10:'Podcasts'!$F$2535,MATCH(F248&amp;$B248,Podcasts!$E$10:'Podcasts'!$E$2535&amp;Podcasts!$D$10:'Podcasts'!$D$2535,0)))</f>
        <v>3.0150462962962962E-2</v>
      </c>
      <c r="H248" s="136" t="str">
        <f t="array" ref="H248">IF(I248="","",INDEX(Podcasts!$J$10:'Podcasts'!$J$2535,MATCH(I248&amp;$B248,Podcasts!$E$10:'Podcasts'!$E$2535&amp;Podcasts!$D$10:'Podcasts'!$D$2535,0)))</f>
        <v>Box</v>
      </c>
      <c r="I248" s="133">
        <f t="array" ref="I248">IF(COUNTIF(Podcasts!$D$10:'Podcasts'!$D$2535,$B248)&lt;COLUMN(B211),"",SMALL(IF(Podcasts!$D$10:'Podcasts'!$D$2535=$B248,Podcasts!$E$10:'Podcasts'!$E$2535),COLUMN(B211)))</f>
        <v>44001</v>
      </c>
      <c r="J248" s="132">
        <f t="array" ref="J248">IF(I248="","",INDEX(Podcasts!$F$10:'Podcasts'!$F$2535,MATCH(I248&amp;$B248,Podcasts!$E$10:'Podcasts'!$E$2535&amp;Podcasts!$D$10:'Podcasts'!$D$2535,0)))</f>
        <v>2.0405092592592593E-2</v>
      </c>
      <c r="K248" s="136" t="str">
        <f t="array" ref="K248">IF(L248="","",INDEX(Podcasts!$J$10:'Podcasts'!$J$2535,MATCH(L248&amp;$B248,Podcasts!$E$10:'Podcasts'!$E$2535&amp;Podcasts!$D$10:'Podcasts'!$D$2535,0)))</f>
        <v>Ohr</v>
      </c>
      <c r="L248" s="133">
        <f t="array" ref="L248">IF(COUNTIF(Podcasts!$D$10:'Podcasts'!$D$2535,$B248)&lt;COLUMN(C211),"",SMALL(IF(Podcasts!$D$10:'Podcasts'!$D$2535=$B248,Podcasts!$E$10:'Podcasts'!$E$2535),COLUMN(C211)))</f>
        <v>44075</v>
      </c>
      <c r="M248" s="132">
        <f t="array" ref="M248">IF(L248="","",INDEX(Podcasts!$F$10:'Podcasts'!$F$2535,MATCH(L248&amp;$B248,Podcasts!$E$10:'Podcasts'!$E$2535&amp;Podcasts!$D$10:'Podcasts'!$D$2535,0)))</f>
        <v>9.9537037037037042E-4</v>
      </c>
      <c r="N248" s="136" t="str">
        <f t="array" ref="N248">IF(O248="","",INDEX(Podcasts!$J$10:'Podcasts'!$J$2535,MATCH(O248&amp;$B248,Podcasts!$E$10:'Podcasts'!$E$2535&amp;Podcasts!$D$10:'Podcasts'!$D$2535,0)))</f>
        <v/>
      </c>
      <c r="O248" s="133" t="str">
        <f t="array" ref="O248">IF(COUNTIF(Podcasts!$D$10:'Podcasts'!$D$2535,$B248)&lt;COLUMN(D211),"",SMALL(IF(Podcasts!$D$10:'Podcasts'!$D$2535=$B248,Podcasts!$E$10:'Podcasts'!$E$2535),COLUMN(D211)))</f>
        <v/>
      </c>
      <c r="P248" s="132" t="str">
        <f t="array" ref="P248">IF(O248="","",INDEX(Podcasts!$F$10:'Podcasts'!$F$2535,MATCH(O248&amp;$B248,Podcasts!$E$10:'Podcasts'!$E$2535&amp;Podcasts!$D$10:'Podcasts'!$D$2535,0)))</f>
        <v/>
      </c>
      <c r="Q248" s="136" t="str">
        <f t="array" ref="Q248">IF(R248="","",INDEX(Podcasts!$J$10:'Podcasts'!$J$2535,MATCH(R248&amp;$B248,Podcasts!$E$10:'Podcasts'!$E$2535&amp;Podcasts!$D$10:'Podcasts'!$D$2535,0)))</f>
        <v/>
      </c>
      <c r="R248" s="133" t="str">
        <f t="array" ref="R248">IF(COUNTIF(Podcasts!$D$10:'Podcasts'!$D$2535,$B248)&lt;COLUMN(E211),"",SMALL(IF(Podcasts!$D$10:'Podcasts'!$D$2535=$B248,Podcasts!$E$10:'Podcasts'!$E$2535),COLUMN(E211)))</f>
        <v/>
      </c>
      <c r="S248" s="132" t="str">
        <f t="array" ref="S248">IF(R248="","",INDEX(Podcasts!$F$10:'Podcasts'!$F$2535,MATCH(R248&amp;$B248,Podcasts!$E$10:'Podcasts'!$E$2535&amp;Podcasts!$D$10:'Podcasts'!$D$2535,0)))</f>
        <v/>
      </c>
      <c r="T248" s="136" t="str">
        <f t="array" ref="T248">IF(U248="","",INDEX(Podcasts!$J$10:'Podcasts'!$J$2535,MATCH(U248&amp;$B248,Podcasts!$E$10:'Podcasts'!$E$2535&amp;Podcasts!$D$10:'Podcasts'!$D$2535,0)))</f>
        <v/>
      </c>
      <c r="U248" s="133" t="str">
        <f t="array" ref="U248">IF(COUNTIF(Podcasts!$D$10:'Podcasts'!$D$2535,$B248)&lt;COLUMN(F211),"",SMALL(IF(Podcasts!$D$10:'Podcasts'!$D$2535=$B248,Podcasts!$E$10:'Podcasts'!$E$2535),COLUMN(F211)))</f>
        <v/>
      </c>
      <c r="V248" s="132" t="str">
        <f t="array" ref="V248">IF(U248="","",INDEX(Podcasts!$F$10:'Podcasts'!$F$2535,MATCH(U248&amp;$B248,Podcasts!$E$10:'Podcasts'!$E$2535&amp;Podcasts!$D$10:'Podcasts'!$D$2535,0)))</f>
        <v/>
      </c>
      <c r="W248" s="136" t="str">
        <f t="array" ref="W248">IF(X248="","",INDEX(Podcasts!$J$10:'Podcasts'!$J$2535,MATCH(X248&amp;$B248,Podcasts!$E$10:'Podcasts'!$E$2535&amp;Podcasts!$D$10:'Podcasts'!$D$2535,0)))</f>
        <v/>
      </c>
      <c r="X248" s="133" t="str">
        <f t="array" ref="X248">IF(COUNTIF(Podcasts!$D$10:'Podcasts'!$D$2535,$B248)&lt;COLUMN(G211),"",SMALL(IF(Podcasts!$D$10:'Podcasts'!$D$2535=$B248,Podcasts!$E$10:'Podcasts'!$E$2535),COLUMN(G211)))</f>
        <v/>
      </c>
      <c r="Y248" s="132" t="str">
        <f t="array" ref="Y248">IF(X248="","",INDEX(Podcasts!$F$10:'Podcasts'!$F$2535,MATCH(X248&amp;$B248,Podcasts!$E$10:'Podcasts'!$E$2535&amp;Podcasts!$D$10:'Podcasts'!$D$2535,0)))</f>
        <v/>
      </c>
      <c r="Z248" s="136" t="str">
        <f t="array" ref="Z248">IF(AA248="","",INDEX(Podcasts!$J$10:'Podcasts'!$J$2535,MATCH(AA248&amp;$B248,Podcasts!$E$10:'Podcasts'!$E$2535&amp;Podcasts!$D$10:'Podcasts'!$D$2535,0)))</f>
        <v/>
      </c>
      <c r="AA248" s="134" t="str">
        <f t="array" ref="AA248">IF(COUNTIF(Podcasts!$D$10:'Podcasts'!$D$2535,$B248)&lt;COLUMN(H211),"",SMALL(IF(Podcasts!$D$10:'Podcasts'!$D$2535=$B248,Podcasts!$E$10:'Podcasts'!$E$2535),COLUMN(H211)))</f>
        <v/>
      </c>
      <c r="AB248" s="404" t="str">
        <f t="array" ref="AB248">IF(AA248="","",INDEX(Podcasts!$F$10:'Podcasts'!$F$2535,MATCH(AA248&amp;$B248,Podcasts!$E$10:'Podcasts'!$E$2535&amp;Podcasts!$D$10:'Podcasts'!$D$2535,0)))</f>
        <v/>
      </c>
      <c r="AC248" s="406" t="str">
        <f t="array" ref="AC248">IF(AD248="","",INDEX(Podcasts!$J$10:'Podcasts'!$J$2535,MATCH(AD248&amp;$B248,Podcasts!$E$10:'Podcasts'!$E$2535&amp;Podcasts!$D$10:'Podcasts'!$D$2535,0)))</f>
        <v/>
      </c>
      <c r="AD248" s="400" t="str">
        <f t="array" ref="AD248">IF(COUNTIF(Podcasts!$D$10:'Podcasts'!$D$2535,$B248)&lt;COLUMN(I211),"",SMALL(IF(Podcasts!$D$10:'Podcasts'!$D$2535=$B248,Podcasts!$E$10:'Podcasts'!$E$2535),COLUMN(I211)))</f>
        <v/>
      </c>
      <c r="AE248" s="401" t="str">
        <f t="array" ref="AE248">IF(AD248="","",INDEX(Podcasts!$F$10:'Podcasts'!$F$2535,MATCH(AD248&amp;$B248,Podcasts!$E$10:'Podcasts'!$E$2535&amp;Podcasts!$D$10:'Podcasts'!$D$2535,0)))</f>
        <v/>
      </c>
      <c r="AF248" s="406" t="str">
        <f t="array" ref="AF248">IF(AG248="","",INDEX(Podcasts!$J$10:'Podcasts'!$J$2535,MATCH(AG248&amp;$B248,Podcasts!$E$10:'Podcasts'!$E$2535&amp;Podcasts!$D$10:'Podcasts'!$D$2535,0)))</f>
        <v/>
      </c>
      <c r="AG248" s="400" t="str">
        <f t="array" ref="AG248">IF(COUNTIF(Podcasts!$D$10:'Podcasts'!$D$2535,$B248)&lt;COLUMN(J211),"",SMALL(IF(Podcasts!$D$10:'Podcasts'!$D$2535=$B248,Podcasts!$E$10:'Podcasts'!$E$2535),COLUMN(J211)))</f>
        <v/>
      </c>
      <c r="AH248" s="401" t="str">
        <f t="array" ref="AH248">IF(AG248="","",INDEX(Podcasts!$F$10:'Podcasts'!$F$2535,MATCH(AG248&amp;$B248,Podcasts!$E$10:'Podcasts'!$E$2535&amp;Podcasts!$D$10:'Podcasts'!$D$2535,0)))</f>
        <v/>
      </c>
      <c r="AI248" s="406" t="str">
        <f t="array" ref="AI248">IF(AJ248="","",INDEX(Podcasts!$J$10:'Podcasts'!$J$2535,MATCH(AJ248&amp;$B248,Podcasts!$E$10:'Podcasts'!$E$2535&amp;Podcasts!$D$10:'Podcasts'!$D$2535,0)))</f>
        <v/>
      </c>
      <c r="AJ248" s="400" t="str">
        <f t="array" ref="AJ248">IF(COUNTIF(Podcasts!$D$10:'Podcasts'!$D$2535,$B248)&lt;COLUMN(K211),"",SMALL(IF(Podcasts!$D$10:'Podcasts'!$D$2535=$B248,Podcasts!$E$10:'Podcasts'!$E$2535),COLUMN(K211)))</f>
        <v/>
      </c>
      <c r="AK248" s="401" t="str">
        <f t="array" ref="AK248">IF(AJ248="","",INDEX(Podcasts!$F$10:'Podcasts'!$F$2535,MATCH(AJ248&amp;$B248,Podcasts!$E$10:'Podcasts'!$E$2535&amp;Podcasts!$D$10:'Podcasts'!$D$2535,0)))</f>
        <v/>
      </c>
      <c r="AL248" s="406" t="str">
        <f t="array" ref="AL248">IF(AM248="","",INDEX(Podcasts!$J$10:'Podcasts'!$J$2535,MATCH(AM248&amp;$B248,Podcasts!$E$10:'Podcasts'!$E$2535&amp;Podcasts!$D$10:'Podcasts'!$D$2535,0)))</f>
        <v/>
      </c>
      <c r="AM248" s="400" t="str">
        <f t="array" ref="AM248">IF(COUNTIF(Podcasts!$D$10:'Podcasts'!$D$2535,$B248)&lt;COLUMN(L211),"",SMALL(IF(Podcasts!$D$10:'Podcasts'!$D$2535=$B248,Podcasts!$E$10:'Podcasts'!$E$2535),COLUMN(L211)))</f>
        <v/>
      </c>
      <c r="AN248" s="401" t="str">
        <f t="array" ref="AN248">IF(AM248="","",INDEX(Podcasts!$F$10:'Podcasts'!$F$2535,MATCH(AM248&amp;$B248,Podcasts!$E$10:'Podcasts'!$E$2535&amp;Podcasts!$D$10:'Podcasts'!$D$2535,0)))</f>
        <v/>
      </c>
      <c r="AO248" s="402"/>
      <c r="AP248" s="119"/>
      <c r="AQ248" s="117"/>
      <c r="AR248" s="117"/>
      <c r="AS248" s="117"/>
      <c r="AT248" s="117"/>
      <c r="AU248" s="117">
        <f t="array" aca="1" ref="AU248" ca="1">IFERROR(SMALL(IF(COUNTIF(Podcasts!$D$479:'Podcasts'!$D$488,ROW(INDIRECT("1:"&amp;K$2)))=0,ROW(INDIRECT("1:"&amp;K$2))),ROW($A205)),"")</f>
        <v>209</v>
      </c>
      <c r="AV248" s="117" t="str">
        <f t="array" aca="1" ref="AV248" ca="1">IFERROR(SMALL(IF(COUNTIF(Podcasts!$D$494:'Podcasts'!$D$518,ROW(INDIRECT("1:"&amp;K$2)))=0,ROW(INDIRECT("1:"&amp;K$2))),ROW($A205)),"")</f>
        <v/>
      </c>
      <c r="AW248" s="117">
        <f t="array" aca="1" ref="AW248" ca="1">IFERROR(SMALL(IF(COUNTIF(Podcasts!$D$524:'Podcasts'!$D$532,ROW(INDIRECT("1:"&amp;K$2)))=0,ROW(INDIRECT("1:"&amp;K$2))),ROW($A205)),"")</f>
        <v>212</v>
      </c>
      <c r="AX248" s="117"/>
      <c r="AY248" s="117"/>
      <c r="AZ248" s="445"/>
      <c r="BA248" s="117"/>
      <c r="BB248" s="117">
        <f t="array" aca="1" ref="BB248" ca="1">IFERROR(SMALL(IF(COUNTIF(Podcasts!$D$1257:'Podcasts'!$D$1267,ROW(INDIRECT("1:"&amp;K$2)))=0,ROW(INDIRECT("1:"&amp;K$2))),ROW($A205)),"")</f>
        <v>213</v>
      </c>
      <c r="BC248" s="117">
        <f t="array" aca="1" ref="BC248" ca="1">IFERROR(SMALL(IF(COUNTIF(Podcasts!$D$1273:'Podcasts'!$D$1283,ROW(INDIRECT("1:"&amp;K$2)))=0,ROW(INDIRECT("1:"&amp;K$2))),ROW($A205)),"")</f>
        <v>212</v>
      </c>
      <c r="BD248" s="117">
        <f t="array" aca="1" ref="BD248" ca="1">IFERROR(SMALL(IF(COUNTIF(Podcasts!$D$1289:'Podcasts'!$D$1295,ROW(INDIRECT("1:"&amp;K$2)))=0,ROW(INDIRECT("1:"&amp;K$2))),ROW($A205)),"")</f>
        <v>212</v>
      </c>
      <c r="BE248" s="117"/>
      <c r="BF248" s="117">
        <f t="array" aca="1" ref="BF248" ca="1">IFERROR(SMALL(IF(COUNTIF(Podcasts!$D$1362:'Podcasts'!$D$1364,ROW(INDIRECT("1:"&amp;K$2)))=0,ROW(INDIRECT("1:"&amp;K$2))),ROW($A205)),"")</f>
        <v>208</v>
      </c>
      <c r="BG248" s="202"/>
      <c r="BH248" s="202">
        <f t="array" aca="1" ref="BH248" ca="1">IFERROR(SMALL(IF(COUNTIF(Podcasts!$D$1425:'Podcasts'!$D$1446,ROW(INDIRECT("1:"&amp;K$2)))=0,ROW(INDIRECT("1:"&amp;K$2))),ROW($A205)),"")</f>
        <v>218</v>
      </c>
      <c r="BI248" s="202"/>
      <c r="BJ248" s="202"/>
      <c r="BK248" s="202"/>
      <c r="BL248" s="202">
        <f t="array" aca="1" ref="BL248" ca="1">IFERROR(SMALL(IF(COUNTIF(Podcasts!$D$1839:'Podcasts'!$D$1855,ROW(INDIRECT("1:"&amp;K$2)))=0,ROW(INDIRECT("1:"&amp;K$2))),ROW($A205)),"")</f>
        <v>214</v>
      </c>
      <c r="BM248" s="567"/>
      <c r="BN248" s="567"/>
      <c r="BO248" s="567">
        <f t="array" aca="1" ref="BO248" ca="1">IFERROR(SMALL(IF(COUNTIF(Podcasts!$D$2063:'Podcasts'!$D$2071,ROW(INDIRECT("1:"&amp;K$2)))=0,ROW(INDIRECT("1:"&amp;K$2))),ROW($A205)),"")</f>
        <v>213</v>
      </c>
      <c r="BP248" s="202">
        <f t="array" aca="1" ref="BP248" ca="1">IFERROR(SMALL(IF(COUNTIF(Podcasts!$D$2077:'Podcasts'!$D$2092,ROW(INDIRECT("1:"&amp;K$2)))=0,ROW(INDIRECT("1:"&amp;K$2))),ROW($A205)),"")</f>
        <v>216</v>
      </c>
      <c r="BQ248" s="741">
        <f t="array" aca="1" ref="BQ248" ca="1">IFERROR(SMALL(IF(COUNTIF(Podcasts!$D$2098:'Podcasts'!$D$2114,ROW(INDIRECT("1:"&amp;K$2)))=0,ROW(INDIRECT("1:"&amp;K$2))),ROW($A205)),"")</f>
        <v>220</v>
      </c>
      <c r="BR248" s="744">
        <f t="array" aca="1" ref="BR248" ca="1">IFERROR(SMALL(IF(COUNTIF(Podcasts!$D$2120:'Podcasts'!$D$2124,ROW(INDIRECT("1:"&amp;K$2)))=0,ROW(INDIRECT("1:"&amp;K$2))),ROW($A205)),"")</f>
        <v>207</v>
      </c>
      <c r="BS248" s="28"/>
    </row>
    <row r="249" spans="1:71" outlineLevel="1">
      <c r="A249" s="28"/>
      <c r="B249" s="161">
        <v>206</v>
      </c>
      <c r="C249" s="161">
        <f>COUNTIF(Podcasts!$D$10:'Podcasts'!$D$2535,B249)</f>
        <v>3</v>
      </c>
      <c r="D249" s="160" t="s">
        <v>2706</v>
      </c>
      <c r="E249" s="156" t="str">
        <f t="array" ref="E249">IF(F249="","",INDEX(Podcasts!$J$10:'Podcasts'!$J$2535,MATCH(F249&amp;$B249,Podcasts!$E$10:'Podcasts'!$E$2535&amp;Podcasts!$D$10:'Podcasts'!$D$2535,0)))</f>
        <v>Label</v>
      </c>
      <c r="F249" s="131">
        <f t="array" ref="F249">IF(COUNTIF(Podcasts!$D$10:'Podcasts'!$D$2535,$B249)&lt;COLUMN(A212),"",SMALL(IF(Podcasts!$D$10:'Podcasts'!$D$2535=$B249,Podcasts!$E$10:'Podcasts'!$E$2535),COLUMN(A212)))</f>
        <v>44022</v>
      </c>
      <c r="G249" s="132">
        <f t="array" ref="G249">IF(F249="","",INDEX(Podcasts!$F$10:'Podcasts'!$F$2535,MATCH(F249&amp;$B249,Podcasts!$E$10:'Podcasts'!$E$2535&amp;Podcasts!$D$10:'Podcasts'!$D$2535,0)))</f>
        <v>3.1631944444444442E-2</v>
      </c>
      <c r="H249" s="136" t="str">
        <f t="array" ref="H249">IF(I249="","",INDEX(Podcasts!$J$10:'Podcasts'!$J$2535,MATCH(I249&amp;$B249,Podcasts!$E$10:'Podcasts'!$E$2535&amp;Podcasts!$D$10:'Podcasts'!$D$2535,0)))</f>
        <v>Ohr</v>
      </c>
      <c r="I249" s="133">
        <f t="array" ref="I249">IF(COUNTIF(Podcasts!$D$10:'Podcasts'!$D$2535,$B249)&lt;COLUMN(B212),"",SMALL(IF(Podcasts!$D$10:'Podcasts'!$D$2535=$B249,Podcasts!$E$10:'Podcasts'!$E$2535),COLUMN(B212)))</f>
        <v>44075</v>
      </c>
      <c r="J249" s="132">
        <f t="array" ref="J249">IF(I249="","",INDEX(Podcasts!$F$10:'Podcasts'!$F$2535,MATCH(I249&amp;$B249,Podcasts!$E$10:'Podcasts'!$E$2535&amp;Podcasts!$D$10:'Podcasts'!$D$2535,0)))</f>
        <v>1.0995370370370371E-3</v>
      </c>
      <c r="K249" s="136" t="str">
        <f t="array" ref="K249">IF(L249="","",INDEX(Podcasts!$J$10:'Podcasts'!$J$2535,MATCH(L249&amp;$B249,Podcasts!$E$10:'Podcasts'!$E$2535&amp;Podcasts!$D$10:'Podcasts'!$D$2535,0)))</f>
        <v>Kuchen</v>
      </c>
      <c r="L249" s="133">
        <f t="array" ref="L249">IF(COUNTIF(Podcasts!$D$10:'Podcasts'!$D$2535,$B249)&lt;COLUMN(C212),"",SMALL(IF(Podcasts!$D$10:'Podcasts'!$D$2535=$B249,Podcasts!$E$10:'Podcasts'!$E$2535),COLUMN(C212)))</f>
        <v>44479</v>
      </c>
      <c r="M249" s="132">
        <f t="array" ref="M249">IF(L249="","",INDEX(Podcasts!$F$10:'Podcasts'!$F$2535,MATCH(L249&amp;$B249,Podcasts!$E$10:'Podcasts'!$E$2535&amp;Podcasts!$D$10:'Podcasts'!$D$2535,0)))</f>
        <v>6.3912037037037031E-2</v>
      </c>
      <c r="N249" s="136" t="str">
        <f t="array" ref="N249">IF(O249="","",INDEX(Podcasts!$J$10:'Podcasts'!$J$2535,MATCH(O249&amp;$B249,Podcasts!$E$10:'Podcasts'!$E$2535&amp;Podcasts!$D$10:'Podcasts'!$D$2535,0)))</f>
        <v/>
      </c>
      <c r="O249" s="133" t="str">
        <f t="array" ref="O249">IF(COUNTIF(Podcasts!$D$10:'Podcasts'!$D$2535,$B249)&lt;COLUMN(D212),"",SMALL(IF(Podcasts!$D$10:'Podcasts'!$D$2535=$B249,Podcasts!$E$10:'Podcasts'!$E$2535),COLUMN(D212)))</f>
        <v/>
      </c>
      <c r="P249" s="132" t="str">
        <f t="array" ref="P249">IF(O249="","",INDEX(Podcasts!$F$10:'Podcasts'!$F$2535,MATCH(O249&amp;$B249,Podcasts!$E$10:'Podcasts'!$E$2535&amp;Podcasts!$D$10:'Podcasts'!$D$2535,0)))</f>
        <v/>
      </c>
      <c r="Q249" s="136" t="str">
        <f t="array" ref="Q249">IF(R249="","",INDEX(Podcasts!$J$10:'Podcasts'!$J$2535,MATCH(R249&amp;$B249,Podcasts!$E$10:'Podcasts'!$E$2535&amp;Podcasts!$D$10:'Podcasts'!$D$2535,0)))</f>
        <v/>
      </c>
      <c r="R249" s="133" t="str">
        <f t="array" ref="R249">IF(COUNTIF(Podcasts!$D$10:'Podcasts'!$D$2535,$B249)&lt;COLUMN(E212),"",SMALL(IF(Podcasts!$D$10:'Podcasts'!$D$2535=$B249,Podcasts!$E$10:'Podcasts'!$E$2535),COLUMN(E212)))</f>
        <v/>
      </c>
      <c r="S249" s="132" t="str">
        <f t="array" ref="S249">IF(R249="","",INDEX(Podcasts!$F$10:'Podcasts'!$F$2535,MATCH(R249&amp;$B249,Podcasts!$E$10:'Podcasts'!$E$2535&amp;Podcasts!$D$10:'Podcasts'!$D$2535,0)))</f>
        <v/>
      </c>
      <c r="T249" s="136" t="str">
        <f t="array" ref="T249">IF(U249="","",INDEX(Podcasts!$J$10:'Podcasts'!$J$2535,MATCH(U249&amp;$B249,Podcasts!$E$10:'Podcasts'!$E$2535&amp;Podcasts!$D$10:'Podcasts'!$D$2535,0)))</f>
        <v/>
      </c>
      <c r="U249" s="133" t="str">
        <f t="array" ref="U249">IF(COUNTIF(Podcasts!$D$10:'Podcasts'!$D$2535,$B249)&lt;COLUMN(F212),"",SMALL(IF(Podcasts!$D$10:'Podcasts'!$D$2535=$B249,Podcasts!$E$10:'Podcasts'!$E$2535),COLUMN(F212)))</f>
        <v/>
      </c>
      <c r="V249" s="132" t="str">
        <f t="array" ref="V249">IF(U249="","",INDEX(Podcasts!$F$10:'Podcasts'!$F$2535,MATCH(U249&amp;$B249,Podcasts!$E$10:'Podcasts'!$E$2535&amp;Podcasts!$D$10:'Podcasts'!$D$2535,0)))</f>
        <v/>
      </c>
      <c r="W249" s="136" t="str">
        <f t="array" ref="W249">IF(X249="","",INDEX(Podcasts!$J$10:'Podcasts'!$J$2535,MATCH(X249&amp;$B249,Podcasts!$E$10:'Podcasts'!$E$2535&amp;Podcasts!$D$10:'Podcasts'!$D$2535,0)))</f>
        <v/>
      </c>
      <c r="X249" s="133" t="str">
        <f t="array" ref="X249">IF(COUNTIF(Podcasts!$D$10:'Podcasts'!$D$2535,$B249)&lt;COLUMN(G212),"",SMALL(IF(Podcasts!$D$10:'Podcasts'!$D$2535=$B249,Podcasts!$E$10:'Podcasts'!$E$2535),COLUMN(G212)))</f>
        <v/>
      </c>
      <c r="Y249" s="132" t="str">
        <f t="array" ref="Y249">IF(X249="","",INDEX(Podcasts!$F$10:'Podcasts'!$F$2535,MATCH(X249&amp;$B249,Podcasts!$E$10:'Podcasts'!$E$2535&amp;Podcasts!$D$10:'Podcasts'!$D$2535,0)))</f>
        <v/>
      </c>
      <c r="Z249" s="136" t="str">
        <f t="array" ref="Z249">IF(AA249="","",INDEX(Podcasts!$J$10:'Podcasts'!$J$2535,MATCH(AA249&amp;$B249,Podcasts!$E$10:'Podcasts'!$E$2535&amp;Podcasts!$D$10:'Podcasts'!$D$2535,0)))</f>
        <v/>
      </c>
      <c r="AA249" s="134" t="str">
        <f t="array" ref="AA249">IF(COUNTIF(Podcasts!$D$10:'Podcasts'!$D$2535,$B249)&lt;COLUMN(H212),"",SMALL(IF(Podcasts!$D$10:'Podcasts'!$D$2535=$B249,Podcasts!$E$10:'Podcasts'!$E$2535),COLUMN(H212)))</f>
        <v/>
      </c>
      <c r="AB249" s="404" t="str">
        <f t="array" ref="AB249">IF(AA249="","",INDEX(Podcasts!$F$10:'Podcasts'!$F$2535,MATCH(AA249&amp;$B249,Podcasts!$E$10:'Podcasts'!$E$2535&amp;Podcasts!$D$10:'Podcasts'!$D$2535,0)))</f>
        <v/>
      </c>
      <c r="AC249" s="406" t="str">
        <f t="array" ref="AC249">IF(AD249="","",INDEX(Podcasts!$J$10:'Podcasts'!$J$2535,MATCH(AD249&amp;$B249,Podcasts!$E$10:'Podcasts'!$E$2535&amp;Podcasts!$D$10:'Podcasts'!$D$2535,0)))</f>
        <v/>
      </c>
      <c r="AD249" s="400" t="str">
        <f t="array" ref="AD249">IF(COUNTIF(Podcasts!$D$10:'Podcasts'!$D$2535,$B249)&lt;COLUMN(I212),"",SMALL(IF(Podcasts!$D$10:'Podcasts'!$D$2535=$B249,Podcasts!$E$10:'Podcasts'!$E$2535),COLUMN(I212)))</f>
        <v/>
      </c>
      <c r="AE249" s="401" t="str">
        <f t="array" ref="AE249">IF(AD249="","",INDEX(Podcasts!$F$10:'Podcasts'!$F$2535,MATCH(AD249&amp;$B249,Podcasts!$E$10:'Podcasts'!$E$2535&amp;Podcasts!$D$10:'Podcasts'!$D$2535,0)))</f>
        <v/>
      </c>
      <c r="AF249" s="406" t="str">
        <f t="array" ref="AF249">IF(AG249="","",INDEX(Podcasts!$J$10:'Podcasts'!$J$2535,MATCH(AG249&amp;$B249,Podcasts!$E$10:'Podcasts'!$E$2535&amp;Podcasts!$D$10:'Podcasts'!$D$2535,0)))</f>
        <v/>
      </c>
      <c r="AG249" s="400" t="str">
        <f t="array" ref="AG249">IF(COUNTIF(Podcasts!$D$10:'Podcasts'!$D$2535,$B249)&lt;COLUMN(J212),"",SMALL(IF(Podcasts!$D$10:'Podcasts'!$D$2535=$B249,Podcasts!$E$10:'Podcasts'!$E$2535),COLUMN(J212)))</f>
        <v/>
      </c>
      <c r="AH249" s="401" t="str">
        <f t="array" ref="AH249">IF(AG249="","",INDEX(Podcasts!$F$10:'Podcasts'!$F$2535,MATCH(AG249&amp;$B249,Podcasts!$E$10:'Podcasts'!$E$2535&amp;Podcasts!$D$10:'Podcasts'!$D$2535,0)))</f>
        <v/>
      </c>
      <c r="AI249" s="406" t="str">
        <f t="array" ref="AI249">IF(AJ249="","",INDEX(Podcasts!$J$10:'Podcasts'!$J$2535,MATCH(AJ249&amp;$B249,Podcasts!$E$10:'Podcasts'!$E$2535&amp;Podcasts!$D$10:'Podcasts'!$D$2535,0)))</f>
        <v/>
      </c>
      <c r="AJ249" s="400" t="str">
        <f t="array" ref="AJ249">IF(COUNTIF(Podcasts!$D$10:'Podcasts'!$D$2535,$B249)&lt;COLUMN(K212),"",SMALL(IF(Podcasts!$D$10:'Podcasts'!$D$2535=$B249,Podcasts!$E$10:'Podcasts'!$E$2535),COLUMN(K212)))</f>
        <v/>
      </c>
      <c r="AK249" s="401" t="str">
        <f t="array" ref="AK249">IF(AJ249="","",INDEX(Podcasts!$F$10:'Podcasts'!$F$2535,MATCH(AJ249&amp;$B249,Podcasts!$E$10:'Podcasts'!$E$2535&amp;Podcasts!$D$10:'Podcasts'!$D$2535,0)))</f>
        <v/>
      </c>
      <c r="AL249" s="406" t="str">
        <f t="array" ref="AL249">IF(AM249="","",INDEX(Podcasts!$J$10:'Podcasts'!$J$2535,MATCH(AM249&amp;$B249,Podcasts!$E$10:'Podcasts'!$E$2535&amp;Podcasts!$D$10:'Podcasts'!$D$2535,0)))</f>
        <v/>
      </c>
      <c r="AM249" s="400" t="str">
        <f t="array" ref="AM249">IF(COUNTIF(Podcasts!$D$10:'Podcasts'!$D$2535,$B249)&lt;COLUMN(L212),"",SMALL(IF(Podcasts!$D$10:'Podcasts'!$D$2535=$B249,Podcasts!$E$10:'Podcasts'!$E$2535),COLUMN(L212)))</f>
        <v/>
      </c>
      <c r="AN249" s="401" t="str">
        <f t="array" ref="AN249">IF(AM249="","",INDEX(Podcasts!$F$10:'Podcasts'!$F$2535,MATCH(AM249&amp;$B249,Podcasts!$E$10:'Podcasts'!$E$2535&amp;Podcasts!$D$10:'Podcasts'!$D$2535,0)))</f>
        <v/>
      </c>
      <c r="AO249" s="402"/>
      <c r="AP249" s="119"/>
      <c r="AQ249" s="117"/>
      <c r="AR249" s="117"/>
      <c r="AS249" s="117"/>
      <c r="AT249" s="117"/>
      <c r="AU249" s="117">
        <f t="array" aca="1" ref="AU249" ca="1">IFERROR(SMALL(IF(COUNTIF(Podcasts!$D$479:'Podcasts'!$D$488,ROW(INDIRECT("1:"&amp;K$2)))=0,ROW(INDIRECT("1:"&amp;K$2))),ROW($A206)),"")</f>
        <v>210</v>
      </c>
      <c r="AV249" s="117"/>
      <c r="AW249" s="117">
        <f t="array" aca="1" ref="AW249" ca="1">IFERROR(SMALL(IF(COUNTIF(Podcasts!$D$524:'Podcasts'!$D$532,ROW(INDIRECT("1:"&amp;K$2)))=0,ROW(INDIRECT("1:"&amp;K$2))),ROW($A206)),"")</f>
        <v>213</v>
      </c>
      <c r="AX249" s="117"/>
      <c r="AY249" s="117"/>
      <c r="AZ249" s="445"/>
      <c r="BA249" s="117"/>
      <c r="BB249" s="117">
        <f t="array" aca="1" ref="BB249" ca="1">IFERROR(SMALL(IF(COUNTIF(Podcasts!$D$1257:'Podcasts'!$D$1267,ROW(INDIRECT("1:"&amp;K$2)))=0,ROW(INDIRECT("1:"&amp;K$2))),ROW($A206)),"")</f>
        <v>214</v>
      </c>
      <c r="BC249" s="117">
        <f t="array" aca="1" ref="BC249" ca="1">IFERROR(SMALL(IF(COUNTIF(Podcasts!$D$1273:'Podcasts'!$D$1283,ROW(INDIRECT("1:"&amp;K$2)))=0,ROW(INDIRECT("1:"&amp;K$2))),ROW($A206)),"")</f>
        <v>213</v>
      </c>
      <c r="BD249" s="117">
        <f t="array" aca="1" ref="BD249" ca="1">IFERROR(SMALL(IF(COUNTIF(Podcasts!$D$1289:'Podcasts'!$D$1295,ROW(INDIRECT("1:"&amp;K$2)))=0,ROW(INDIRECT("1:"&amp;K$2))),ROW($A206)),"")</f>
        <v>213</v>
      </c>
      <c r="BE249" s="117"/>
      <c r="BF249" s="117">
        <f t="array" aca="1" ref="BF249" ca="1">IFERROR(SMALL(IF(COUNTIF(Podcasts!$D$1362:'Podcasts'!$D$1364,ROW(INDIRECT("1:"&amp;K$2)))=0,ROW(INDIRECT("1:"&amp;K$2))),ROW($A206)),"")</f>
        <v>209</v>
      </c>
      <c r="BG249" s="202"/>
      <c r="BH249" s="202">
        <f t="array" aca="1" ref="BH249" ca="1">IFERROR(SMALL(IF(COUNTIF(Podcasts!$D$1425:'Podcasts'!$D$1446,ROW(INDIRECT("1:"&amp;K$2)))=0,ROW(INDIRECT("1:"&amp;K$2))),ROW($A206)),"")</f>
        <v>219</v>
      </c>
      <c r="BI249" s="202"/>
      <c r="BJ249" s="202"/>
      <c r="BK249" s="202"/>
      <c r="BL249" s="202">
        <f t="array" aca="1" ref="BL249" ca="1">IFERROR(SMALL(IF(COUNTIF(Podcasts!$D$1839:'Podcasts'!$D$1855,ROW(INDIRECT("1:"&amp;K$2)))=0,ROW(INDIRECT("1:"&amp;K$2))),ROW($A206)),"")</f>
        <v>215</v>
      </c>
      <c r="BM249" s="567"/>
      <c r="BN249" s="567"/>
      <c r="BO249" s="567">
        <f t="array" aca="1" ref="BO249" ca="1">IFERROR(SMALL(IF(COUNTIF(Podcasts!$D$2063:'Podcasts'!$D$2071,ROW(INDIRECT("1:"&amp;K$2)))=0,ROW(INDIRECT("1:"&amp;K$2))),ROW($A206)),"")</f>
        <v>214</v>
      </c>
      <c r="BP249" s="202">
        <f t="array" aca="1" ref="BP249" ca="1">IFERROR(SMALL(IF(COUNTIF(Podcasts!$D$2077:'Podcasts'!$D$2092,ROW(INDIRECT("1:"&amp;K$2)))=0,ROW(INDIRECT("1:"&amp;K$2))),ROW($A206)),"")</f>
        <v>217</v>
      </c>
      <c r="BQ249" s="741">
        <f t="array" aca="1" ref="BQ249" ca="1">IFERROR(SMALL(IF(COUNTIF(Podcasts!$D$2098:'Podcasts'!$D$2114,ROW(INDIRECT("1:"&amp;K$2)))=0,ROW(INDIRECT("1:"&amp;K$2))),ROW($A206)),"")</f>
        <v>221</v>
      </c>
      <c r="BR249" s="744">
        <f t="array" aca="1" ref="BR249" ca="1">IFERROR(SMALL(IF(COUNTIF(Podcasts!$D$2120:'Podcasts'!$D$2124,ROW(INDIRECT("1:"&amp;K$2)))=0,ROW(INDIRECT("1:"&amp;K$2))),ROW($A206)),"")</f>
        <v>208</v>
      </c>
      <c r="BS249" s="28"/>
    </row>
    <row r="250" spans="1:71" outlineLevel="1">
      <c r="A250" s="28"/>
      <c r="B250" s="161">
        <v>207</v>
      </c>
      <c r="C250" s="161">
        <f>COUNTIF(Podcasts!$D$10:'Podcasts'!$D$2535,B250)</f>
        <v>5</v>
      </c>
      <c r="D250" s="160" t="s">
        <v>2707</v>
      </c>
      <c r="E250" s="156" t="str">
        <f t="array" ref="E250">IF(F250="","",INDEX(Podcasts!$J$10:'Podcasts'!$J$2535,MATCH(F250&amp;$B250,Podcasts!$E$10:'Podcasts'!$E$2535&amp;Podcasts!$D$10:'Podcasts'!$D$2535,0)))</f>
        <v>Label</v>
      </c>
      <c r="F250" s="131">
        <f t="array" ref="F250">IF(COUNTIF(Podcasts!$D$10:'Podcasts'!$D$2535,$B250)&lt;COLUMN(A213),"",SMALL(IF(Podcasts!$D$10:'Podcasts'!$D$2535=$B250,Podcasts!$E$10:'Podcasts'!$E$2535),COLUMN(A213)))</f>
        <v>44092</v>
      </c>
      <c r="G250" s="132">
        <f t="array" ref="G250">IF(F250="","",INDEX(Podcasts!$F$10:'Podcasts'!$F$2535,MATCH(F250&amp;$B250,Podcasts!$E$10:'Podcasts'!$E$2535&amp;Podcasts!$D$10:'Podcasts'!$D$2535,0)))</f>
        <v>3.5347222222222217E-2</v>
      </c>
      <c r="H250" s="136" t="str">
        <f t="array" ref="H250">IF(I250="","",INDEX(Podcasts!$J$10:'Podcasts'!$J$2535,MATCH(I250&amp;$B250,Podcasts!$E$10:'Podcasts'!$E$2535&amp;Podcasts!$D$10:'Podcasts'!$D$2535,0)))</f>
        <v>Ohr</v>
      </c>
      <c r="I250" s="133">
        <f t="array" ref="I250">IF(COUNTIF(Podcasts!$D$10:'Podcasts'!$D$2535,$B250)&lt;COLUMN(B213),"",SMALL(IF(Podcasts!$D$10:'Podcasts'!$D$2535=$B250,Podcasts!$E$10:'Podcasts'!$E$2535),COLUMN(B213)))</f>
        <v>44123</v>
      </c>
      <c r="J250" s="132">
        <f t="array" ref="J250">IF(I250="","",INDEX(Podcasts!$F$10:'Podcasts'!$F$2535,MATCH(I250&amp;$B250,Podcasts!$E$10:'Podcasts'!$E$2535&amp;Podcasts!$D$10:'Podcasts'!$D$2535,0)))</f>
        <v>1.6435185185185183E-3</v>
      </c>
      <c r="K250" s="136" t="str">
        <f t="array" ref="K250">IF(L250="","",INDEX(Podcasts!$J$10:'Podcasts'!$J$2535,MATCH(L250&amp;$B250,Podcasts!$E$10:'Podcasts'!$E$2535&amp;Podcasts!$D$10:'Podcasts'!$D$2535,0)))</f>
        <v>Platz</v>
      </c>
      <c r="L250" s="133">
        <f t="array" ref="L250">IF(COUNTIF(Podcasts!$D$10:'Podcasts'!$D$2535,$B250)&lt;COLUMN(C213),"",SMALL(IF(Podcasts!$D$10:'Podcasts'!$D$2535=$B250,Podcasts!$E$10:'Podcasts'!$E$2535),COLUMN(C213)))</f>
        <v>44142</v>
      </c>
      <c r="M250" s="132">
        <f t="array" ref="M250">IF(L250="","",INDEX(Podcasts!$F$10:'Podcasts'!$F$2535,MATCH(L250&amp;$B250,Podcasts!$E$10:'Podcasts'!$E$2535&amp;Podcasts!$D$10:'Podcasts'!$D$2535,0)))</f>
        <v>9.8229166666666659E-2</v>
      </c>
      <c r="N250" s="136" t="str">
        <f t="array" ref="N250">IF(O250="","",INDEX(Podcasts!$J$10:'Podcasts'!$J$2535,MATCH(O250&amp;$B250,Podcasts!$E$10:'Podcasts'!$E$2535&amp;Podcasts!$D$10:'Podcasts'!$D$2535,0)))</f>
        <v>Zw3i</v>
      </c>
      <c r="O250" s="133">
        <f t="array" ref="O250">IF(COUNTIF(Podcasts!$D$10:'Podcasts'!$D$2535,$B250)&lt;COLUMN(D213),"",SMALL(IF(Podcasts!$D$10:'Podcasts'!$D$2535=$B250,Podcasts!$E$10:'Podcasts'!$E$2535),COLUMN(D213)))</f>
        <v>44687</v>
      </c>
      <c r="P250" s="132">
        <f t="array" ref="P250">IF(O250="","",INDEX(Podcasts!$F$10:'Podcasts'!$F$2535,MATCH(O250&amp;$B250,Podcasts!$E$10:'Podcasts'!$E$2535&amp;Podcasts!$D$10:'Podcasts'!$D$2535,0)))</f>
        <v>6.1793981481481484E-2</v>
      </c>
      <c r="Q250" s="136" t="str">
        <f t="array" ref="Q250">IF(R250="","",INDEX(Podcasts!$J$10:'Podcasts'!$J$2535,MATCH(R250&amp;$B250,Podcasts!$E$10:'Podcasts'!$E$2535&amp;Podcasts!$D$10:'Podcasts'!$D$2535,0)))</f>
        <v>SSP</v>
      </c>
      <c r="R250" s="133">
        <f t="array" ref="R250">IF(COUNTIF(Podcasts!$D$10:'Podcasts'!$D$2535,$B250)&lt;COLUMN(E213),"",SMALL(IF(Podcasts!$D$10:'Podcasts'!$D$2535=$B250,Podcasts!$E$10:'Podcasts'!$E$2535),COLUMN(E213)))</f>
        <v>45017</v>
      </c>
      <c r="S250" s="132">
        <f t="array" ref="S250">IF(R250="","",INDEX(Podcasts!$F$10:'Podcasts'!$F$2535,MATCH(R250&amp;$B250,Podcasts!$E$10:'Podcasts'!$E$2535&amp;Podcasts!$D$10:'Podcasts'!$D$2535,0)))</f>
        <v>9.6388888888888899E-2</v>
      </c>
      <c r="T250" s="136" t="str">
        <f t="array" ref="T250">IF(U250="","",INDEX(Podcasts!$J$10:'Podcasts'!$J$2535,MATCH(U250&amp;$B250,Podcasts!$E$10:'Podcasts'!$E$2535&amp;Podcasts!$D$10:'Podcasts'!$D$2535,0)))</f>
        <v/>
      </c>
      <c r="U250" s="133" t="str">
        <f t="array" ref="U250">IF(COUNTIF(Podcasts!$D$10:'Podcasts'!$D$2535,$B250)&lt;COLUMN(F213),"",SMALL(IF(Podcasts!$D$10:'Podcasts'!$D$2535=$B250,Podcasts!$E$10:'Podcasts'!$E$2535),COLUMN(F213)))</f>
        <v/>
      </c>
      <c r="V250" s="132" t="str">
        <f t="array" ref="V250">IF(U250="","",INDEX(Podcasts!$F$10:'Podcasts'!$F$2535,MATCH(U250&amp;$B250,Podcasts!$E$10:'Podcasts'!$E$2535&amp;Podcasts!$D$10:'Podcasts'!$D$2535,0)))</f>
        <v/>
      </c>
      <c r="W250" s="136" t="str">
        <f t="array" ref="W250">IF(X250="","",INDEX(Podcasts!$J$10:'Podcasts'!$J$2535,MATCH(X250&amp;$B250,Podcasts!$E$10:'Podcasts'!$E$2535&amp;Podcasts!$D$10:'Podcasts'!$D$2535,0)))</f>
        <v/>
      </c>
      <c r="X250" s="133" t="str">
        <f t="array" ref="X250">IF(COUNTIF(Podcasts!$D$10:'Podcasts'!$D$2535,$B250)&lt;COLUMN(G213),"",SMALL(IF(Podcasts!$D$10:'Podcasts'!$D$2535=$B250,Podcasts!$E$10:'Podcasts'!$E$2535),COLUMN(G213)))</f>
        <v/>
      </c>
      <c r="Y250" s="132" t="str">
        <f t="array" ref="Y250">IF(X250="","",INDEX(Podcasts!$F$10:'Podcasts'!$F$2535,MATCH(X250&amp;$B250,Podcasts!$E$10:'Podcasts'!$E$2535&amp;Podcasts!$D$10:'Podcasts'!$D$2535,0)))</f>
        <v/>
      </c>
      <c r="Z250" s="136" t="str">
        <f t="array" ref="Z250">IF(AA250="","",INDEX(Podcasts!$J$10:'Podcasts'!$J$2535,MATCH(AA250&amp;$B250,Podcasts!$E$10:'Podcasts'!$E$2535&amp;Podcasts!$D$10:'Podcasts'!$D$2535,0)))</f>
        <v/>
      </c>
      <c r="AA250" s="134" t="str">
        <f t="array" ref="AA250">IF(COUNTIF(Podcasts!$D$10:'Podcasts'!$D$2535,$B250)&lt;COLUMN(H213),"",SMALL(IF(Podcasts!$D$10:'Podcasts'!$D$2535=$B250,Podcasts!$E$10:'Podcasts'!$E$2535),COLUMN(H213)))</f>
        <v/>
      </c>
      <c r="AB250" s="404" t="str">
        <f t="array" ref="AB250">IF(AA250="","",INDEX(Podcasts!$F$10:'Podcasts'!$F$2535,MATCH(AA250&amp;$B250,Podcasts!$E$10:'Podcasts'!$E$2535&amp;Podcasts!$D$10:'Podcasts'!$D$2535,0)))</f>
        <v/>
      </c>
      <c r="AC250" s="406" t="str">
        <f t="array" ref="AC250">IF(AD250="","",INDEX(Podcasts!$J$10:'Podcasts'!$J$2535,MATCH(AD250&amp;$B250,Podcasts!$E$10:'Podcasts'!$E$2535&amp;Podcasts!$D$10:'Podcasts'!$D$2535,0)))</f>
        <v/>
      </c>
      <c r="AD250" s="400" t="str">
        <f t="array" ref="AD250">IF(COUNTIF(Podcasts!$D$10:'Podcasts'!$D$2535,$B250)&lt;COLUMN(I213),"",SMALL(IF(Podcasts!$D$10:'Podcasts'!$D$2535=$B250,Podcasts!$E$10:'Podcasts'!$E$2535),COLUMN(I213)))</f>
        <v/>
      </c>
      <c r="AE250" s="401" t="str">
        <f t="array" ref="AE250">IF(AD250="","",INDEX(Podcasts!$F$10:'Podcasts'!$F$2535,MATCH(AD250&amp;$B250,Podcasts!$E$10:'Podcasts'!$E$2535&amp;Podcasts!$D$10:'Podcasts'!$D$2535,0)))</f>
        <v/>
      </c>
      <c r="AF250" s="406" t="str">
        <f t="array" ref="AF250">IF(AG250="","",INDEX(Podcasts!$J$10:'Podcasts'!$J$2535,MATCH(AG250&amp;$B250,Podcasts!$E$10:'Podcasts'!$E$2535&amp;Podcasts!$D$10:'Podcasts'!$D$2535,0)))</f>
        <v/>
      </c>
      <c r="AG250" s="400" t="str">
        <f t="array" ref="AG250">IF(COUNTIF(Podcasts!$D$10:'Podcasts'!$D$2535,$B250)&lt;COLUMN(J213),"",SMALL(IF(Podcasts!$D$10:'Podcasts'!$D$2535=$B250,Podcasts!$E$10:'Podcasts'!$E$2535),COLUMN(J213)))</f>
        <v/>
      </c>
      <c r="AH250" s="401" t="str">
        <f t="array" ref="AH250">IF(AG250="","",INDEX(Podcasts!$F$10:'Podcasts'!$F$2535,MATCH(AG250&amp;$B250,Podcasts!$E$10:'Podcasts'!$E$2535&amp;Podcasts!$D$10:'Podcasts'!$D$2535,0)))</f>
        <v/>
      </c>
      <c r="AI250" s="406" t="str">
        <f t="array" ref="AI250">IF(AJ250="","",INDEX(Podcasts!$J$10:'Podcasts'!$J$2535,MATCH(AJ250&amp;$B250,Podcasts!$E$10:'Podcasts'!$E$2535&amp;Podcasts!$D$10:'Podcasts'!$D$2535,0)))</f>
        <v/>
      </c>
      <c r="AJ250" s="400" t="str">
        <f t="array" ref="AJ250">IF(COUNTIF(Podcasts!$D$10:'Podcasts'!$D$2535,$B250)&lt;COLUMN(K213),"",SMALL(IF(Podcasts!$D$10:'Podcasts'!$D$2535=$B250,Podcasts!$E$10:'Podcasts'!$E$2535),COLUMN(K213)))</f>
        <v/>
      </c>
      <c r="AK250" s="401" t="str">
        <f t="array" ref="AK250">IF(AJ250="","",INDEX(Podcasts!$F$10:'Podcasts'!$F$2535,MATCH(AJ250&amp;$B250,Podcasts!$E$10:'Podcasts'!$E$2535&amp;Podcasts!$D$10:'Podcasts'!$D$2535,0)))</f>
        <v/>
      </c>
      <c r="AL250" s="406" t="str">
        <f t="array" ref="AL250">IF(AM250="","",INDEX(Podcasts!$J$10:'Podcasts'!$J$2535,MATCH(AM250&amp;$B250,Podcasts!$E$10:'Podcasts'!$E$2535&amp;Podcasts!$D$10:'Podcasts'!$D$2535,0)))</f>
        <v/>
      </c>
      <c r="AM250" s="400" t="str">
        <f t="array" ref="AM250">IF(COUNTIF(Podcasts!$D$10:'Podcasts'!$D$2535,$B250)&lt;COLUMN(L213),"",SMALL(IF(Podcasts!$D$10:'Podcasts'!$D$2535=$B250,Podcasts!$E$10:'Podcasts'!$E$2535),COLUMN(L213)))</f>
        <v/>
      </c>
      <c r="AN250" s="401" t="str">
        <f t="array" ref="AN250">IF(AM250="","",INDEX(Podcasts!$F$10:'Podcasts'!$F$2535,MATCH(AM250&amp;$B250,Podcasts!$E$10:'Podcasts'!$E$2535&amp;Podcasts!$D$10:'Podcasts'!$D$2535,0)))</f>
        <v/>
      </c>
      <c r="AO250" s="402"/>
      <c r="AP250" s="119"/>
      <c r="AQ250" s="117"/>
      <c r="AR250" s="117"/>
      <c r="AS250" s="117"/>
      <c r="AT250" s="117"/>
      <c r="AU250" s="117">
        <f t="array" aca="1" ref="AU250" ca="1">IFERROR(SMALL(IF(COUNTIF(Podcasts!$D$479:'Podcasts'!$D$488,ROW(INDIRECT("1:"&amp;K$2)))=0,ROW(INDIRECT("1:"&amp;K$2))),ROW($A207)),"")</f>
        <v>211</v>
      </c>
      <c r="AV250" s="117"/>
      <c r="AW250" s="117">
        <f t="array" aca="1" ref="AW250" ca="1">IFERROR(SMALL(IF(COUNTIF(Podcasts!$D$524:'Podcasts'!$D$532,ROW(INDIRECT("1:"&amp;K$2)))=0,ROW(INDIRECT("1:"&amp;K$2))),ROW($A207)),"")</f>
        <v>214</v>
      </c>
      <c r="AX250" s="117"/>
      <c r="AY250" s="117"/>
      <c r="AZ250" s="445"/>
      <c r="BA250" s="117"/>
      <c r="BB250" s="117">
        <f t="array" aca="1" ref="BB250" ca="1">IFERROR(SMALL(IF(COUNTIF(Podcasts!$D$1257:'Podcasts'!$D$1267,ROW(INDIRECT("1:"&amp;K$2)))=0,ROW(INDIRECT("1:"&amp;K$2))),ROW($A207)),"")</f>
        <v>215</v>
      </c>
      <c r="BC250" s="117">
        <f t="array" aca="1" ref="BC250" ca="1">IFERROR(SMALL(IF(COUNTIF(Podcasts!$D$1273:'Podcasts'!$D$1283,ROW(INDIRECT("1:"&amp;K$2)))=0,ROW(INDIRECT("1:"&amp;K$2))),ROW($A207)),"")</f>
        <v>214</v>
      </c>
      <c r="BD250" s="117">
        <f t="array" aca="1" ref="BD250" ca="1">IFERROR(SMALL(IF(COUNTIF(Podcasts!$D$1289:'Podcasts'!$D$1295,ROW(INDIRECT("1:"&amp;K$2)))=0,ROW(INDIRECT("1:"&amp;K$2))),ROW($A207)),"")</f>
        <v>214</v>
      </c>
      <c r="BE250" s="117"/>
      <c r="BF250" s="117">
        <f t="array" aca="1" ref="BF250" ca="1">IFERROR(SMALL(IF(COUNTIF(Podcasts!$D$1362:'Podcasts'!$D$1364,ROW(INDIRECT("1:"&amp;K$2)))=0,ROW(INDIRECT("1:"&amp;K$2))),ROW($A207)),"")</f>
        <v>210</v>
      </c>
      <c r="BG250" s="202"/>
      <c r="BH250" s="202">
        <f t="array" aca="1" ref="BH250" ca="1">IFERROR(SMALL(IF(COUNTIF(Podcasts!$D$1425:'Podcasts'!$D$1446,ROW(INDIRECT("1:"&amp;K$2)))=0,ROW(INDIRECT("1:"&amp;K$2))),ROW($A207)),"")</f>
        <v>220</v>
      </c>
      <c r="BI250" s="202"/>
      <c r="BJ250" s="202"/>
      <c r="BK250" s="202"/>
      <c r="BL250" s="202">
        <f t="array" aca="1" ref="BL250" ca="1">IFERROR(SMALL(IF(COUNTIF(Podcasts!$D$1839:'Podcasts'!$D$1855,ROW(INDIRECT("1:"&amp;K$2)))=0,ROW(INDIRECT("1:"&amp;K$2))),ROW($A207)),"")</f>
        <v>216</v>
      </c>
      <c r="BM250" s="567"/>
      <c r="BN250" s="567"/>
      <c r="BO250" s="567">
        <f t="array" aca="1" ref="BO250" ca="1">IFERROR(SMALL(IF(COUNTIF(Podcasts!$D$2063:'Podcasts'!$D$2071,ROW(INDIRECT("1:"&amp;K$2)))=0,ROW(INDIRECT("1:"&amp;K$2))),ROW($A207)),"")</f>
        <v>215</v>
      </c>
      <c r="BP250" s="202">
        <f t="array" aca="1" ref="BP250" ca="1">IFERROR(SMALL(IF(COUNTIF(Podcasts!$D$2077:'Podcasts'!$D$2092,ROW(INDIRECT("1:"&amp;K$2)))=0,ROW(INDIRECT("1:"&amp;K$2))),ROW($A207)),"")</f>
        <v>218</v>
      </c>
      <c r="BQ250" s="741">
        <f t="array" aca="1" ref="BQ250" ca="1">IFERROR(SMALL(IF(COUNTIF(Podcasts!$D$2098:'Podcasts'!$D$2114,ROW(INDIRECT("1:"&amp;K$2)))=0,ROW(INDIRECT("1:"&amp;K$2))),ROW($A207)),"")</f>
        <v>222</v>
      </c>
      <c r="BR250" s="744">
        <f t="array" aca="1" ref="BR250" ca="1">IFERROR(SMALL(IF(COUNTIF(Podcasts!$D$2120:'Podcasts'!$D$2124,ROW(INDIRECT("1:"&amp;K$2)))=0,ROW(INDIRECT("1:"&amp;K$2))),ROW($A207)),"")</f>
        <v>209</v>
      </c>
      <c r="BS250" s="28"/>
    </row>
    <row r="251" spans="1:71" outlineLevel="1">
      <c r="A251" s="28"/>
      <c r="B251" s="161">
        <v>208</v>
      </c>
      <c r="C251" s="161">
        <f>COUNTIF(Podcasts!$D$10:'Podcasts'!$D$2535,B251)</f>
        <v>2</v>
      </c>
      <c r="D251" s="160" t="s">
        <v>2708</v>
      </c>
      <c r="E251" s="156" t="str">
        <f t="array" ref="E251">IF(F251="","",INDEX(Podcasts!$J$10:'Podcasts'!$J$2535,MATCH(F251&amp;$B251,Podcasts!$E$10:'Podcasts'!$E$2535&amp;Podcasts!$D$10:'Podcasts'!$D$2535,0)))</f>
        <v>Label</v>
      </c>
      <c r="F251" s="131">
        <f t="array" ref="F251">IF(COUNTIF(Podcasts!$D$10:'Podcasts'!$D$2535,$B251)&lt;COLUMN(A214),"",SMALL(IF(Podcasts!$D$10:'Podcasts'!$D$2535=$B251,Podcasts!$E$10:'Podcasts'!$E$2535),COLUMN(A214)))</f>
        <v>44197</v>
      </c>
      <c r="G251" s="132">
        <f t="array" ref="G251">IF(F251="","",INDEX(Podcasts!$F$10:'Podcasts'!$F$2535,MATCH(F251&amp;$B251,Podcasts!$E$10:'Podcasts'!$E$2535&amp;Podcasts!$D$10:'Podcasts'!$D$2535,0)))</f>
        <v>3.1307870370370368E-2</v>
      </c>
      <c r="H251" s="136" t="str">
        <f t="array" ref="H251">IF(I251="","",INDEX(Podcasts!$J$10:'Podcasts'!$J$2535,MATCH(I251&amp;$B251,Podcasts!$E$10:'Podcasts'!$E$2535&amp;Podcasts!$D$10:'Podcasts'!$D$2535,0)))</f>
        <v>Ohr</v>
      </c>
      <c r="I251" s="133">
        <f t="array" ref="I251">IF(COUNTIF(Podcasts!$D$10:'Podcasts'!$D$2535,$B251)&lt;COLUMN(B214),"",SMALL(IF(Podcasts!$D$10:'Podcasts'!$D$2535=$B251,Podcasts!$E$10:'Podcasts'!$E$2535),COLUMN(B214)))</f>
        <v>44251</v>
      </c>
      <c r="J251" s="132">
        <f t="array" ref="J251">IF(I251="","",INDEX(Podcasts!$F$10:'Podcasts'!$F$2535,MATCH(I251&amp;$B251,Podcasts!$E$10:'Podcasts'!$E$2535&amp;Podcasts!$D$10:'Podcasts'!$D$2535,0)))</f>
        <v>3.8310185185185183E-3</v>
      </c>
      <c r="K251" s="136" t="str">
        <f t="array" ref="K251">IF(L251="","",INDEX(Podcasts!$J$10:'Podcasts'!$J$2535,MATCH(L251&amp;$B251,Podcasts!$E$10:'Podcasts'!$E$2535&amp;Podcasts!$D$10:'Podcasts'!$D$2535,0)))</f>
        <v/>
      </c>
      <c r="L251" s="133" t="str">
        <f t="array" ref="L251">IF(COUNTIF(Podcasts!$D$10:'Podcasts'!$D$2535,$B251)&lt;COLUMN(C214),"",SMALL(IF(Podcasts!$D$10:'Podcasts'!$D$2535=$B251,Podcasts!$E$10:'Podcasts'!$E$2535),COLUMN(C214)))</f>
        <v/>
      </c>
      <c r="M251" s="132" t="str">
        <f t="array" ref="M251">IF(L251="","",INDEX(Podcasts!$F$10:'Podcasts'!$F$2535,MATCH(L251&amp;$B251,Podcasts!$E$10:'Podcasts'!$E$2535&amp;Podcasts!$D$10:'Podcasts'!$D$2535,0)))</f>
        <v/>
      </c>
      <c r="N251" s="136" t="str">
        <f t="array" ref="N251">IF(O251="","",INDEX(Podcasts!$J$10:'Podcasts'!$J$2535,MATCH(O251&amp;$B251,Podcasts!$E$10:'Podcasts'!$E$2535&amp;Podcasts!$D$10:'Podcasts'!$D$2535,0)))</f>
        <v/>
      </c>
      <c r="O251" s="133" t="str">
        <f t="array" ref="O251">IF(COUNTIF(Podcasts!$D$10:'Podcasts'!$D$2535,$B251)&lt;COLUMN(D214),"",SMALL(IF(Podcasts!$D$10:'Podcasts'!$D$2535=$B251,Podcasts!$E$10:'Podcasts'!$E$2535),COLUMN(D214)))</f>
        <v/>
      </c>
      <c r="P251" s="132" t="str">
        <f t="array" ref="P251">IF(O251="","",INDEX(Podcasts!$F$10:'Podcasts'!$F$2535,MATCH(O251&amp;$B251,Podcasts!$E$10:'Podcasts'!$E$2535&amp;Podcasts!$D$10:'Podcasts'!$D$2535,0)))</f>
        <v/>
      </c>
      <c r="Q251" s="136" t="str">
        <f t="array" ref="Q251">IF(R251="","",INDEX(Podcasts!$J$10:'Podcasts'!$J$2535,MATCH(R251&amp;$B251,Podcasts!$E$10:'Podcasts'!$E$2535&amp;Podcasts!$D$10:'Podcasts'!$D$2535,0)))</f>
        <v/>
      </c>
      <c r="R251" s="133" t="str">
        <f t="array" ref="R251">IF(COUNTIF(Podcasts!$D$10:'Podcasts'!$D$2535,$B251)&lt;COLUMN(E214),"",SMALL(IF(Podcasts!$D$10:'Podcasts'!$D$2535=$B251,Podcasts!$E$10:'Podcasts'!$E$2535),COLUMN(E214)))</f>
        <v/>
      </c>
      <c r="S251" s="132" t="str">
        <f t="array" ref="S251">IF(R251="","",INDEX(Podcasts!$F$10:'Podcasts'!$F$2535,MATCH(R251&amp;$B251,Podcasts!$E$10:'Podcasts'!$E$2535&amp;Podcasts!$D$10:'Podcasts'!$D$2535,0)))</f>
        <v/>
      </c>
      <c r="T251" s="136" t="str">
        <f t="array" ref="T251">IF(U251="","",INDEX(Podcasts!$J$10:'Podcasts'!$J$2535,MATCH(U251&amp;$B251,Podcasts!$E$10:'Podcasts'!$E$2535&amp;Podcasts!$D$10:'Podcasts'!$D$2535,0)))</f>
        <v/>
      </c>
      <c r="U251" s="133" t="str">
        <f t="array" ref="U251">IF(COUNTIF(Podcasts!$D$10:'Podcasts'!$D$2535,$B251)&lt;COLUMN(F214),"",SMALL(IF(Podcasts!$D$10:'Podcasts'!$D$2535=$B251,Podcasts!$E$10:'Podcasts'!$E$2535),COLUMN(F214)))</f>
        <v/>
      </c>
      <c r="V251" s="132" t="str">
        <f t="array" ref="V251">IF(U251="","",INDEX(Podcasts!$F$10:'Podcasts'!$F$2535,MATCH(U251&amp;$B251,Podcasts!$E$10:'Podcasts'!$E$2535&amp;Podcasts!$D$10:'Podcasts'!$D$2535,0)))</f>
        <v/>
      </c>
      <c r="W251" s="136" t="str">
        <f t="array" ref="W251">IF(X251="","",INDEX(Podcasts!$J$10:'Podcasts'!$J$2535,MATCH(X251&amp;$B251,Podcasts!$E$10:'Podcasts'!$E$2535&amp;Podcasts!$D$10:'Podcasts'!$D$2535,0)))</f>
        <v/>
      </c>
      <c r="X251" s="133" t="str">
        <f t="array" ref="X251">IF(COUNTIF(Podcasts!$D$10:'Podcasts'!$D$2535,$B251)&lt;COLUMN(G214),"",SMALL(IF(Podcasts!$D$10:'Podcasts'!$D$2535=$B251,Podcasts!$E$10:'Podcasts'!$E$2535),COLUMN(G214)))</f>
        <v/>
      </c>
      <c r="Y251" s="132" t="str">
        <f t="array" ref="Y251">IF(X251="","",INDEX(Podcasts!$F$10:'Podcasts'!$F$2535,MATCH(X251&amp;$B251,Podcasts!$E$10:'Podcasts'!$E$2535&amp;Podcasts!$D$10:'Podcasts'!$D$2535,0)))</f>
        <v/>
      </c>
      <c r="Z251" s="136" t="str">
        <f t="array" ref="Z251">IF(AA251="","",INDEX(Podcasts!$J$10:'Podcasts'!$J$2535,MATCH(AA251&amp;$B251,Podcasts!$E$10:'Podcasts'!$E$2535&amp;Podcasts!$D$10:'Podcasts'!$D$2535,0)))</f>
        <v/>
      </c>
      <c r="AA251" s="134" t="str">
        <f t="array" ref="AA251">IF(COUNTIF(Podcasts!$D$10:'Podcasts'!$D$2535,$B251)&lt;COLUMN(H214),"",SMALL(IF(Podcasts!$D$10:'Podcasts'!$D$2535=$B251,Podcasts!$E$10:'Podcasts'!$E$2535),COLUMN(H214)))</f>
        <v/>
      </c>
      <c r="AB251" s="404" t="str">
        <f t="array" ref="AB251">IF(AA251="","",INDEX(Podcasts!$F$10:'Podcasts'!$F$2535,MATCH(AA251&amp;$B251,Podcasts!$E$10:'Podcasts'!$E$2535&amp;Podcasts!$D$10:'Podcasts'!$D$2535,0)))</f>
        <v/>
      </c>
      <c r="AC251" s="406" t="str">
        <f t="array" ref="AC251">IF(AD251="","",INDEX(Podcasts!$J$10:'Podcasts'!$J$2535,MATCH(AD251&amp;$B251,Podcasts!$E$10:'Podcasts'!$E$2535&amp;Podcasts!$D$10:'Podcasts'!$D$2535,0)))</f>
        <v/>
      </c>
      <c r="AD251" s="400" t="str">
        <f t="array" ref="AD251">IF(COUNTIF(Podcasts!$D$10:'Podcasts'!$D$2535,$B251)&lt;COLUMN(I214),"",SMALL(IF(Podcasts!$D$10:'Podcasts'!$D$2535=$B251,Podcasts!$E$10:'Podcasts'!$E$2535),COLUMN(I214)))</f>
        <v/>
      </c>
      <c r="AE251" s="401" t="str">
        <f t="array" ref="AE251">IF(AD251="","",INDEX(Podcasts!$F$10:'Podcasts'!$F$2535,MATCH(AD251&amp;$B251,Podcasts!$E$10:'Podcasts'!$E$2535&amp;Podcasts!$D$10:'Podcasts'!$D$2535,0)))</f>
        <v/>
      </c>
      <c r="AF251" s="406" t="str">
        <f t="array" ref="AF251">IF(AG251="","",INDEX(Podcasts!$J$10:'Podcasts'!$J$2535,MATCH(AG251&amp;$B251,Podcasts!$E$10:'Podcasts'!$E$2535&amp;Podcasts!$D$10:'Podcasts'!$D$2535,0)))</f>
        <v/>
      </c>
      <c r="AG251" s="400" t="str">
        <f t="array" ref="AG251">IF(COUNTIF(Podcasts!$D$10:'Podcasts'!$D$2535,$B251)&lt;COLUMN(J214),"",SMALL(IF(Podcasts!$D$10:'Podcasts'!$D$2535=$B251,Podcasts!$E$10:'Podcasts'!$E$2535),COLUMN(J214)))</f>
        <v/>
      </c>
      <c r="AH251" s="401" t="str">
        <f t="array" ref="AH251">IF(AG251="","",INDEX(Podcasts!$F$10:'Podcasts'!$F$2535,MATCH(AG251&amp;$B251,Podcasts!$E$10:'Podcasts'!$E$2535&amp;Podcasts!$D$10:'Podcasts'!$D$2535,0)))</f>
        <v/>
      </c>
      <c r="AI251" s="406" t="str">
        <f t="array" ref="AI251">IF(AJ251="","",INDEX(Podcasts!$J$10:'Podcasts'!$J$2535,MATCH(AJ251&amp;$B251,Podcasts!$E$10:'Podcasts'!$E$2535&amp;Podcasts!$D$10:'Podcasts'!$D$2535,0)))</f>
        <v/>
      </c>
      <c r="AJ251" s="400" t="str">
        <f t="array" ref="AJ251">IF(COUNTIF(Podcasts!$D$10:'Podcasts'!$D$2535,$B251)&lt;COLUMN(K214),"",SMALL(IF(Podcasts!$D$10:'Podcasts'!$D$2535=$B251,Podcasts!$E$10:'Podcasts'!$E$2535),COLUMN(K214)))</f>
        <v/>
      </c>
      <c r="AK251" s="401" t="str">
        <f t="array" ref="AK251">IF(AJ251="","",INDEX(Podcasts!$F$10:'Podcasts'!$F$2535,MATCH(AJ251&amp;$B251,Podcasts!$E$10:'Podcasts'!$E$2535&amp;Podcasts!$D$10:'Podcasts'!$D$2535,0)))</f>
        <v/>
      </c>
      <c r="AL251" s="406" t="str">
        <f t="array" ref="AL251">IF(AM251="","",INDEX(Podcasts!$J$10:'Podcasts'!$J$2535,MATCH(AM251&amp;$B251,Podcasts!$E$10:'Podcasts'!$E$2535&amp;Podcasts!$D$10:'Podcasts'!$D$2535,0)))</f>
        <v/>
      </c>
      <c r="AM251" s="400" t="str">
        <f t="array" ref="AM251">IF(COUNTIF(Podcasts!$D$10:'Podcasts'!$D$2535,$B251)&lt;COLUMN(L214),"",SMALL(IF(Podcasts!$D$10:'Podcasts'!$D$2535=$B251,Podcasts!$E$10:'Podcasts'!$E$2535),COLUMN(L214)))</f>
        <v/>
      </c>
      <c r="AN251" s="401" t="str">
        <f t="array" ref="AN251">IF(AM251="","",INDEX(Podcasts!$F$10:'Podcasts'!$F$2535,MATCH(AM251&amp;$B251,Podcasts!$E$10:'Podcasts'!$E$2535&amp;Podcasts!$D$10:'Podcasts'!$D$2535,0)))</f>
        <v/>
      </c>
      <c r="AO251" s="402"/>
      <c r="AP251" s="119"/>
      <c r="AQ251" s="117"/>
      <c r="AR251" s="117"/>
      <c r="AS251" s="117"/>
      <c r="AT251" s="117"/>
      <c r="AU251" s="117">
        <f t="array" aca="1" ref="AU251" ca="1">IFERROR(SMALL(IF(COUNTIF(Podcasts!$D$479:'Podcasts'!$D$488,ROW(INDIRECT("1:"&amp;K$2)))=0,ROW(INDIRECT("1:"&amp;K$2))),ROW($A208)),"")</f>
        <v>212</v>
      </c>
      <c r="AV251" s="117"/>
      <c r="AW251" s="117">
        <f t="array" aca="1" ref="AW251" ca="1">IFERROR(SMALL(IF(COUNTIF(Podcasts!$D$524:'Podcasts'!$D$532,ROW(INDIRECT("1:"&amp;K$2)))=0,ROW(INDIRECT("1:"&amp;K$2))),ROW($A208)),"")</f>
        <v>215</v>
      </c>
      <c r="AX251" s="117"/>
      <c r="AY251" s="117"/>
      <c r="AZ251" s="445"/>
      <c r="BA251" s="117"/>
      <c r="BB251" s="117">
        <f t="array" aca="1" ref="BB251" ca="1">IFERROR(SMALL(IF(COUNTIF(Podcasts!$D$1257:'Podcasts'!$D$1267,ROW(INDIRECT("1:"&amp;K$2)))=0,ROW(INDIRECT("1:"&amp;K$2))),ROW($A208)),"")</f>
        <v>216</v>
      </c>
      <c r="BC251" s="117">
        <f t="array" aca="1" ref="BC251" ca="1">IFERROR(SMALL(IF(COUNTIF(Podcasts!$D$1273:'Podcasts'!$D$1283,ROW(INDIRECT("1:"&amp;K$2)))=0,ROW(INDIRECT("1:"&amp;K$2))),ROW($A208)),"")</f>
        <v>215</v>
      </c>
      <c r="BD251" s="117">
        <f t="array" aca="1" ref="BD251" ca="1">IFERROR(SMALL(IF(COUNTIF(Podcasts!$D$1289:'Podcasts'!$D$1295,ROW(INDIRECT("1:"&amp;K$2)))=0,ROW(INDIRECT("1:"&amp;K$2))),ROW($A208)),"")</f>
        <v>215</v>
      </c>
      <c r="BE251" s="117"/>
      <c r="BF251" s="117">
        <f t="array" aca="1" ref="BF251" ca="1">IFERROR(SMALL(IF(COUNTIF(Podcasts!$D$1362:'Podcasts'!$D$1364,ROW(INDIRECT("1:"&amp;K$2)))=0,ROW(INDIRECT("1:"&amp;K$2))),ROW($A208)),"")</f>
        <v>211</v>
      </c>
      <c r="BG251" s="202"/>
      <c r="BH251" s="202">
        <f t="array" aca="1" ref="BH251" ca="1">IFERROR(SMALL(IF(COUNTIF(Podcasts!$D$1425:'Podcasts'!$D$1446,ROW(INDIRECT("1:"&amp;K$2)))=0,ROW(INDIRECT("1:"&amp;K$2))),ROW($A208)),"")</f>
        <v>221</v>
      </c>
      <c r="BI251" s="202"/>
      <c r="BJ251" s="202"/>
      <c r="BK251" s="202"/>
      <c r="BL251" s="202">
        <f t="array" aca="1" ref="BL251" ca="1">IFERROR(SMALL(IF(COUNTIF(Podcasts!$D$1839:'Podcasts'!$D$1855,ROW(INDIRECT("1:"&amp;K$2)))=0,ROW(INDIRECT("1:"&amp;K$2))),ROW($A208)),"")</f>
        <v>217</v>
      </c>
      <c r="BM251" s="567"/>
      <c r="BN251" s="567"/>
      <c r="BO251" s="567">
        <f t="array" aca="1" ref="BO251" ca="1">IFERROR(SMALL(IF(COUNTIF(Podcasts!$D$2063:'Podcasts'!$D$2071,ROW(INDIRECT("1:"&amp;K$2)))=0,ROW(INDIRECT("1:"&amp;K$2))),ROW($A208)),"")</f>
        <v>216</v>
      </c>
      <c r="BP251" s="202">
        <f t="array" aca="1" ref="BP251" ca="1">IFERROR(SMALL(IF(COUNTIF(Podcasts!$D$2077:'Podcasts'!$D$2092,ROW(INDIRECT("1:"&amp;K$2)))=0,ROW(INDIRECT("1:"&amp;K$2))),ROW($A208)),"")</f>
        <v>219</v>
      </c>
      <c r="BQ251" s="741">
        <f t="array" aca="1" ref="BQ251" ca="1">IFERROR(SMALL(IF(COUNTIF(Podcasts!$D$2098:'Podcasts'!$D$2114,ROW(INDIRECT("1:"&amp;K$2)))=0,ROW(INDIRECT("1:"&amp;K$2))),ROW($A208)),"")</f>
        <v>223</v>
      </c>
      <c r="BR251" s="744">
        <f t="array" aca="1" ref="BR251" ca="1">IFERROR(SMALL(IF(COUNTIF(Podcasts!$D$2120:'Podcasts'!$D$2124,ROW(INDIRECT("1:"&amp;K$2)))=0,ROW(INDIRECT("1:"&amp;K$2))),ROW($A208)),"")</f>
        <v>210</v>
      </c>
      <c r="BS251" s="28"/>
    </row>
    <row r="252" spans="1:71" outlineLevel="1">
      <c r="A252" s="28"/>
      <c r="B252" s="161">
        <v>209</v>
      </c>
      <c r="C252" s="161">
        <f>COUNTIF(Podcasts!$D$10:'Podcasts'!$D$2535,B252)</f>
        <v>6</v>
      </c>
      <c r="D252" s="160" t="s">
        <v>2709</v>
      </c>
      <c r="E252" s="156" t="str">
        <f t="array" ref="E252">IF(F252="","",INDEX(Podcasts!$J$10:'Podcasts'!$J$2535,MATCH(F252&amp;$B252,Podcasts!$E$10:'Podcasts'!$E$2535&amp;Podcasts!$D$10:'Podcasts'!$D$2535,0)))</f>
        <v>Label</v>
      </c>
      <c r="F252" s="131">
        <f t="array" ref="F252">IF(COUNTIF(Podcasts!$D$10:'Podcasts'!$D$2535,$B252)&lt;COLUMN(A215),"",SMALL(IF(Podcasts!$D$10:'Podcasts'!$D$2535=$B252,Podcasts!$E$10:'Podcasts'!$E$2535),COLUMN(A215)))</f>
        <v>44260</v>
      </c>
      <c r="G252" s="132">
        <f t="array" ref="G252">IF(F252="","",INDEX(Podcasts!$F$10:'Podcasts'!$F$2535,MATCH(F252&amp;$B252,Podcasts!$E$10:'Podcasts'!$E$2535&amp;Podcasts!$D$10:'Podcasts'!$D$2535,0)))</f>
        <v>3.7638888888888895E-2</v>
      </c>
      <c r="H252" s="136" t="str">
        <f t="array" ref="H252">IF(I252="","",INDEX(Podcasts!$J$10:'Podcasts'!$J$2535,MATCH(I252&amp;$B252,Podcasts!$E$10:'Podcasts'!$E$2535&amp;Podcasts!$D$10:'Podcasts'!$D$2535,0)))</f>
        <v>Ohr</v>
      </c>
      <c r="I252" s="133">
        <f t="array" ref="I252">IF(COUNTIF(Podcasts!$D$10:'Podcasts'!$D$2535,$B252)&lt;COLUMN(B215),"",SMALL(IF(Podcasts!$D$10:'Podcasts'!$D$2535=$B252,Podcasts!$E$10:'Podcasts'!$E$2535),COLUMN(B215)))</f>
        <v>44316</v>
      </c>
      <c r="J252" s="132">
        <f t="array" ref="J252">IF(I252="","",INDEX(Podcasts!$F$10:'Podcasts'!$F$2535,MATCH(I252&amp;$B252,Podcasts!$E$10:'Podcasts'!$E$2535&amp;Podcasts!$D$10:'Podcasts'!$D$2535,0)))</f>
        <v>1.6782407407407406E-3</v>
      </c>
      <c r="K252" s="136" t="str">
        <f t="array" ref="K252">IF(L252="","",INDEX(Podcasts!$J$10:'Podcasts'!$J$2535,MATCH(L252&amp;$B252,Podcasts!$E$10:'Podcasts'!$E$2535&amp;Podcasts!$D$10:'Podcasts'!$D$2535,0)))</f>
        <v>Zentrale</v>
      </c>
      <c r="L252" s="133">
        <f t="array" ref="L252">IF(COUNTIF(Podcasts!$D$10:'Podcasts'!$D$2535,$B252)&lt;COLUMN(C215),"",SMALL(IF(Podcasts!$D$10:'Podcasts'!$D$2535=$B252,Podcasts!$E$10:'Podcasts'!$E$2535),COLUMN(C215)))</f>
        <v>44620.389062499999</v>
      </c>
      <c r="M252" s="132">
        <f t="array" ref="M252">IF(L252="","",INDEX(Podcasts!$F$10:'Podcasts'!$F$2535,MATCH(L252&amp;$B252,Podcasts!$E$10:'Podcasts'!$E$2535&amp;Podcasts!$D$10:'Podcasts'!$D$2535,0)))</f>
        <v>0.11783564814814813</v>
      </c>
      <c r="N252" s="136" t="str">
        <f t="array" ref="N252">IF(O252="","",INDEX(Podcasts!$J$10:'Podcasts'!$J$2535,MATCH(O252&amp;$B252,Podcasts!$E$10:'Podcasts'!$E$2535&amp;Podcasts!$D$10:'Podcasts'!$D$2535,0)))</f>
        <v>Gebraucht</v>
      </c>
      <c r="O252" s="133">
        <f t="array" ref="O252">IF(COUNTIF(Podcasts!$D$10:'Podcasts'!$D$2535,$B252)&lt;COLUMN(D215),"",SMALL(IF(Podcasts!$D$10:'Podcasts'!$D$2535=$B252,Podcasts!$E$10:'Podcasts'!$E$2535),COLUMN(D215)))</f>
        <v>44784</v>
      </c>
      <c r="P252" s="132">
        <f t="array" ref="P252">IF(O252="","",INDEX(Podcasts!$F$10:'Podcasts'!$F$2535,MATCH(O252&amp;$B252,Podcasts!$E$10:'Podcasts'!$E$2535&amp;Podcasts!$D$10:'Podcasts'!$D$2535,0)))</f>
        <v>4.2986111111111114E-2</v>
      </c>
      <c r="Q252" s="136" t="str">
        <f t="array" ref="Q252">IF(R252="","",INDEX(Podcasts!$J$10:'Podcasts'!$J$2535,MATCH(R252&amp;$B252,Podcasts!$E$10:'Podcasts'!$E$2535&amp;Podcasts!$D$10:'Podcasts'!$D$2535,0)))</f>
        <v>Kuchen</v>
      </c>
      <c r="R252" s="133">
        <f t="array" ref="R252">IF(COUNTIF(Podcasts!$D$10:'Podcasts'!$D$2535,$B252)&lt;COLUMN(E215),"",SMALL(IF(Podcasts!$D$10:'Podcasts'!$D$2535=$B252,Podcasts!$E$10:'Podcasts'!$E$2535),COLUMN(E215)))</f>
        <v>44864</v>
      </c>
      <c r="S252" s="132">
        <f t="array" ref="S252">IF(R252="","",INDEX(Podcasts!$F$10:'Podcasts'!$F$2535,MATCH(R252&amp;$B252,Podcasts!$E$10:'Podcasts'!$E$2535&amp;Podcasts!$D$10:'Podcasts'!$D$2535,0)))</f>
        <v>6.1458333333333337E-2</v>
      </c>
      <c r="T252" s="136" t="str">
        <f t="array" ref="T252">IF(U252="","",INDEX(Podcasts!$J$10:'Podcasts'!$J$2535,MATCH(U252&amp;$B252,Podcasts!$E$10:'Podcasts'!$E$2535&amp;Podcasts!$D$10:'Podcasts'!$D$2535,0)))</f>
        <v>Kaffee</v>
      </c>
      <c r="U252" s="133">
        <f t="array" ref="U252">IF(COUNTIF(Podcasts!$D$10:'Podcasts'!$D$2535,$B252)&lt;COLUMN(F215),"",SMALL(IF(Podcasts!$D$10:'Podcasts'!$D$2535=$B252,Podcasts!$E$10:'Podcasts'!$E$2535),COLUMN(F215)))</f>
        <v>44918</v>
      </c>
      <c r="V252" s="132">
        <f t="array" ref="V252">IF(U252="","",INDEX(Podcasts!$F$10:'Podcasts'!$F$2535,MATCH(U252&amp;$B252,Podcasts!$E$10:'Podcasts'!$E$2535&amp;Podcasts!$D$10:'Podcasts'!$D$2535,0)))</f>
        <v>3.5752314814814813E-2</v>
      </c>
      <c r="W252" s="136" t="str">
        <f t="array" ref="W252">IF(X252="","",INDEX(Podcasts!$J$10:'Podcasts'!$J$2535,MATCH(X252&amp;$B252,Podcasts!$E$10:'Podcasts'!$E$2535&amp;Podcasts!$D$10:'Podcasts'!$D$2535,0)))</f>
        <v/>
      </c>
      <c r="X252" s="133" t="str">
        <f t="array" ref="X252">IF(COUNTIF(Podcasts!$D$10:'Podcasts'!$D$2535,$B252)&lt;COLUMN(G215),"",SMALL(IF(Podcasts!$D$10:'Podcasts'!$D$2535=$B252,Podcasts!$E$10:'Podcasts'!$E$2535),COLUMN(G215)))</f>
        <v/>
      </c>
      <c r="Y252" s="132" t="str">
        <f t="array" ref="Y252">IF(X252="","",INDEX(Podcasts!$F$10:'Podcasts'!$F$2535,MATCH(X252&amp;$B252,Podcasts!$E$10:'Podcasts'!$E$2535&amp;Podcasts!$D$10:'Podcasts'!$D$2535,0)))</f>
        <v/>
      </c>
      <c r="Z252" s="136" t="str">
        <f t="array" ref="Z252">IF(AA252="","",INDEX(Podcasts!$J$10:'Podcasts'!$J$2535,MATCH(AA252&amp;$B252,Podcasts!$E$10:'Podcasts'!$E$2535&amp;Podcasts!$D$10:'Podcasts'!$D$2535,0)))</f>
        <v/>
      </c>
      <c r="AA252" s="134" t="str">
        <f t="array" ref="AA252">IF(COUNTIF(Podcasts!$D$10:'Podcasts'!$D$2535,$B252)&lt;COLUMN(H215),"",SMALL(IF(Podcasts!$D$10:'Podcasts'!$D$2535=$B252,Podcasts!$E$10:'Podcasts'!$E$2535),COLUMN(H215)))</f>
        <v/>
      </c>
      <c r="AB252" s="404" t="str">
        <f t="array" ref="AB252">IF(AA252="","",INDEX(Podcasts!$F$10:'Podcasts'!$F$2535,MATCH(AA252&amp;$B252,Podcasts!$E$10:'Podcasts'!$E$2535&amp;Podcasts!$D$10:'Podcasts'!$D$2535,0)))</f>
        <v/>
      </c>
      <c r="AC252" s="406" t="str">
        <f t="array" ref="AC252">IF(AD252="","",INDEX(Podcasts!$J$10:'Podcasts'!$J$2535,MATCH(AD252&amp;$B252,Podcasts!$E$10:'Podcasts'!$E$2535&amp;Podcasts!$D$10:'Podcasts'!$D$2535,0)))</f>
        <v/>
      </c>
      <c r="AD252" s="400" t="str">
        <f t="array" ref="AD252">IF(COUNTIF(Podcasts!$D$10:'Podcasts'!$D$2535,$B252)&lt;COLUMN(I215),"",SMALL(IF(Podcasts!$D$10:'Podcasts'!$D$2535=$B252,Podcasts!$E$10:'Podcasts'!$E$2535),COLUMN(I215)))</f>
        <v/>
      </c>
      <c r="AE252" s="401" t="str">
        <f t="array" ref="AE252">IF(AD252="","",INDEX(Podcasts!$F$10:'Podcasts'!$F$2535,MATCH(AD252&amp;$B252,Podcasts!$E$10:'Podcasts'!$E$2535&amp;Podcasts!$D$10:'Podcasts'!$D$2535,0)))</f>
        <v/>
      </c>
      <c r="AF252" s="406" t="str">
        <f t="array" ref="AF252">IF(AG252="","",INDEX(Podcasts!$J$10:'Podcasts'!$J$2535,MATCH(AG252&amp;$B252,Podcasts!$E$10:'Podcasts'!$E$2535&amp;Podcasts!$D$10:'Podcasts'!$D$2535,0)))</f>
        <v/>
      </c>
      <c r="AG252" s="400" t="str">
        <f t="array" ref="AG252">IF(COUNTIF(Podcasts!$D$10:'Podcasts'!$D$2535,$B252)&lt;COLUMN(J215),"",SMALL(IF(Podcasts!$D$10:'Podcasts'!$D$2535=$B252,Podcasts!$E$10:'Podcasts'!$E$2535),COLUMN(J215)))</f>
        <v/>
      </c>
      <c r="AH252" s="401" t="str">
        <f t="array" ref="AH252">IF(AG252="","",INDEX(Podcasts!$F$10:'Podcasts'!$F$2535,MATCH(AG252&amp;$B252,Podcasts!$E$10:'Podcasts'!$E$2535&amp;Podcasts!$D$10:'Podcasts'!$D$2535,0)))</f>
        <v/>
      </c>
      <c r="AI252" s="406" t="str">
        <f t="array" ref="AI252">IF(AJ252="","",INDEX(Podcasts!$J$10:'Podcasts'!$J$2535,MATCH(AJ252&amp;$B252,Podcasts!$E$10:'Podcasts'!$E$2535&amp;Podcasts!$D$10:'Podcasts'!$D$2535,0)))</f>
        <v/>
      </c>
      <c r="AJ252" s="400" t="str">
        <f t="array" ref="AJ252">IF(COUNTIF(Podcasts!$D$10:'Podcasts'!$D$2535,$B252)&lt;COLUMN(K215),"",SMALL(IF(Podcasts!$D$10:'Podcasts'!$D$2535=$B252,Podcasts!$E$10:'Podcasts'!$E$2535),COLUMN(K215)))</f>
        <v/>
      </c>
      <c r="AK252" s="401" t="str">
        <f t="array" ref="AK252">IF(AJ252="","",INDEX(Podcasts!$F$10:'Podcasts'!$F$2535,MATCH(AJ252&amp;$B252,Podcasts!$E$10:'Podcasts'!$E$2535&amp;Podcasts!$D$10:'Podcasts'!$D$2535,0)))</f>
        <v/>
      </c>
      <c r="AL252" s="406" t="str">
        <f t="array" ref="AL252">IF(AM252="","",INDEX(Podcasts!$J$10:'Podcasts'!$J$2535,MATCH(AM252&amp;$B252,Podcasts!$E$10:'Podcasts'!$E$2535&amp;Podcasts!$D$10:'Podcasts'!$D$2535,0)))</f>
        <v/>
      </c>
      <c r="AM252" s="400" t="str">
        <f t="array" ref="AM252">IF(COUNTIF(Podcasts!$D$10:'Podcasts'!$D$2535,$B252)&lt;COLUMN(L215),"",SMALL(IF(Podcasts!$D$10:'Podcasts'!$D$2535=$B252,Podcasts!$E$10:'Podcasts'!$E$2535),COLUMN(L215)))</f>
        <v/>
      </c>
      <c r="AN252" s="401" t="str">
        <f t="array" ref="AN252">IF(AM252="","",INDEX(Podcasts!$F$10:'Podcasts'!$F$2535,MATCH(AM252&amp;$B252,Podcasts!$E$10:'Podcasts'!$E$2535&amp;Podcasts!$D$10:'Podcasts'!$D$2535,0)))</f>
        <v/>
      </c>
      <c r="AO252" s="402"/>
      <c r="AP252" s="119"/>
      <c r="AQ252" s="117"/>
      <c r="AR252" s="117"/>
      <c r="AS252" s="117"/>
      <c r="AT252" s="117"/>
      <c r="AU252" s="117">
        <f t="array" aca="1" ref="AU252" ca="1">IFERROR(SMALL(IF(COUNTIF(Podcasts!$D$479:'Podcasts'!$D$488,ROW(INDIRECT("1:"&amp;K$2)))=0,ROW(INDIRECT("1:"&amp;K$2))),ROW($A209)),"")</f>
        <v>213</v>
      </c>
      <c r="AV252" s="117"/>
      <c r="AW252" s="117">
        <f t="array" aca="1" ref="AW252" ca="1">IFERROR(SMALL(IF(COUNTIF(Podcasts!$D$524:'Podcasts'!$D$532,ROW(INDIRECT("1:"&amp;K$2)))=0,ROW(INDIRECT("1:"&amp;K$2))),ROW($A209)),"")</f>
        <v>216</v>
      </c>
      <c r="AX252" s="117"/>
      <c r="AY252" s="117"/>
      <c r="AZ252" s="445"/>
      <c r="BA252" s="117"/>
      <c r="BB252" s="117">
        <f t="array" aca="1" ref="BB252" ca="1">IFERROR(SMALL(IF(COUNTIF(Podcasts!$D$1257:'Podcasts'!$D$1267,ROW(INDIRECT("1:"&amp;K$2)))=0,ROW(INDIRECT("1:"&amp;K$2))),ROW($A209)),"")</f>
        <v>217</v>
      </c>
      <c r="BC252" s="117">
        <f t="array" aca="1" ref="BC252" ca="1">IFERROR(SMALL(IF(COUNTIF(Podcasts!$D$1273:'Podcasts'!$D$1283,ROW(INDIRECT("1:"&amp;K$2)))=0,ROW(INDIRECT("1:"&amp;K$2))),ROW($A209)),"")</f>
        <v>216</v>
      </c>
      <c r="BD252" s="117">
        <f t="array" aca="1" ref="BD252" ca="1">IFERROR(SMALL(IF(COUNTIF(Podcasts!$D$1289:'Podcasts'!$D$1295,ROW(INDIRECT("1:"&amp;K$2)))=0,ROW(INDIRECT("1:"&amp;K$2))),ROW($A209)),"")</f>
        <v>216</v>
      </c>
      <c r="BE252" s="117"/>
      <c r="BF252" s="117">
        <f t="array" aca="1" ref="BF252" ca="1">IFERROR(SMALL(IF(COUNTIF(Podcasts!$D$1362:'Podcasts'!$D$1364,ROW(INDIRECT("1:"&amp;K$2)))=0,ROW(INDIRECT("1:"&amp;K$2))),ROW($A209)),"")</f>
        <v>212</v>
      </c>
      <c r="BG252" s="202"/>
      <c r="BH252" s="202">
        <f t="array" aca="1" ref="BH252" ca="1">IFERROR(SMALL(IF(COUNTIF(Podcasts!$D$1425:'Podcasts'!$D$1446,ROW(INDIRECT("1:"&amp;K$2)))=0,ROW(INDIRECT("1:"&amp;K$2))),ROW($A209)),"")</f>
        <v>222</v>
      </c>
      <c r="BI252" s="202"/>
      <c r="BJ252" s="202"/>
      <c r="BK252" s="202"/>
      <c r="BL252" s="202">
        <f t="array" aca="1" ref="BL252" ca="1">IFERROR(SMALL(IF(COUNTIF(Podcasts!$D$1839:'Podcasts'!$D$1855,ROW(INDIRECT("1:"&amp;K$2)))=0,ROW(INDIRECT("1:"&amp;K$2))),ROW($A209)),"")</f>
        <v>218</v>
      </c>
      <c r="BM252" s="567"/>
      <c r="BN252" s="567"/>
      <c r="BO252" s="567">
        <f t="array" aca="1" ref="BO252" ca="1">IFERROR(SMALL(IF(COUNTIF(Podcasts!$D$2063:'Podcasts'!$D$2071,ROW(INDIRECT("1:"&amp;K$2)))=0,ROW(INDIRECT("1:"&amp;K$2))),ROW($A209)),"")</f>
        <v>217</v>
      </c>
      <c r="BP252" s="202">
        <f t="array" aca="1" ref="BP252" ca="1">IFERROR(SMALL(IF(COUNTIF(Podcasts!$D$2077:'Podcasts'!$D$2092,ROW(INDIRECT("1:"&amp;K$2)))=0,ROW(INDIRECT("1:"&amp;K$2))),ROW($A209)),"")</f>
        <v>220</v>
      </c>
      <c r="BQ252" s="741">
        <f t="array" aca="1" ref="BQ252" ca="1">IFERROR(SMALL(IF(COUNTIF(Podcasts!$D$2098:'Podcasts'!$D$2114,ROW(INDIRECT("1:"&amp;K$2)))=0,ROW(INDIRECT("1:"&amp;K$2))),ROW($A209)),"")</f>
        <v>224</v>
      </c>
      <c r="BR252" s="744">
        <f t="array" aca="1" ref="BR252" ca="1">IFERROR(SMALL(IF(COUNTIF(Podcasts!$D$2120:'Podcasts'!$D$2124,ROW(INDIRECT("1:"&amp;K$2)))=0,ROW(INDIRECT("1:"&amp;K$2))),ROW($A209)),"")</f>
        <v>211</v>
      </c>
      <c r="BS252" s="28"/>
    </row>
    <row r="253" spans="1:71" outlineLevel="1">
      <c r="A253" s="28"/>
      <c r="B253" s="161">
        <v>210</v>
      </c>
      <c r="C253" s="161">
        <f>COUNTIF(Podcasts!$D$10:'Podcasts'!$D$2535,B253)</f>
        <v>4</v>
      </c>
      <c r="D253" s="160" t="s">
        <v>2710</v>
      </c>
      <c r="E253" s="156" t="str">
        <f t="array" ref="E253">IF(F253="","",INDEX(Podcasts!$J$10:'Podcasts'!$J$2535,MATCH(F253&amp;$B253,Podcasts!$E$10:'Podcasts'!$E$2535&amp;Podcasts!$D$10:'Podcasts'!$D$2535,0)))</f>
        <v>Label</v>
      </c>
      <c r="F253" s="131">
        <f t="array" ref="F253">IF(COUNTIF(Podcasts!$D$10:'Podcasts'!$D$2535,$B253)&lt;COLUMN(A216),"",SMALL(IF(Podcasts!$D$10:'Podcasts'!$D$2535=$B253,Podcasts!$E$10:'Podcasts'!$E$2535),COLUMN(A216)))</f>
        <v>44365</v>
      </c>
      <c r="G253" s="132">
        <f t="array" ref="G253">IF(F253="","",INDEX(Podcasts!$F$10:'Podcasts'!$F$2535,MATCH(F253&amp;$B253,Podcasts!$E$10:'Podcasts'!$E$2535&amp;Podcasts!$D$10:'Podcasts'!$D$2535,0)))</f>
        <v>3.318287037037037E-2</v>
      </c>
      <c r="H253" s="136" t="str">
        <f t="array" ref="H253">IF(I253="","",INDEX(Podcasts!$J$10:'Podcasts'!$J$2535,MATCH(I253&amp;$B253,Podcasts!$E$10:'Podcasts'!$E$2535&amp;Podcasts!$D$10:'Podcasts'!$D$2535,0)))</f>
        <v>Ohr</v>
      </c>
      <c r="I253" s="133">
        <f t="array" ref="I253">IF(COUNTIF(Podcasts!$D$10:'Podcasts'!$D$2535,$B253)&lt;COLUMN(B216),"",SMALL(IF(Podcasts!$D$10:'Podcasts'!$D$2535=$B253,Podcasts!$E$10:'Podcasts'!$E$2535),COLUMN(B216)))</f>
        <v>44415</v>
      </c>
      <c r="J253" s="132">
        <f t="array" ref="J253">IF(I253="","",INDEX(Podcasts!$F$10:'Podcasts'!$F$2535,MATCH(I253&amp;$B253,Podcasts!$E$10:'Podcasts'!$E$2535&amp;Podcasts!$D$10:'Podcasts'!$D$2535,0)))</f>
        <v>3.0439814814814821E-3</v>
      </c>
      <c r="K253" s="136" t="str">
        <f t="array" ref="K253">IF(L253="","",INDEX(Podcasts!$J$10:'Podcasts'!$J$2535,MATCH(L253&amp;$B253,Podcasts!$E$10:'Podcasts'!$E$2535&amp;Podcasts!$D$10:'Podcasts'!$D$2535,0)))</f>
        <v>SSP</v>
      </c>
      <c r="L253" s="133">
        <f t="array" ref="L253">IF(COUNTIF(Podcasts!$D$10:'Podcasts'!$D$2535,$B253)&lt;COLUMN(C216),"",SMALL(IF(Podcasts!$D$10:'Podcasts'!$D$2535=$B253,Podcasts!$E$10:'Podcasts'!$E$2535),COLUMN(C216)))</f>
        <v>44496</v>
      </c>
      <c r="M253" s="132">
        <f t="array" ref="M253">IF(L253="","",INDEX(Podcasts!$F$10:'Podcasts'!$F$2535,MATCH(L253&amp;$B253,Podcasts!$E$10:'Podcasts'!$E$2535&amp;Podcasts!$D$10:'Podcasts'!$D$2535,0)))</f>
        <v>6.3668981481481479E-2</v>
      </c>
      <c r="N253" s="136" t="str">
        <f t="array" ref="N253">IF(O253="","",INDEX(Podcasts!$J$10:'Podcasts'!$J$2535,MATCH(O253&amp;$B253,Podcasts!$E$10:'Podcasts'!$E$2535&amp;Podcasts!$D$10:'Podcasts'!$D$2535,0)))</f>
        <v>Zw3i</v>
      </c>
      <c r="O253" s="133">
        <f t="array" ref="O253">IF(COUNTIF(Podcasts!$D$10:'Podcasts'!$D$2535,$B253)&lt;COLUMN(D216),"",SMALL(IF(Podcasts!$D$10:'Podcasts'!$D$2535=$B253,Podcasts!$E$10:'Podcasts'!$E$2535),COLUMN(D216)))</f>
        <v>44904.083333333336</v>
      </c>
      <c r="P253" s="132">
        <f t="array" ref="P253">IF(O253="","",INDEX(Podcasts!$F$10:'Podcasts'!$F$2535,MATCH(O253&amp;$B253,Podcasts!$E$10:'Podcasts'!$E$2535&amp;Podcasts!$D$10:'Podcasts'!$D$2535,0)))</f>
        <v>7.2627314814814811E-2</v>
      </c>
      <c r="Q253" s="136" t="str">
        <f t="array" ref="Q253">IF(R253="","",INDEX(Podcasts!$J$10:'Podcasts'!$J$2535,MATCH(R253&amp;$B253,Podcasts!$E$10:'Podcasts'!$E$2535&amp;Podcasts!$D$10:'Podcasts'!$D$2535,0)))</f>
        <v/>
      </c>
      <c r="R253" s="133" t="str">
        <f t="array" ref="R253">IF(COUNTIF(Podcasts!$D$10:'Podcasts'!$D$2535,$B253)&lt;COLUMN(E216),"",SMALL(IF(Podcasts!$D$10:'Podcasts'!$D$2535=$B253,Podcasts!$E$10:'Podcasts'!$E$2535),COLUMN(E216)))</f>
        <v/>
      </c>
      <c r="S253" s="132" t="str">
        <f t="array" ref="S253">IF(R253="","",INDEX(Podcasts!$F$10:'Podcasts'!$F$2535,MATCH(R253&amp;$B253,Podcasts!$E$10:'Podcasts'!$E$2535&amp;Podcasts!$D$10:'Podcasts'!$D$2535,0)))</f>
        <v/>
      </c>
      <c r="T253" s="136" t="str">
        <f t="array" ref="T253">IF(U253="","",INDEX(Podcasts!$J$10:'Podcasts'!$J$2535,MATCH(U253&amp;$B253,Podcasts!$E$10:'Podcasts'!$E$2535&amp;Podcasts!$D$10:'Podcasts'!$D$2535,0)))</f>
        <v/>
      </c>
      <c r="U253" s="133" t="str">
        <f t="array" ref="U253">IF(COUNTIF(Podcasts!$D$10:'Podcasts'!$D$2535,$B253)&lt;COLUMN(F216),"",SMALL(IF(Podcasts!$D$10:'Podcasts'!$D$2535=$B253,Podcasts!$E$10:'Podcasts'!$E$2535),COLUMN(F216)))</f>
        <v/>
      </c>
      <c r="V253" s="132" t="str">
        <f t="array" ref="V253">IF(U253="","",INDEX(Podcasts!$F$10:'Podcasts'!$F$2535,MATCH(U253&amp;$B253,Podcasts!$E$10:'Podcasts'!$E$2535&amp;Podcasts!$D$10:'Podcasts'!$D$2535,0)))</f>
        <v/>
      </c>
      <c r="W253" s="136" t="str">
        <f t="array" ref="W253">IF(X253="","",INDEX(Podcasts!$J$10:'Podcasts'!$J$2535,MATCH(X253&amp;$B253,Podcasts!$E$10:'Podcasts'!$E$2535&amp;Podcasts!$D$10:'Podcasts'!$D$2535,0)))</f>
        <v/>
      </c>
      <c r="X253" s="133" t="str">
        <f t="array" ref="X253">IF(COUNTIF(Podcasts!$D$10:'Podcasts'!$D$2535,$B253)&lt;COLUMN(G216),"",SMALL(IF(Podcasts!$D$10:'Podcasts'!$D$2535=$B253,Podcasts!$E$10:'Podcasts'!$E$2535),COLUMN(G216)))</f>
        <v/>
      </c>
      <c r="Y253" s="132" t="str">
        <f t="array" ref="Y253">IF(X253="","",INDEX(Podcasts!$F$10:'Podcasts'!$F$2535,MATCH(X253&amp;$B253,Podcasts!$E$10:'Podcasts'!$E$2535&amp;Podcasts!$D$10:'Podcasts'!$D$2535,0)))</f>
        <v/>
      </c>
      <c r="Z253" s="136" t="str">
        <f t="array" ref="Z253">IF(AA253="","",INDEX(Podcasts!$J$10:'Podcasts'!$J$2535,MATCH(AA253&amp;$B253,Podcasts!$E$10:'Podcasts'!$E$2535&amp;Podcasts!$D$10:'Podcasts'!$D$2535,0)))</f>
        <v/>
      </c>
      <c r="AA253" s="134" t="str">
        <f t="array" ref="AA253">IF(COUNTIF(Podcasts!$D$10:'Podcasts'!$D$2535,$B253)&lt;COLUMN(H216),"",SMALL(IF(Podcasts!$D$10:'Podcasts'!$D$2535=$B253,Podcasts!$E$10:'Podcasts'!$E$2535),COLUMN(H216)))</f>
        <v/>
      </c>
      <c r="AB253" s="404" t="str">
        <f t="array" ref="AB253">IF(AA253="","",INDEX(Podcasts!$F$10:'Podcasts'!$F$2535,MATCH(AA253&amp;$B253,Podcasts!$E$10:'Podcasts'!$E$2535&amp;Podcasts!$D$10:'Podcasts'!$D$2535,0)))</f>
        <v/>
      </c>
      <c r="AC253" s="406" t="str">
        <f t="array" ref="AC253">IF(AD253="","",INDEX(Podcasts!$J$10:'Podcasts'!$J$2535,MATCH(AD253&amp;$B253,Podcasts!$E$10:'Podcasts'!$E$2535&amp;Podcasts!$D$10:'Podcasts'!$D$2535,0)))</f>
        <v/>
      </c>
      <c r="AD253" s="400" t="str">
        <f t="array" ref="AD253">IF(COUNTIF(Podcasts!$D$10:'Podcasts'!$D$2535,$B253)&lt;COLUMN(I216),"",SMALL(IF(Podcasts!$D$10:'Podcasts'!$D$2535=$B253,Podcasts!$E$10:'Podcasts'!$E$2535),COLUMN(I216)))</f>
        <v/>
      </c>
      <c r="AE253" s="401" t="str">
        <f t="array" ref="AE253">IF(AD253="","",INDEX(Podcasts!$F$10:'Podcasts'!$F$2535,MATCH(AD253&amp;$B253,Podcasts!$E$10:'Podcasts'!$E$2535&amp;Podcasts!$D$10:'Podcasts'!$D$2535,0)))</f>
        <v/>
      </c>
      <c r="AF253" s="406" t="str">
        <f t="array" ref="AF253">IF(AG253="","",INDEX(Podcasts!$J$10:'Podcasts'!$J$2535,MATCH(AG253&amp;$B253,Podcasts!$E$10:'Podcasts'!$E$2535&amp;Podcasts!$D$10:'Podcasts'!$D$2535,0)))</f>
        <v/>
      </c>
      <c r="AG253" s="400" t="str">
        <f t="array" ref="AG253">IF(COUNTIF(Podcasts!$D$10:'Podcasts'!$D$2535,$B253)&lt;COLUMN(J216),"",SMALL(IF(Podcasts!$D$10:'Podcasts'!$D$2535=$B253,Podcasts!$E$10:'Podcasts'!$E$2535),COLUMN(J216)))</f>
        <v/>
      </c>
      <c r="AH253" s="401" t="str">
        <f t="array" ref="AH253">IF(AG253="","",INDEX(Podcasts!$F$10:'Podcasts'!$F$2535,MATCH(AG253&amp;$B253,Podcasts!$E$10:'Podcasts'!$E$2535&amp;Podcasts!$D$10:'Podcasts'!$D$2535,0)))</f>
        <v/>
      </c>
      <c r="AI253" s="406" t="str">
        <f t="array" ref="AI253">IF(AJ253="","",INDEX(Podcasts!$J$10:'Podcasts'!$J$2535,MATCH(AJ253&amp;$B253,Podcasts!$E$10:'Podcasts'!$E$2535&amp;Podcasts!$D$10:'Podcasts'!$D$2535,0)))</f>
        <v/>
      </c>
      <c r="AJ253" s="400" t="str">
        <f t="array" ref="AJ253">IF(COUNTIF(Podcasts!$D$10:'Podcasts'!$D$2535,$B253)&lt;COLUMN(K216),"",SMALL(IF(Podcasts!$D$10:'Podcasts'!$D$2535=$B253,Podcasts!$E$10:'Podcasts'!$E$2535),COLUMN(K216)))</f>
        <v/>
      </c>
      <c r="AK253" s="401" t="str">
        <f t="array" ref="AK253">IF(AJ253="","",INDEX(Podcasts!$F$10:'Podcasts'!$F$2535,MATCH(AJ253&amp;$B253,Podcasts!$E$10:'Podcasts'!$E$2535&amp;Podcasts!$D$10:'Podcasts'!$D$2535,0)))</f>
        <v/>
      </c>
      <c r="AL253" s="406" t="str">
        <f t="array" ref="AL253">IF(AM253="","",INDEX(Podcasts!$J$10:'Podcasts'!$J$2535,MATCH(AM253&amp;$B253,Podcasts!$E$10:'Podcasts'!$E$2535&amp;Podcasts!$D$10:'Podcasts'!$D$2535,0)))</f>
        <v/>
      </c>
      <c r="AM253" s="400" t="str">
        <f t="array" ref="AM253">IF(COUNTIF(Podcasts!$D$10:'Podcasts'!$D$2535,$B253)&lt;COLUMN(L216),"",SMALL(IF(Podcasts!$D$10:'Podcasts'!$D$2535=$B253,Podcasts!$E$10:'Podcasts'!$E$2535),COLUMN(L216)))</f>
        <v/>
      </c>
      <c r="AN253" s="401" t="str">
        <f t="array" ref="AN253">IF(AM253="","",INDEX(Podcasts!$F$10:'Podcasts'!$F$2535,MATCH(AM253&amp;$B253,Podcasts!$E$10:'Podcasts'!$E$2535&amp;Podcasts!$D$10:'Podcasts'!$D$2535,0)))</f>
        <v/>
      </c>
      <c r="AO253" s="402"/>
      <c r="AP253" s="119"/>
      <c r="AQ253" s="117"/>
      <c r="AR253" s="117"/>
      <c r="AS253" s="117"/>
      <c r="AT253" s="117"/>
      <c r="AU253" s="117">
        <f t="array" aca="1" ref="AU253" ca="1">IFERROR(SMALL(IF(COUNTIF(Podcasts!$D$479:'Podcasts'!$D$488,ROW(INDIRECT("1:"&amp;K$2)))=0,ROW(INDIRECT("1:"&amp;K$2))),ROW($A210)),"")</f>
        <v>214</v>
      </c>
      <c r="AV253" s="117"/>
      <c r="AW253" s="117">
        <f t="array" aca="1" ref="AW253" ca="1">IFERROR(SMALL(IF(COUNTIF(Podcasts!$D$524:'Podcasts'!$D$532,ROW(INDIRECT("1:"&amp;K$2)))=0,ROW(INDIRECT("1:"&amp;K$2))),ROW($A210)),"")</f>
        <v>217</v>
      </c>
      <c r="AX253" s="117"/>
      <c r="AY253" s="117"/>
      <c r="AZ253" s="445"/>
      <c r="BA253" s="117"/>
      <c r="BB253" s="117">
        <f t="array" aca="1" ref="BB253" ca="1">IFERROR(SMALL(IF(COUNTIF(Podcasts!$D$1257:'Podcasts'!$D$1267,ROW(INDIRECT("1:"&amp;K$2)))=0,ROW(INDIRECT("1:"&amp;K$2))),ROW($A210)),"")</f>
        <v>218</v>
      </c>
      <c r="BC253" s="117">
        <f t="array" aca="1" ref="BC253" ca="1">IFERROR(SMALL(IF(COUNTIF(Podcasts!$D$1273:'Podcasts'!$D$1283,ROW(INDIRECT("1:"&amp;K$2)))=0,ROW(INDIRECT("1:"&amp;K$2))),ROW($A210)),"")</f>
        <v>217</v>
      </c>
      <c r="BD253" s="117">
        <f t="array" aca="1" ref="BD253" ca="1">IFERROR(SMALL(IF(COUNTIF(Podcasts!$D$1289:'Podcasts'!$D$1295,ROW(INDIRECT("1:"&amp;K$2)))=0,ROW(INDIRECT("1:"&amp;K$2))),ROW($A210)),"")</f>
        <v>217</v>
      </c>
      <c r="BE253" s="117"/>
      <c r="BF253" s="117">
        <f t="array" aca="1" ref="BF253" ca="1">IFERROR(SMALL(IF(COUNTIF(Podcasts!$D$1362:'Podcasts'!$D$1364,ROW(INDIRECT("1:"&amp;K$2)))=0,ROW(INDIRECT("1:"&amp;K$2))),ROW($A210)),"")</f>
        <v>213</v>
      </c>
      <c r="BG253" s="202"/>
      <c r="BH253" s="202">
        <f t="array" aca="1" ref="BH253" ca="1">IFERROR(SMALL(IF(COUNTIF(Podcasts!$D$1425:'Podcasts'!$D$1446,ROW(INDIRECT("1:"&amp;K$2)))=0,ROW(INDIRECT("1:"&amp;K$2))),ROW($A210)),"")</f>
        <v>223</v>
      </c>
      <c r="BI253" s="202"/>
      <c r="BJ253" s="202"/>
      <c r="BK253" s="202"/>
      <c r="BL253" s="202">
        <f t="array" aca="1" ref="BL253" ca="1">IFERROR(SMALL(IF(COUNTIF(Podcasts!$D$1839:'Podcasts'!$D$1855,ROW(INDIRECT("1:"&amp;K$2)))=0,ROW(INDIRECT("1:"&amp;K$2))),ROW($A210)),"")</f>
        <v>219</v>
      </c>
      <c r="BM253" s="567"/>
      <c r="BN253" s="567"/>
      <c r="BO253" s="567">
        <f t="array" aca="1" ref="BO253" ca="1">IFERROR(SMALL(IF(COUNTIF(Podcasts!$D$2063:'Podcasts'!$D$2071,ROW(INDIRECT("1:"&amp;K$2)))=0,ROW(INDIRECT("1:"&amp;K$2))),ROW($A210)),"")</f>
        <v>218</v>
      </c>
      <c r="BP253" s="202">
        <f t="array" aca="1" ref="BP253" ca="1">IFERROR(SMALL(IF(COUNTIF(Podcasts!$D$2077:'Podcasts'!$D$2092,ROW(INDIRECT("1:"&amp;K$2)))=0,ROW(INDIRECT("1:"&amp;K$2))),ROW($A210)),"")</f>
        <v>221</v>
      </c>
      <c r="BQ253" s="741">
        <f t="array" aca="1" ref="BQ253" ca="1">IFERROR(SMALL(IF(COUNTIF(Podcasts!$D$2098:'Podcasts'!$D$2114,ROW(INDIRECT("1:"&amp;K$2)))=0,ROW(INDIRECT("1:"&amp;K$2))),ROW($A210)),"")</f>
        <v>226</v>
      </c>
      <c r="BR253" s="744">
        <f t="array" aca="1" ref="BR253" ca="1">IFERROR(SMALL(IF(COUNTIF(Podcasts!$D$2120:'Podcasts'!$D$2124,ROW(INDIRECT("1:"&amp;K$2)))=0,ROW(INDIRECT("1:"&amp;K$2))),ROW($A210)),"")</f>
        <v>212</v>
      </c>
      <c r="BS253" s="28"/>
    </row>
    <row r="254" spans="1:71" outlineLevel="1">
      <c r="A254" s="28"/>
      <c r="B254" s="161">
        <v>211</v>
      </c>
      <c r="C254" s="161">
        <f>COUNTIF(Podcasts!$D$10:'Podcasts'!$D$2535,B254)</f>
        <v>5</v>
      </c>
      <c r="D254" s="160" t="s">
        <v>2711</v>
      </c>
      <c r="E254" s="156" t="str">
        <f t="array" ref="E254">IF(F254="","",INDEX(Podcasts!$J$10:'Podcasts'!$J$2535,MATCH(F254&amp;$B254,Podcasts!$E$10:'Podcasts'!$E$2535&amp;Podcasts!$D$10:'Podcasts'!$D$2535,0)))</f>
        <v>Label</v>
      </c>
      <c r="F254" s="131">
        <f t="array" ref="F254">IF(COUNTIF(Podcasts!$D$10:'Podcasts'!$D$2535,$B254)&lt;COLUMN(A217),"",SMALL(IF(Podcasts!$D$10:'Podcasts'!$D$2535=$B254,Podcasts!$E$10:'Podcasts'!$E$2535),COLUMN(A217)))</f>
        <v>44386</v>
      </c>
      <c r="G254" s="132">
        <f t="array" ref="G254">IF(F254="","",INDEX(Podcasts!$F$10:'Podcasts'!$F$2535,MATCH(F254&amp;$B254,Podcasts!$E$10:'Podcasts'!$E$2535&amp;Podcasts!$D$10:'Podcasts'!$D$2535,0)))</f>
        <v>4.0752314814814811E-2</v>
      </c>
      <c r="H254" s="136" t="str">
        <f t="array" ref="H254">IF(I254="","",INDEX(Podcasts!$J$10:'Podcasts'!$J$2535,MATCH(I254&amp;$B254,Podcasts!$E$10:'Podcasts'!$E$2535&amp;Podcasts!$D$10:'Podcasts'!$D$2535,0)))</f>
        <v>Zw3i</v>
      </c>
      <c r="I254" s="133">
        <f t="array" ref="I254">IF(COUNTIF(Podcasts!$D$10:'Podcasts'!$D$2535,$B254)&lt;COLUMN(B217),"",SMALL(IF(Podcasts!$D$10:'Podcasts'!$D$2535=$B254,Podcasts!$E$10:'Podcasts'!$E$2535),COLUMN(B217)))</f>
        <v>44393</v>
      </c>
      <c r="J254" s="132">
        <f t="array" ref="J254">IF(I254="","",INDEX(Podcasts!$F$10:'Podcasts'!$F$2535,MATCH(I254&amp;$B254,Podcasts!$E$10:'Podcasts'!$E$2535&amp;Podcasts!$D$10:'Podcasts'!$D$2535,0)))</f>
        <v>3.3842592592592598E-2</v>
      </c>
      <c r="K254" s="136" t="str">
        <f t="array" ref="K254">IF(L254="","",INDEX(Podcasts!$J$10:'Podcasts'!$J$2535,MATCH(L254&amp;$B254,Podcasts!$E$10:'Podcasts'!$E$2535&amp;Podcasts!$D$10:'Podcasts'!$D$2535,0)))</f>
        <v>Ohr</v>
      </c>
      <c r="L254" s="133">
        <f t="array" ref="L254">IF(COUNTIF(Podcasts!$D$10:'Podcasts'!$D$2535,$B254)&lt;COLUMN(C217),"",SMALL(IF(Podcasts!$D$10:'Podcasts'!$D$2535=$B254,Podcasts!$E$10:'Podcasts'!$E$2535),COLUMN(C217)))</f>
        <v>44429</v>
      </c>
      <c r="M254" s="132">
        <f t="array" ref="M254">IF(L254="","",INDEX(Podcasts!$F$10:'Podcasts'!$F$2535,MATCH(L254&amp;$B254,Podcasts!$E$10:'Podcasts'!$E$2535&amp;Podcasts!$D$10:'Podcasts'!$D$2535,0)))</f>
        <v>3.3912037037037036E-3</v>
      </c>
      <c r="N254" s="136" t="str">
        <f t="array" ref="N254">IF(O254="","",INDEX(Podcasts!$J$10:'Podcasts'!$J$2535,MATCH(O254&amp;$B254,Podcasts!$E$10:'Podcasts'!$E$2535&amp;Podcasts!$D$10:'Podcasts'!$D$2535,0)))</f>
        <v>Kuchen</v>
      </c>
      <c r="O254" s="133">
        <f t="array" ref="O254">IF(COUNTIF(Podcasts!$D$10:'Podcasts'!$D$2535,$B254)&lt;COLUMN(D217),"",SMALL(IF(Podcasts!$D$10:'Podcasts'!$D$2535=$B254,Podcasts!$E$10:'Podcasts'!$E$2535),COLUMN(D217)))</f>
        <v>44766</v>
      </c>
      <c r="P254" s="132">
        <f t="array" ref="P254">IF(O254="","",INDEX(Podcasts!$F$10:'Podcasts'!$F$2535,MATCH(O254&amp;$B254,Podcasts!$E$10:'Podcasts'!$E$2535&amp;Podcasts!$D$10:'Podcasts'!$D$2535,0)))</f>
        <v>0.1019212962962963</v>
      </c>
      <c r="Q254" s="136" t="str">
        <f t="array" ref="Q254">IF(R254="","",INDEX(Podcasts!$J$10:'Podcasts'!$J$2535,MATCH(R254&amp;$B254,Podcasts!$E$10:'Podcasts'!$E$2535&amp;Podcasts!$D$10:'Podcasts'!$D$2535,0)))</f>
        <v>Verstärker</v>
      </c>
      <c r="R254" s="133">
        <f t="array" ref="R254">IF(COUNTIF(Podcasts!$D$10:'Podcasts'!$D$2535,$B254)&lt;COLUMN(E217),"",SMALL(IF(Podcasts!$D$10:'Podcasts'!$D$2535=$B254,Podcasts!$E$10:'Podcasts'!$E$2535),COLUMN(E217)))</f>
        <v>45049</v>
      </c>
      <c r="S254" s="132">
        <f t="array" ref="S254">IF(R254="","",INDEX(Podcasts!$F$10:'Podcasts'!$F$2535,MATCH(R254&amp;$B254,Podcasts!$E$10:'Podcasts'!$E$2535&amp;Podcasts!$D$10:'Podcasts'!$D$2535,0)))</f>
        <v>1.699074074074074E-2</v>
      </c>
      <c r="T254" s="136" t="str">
        <f t="array" ref="T254">IF(U254="","",INDEX(Podcasts!$J$10:'Podcasts'!$J$2535,MATCH(U254&amp;$B254,Podcasts!$E$10:'Podcasts'!$E$2535&amp;Podcasts!$D$10:'Podcasts'!$D$2535,0)))</f>
        <v/>
      </c>
      <c r="U254" s="133" t="str">
        <f t="array" ref="U254">IF(COUNTIF(Podcasts!$D$10:'Podcasts'!$D$2535,$B254)&lt;COLUMN(F217),"",SMALL(IF(Podcasts!$D$10:'Podcasts'!$D$2535=$B254,Podcasts!$E$10:'Podcasts'!$E$2535),COLUMN(F217)))</f>
        <v/>
      </c>
      <c r="V254" s="132" t="str">
        <f t="array" ref="V254">IF(U254="","",INDEX(Podcasts!$F$10:'Podcasts'!$F$2535,MATCH(U254&amp;$B254,Podcasts!$E$10:'Podcasts'!$E$2535&amp;Podcasts!$D$10:'Podcasts'!$D$2535,0)))</f>
        <v/>
      </c>
      <c r="W254" s="136" t="str">
        <f t="array" ref="W254">IF(X254="","",INDEX(Podcasts!$J$10:'Podcasts'!$J$2535,MATCH(X254&amp;$B254,Podcasts!$E$10:'Podcasts'!$E$2535&amp;Podcasts!$D$10:'Podcasts'!$D$2535,0)))</f>
        <v/>
      </c>
      <c r="X254" s="133" t="str">
        <f t="array" ref="X254">IF(COUNTIF(Podcasts!$D$10:'Podcasts'!$D$2535,$B254)&lt;COLUMN(G217),"",SMALL(IF(Podcasts!$D$10:'Podcasts'!$D$2535=$B254,Podcasts!$E$10:'Podcasts'!$E$2535),COLUMN(G217)))</f>
        <v/>
      </c>
      <c r="Y254" s="132" t="str">
        <f t="array" ref="Y254">IF(X254="","",INDEX(Podcasts!$F$10:'Podcasts'!$F$2535,MATCH(X254&amp;$B254,Podcasts!$E$10:'Podcasts'!$E$2535&amp;Podcasts!$D$10:'Podcasts'!$D$2535,0)))</f>
        <v/>
      </c>
      <c r="Z254" s="136" t="str">
        <f t="array" ref="Z254">IF(AA254="","",INDEX(Podcasts!$J$10:'Podcasts'!$J$2535,MATCH(AA254&amp;$B254,Podcasts!$E$10:'Podcasts'!$E$2535&amp;Podcasts!$D$10:'Podcasts'!$D$2535,0)))</f>
        <v/>
      </c>
      <c r="AA254" s="134" t="str">
        <f t="array" ref="AA254">IF(COUNTIF(Podcasts!$D$10:'Podcasts'!$D$2535,$B254)&lt;COLUMN(H217),"",SMALL(IF(Podcasts!$D$10:'Podcasts'!$D$2535=$B254,Podcasts!$E$10:'Podcasts'!$E$2535),COLUMN(H217)))</f>
        <v/>
      </c>
      <c r="AB254" s="404" t="str">
        <f t="array" ref="AB254">IF(AA254="","",INDEX(Podcasts!$F$10:'Podcasts'!$F$2535,MATCH(AA254&amp;$B254,Podcasts!$E$10:'Podcasts'!$E$2535&amp;Podcasts!$D$10:'Podcasts'!$D$2535,0)))</f>
        <v/>
      </c>
      <c r="AC254" s="406" t="str">
        <f t="array" ref="AC254">IF(AD254="","",INDEX(Podcasts!$J$10:'Podcasts'!$J$2535,MATCH(AD254&amp;$B254,Podcasts!$E$10:'Podcasts'!$E$2535&amp;Podcasts!$D$10:'Podcasts'!$D$2535,0)))</f>
        <v/>
      </c>
      <c r="AD254" s="400" t="str">
        <f t="array" ref="AD254">IF(COUNTIF(Podcasts!$D$10:'Podcasts'!$D$2535,$B254)&lt;COLUMN(I217),"",SMALL(IF(Podcasts!$D$10:'Podcasts'!$D$2535=$B254,Podcasts!$E$10:'Podcasts'!$E$2535),COLUMN(I217)))</f>
        <v/>
      </c>
      <c r="AE254" s="401" t="str">
        <f t="array" ref="AE254">IF(AD254="","",INDEX(Podcasts!$F$10:'Podcasts'!$F$2535,MATCH(AD254&amp;$B254,Podcasts!$E$10:'Podcasts'!$E$2535&amp;Podcasts!$D$10:'Podcasts'!$D$2535,0)))</f>
        <v/>
      </c>
      <c r="AF254" s="406" t="str">
        <f t="array" ref="AF254">IF(AG254="","",INDEX(Podcasts!$J$10:'Podcasts'!$J$2535,MATCH(AG254&amp;$B254,Podcasts!$E$10:'Podcasts'!$E$2535&amp;Podcasts!$D$10:'Podcasts'!$D$2535,0)))</f>
        <v/>
      </c>
      <c r="AG254" s="400" t="str">
        <f t="array" ref="AG254">IF(COUNTIF(Podcasts!$D$10:'Podcasts'!$D$2535,$B254)&lt;COLUMN(J217),"",SMALL(IF(Podcasts!$D$10:'Podcasts'!$D$2535=$B254,Podcasts!$E$10:'Podcasts'!$E$2535),COLUMN(J217)))</f>
        <v/>
      </c>
      <c r="AH254" s="401" t="str">
        <f t="array" ref="AH254">IF(AG254="","",INDEX(Podcasts!$F$10:'Podcasts'!$F$2535,MATCH(AG254&amp;$B254,Podcasts!$E$10:'Podcasts'!$E$2535&amp;Podcasts!$D$10:'Podcasts'!$D$2535,0)))</f>
        <v/>
      </c>
      <c r="AI254" s="406" t="str">
        <f t="array" ref="AI254">IF(AJ254="","",INDEX(Podcasts!$J$10:'Podcasts'!$J$2535,MATCH(AJ254&amp;$B254,Podcasts!$E$10:'Podcasts'!$E$2535&amp;Podcasts!$D$10:'Podcasts'!$D$2535,0)))</f>
        <v/>
      </c>
      <c r="AJ254" s="400" t="str">
        <f t="array" ref="AJ254">IF(COUNTIF(Podcasts!$D$10:'Podcasts'!$D$2535,$B254)&lt;COLUMN(K217),"",SMALL(IF(Podcasts!$D$10:'Podcasts'!$D$2535=$B254,Podcasts!$E$10:'Podcasts'!$E$2535),COLUMN(K217)))</f>
        <v/>
      </c>
      <c r="AK254" s="401" t="str">
        <f t="array" ref="AK254">IF(AJ254="","",INDEX(Podcasts!$F$10:'Podcasts'!$F$2535,MATCH(AJ254&amp;$B254,Podcasts!$E$10:'Podcasts'!$E$2535&amp;Podcasts!$D$10:'Podcasts'!$D$2535,0)))</f>
        <v/>
      </c>
      <c r="AL254" s="406" t="str">
        <f t="array" ref="AL254">IF(AM254="","",INDEX(Podcasts!$J$10:'Podcasts'!$J$2535,MATCH(AM254&amp;$B254,Podcasts!$E$10:'Podcasts'!$E$2535&amp;Podcasts!$D$10:'Podcasts'!$D$2535,0)))</f>
        <v/>
      </c>
      <c r="AM254" s="400" t="str">
        <f t="array" ref="AM254">IF(COUNTIF(Podcasts!$D$10:'Podcasts'!$D$2535,$B254)&lt;COLUMN(L217),"",SMALL(IF(Podcasts!$D$10:'Podcasts'!$D$2535=$B254,Podcasts!$E$10:'Podcasts'!$E$2535),COLUMN(L217)))</f>
        <v/>
      </c>
      <c r="AN254" s="401" t="str">
        <f t="array" ref="AN254">IF(AM254="","",INDEX(Podcasts!$F$10:'Podcasts'!$F$2535,MATCH(AM254&amp;$B254,Podcasts!$E$10:'Podcasts'!$E$2535&amp;Podcasts!$D$10:'Podcasts'!$D$2535,0)))</f>
        <v/>
      </c>
      <c r="AO254" s="402"/>
      <c r="AP254" s="119"/>
      <c r="AQ254" s="117"/>
      <c r="AR254" s="117"/>
      <c r="AS254" s="117"/>
      <c r="AT254" s="117"/>
      <c r="AU254" s="117">
        <f t="array" aca="1" ref="AU254" ca="1">IFERROR(SMALL(IF(COUNTIF(Podcasts!$D$479:'Podcasts'!$D$488,ROW(INDIRECT("1:"&amp;K$2)))=0,ROW(INDIRECT("1:"&amp;K$2))),ROW($A211)),"")</f>
        <v>215</v>
      </c>
      <c r="AV254" s="117"/>
      <c r="AW254" s="117">
        <f t="array" aca="1" ref="AW254" ca="1">IFERROR(SMALL(IF(COUNTIF(Podcasts!$D$524:'Podcasts'!$D$532,ROW(INDIRECT("1:"&amp;K$2)))=0,ROW(INDIRECT("1:"&amp;K$2))),ROW($A211)),"")</f>
        <v>218</v>
      </c>
      <c r="AX254" s="117"/>
      <c r="AY254" s="117"/>
      <c r="AZ254" s="445"/>
      <c r="BA254" s="117"/>
      <c r="BB254" s="117">
        <f t="array" aca="1" ref="BB254" ca="1">IFERROR(SMALL(IF(COUNTIF(Podcasts!$D$1257:'Podcasts'!$D$1267,ROW(INDIRECT("1:"&amp;K$2)))=0,ROW(INDIRECT("1:"&amp;K$2))),ROW($A211)),"")</f>
        <v>219</v>
      </c>
      <c r="BC254" s="117">
        <f t="array" aca="1" ref="BC254" ca="1">IFERROR(SMALL(IF(COUNTIF(Podcasts!$D$1273:'Podcasts'!$D$1283,ROW(INDIRECT("1:"&amp;K$2)))=0,ROW(INDIRECT("1:"&amp;K$2))),ROW($A211)),"")</f>
        <v>218</v>
      </c>
      <c r="BD254" s="117">
        <f t="array" aca="1" ref="BD254" ca="1">IFERROR(SMALL(IF(COUNTIF(Podcasts!$D$1289:'Podcasts'!$D$1295,ROW(INDIRECT("1:"&amp;K$2)))=0,ROW(INDIRECT("1:"&amp;K$2))),ROW($A211)),"")</f>
        <v>218</v>
      </c>
      <c r="BE254" s="117"/>
      <c r="BF254" s="117">
        <f t="array" aca="1" ref="BF254" ca="1">IFERROR(SMALL(IF(COUNTIF(Podcasts!$D$1362:'Podcasts'!$D$1364,ROW(INDIRECT("1:"&amp;K$2)))=0,ROW(INDIRECT("1:"&amp;K$2))),ROW($A211)),"")</f>
        <v>214</v>
      </c>
      <c r="BG254" s="202"/>
      <c r="BH254" s="202">
        <f t="array" aca="1" ref="BH254" ca="1">IFERROR(SMALL(IF(COUNTIF(Podcasts!$D$1425:'Podcasts'!$D$1446,ROW(INDIRECT("1:"&amp;K$2)))=0,ROW(INDIRECT("1:"&amp;K$2))),ROW($A211)),"")</f>
        <v>224</v>
      </c>
      <c r="BI254" s="202"/>
      <c r="BJ254" s="202"/>
      <c r="BK254" s="202"/>
      <c r="BL254" s="202">
        <f t="array" aca="1" ref="BL254" ca="1">IFERROR(SMALL(IF(COUNTIF(Podcasts!$D$1839:'Podcasts'!$D$1855,ROW(INDIRECT("1:"&amp;K$2)))=0,ROW(INDIRECT("1:"&amp;K$2))),ROW($A211)),"")</f>
        <v>220</v>
      </c>
      <c r="BM254" s="567"/>
      <c r="BN254" s="567"/>
      <c r="BO254" s="567">
        <f t="array" aca="1" ref="BO254" ca="1">IFERROR(SMALL(IF(COUNTIF(Podcasts!$D$2063:'Podcasts'!$D$2071,ROW(INDIRECT("1:"&amp;K$2)))=0,ROW(INDIRECT("1:"&amp;K$2))),ROW($A211)),"")</f>
        <v>219</v>
      </c>
      <c r="BP254" s="202">
        <f t="array" aca="1" ref="BP254" ca="1">IFERROR(SMALL(IF(COUNTIF(Podcasts!$D$2077:'Podcasts'!$D$2092,ROW(INDIRECT("1:"&amp;K$2)))=0,ROW(INDIRECT("1:"&amp;K$2))),ROW($A211)),"")</f>
        <v>222</v>
      </c>
      <c r="BQ254" s="741" t="str">
        <f t="array" aca="1" ref="BQ254" ca="1">IFERROR(SMALL(IF(COUNTIF(Podcasts!$D$2098:'Podcasts'!$D$2114,ROW(INDIRECT("1:"&amp;K$2)))=0,ROW(INDIRECT("1:"&amp;K$2))),ROW($A211)),"")</f>
        <v/>
      </c>
      <c r="BR254" s="744">
        <f t="array" aca="1" ref="BR254" ca="1">IFERROR(SMALL(IF(COUNTIF(Podcasts!$D$2120:'Podcasts'!$D$2124,ROW(INDIRECT("1:"&amp;K$2)))=0,ROW(INDIRECT("1:"&amp;K$2))),ROW($A211)),"")</f>
        <v>213</v>
      </c>
      <c r="BS254" s="28"/>
    </row>
    <row r="255" spans="1:71" outlineLevel="1">
      <c r="A255" s="28"/>
      <c r="B255" s="161">
        <v>212</v>
      </c>
      <c r="C255" s="161">
        <f>COUNTIF(Podcasts!$D$10:'Podcasts'!$D$2535,B255)</f>
        <v>4</v>
      </c>
      <c r="D255" s="160" t="s">
        <v>2712</v>
      </c>
      <c r="E255" s="156" t="str">
        <f t="array" ref="E255">IF(F255="","",INDEX(Podcasts!$J$10:'Podcasts'!$J$2535,MATCH(F255&amp;$B255,Podcasts!$E$10:'Podcasts'!$E$2535&amp;Podcasts!$D$10:'Podcasts'!$D$2535,0)))</f>
        <v>Label</v>
      </c>
      <c r="F255" s="131">
        <f t="array" ref="F255">IF(COUNTIF(Podcasts!$D$10:'Podcasts'!$D$2535,$B255)&lt;COLUMN(A218),"",SMALL(IF(Podcasts!$D$10:'Podcasts'!$D$2535=$B255,Podcasts!$E$10:'Podcasts'!$E$2535),COLUMN(A218)))</f>
        <v>44449</v>
      </c>
      <c r="G255" s="132">
        <f t="array" ref="G255">IF(F255="","",INDEX(Podcasts!$F$10:'Podcasts'!$F$2535,MATCH(F255&amp;$B255,Podcasts!$E$10:'Podcasts'!$E$2535&amp;Podcasts!$D$10:'Podcasts'!$D$2535,0)))</f>
        <v>3.0844907407407404E-2</v>
      </c>
      <c r="H255" s="136" t="str">
        <f t="array" ref="H255">IF(I255="","",INDEX(Podcasts!$J$10:'Podcasts'!$J$2535,MATCH(I255&amp;$B255,Podcasts!$E$10:'Podcasts'!$E$2535&amp;Podcasts!$D$10:'Podcasts'!$D$2535,0)))</f>
        <v>Zw3i</v>
      </c>
      <c r="I255" s="133">
        <f t="array" ref="I255">IF(COUNTIF(Podcasts!$D$10:'Podcasts'!$D$2535,$B255)&lt;COLUMN(B218),"",SMALL(IF(Podcasts!$D$10:'Podcasts'!$D$2535=$B255,Podcasts!$E$10:'Podcasts'!$E$2535),COLUMN(B218)))</f>
        <v>44477</v>
      </c>
      <c r="J255" s="132">
        <f t="array" ref="J255">IF(I255="","",INDEX(Podcasts!$F$10:'Podcasts'!$F$2535,MATCH(I255&amp;$B255,Podcasts!$E$10:'Podcasts'!$E$2535&amp;Podcasts!$D$10:'Podcasts'!$D$2535,0)))</f>
        <v>6.6053240740740746E-2</v>
      </c>
      <c r="K255" s="136" t="str">
        <f t="array" ref="K255">IF(L255="","",INDEX(Podcasts!$J$10:'Podcasts'!$J$2535,MATCH(L255&amp;$B255,Podcasts!$E$10:'Podcasts'!$E$2535&amp;Podcasts!$D$10:'Podcasts'!$D$2535,0)))</f>
        <v>Ohr</v>
      </c>
      <c r="L255" s="133">
        <f t="array" ref="L255">IF(COUNTIF(Podcasts!$D$10:'Podcasts'!$D$2535,$B255)&lt;COLUMN(C218),"",SMALL(IF(Podcasts!$D$10:'Podcasts'!$D$2535=$B255,Podcasts!$E$10:'Podcasts'!$E$2535),COLUMN(C218)))</f>
        <v>44512</v>
      </c>
      <c r="M255" s="132">
        <f t="array" ref="M255">IF(L255="","",INDEX(Podcasts!$F$10:'Podcasts'!$F$2535,MATCH(L255&amp;$B255,Podcasts!$E$10:'Podcasts'!$E$2535&amp;Podcasts!$D$10:'Podcasts'!$D$2535,0)))</f>
        <v>4.0046296296296297E-3</v>
      </c>
      <c r="N255" s="136" t="str">
        <f t="array" ref="N255">IF(O255="","",INDEX(Podcasts!$J$10:'Podcasts'!$J$2535,MATCH(O255&amp;$B255,Podcasts!$E$10:'Podcasts'!$E$2535&amp;Podcasts!$D$10:'Podcasts'!$D$2535,0)))</f>
        <v>Verstärker</v>
      </c>
      <c r="O255" s="133">
        <f t="array" ref="O255">IF(COUNTIF(Podcasts!$D$10:'Podcasts'!$D$2535,$B255)&lt;COLUMN(D218),"",SMALL(IF(Podcasts!$D$10:'Podcasts'!$D$2535=$B255,Podcasts!$E$10:'Podcasts'!$E$2535),COLUMN(D218)))</f>
        <v>45172</v>
      </c>
      <c r="P255" s="132">
        <f t="array" ref="P255">IF(O255="","",INDEX(Podcasts!$F$10:'Podcasts'!$F$2535,MATCH(O255&amp;$B255,Podcasts!$E$10:'Podcasts'!$E$2535&amp;Podcasts!$D$10:'Podcasts'!$D$2535,0)))</f>
        <v>2.0509259259259258E-2</v>
      </c>
      <c r="Q255" s="136" t="str">
        <f t="array" ref="Q255">IF(R255="","",INDEX(Podcasts!$J$10:'Podcasts'!$J$2535,MATCH(R255&amp;$B255,Podcasts!$E$10:'Podcasts'!$E$2535&amp;Podcasts!$D$10:'Podcasts'!$D$2535,0)))</f>
        <v/>
      </c>
      <c r="R255" s="133" t="str">
        <f t="array" ref="R255">IF(COUNTIF(Podcasts!$D$10:'Podcasts'!$D$2535,$B255)&lt;COLUMN(E218),"",SMALL(IF(Podcasts!$D$10:'Podcasts'!$D$2535=$B255,Podcasts!$E$10:'Podcasts'!$E$2535),COLUMN(E218)))</f>
        <v/>
      </c>
      <c r="S255" s="132" t="str">
        <f t="array" ref="S255">IF(R255="","",INDEX(Podcasts!$F$10:'Podcasts'!$F$2535,MATCH(R255&amp;$B255,Podcasts!$E$10:'Podcasts'!$E$2535&amp;Podcasts!$D$10:'Podcasts'!$D$2535,0)))</f>
        <v/>
      </c>
      <c r="T255" s="136" t="str">
        <f t="array" ref="T255">IF(U255="","",INDEX(Podcasts!$J$10:'Podcasts'!$J$2535,MATCH(U255&amp;$B255,Podcasts!$E$10:'Podcasts'!$E$2535&amp;Podcasts!$D$10:'Podcasts'!$D$2535,0)))</f>
        <v/>
      </c>
      <c r="U255" s="133" t="str">
        <f t="array" ref="U255">IF(COUNTIF(Podcasts!$D$10:'Podcasts'!$D$2535,$B255)&lt;COLUMN(F218),"",SMALL(IF(Podcasts!$D$10:'Podcasts'!$D$2535=$B255,Podcasts!$E$10:'Podcasts'!$E$2535),COLUMN(F218)))</f>
        <v/>
      </c>
      <c r="V255" s="132" t="str">
        <f t="array" ref="V255">IF(U255="","",INDEX(Podcasts!$F$10:'Podcasts'!$F$2535,MATCH(U255&amp;$B255,Podcasts!$E$10:'Podcasts'!$E$2535&amp;Podcasts!$D$10:'Podcasts'!$D$2535,0)))</f>
        <v/>
      </c>
      <c r="W255" s="136" t="str">
        <f t="array" ref="W255">IF(X255="","",INDEX(Podcasts!$J$10:'Podcasts'!$J$2535,MATCH(X255&amp;$B255,Podcasts!$E$10:'Podcasts'!$E$2535&amp;Podcasts!$D$10:'Podcasts'!$D$2535,0)))</f>
        <v/>
      </c>
      <c r="X255" s="133" t="str">
        <f t="array" ref="X255">IF(COUNTIF(Podcasts!$D$10:'Podcasts'!$D$2535,$B255)&lt;COLUMN(G218),"",SMALL(IF(Podcasts!$D$10:'Podcasts'!$D$2535=$B255,Podcasts!$E$10:'Podcasts'!$E$2535),COLUMN(G218)))</f>
        <v/>
      </c>
      <c r="Y255" s="132" t="str">
        <f t="array" ref="Y255">IF(X255="","",INDEX(Podcasts!$F$10:'Podcasts'!$F$2535,MATCH(X255&amp;$B255,Podcasts!$E$10:'Podcasts'!$E$2535&amp;Podcasts!$D$10:'Podcasts'!$D$2535,0)))</f>
        <v/>
      </c>
      <c r="Z255" s="136" t="str">
        <f t="array" ref="Z255">IF(AA255="","",INDEX(Podcasts!$J$10:'Podcasts'!$J$2535,MATCH(AA255&amp;$B255,Podcasts!$E$10:'Podcasts'!$E$2535&amp;Podcasts!$D$10:'Podcasts'!$D$2535,0)))</f>
        <v/>
      </c>
      <c r="AA255" s="134" t="str">
        <f t="array" ref="AA255">IF(COUNTIF(Podcasts!$D$10:'Podcasts'!$D$2535,$B255)&lt;COLUMN(H218),"",SMALL(IF(Podcasts!$D$10:'Podcasts'!$D$2535=$B255,Podcasts!$E$10:'Podcasts'!$E$2535),COLUMN(H218)))</f>
        <v/>
      </c>
      <c r="AB255" s="404" t="str">
        <f t="array" ref="AB255">IF(AA255="","",INDEX(Podcasts!$F$10:'Podcasts'!$F$2535,MATCH(AA255&amp;$B255,Podcasts!$E$10:'Podcasts'!$E$2535&amp;Podcasts!$D$10:'Podcasts'!$D$2535,0)))</f>
        <v/>
      </c>
      <c r="AC255" s="406" t="str">
        <f t="array" ref="AC255">IF(AD255="","",INDEX(Podcasts!$J$10:'Podcasts'!$J$2535,MATCH(AD255&amp;$B255,Podcasts!$E$10:'Podcasts'!$E$2535&amp;Podcasts!$D$10:'Podcasts'!$D$2535,0)))</f>
        <v/>
      </c>
      <c r="AD255" s="400" t="str">
        <f t="array" ref="AD255">IF(COUNTIF(Podcasts!$D$10:'Podcasts'!$D$2535,$B255)&lt;COLUMN(I218),"",SMALL(IF(Podcasts!$D$10:'Podcasts'!$D$2535=$B255,Podcasts!$E$10:'Podcasts'!$E$2535),COLUMN(I218)))</f>
        <v/>
      </c>
      <c r="AE255" s="401" t="str">
        <f t="array" ref="AE255">IF(AD255="","",INDEX(Podcasts!$F$10:'Podcasts'!$F$2535,MATCH(AD255&amp;$B255,Podcasts!$E$10:'Podcasts'!$E$2535&amp;Podcasts!$D$10:'Podcasts'!$D$2535,0)))</f>
        <v/>
      </c>
      <c r="AF255" s="406" t="str">
        <f t="array" ref="AF255">IF(AG255="","",INDEX(Podcasts!$J$10:'Podcasts'!$J$2535,MATCH(AG255&amp;$B255,Podcasts!$E$10:'Podcasts'!$E$2535&amp;Podcasts!$D$10:'Podcasts'!$D$2535,0)))</f>
        <v/>
      </c>
      <c r="AG255" s="400" t="str">
        <f t="array" ref="AG255">IF(COUNTIF(Podcasts!$D$10:'Podcasts'!$D$2535,$B255)&lt;COLUMN(J218),"",SMALL(IF(Podcasts!$D$10:'Podcasts'!$D$2535=$B255,Podcasts!$E$10:'Podcasts'!$E$2535),COLUMN(J218)))</f>
        <v/>
      </c>
      <c r="AH255" s="401" t="str">
        <f t="array" ref="AH255">IF(AG255="","",INDEX(Podcasts!$F$10:'Podcasts'!$F$2535,MATCH(AG255&amp;$B255,Podcasts!$E$10:'Podcasts'!$E$2535&amp;Podcasts!$D$10:'Podcasts'!$D$2535,0)))</f>
        <v/>
      </c>
      <c r="AI255" s="406" t="str">
        <f t="array" ref="AI255">IF(AJ255="","",INDEX(Podcasts!$J$10:'Podcasts'!$J$2535,MATCH(AJ255&amp;$B255,Podcasts!$E$10:'Podcasts'!$E$2535&amp;Podcasts!$D$10:'Podcasts'!$D$2535,0)))</f>
        <v/>
      </c>
      <c r="AJ255" s="400" t="str">
        <f t="array" ref="AJ255">IF(COUNTIF(Podcasts!$D$10:'Podcasts'!$D$2535,$B255)&lt;COLUMN(K218),"",SMALL(IF(Podcasts!$D$10:'Podcasts'!$D$2535=$B255,Podcasts!$E$10:'Podcasts'!$E$2535),COLUMN(K218)))</f>
        <v/>
      </c>
      <c r="AK255" s="401" t="str">
        <f t="array" ref="AK255">IF(AJ255="","",INDEX(Podcasts!$F$10:'Podcasts'!$F$2535,MATCH(AJ255&amp;$B255,Podcasts!$E$10:'Podcasts'!$E$2535&amp;Podcasts!$D$10:'Podcasts'!$D$2535,0)))</f>
        <v/>
      </c>
      <c r="AL255" s="406" t="str">
        <f t="array" ref="AL255">IF(AM255="","",INDEX(Podcasts!$J$10:'Podcasts'!$J$2535,MATCH(AM255&amp;$B255,Podcasts!$E$10:'Podcasts'!$E$2535&amp;Podcasts!$D$10:'Podcasts'!$D$2535,0)))</f>
        <v/>
      </c>
      <c r="AM255" s="400" t="str">
        <f t="array" ref="AM255">IF(COUNTIF(Podcasts!$D$10:'Podcasts'!$D$2535,$B255)&lt;COLUMN(L218),"",SMALL(IF(Podcasts!$D$10:'Podcasts'!$D$2535=$B255,Podcasts!$E$10:'Podcasts'!$E$2535),COLUMN(L218)))</f>
        <v/>
      </c>
      <c r="AN255" s="401" t="str">
        <f t="array" ref="AN255">IF(AM255="","",INDEX(Podcasts!$F$10:'Podcasts'!$F$2535,MATCH(AM255&amp;$B255,Podcasts!$E$10:'Podcasts'!$E$2535&amp;Podcasts!$D$10:'Podcasts'!$D$2535,0)))</f>
        <v/>
      </c>
      <c r="AO255" s="402"/>
      <c r="AP255" s="119"/>
      <c r="AQ255" s="117"/>
      <c r="AR255" s="117"/>
      <c r="AS255" s="117"/>
      <c r="AT255" s="117"/>
      <c r="AU255" s="117">
        <f t="array" aca="1" ref="AU255" ca="1">IFERROR(SMALL(IF(COUNTIF(Podcasts!$D$479:'Podcasts'!$D$488,ROW(INDIRECT("1:"&amp;K$2)))=0,ROW(INDIRECT("1:"&amp;K$2))),ROW($A212)),"")</f>
        <v>216</v>
      </c>
      <c r="AV255" s="117"/>
      <c r="AW255" s="117">
        <f t="array" aca="1" ref="AW255" ca="1">IFERROR(SMALL(IF(COUNTIF(Podcasts!$D$524:'Podcasts'!$D$532,ROW(INDIRECT("1:"&amp;K$2)))=0,ROW(INDIRECT("1:"&amp;K$2))),ROW($A212)),"")</f>
        <v>219</v>
      </c>
      <c r="AX255" s="117"/>
      <c r="AY255" s="117"/>
      <c r="AZ255" s="445"/>
      <c r="BA255" s="117"/>
      <c r="BB255" s="117">
        <f t="array" aca="1" ref="BB255" ca="1">IFERROR(SMALL(IF(COUNTIF(Podcasts!$D$1257:'Podcasts'!$D$1267,ROW(INDIRECT("1:"&amp;K$2)))=0,ROW(INDIRECT("1:"&amp;K$2))),ROW($A212)),"")</f>
        <v>220</v>
      </c>
      <c r="BC255" s="117">
        <f t="array" aca="1" ref="BC255" ca="1">IFERROR(SMALL(IF(COUNTIF(Podcasts!$D$1273:'Podcasts'!$D$1283,ROW(INDIRECT("1:"&amp;K$2)))=0,ROW(INDIRECT("1:"&amp;K$2))),ROW($A212)),"")</f>
        <v>219</v>
      </c>
      <c r="BD255" s="117">
        <f t="array" aca="1" ref="BD255" ca="1">IFERROR(SMALL(IF(COUNTIF(Podcasts!$D$1289:'Podcasts'!$D$1295,ROW(INDIRECT("1:"&amp;K$2)))=0,ROW(INDIRECT("1:"&amp;K$2))),ROW($A212)),"")</f>
        <v>219</v>
      </c>
      <c r="BE255" s="117"/>
      <c r="BF255" s="117">
        <f t="array" aca="1" ref="BF255" ca="1">IFERROR(SMALL(IF(COUNTIF(Podcasts!$D$1362:'Podcasts'!$D$1364,ROW(INDIRECT("1:"&amp;K$2)))=0,ROW(INDIRECT("1:"&amp;K$2))),ROW($A212)),"")</f>
        <v>215</v>
      </c>
      <c r="BG255" s="202"/>
      <c r="BH255" s="202">
        <f t="array" aca="1" ref="BH255" ca="1">IFERROR(SMALL(IF(COUNTIF(Podcasts!$D$1425:'Podcasts'!$D$1446,ROW(INDIRECT("1:"&amp;K$2)))=0,ROW(INDIRECT("1:"&amp;K$2))),ROW($A212)),"")</f>
        <v>225</v>
      </c>
      <c r="BI255" s="202"/>
      <c r="BJ255" s="202"/>
      <c r="BK255" s="202"/>
      <c r="BL255" s="202">
        <f t="array" aca="1" ref="BL255" ca="1">IFERROR(SMALL(IF(COUNTIF(Podcasts!$D$1839:'Podcasts'!$D$1855,ROW(INDIRECT("1:"&amp;K$2)))=0,ROW(INDIRECT("1:"&amp;K$2))),ROW($A212)),"")</f>
        <v>221</v>
      </c>
      <c r="BM255" s="567"/>
      <c r="BN255" s="567"/>
      <c r="BO255" s="567">
        <f t="array" aca="1" ref="BO255" ca="1">IFERROR(SMALL(IF(COUNTIF(Podcasts!$D$2063:'Podcasts'!$D$2071,ROW(INDIRECT("1:"&amp;K$2)))=0,ROW(INDIRECT("1:"&amp;K$2))),ROW($A212)),"")</f>
        <v>221</v>
      </c>
      <c r="BP255" s="202">
        <f t="array" aca="1" ref="BP255" ca="1">IFERROR(SMALL(IF(COUNTIF(Podcasts!$D$2077:'Podcasts'!$D$2092,ROW(INDIRECT("1:"&amp;K$2)))=0,ROW(INDIRECT("1:"&amp;K$2))),ROW($A212)),"")</f>
        <v>223</v>
      </c>
      <c r="BQ255" s="741" t="str">
        <f t="array" aca="1" ref="BQ255" ca="1">IFERROR(SMALL(IF(COUNTIF(Podcasts!$D$2098:'Podcasts'!$D$2114,ROW(INDIRECT("1:"&amp;K$2)))=0,ROW(INDIRECT("1:"&amp;K$2))),ROW($A212)),"")</f>
        <v/>
      </c>
      <c r="BR255" s="744">
        <f t="array" aca="1" ref="BR255" ca="1">IFERROR(SMALL(IF(COUNTIF(Podcasts!$D$2120:'Podcasts'!$D$2124,ROW(INDIRECT("1:"&amp;K$2)))=0,ROW(INDIRECT("1:"&amp;K$2))),ROW($A212)),"")</f>
        <v>214</v>
      </c>
      <c r="BS255" s="28"/>
    </row>
    <row r="256" spans="1:71" outlineLevel="1">
      <c r="A256" s="28"/>
      <c r="B256" s="161">
        <v>213</v>
      </c>
      <c r="C256" s="161">
        <f>COUNTIF(Podcasts!$D$10:'Podcasts'!$D$2535,B256)</f>
        <v>4</v>
      </c>
      <c r="D256" s="160" t="s">
        <v>2713</v>
      </c>
      <c r="E256" s="156" t="str">
        <f t="array" ref="E256">IF(F256="","",INDEX(Podcasts!$J$10:'Podcasts'!$J$2535,MATCH(F256&amp;$B256,Podcasts!$E$10:'Podcasts'!$E$2535&amp;Podcasts!$D$10:'Podcasts'!$D$2535,0)))</f>
        <v>Label</v>
      </c>
      <c r="F256" s="131">
        <f t="array" ref="F256">IF(COUNTIF(Podcasts!$D$10:'Podcasts'!$D$2535,$B256)&lt;COLUMN(A219),"",SMALL(IF(Podcasts!$D$10:'Podcasts'!$D$2535=$B256,Podcasts!$E$10:'Podcasts'!$E$2535),COLUMN(A219)))</f>
        <v>44519</v>
      </c>
      <c r="G256" s="132">
        <f t="array" ref="G256">IF(F256="","",INDEX(Podcasts!$F$10:'Podcasts'!$F$2535,MATCH(F256&amp;$B256,Podcasts!$E$10:'Podcasts'!$E$2535&amp;Podcasts!$D$10:'Podcasts'!$D$2535,0)))</f>
        <v>3.5312500000000004E-2</v>
      </c>
      <c r="H256" s="136" t="str">
        <f t="array" ref="H256">IF(I256="","",INDEX(Podcasts!$J$10:'Podcasts'!$J$2535,MATCH(I256&amp;$B256,Podcasts!$E$10:'Podcasts'!$E$2535&amp;Podcasts!$D$10:'Podcasts'!$D$2535,0)))</f>
        <v>Ohr</v>
      </c>
      <c r="I256" s="133">
        <f t="array" ref="I256">IF(COUNTIF(Podcasts!$D$10:'Podcasts'!$D$2535,$B256)&lt;COLUMN(B219),"",SMALL(IF(Podcasts!$D$10:'Podcasts'!$D$2535=$B256,Podcasts!$E$10:'Podcasts'!$E$2535),COLUMN(B219)))</f>
        <v>44551</v>
      </c>
      <c r="J256" s="132">
        <f t="array" ref="J256">IF(I256="","",INDEX(Podcasts!$F$10:'Podcasts'!$F$2535,MATCH(I256&amp;$B256,Podcasts!$E$10:'Podcasts'!$E$2535&amp;Podcasts!$D$10:'Podcasts'!$D$2535,0)))</f>
        <v>1.9212962962962962E-3</v>
      </c>
      <c r="K256" s="136" t="str">
        <f t="array" ref="K256">IF(L256="","",INDEX(Podcasts!$J$10:'Podcasts'!$J$2535,MATCH(L256&amp;$B256,Podcasts!$E$10:'Podcasts'!$E$2535&amp;Podcasts!$D$10:'Podcasts'!$D$2535,0)))</f>
        <v>Kaffee</v>
      </c>
      <c r="L256" s="133">
        <f t="array" ref="L256">IF(COUNTIF(Podcasts!$D$10:'Podcasts'!$D$2535,$B256)&lt;COLUMN(C219),"",SMALL(IF(Podcasts!$D$10:'Podcasts'!$D$2535=$B256,Podcasts!$E$10:'Podcasts'!$E$2535),COLUMN(C219)))</f>
        <v>44981</v>
      </c>
      <c r="M256" s="132">
        <f t="array" ref="M256">IF(L256="","",INDEX(Podcasts!$F$10:'Podcasts'!$F$2535,MATCH(L256&amp;$B256,Podcasts!$E$10:'Podcasts'!$E$2535&amp;Podcasts!$D$10:'Podcasts'!$D$2535,0)))</f>
        <v>3.2060185185185185E-2</v>
      </c>
      <c r="N256" s="136" t="str">
        <f t="array" ref="N256">IF(O256="","",INDEX(Podcasts!$J$10:'Podcasts'!$J$2535,MATCH(O256&amp;$B256,Podcasts!$E$10:'Podcasts'!$E$2535&amp;Podcasts!$D$10:'Podcasts'!$D$2535,0)))</f>
        <v>Kuchen</v>
      </c>
      <c r="O256" s="133">
        <f t="array" ref="O256">IF(COUNTIF(Podcasts!$D$10:'Podcasts'!$D$2535,$B256)&lt;COLUMN(D219),"",SMALL(IF(Podcasts!$D$10:'Podcasts'!$D$2535=$B256,Podcasts!$E$10:'Podcasts'!$E$2535),COLUMN(D219)))</f>
        <v>45200</v>
      </c>
      <c r="P256" s="132">
        <f t="array" ref="P256">IF(O256="","",INDEX(Podcasts!$F$10:'Podcasts'!$F$2535,MATCH(O256&amp;$B256,Podcasts!$E$10:'Podcasts'!$E$2535&amp;Podcasts!$D$10:'Podcasts'!$D$2535,0)))</f>
        <v>7.5497685185185182E-2</v>
      </c>
      <c r="Q256" s="136" t="str">
        <f t="array" ref="Q256">IF(R256="","",INDEX(Podcasts!$J$10:'Podcasts'!$J$2535,MATCH(R256&amp;$B256,Podcasts!$E$10:'Podcasts'!$E$2535&amp;Podcasts!$D$10:'Podcasts'!$D$2535,0)))</f>
        <v/>
      </c>
      <c r="R256" s="133" t="str">
        <f t="array" ref="R256">IF(COUNTIF(Podcasts!$D$10:'Podcasts'!$D$2535,$B256)&lt;COLUMN(E219),"",SMALL(IF(Podcasts!$D$10:'Podcasts'!$D$2535=$B256,Podcasts!$E$10:'Podcasts'!$E$2535),COLUMN(E219)))</f>
        <v/>
      </c>
      <c r="S256" s="132" t="str">
        <f t="array" ref="S256">IF(R256="","",INDEX(Podcasts!$F$10:'Podcasts'!$F$2535,MATCH(R256&amp;$B256,Podcasts!$E$10:'Podcasts'!$E$2535&amp;Podcasts!$D$10:'Podcasts'!$D$2535,0)))</f>
        <v/>
      </c>
      <c r="T256" s="136" t="str">
        <f t="array" ref="T256">IF(U256="","",INDEX(Podcasts!$J$10:'Podcasts'!$J$2535,MATCH(U256&amp;$B256,Podcasts!$E$10:'Podcasts'!$E$2535&amp;Podcasts!$D$10:'Podcasts'!$D$2535,0)))</f>
        <v/>
      </c>
      <c r="U256" s="133" t="str">
        <f t="array" ref="U256">IF(COUNTIF(Podcasts!$D$10:'Podcasts'!$D$2535,$B256)&lt;COLUMN(F219),"",SMALL(IF(Podcasts!$D$10:'Podcasts'!$D$2535=$B256,Podcasts!$E$10:'Podcasts'!$E$2535),COLUMN(F219)))</f>
        <v/>
      </c>
      <c r="V256" s="132" t="str">
        <f t="array" ref="V256">IF(U256="","",INDEX(Podcasts!$F$10:'Podcasts'!$F$2535,MATCH(U256&amp;$B256,Podcasts!$E$10:'Podcasts'!$E$2535&amp;Podcasts!$D$10:'Podcasts'!$D$2535,0)))</f>
        <v/>
      </c>
      <c r="W256" s="136" t="str">
        <f t="array" ref="W256">IF(X256="","",INDEX(Podcasts!$J$10:'Podcasts'!$J$2535,MATCH(X256&amp;$B256,Podcasts!$E$10:'Podcasts'!$E$2535&amp;Podcasts!$D$10:'Podcasts'!$D$2535,0)))</f>
        <v/>
      </c>
      <c r="X256" s="133" t="str">
        <f t="array" ref="X256">IF(COUNTIF(Podcasts!$D$10:'Podcasts'!$D$2535,$B256)&lt;COLUMN(G219),"",SMALL(IF(Podcasts!$D$10:'Podcasts'!$D$2535=$B256,Podcasts!$E$10:'Podcasts'!$E$2535),COLUMN(G219)))</f>
        <v/>
      </c>
      <c r="Y256" s="132" t="str">
        <f t="array" ref="Y256">IF(X256="","",INDEX(Podcasts!$F$10:'Podcasts'!$F$2535,MATCH(X256&amp;$B256,Podcasts!$E$10:'Podcasts'!$E$2535&amp;Podcasts!$D$10:'Podcasts'!$D$2535,0)))</f>
        <v/>
      </c>
      <c r="Z256" s="136" t="str">
        <f t="array" ref="Z256">IF(AA256="","",INDEX(Podcasts!$J$10:'Podcasts'!$J$2535,MATCH(AA256&amp;$B256,Podcasts!$E$10:'Podcasts'!$E$2535&amp;Podcasts!$D$10:'Podcasts'!$D$2535,0)))</f>
        <v/>
      </c>
      <c r="AA256" s="134" t="str">
        <f t="array" ref="AA256">IF(COUNTIF(Podcasts!$D$10:'Podcasts'!$D$2535,$B256)&lt;COLUMN(H219),"",SMALL(IF(Podcasts!$D$10:'Podcasts'!$D$2535=$B256,Podcasts!$E$10:'Podcasts'!$E$2535),COLUMN(H219)))</f>
        <v/>
      </c>
      <c r="AB256" s="404" t="str">
        <f t="array" ref="AB256">IF(AA256="","",INDEX(Podcasts!$F$10:'Podcasts'!$F$2535,MATCH(AA256&amp;$B256,Podcasts!$E$10:'Podcasts'!$E$2535&amp;Podcasts!$D$10:'Podcasts'!$D$2535,0)))</f>
        <v/>
      </c>
      <c r="AC256" s="406" t="str">
        <f t="array" ref="AC256">IF(AD256="","",INDEX(Podcasts!$J$10:'Podcasts'!$J$2535,MATCH(AD256&amp;$B256,Podcasts!$E$10:'Podcasts'!$E$2535&amp;Podcasts!$D$10:'Podcasts'!$D$2535,0)))</f>
        <v/>
      </c>
      <c r="AD256" s="400" t="str">
        <f t="array" ref="AD256">IF(COUNTIF(Podcasts!$D$10:'Podcasts'!$D$2535,$B256)&lt;COLUMN(I219),"",SMALL(IF(Podcasts!$D$10:'Podcasts'!$D$2535=$B256,Podcasts!$E$10:'Podcasts'!$E$2535),COLUMN(I219)))</f>
        <v/>
      </c>
      <c r="AE256" s="401" t="str">
        <f t="array" ref="AE256">IF(AD256="","",INDEX(Podcasts!$F$10:'Podcasts'!$F$2535,MATCH(AD256&amp;$B256,Podcasts!$E$10:'Podcasts'!$E$2535&amp;Podcasts!$D$10:'Podcasts'!$D$2535,0)))</f>
        <v/>
      </c>
      <c r="AF256" s="406" t="str">
        <f t="array" ref="AF256">IF(AG256="","",INDEX(Podcasts!$J$10:'Podcasts'!$J$2535,MATCH(AG256&amp;$B256,Podcasts!$E$10:'Podcasts'!$E$2535&amp;Podcasts!$D$10:'Podcasts'!$D$2535,0)))</f>
        <v/>
      </c>
      <c r="AG256" s="400" t="str">
        <f t="array" ref="AG256">IF(COUNTIF(Podcasts!$D$10:'Podcasts'!$D$2535,$B256)&lt;COLUMN(J219),"",SMALL(IF(Podcasts!$D$10:'Podcasts'!$D$2535=$B256,Podcasts!$E$10:'Podcasts'!$E$2535),COLUMN(J219)))</f>
        <v/>
      </c>
      <c r="AH256" s="401" t="str">
        <f t="array" ref="AH256">IF(AG256="","",INDEX(Podcasts!$F$10:'Podcasts'!$F$2535,MATCH(AG256&amp;$B256,Podcasts!$E$10:'Podcasts'!$E$2535&amp;Podcasts!$D$10:'Podcasts'!$D$2535,0)))</f>
        <v/>
      </c>
      <c r="AI256" s="406" t="str">
        <f t="array" ref="AI256">IF(AJ256="","",INDEX(Podcasts!$J$10:'Podcasts'!$J$2535,MATCH(AJ256&amp;$B256,Podcasts!$E$10:'Podcasts'!$E$2535&amp;Podcasts!$D$10:'Podcasts'!$D$2535,0)))</f>
        <v/>
      </c>
      <c r="AJ256" s="400" t="str">
        <f t="array" ref="AJ256">IF(COUNTIF(Podcasts!$D$10:'Podcasts'!$D$2535,$B256)&lt;COLUMN(K219),"",SMALL(IF(Podcasts!$D$10:'Podcasts'!$D$2535=$B256,Podcasts!$E$10:'Podcasts'!$E$2535),COLUMN(K219)))</f>
        <v/>
      </c>
      <c r="AK256" s="401" t="str">
        <f t="array" ref="AK256">IF(AJ256="","",INDEX(Podcasts!$F$10:'Podcasts'!$F$2535,MATCH(AJ256&amp;$B256,Podcasts!$E$10:'Podcasts'!$E$2535&amp;Podcasts!$D$10:'Podcasts'!$D$2535,0)))</f>
        <v/>
      </c>
      <c r="AL256" s="406" t="str">
        <f t="array" ref="AL256">IF(AM256="","",INDEX(Podcasts!$J$10:'Podcasts'!$J$2535,MATCH(AM256&amp;$B256,Podcasts!$E$10:'Podcasts'!$E$2535&amp;Podcasts!$D$10:'Podcasts'!$D$2535,0)))</f>
        <v/>
      </c>
      <c r="AM256" s="400" t="str">
        <f t="array" ref="AM256">IF(COUNTIF(Podcasts!$D$10:'Podcasts'!$D$2535,$B256)&lt;COLUMN(L219),"",SMALL(IF(Podcasts!$D$10:'Podcasts'!$D$2535=$B256,Podcasts!$E$10:'Podcasts'!$E$2535),COLUMN(L219)))</f>
        <v/>
      </c>
      <c r="AN256" s="401" t="str">
        <f t="array" ref="AN256">IF(AM256="","",INDEX(Podcasts!$F$10:'Podcasts'!$F$2535,MATCH(AM256&amp;$B256,Podcasts!$E$10:'Podcasts'!$E$2535&amp;Podcasts!$D$10:'Podcasts'!$D$2535,0)))</f>
        <v/>
      </c>
      <c r="AO256" s="402"/>
      <c r="AP256" s="119"/>
      <c r="AQ256" s="117"/>
      <c r="AR256" s="117"/>
      <c r="AS256" s="117"/>
      <c r="AT256" s="117"/>
      <c r="AU256" s="117">
        <f t="array" aca="1" ref="AU256" ca="1">IFERROR(SMALL(IF(COUNTIF(Podcasts!$D$479:'Podcasts'!$D$488,ROW(INDIRECT("1:"&amp;K$2)))=0,ROW(INDIRECT("1:"&amp;K$2))),ROW($A213)),"")</f>
        <v>217</v>
      </c>
      <c r="AV256" s="117"/>
      <c r="AW256" s="117">
        <f t="array" aca="1" ref="AW256" ca="1">IFERROR(SMALL(IF(COUNTIF(Podcasts!$D$524:'Podcasts'!$D$532,ROW(INDIRECT("1:"&amp;K$2)))=0,ROW(INDIRECT("1:"&amp;K$2))),ROW($A213)),"")</f>
        <v>220</v>
      </c>
      <c r="AX256" s="117"/>
      <c r="AY256" s="117"/>
      <c r="AZ256" s="445"/>
      <c r="BA256" s="117"/>
      <c r="BB256" s="117">
        <f t="array" aca="1" ref="BB256" ca="1">IFERROR(SMALL(IF(COUNTIF(Podcasts!$D$1257:'Podcasts'!$D$1267,ROW(INDIRECT("1:"&amp;K$2)))=0,ROW(INDIRECT("1:"&amp;K$2))),ROW($A213)),"")</f>
        <v>221</v>
      </c>
      <c r="BC256" s="117">
        <f t="array" aca="1" ref="BC256" ca="1">IFERROR(SMALL(IF(COUNTIF(Podcasts!$D$1273:'Podcasts'!$D$1283,ROW(INDIRECT("1:"&amp;K$2)))=0,ROW(INDIRECT("1:"&amp;K$2))),ROW($A213)),"")</f>
        <v>220</v>
      </c>
      <c r="BD256" s="117">
        <f t="array" aca="1" ref="BD256" ca="1">IFERROR(SMALL(IF(COUNTIF(Podcasts!$D$1289:'Podcasts'!$D$1295,ROW(INDIRECT("1:"&amp;K$2)))=0,ROW(INDIRECT("1:"&amp;K$2))),ROW($A213)),"")</f>
        <v>220</v>
      </c>
      <c r="BE256" s="117"/>
      <c r="BF256" s="117">
        <f t="array" aca="1" ref="BF256" ca="1">IFERROR(SMALL(IF(COUNTIF(Podcasts!$D$1362:'Podcasts'!$D$1364,ROW(INDIRECT("1:"&amp;K$2)))=0,ROW(INDIRECT("1:"&amp;K$2))),ROW($A213)),"")</f>
        <v>216</v>
      </c>
      <c r="BG256" s="202"/>
      <c r="BH256" s="202">
        <f t="array" aca="1" ref="BH256" ca="1">IFERROR(SMALL(IF(COUNTIF(Podcasts!$D$1425:'Podcasts'!$D$1446,ROW(INDIRECT("1:"&amp;K$2)))=0,ROW(INDIRECT("1:"&amp;K$2))),ROW($A213)),"")</f>
        <v>226</v>
      </c>
      <c r="BI256" s="202"/>
      <c r="BJ256" s="202"/>
      <c r="BK256" s="202"/>
      <c r="BL256" s="202">
        <f t="array" aca="1" ref="BL256" ca="1">IFERROR(SMALL(IF(COUNTIF(Podcasts!$D$1839:'Podcasts'!$D$1855,ROW(INDIRECT("1:"&amp;K$2)))=0,ROW(INDIRECT("1:"&amp;K$2))),ROW($A213)),"")</f>
        <v>222</v>
      </c>
      <c r="BM256" s="567"/>
      <c r="BN256" s="567"/>
      <c r="BO256" s="567">
        <f t="array" aca="1" ref="BO256" ca="1">IFERROR(SMALL(IF(COUNTIF(Podcasts!$D$2063:'Podcasts'!$D$2071,ROW(INDIRECT("1:"&amp;K$2)))=0,ROW(INDIRECT("1:"&amp;K$2))),ROW($A213)),"")</f>
        <v>222</v>
      </c>
      <c r="BP256" s="202">
        <f t="array" aca="1" ref="BP256" ca="1">IFERROR(SMALL(IF(COUNTIF(Podcasts!$D$2077:'Podcasts'!$D$2092,ROW(INDIRECT("1:"&amp;K$2)))=0,ROW(INDIRECT("1:"&amp;K$2))),ROW($A213)),"")</f>
        <v>224</v>
      </c>
      <c r="BQ256" s="741" t="str">
        <f t="array" aca="1" ref="BQ256" ca="1">IFERROR(SMALL(IF(COUNTIF(Podcasts!$D$2098:'Podcasts'!$D$2114,ROW(INDIRECT("1:"&amp;K$2)))=0,ROW(INDIRECT("1:"&amp;K$2))),ROW($A213)),"")</f>
        <v/>
      </c>
      <c r="BR256" s="744">
        <f t="array" aca="1" ref="BR256" ca="1">IFERROR(SMALL(IF(COUNTIF(Podcasts!$D$2120:'Podcasts'!$D$2124,ROW(INDIRECT("1:"&amp;K$2)))=0,ROW(INDIRECT("1:"&amp;K$2))),ROW($A213)),"")</f>
        <v>216</v>
      </c>
      <c r="BS256" s="28"/>
    </row>
    <row r="257" spans="1:71" outlineLevel="1">
      <c r="A257" s="28"/>
      <c r="B257" s="161">
        <v>214</v>
      </c>
      <c r="C257" s="161">
        <f>COUNTIF(Podcasts!$D$10:'Podcasts'!$D$2535,B257)</f>
        <v>4</v>
      </c>
      <c r="D257" s="160" t="s">
        <v>2714</v>
      </c>
      <c r="E257" s="156" t="str">
        <f t="array" ref="E257">IF(F257="","",INDEX(Podcasts!$J$10:'Podcasts'!$J$2535,MATCH(F257&amp;$B257,Podcasts!$E$10:'Podcasts'!$E$2535&amp;Podcasts!$D$10:'Podcasts'!$D$2535,0)))</f>
        <v>Label</v>
      </c>
      <c r="F257" s="131">
        <f t="array" ref="F257">IF(COUNTIF(Podcasts!$D$10:'Podcasts'!$D$2535,$B257)&lt;COLUMN(A220),"",SMALL(IF(Podcasts!$D$10:'Podcasts'!$D$2535=$B257,Podcasts!$E$10:'Podcasts'!$E$2535),COLUMN(A220)))</f>
        <v>44589</v>
      </c>
      <c r="G257" s="132">
        <f t="array" ref="G257">IF(F257="","",INDEX(Podcasts!$F$10:'Podcasts'!$F$2535,MATCH(F257&amp;$B257,Podcasts!$E$10:'Podcasts'!$E$2535&amp;Podcasts!$D$10:'Podcasts'!$D$2535,0)))</f>
        <v>2.630787037037037E-2</v>
      </c>
      <c r="H257" s="136" t="str">
        <f t="array" ref="H257">IF(I257="","",INDEX(Podcasts!$J$10:'Podcasts'!$J$2535,MATCH(I257&amp;$B257,Podcasts!$E$10:'Podcasts'!$E$2535&amp;Podcasts!$D$10:'Podcasts'!$D$2535,0)))</f>
        <v>Ohr</v>
      </c>
      <c r="I257" s="133">
        <f t="array" ref="I257">IF(COUNTIF(Podcasts!$D$10:'Podcasts'!$D$2535,$B257)&lt;COLUMN(B220),"",SMALL(IF(Podcasts!$D$10:'Podcasts'!$D$2535=$B257,Podcasts!$E$10:'Podcasts'!$E$2535),COLUMN(B220)))</f>
        <v>44637</v>
      </c>
      <c r="J257" s="132">
        <f t="array" ref="J257">IF(I257="","",INDEX(Podcasts!$F$10:'Podcasts'!$F$2535,MATCH(I257&amp;$B257,Podcasts!$E$10:'Podcasts'!$E$2535&amp;Podcasts!$D$10:'Podcasts'!$D$2535,0)))</f>
        <v>2.685185185185185E-3</v>
      </c>
      <c r="K257" s="136" t="str">
        <f t="array" ref="K257">IF(L257="","",INDEX(Podcasts!$J$10:'Podcasts'!$J$2535,MATCH(L257&amp;$B257,Podcasts!$E$10:'Podcasts'!$E$2535&amp;Podcasts!$D$10:'Podcasts'!$D$2535,0)))</f>
        <v>Kuchen</v>
      </c>
      <c r="L257" s="133">
        <f t="array" ref="L257">IF(COUNTIF(Podcasts!$D$10:'Podcasts'!$D$2535,$B257)&lt;COLUMN(C220),"",SMALL(IF(Podcasts!$D$10:'Podcasts'!$D$2535=$B257,Podcasts!$E$10:'Podcasts'!$E$2535),COLUMN(C220)))</f>
        <v>44710</v>
      </c>
      <c r="M257" s="132">
        <f t="array" ref="M257">IF(L257="","",INDEX(Podcasts!$F$10:'Podcasts'!$F$2535,MATCH(L257&amp;$B257,Podcasts!$E$10:'Podcasts'!$E$2535&amp;Podcasts!$D$10:'Podcasts'!$D$2535,0)))</f>
        <v>9.5844907407407406E-2</v>
      </c>
      <c r="N257" s="136" t="str">
        <f t="array" ref="N257">IF(O257="","",INDEX(Podcasts!$J$10:'Podcasts'!$J$2535,MATCH(O257&amp;$B257,Podcasts!$E$10:'Podcasts'!$E$2535&amp;Podcasts!$D$10:'Podcasts'!$D$2535,0)))</f>
        <v>SSP</v>
      </c>
      <c r="O257" s="133">
        <f t="array" ref="O257">IF(COUNTIF(Podcasts!$D$10:'Podcasts'!$D$2535,$B257)&lt;COLUMN(D220),"",SMALL(IF(Podcasts!$D$10:'Podcasts'!$D$2535=$B257,Podcasts!$E$10:'Podcasts'!$E$2535),COLUMN(D220)))</f>
        <v>44721</v>
      </c>
      <c r="P257" s="132">
        <f t="array" ref="P257">IF(O257="","",INDEX(Podcasts!$F$10:'Podcasts'!$F$2535,MATCH(O257&amp;$B257,Podcasts!$E$10:'Podcasts'!$E$2535&amp;Podcasts!$D$10:'Podcasts'!$D$2535,0)))</f>
        <v>0.11141203703703705</v>
      </c>
      <c r="Q257" s="136" t="str">
        <f t="array" ref="Q257">IF(R257="","",INDEX(Podcasts!$J$10:'Podcasts'!$J$2535,MATCH(R257&amp;$B257,Podcasts!$E$10:'Podcasts'!$E$2535&amp;Podcasts!$D$10:'Podcasts'!$D$2535,0)))</f>
        <v/>
      </c>
      <c r="R257" s="133" t="str">
        <f t="array" ref="R257">IF(COUNTIF(Podcasts!$D$10:'Podcasts'!$D$2535,$B257)&lt;COLUMN(E220),"",SMALL(IF(Podcasts!$D$10:'Podcasts'!$D$2535=$B257,Podcasts!$E$10:'Podcasts'!$E$2535),COLUMN(E220)))</f>
        <v/>
      </c>
      <c r="S257" s="132" t="str">
        <f t="array" ref="S257">IF(R257="","",INDEX(Podcasts!$F$10:'Podcasts'!$F$2535,MATCH(R257&amp;$B257,Podcasts!$E$10:'Podcasts'!$E$2535&amp;Podcasts!$D$10:'Podcasts'!$D$2535,0)))</f>
        <v/>
      </c>
      <c r="T257" s="136" t="str">
        <f t="array" ref="T257">IF(U257="","",INDEX(Podcasts!$J$10:'Podcasts'!$J$2535,MATCH(U257&amp;$B257,Podcasts!$E$10:'Podcasts'!$E$2535&amp;Podcasts!$D$10:'Podcasts'!$D$2535,0)))</f>
        <v/>
      </c>
      <c r="U257" s="133" t="str">
        <f t="array" ref="U257">IF(COUNTIF(Podcasts!$D$10:'Podcasts'!$D$2535,$B257)&lt;COLUMN(F220),"",SMALL(IF(Podcasts!$D$10:'Podcasts'!$D$2535=$B257,Podcasts!$E$10:'Podcasts'!$E$2535),COLUMN(F220)))</f>
        <v/>
      </c>
      <c r="V257" s="132" t="str">
        <f t="array" ref="V257">IF(U257="","",INDEX(Podcasts!$F$10:'Podcasts'!$F$2535,MATCH(U257&amp;$B257,Podcasts!$E$10:'Podcasts'!$E$2535&amp;Podcasts!$D$10:'Podcasts'!$D$2535,0)))</f>
        <v/>
      </c>
      <c r="W257" s="136" t="str">
        <f t="array" ref="W257">IF(X257="","",INDEX(Podcasts!$J$10:'Podcasts'!$J$2535,MATCH(X257&amp;$B257,Podcasts!$E$10:'Podcasts'!$E$2535&amp;Podcasts!$D$10:'Podcasts'!$D$2535,0)))</f>
        <v/>
      </c>
      <c r="X257" s="133" t="str">
        <f t="array" ref="X257">IF(COUNTIF(Podcasts!$D$10:'Podcasts'!$D$2535,$B257)&lt;COLUMN(G220),"",SMALL(IF(Podcasts!$D$10:'Podcasts'!$D$2535=$B257,Podcasts!$E$10:'Podcasts'!$E$2535),COLUMN(G220)))</f>
        <v/>
      </c>
      <c r="Y257" s="132" t="str">
        <f t="array" ref="Y257">IF(X257="","",INDEX(Podcasts!$F$10:'Podcasts'!$F$2535,MATCH(X257&amp;$B257,Podcasts!$E$10:'Podcasts'!$E$2535&amp;Podcasts!$D$10:'Podcasts'!$D$2535,0)))</f>
        <v/>
      </c>
      <c r="Z257" s="136" t="str">
        <f t="array" ref="Z257">IF(AA257="","",INDEX(Podcasts!$J$10:'Podcasts'!$J$2535,MATCH(AA257&amp;$B257,Podcasts!$E$10:'Podcasts'!$E$2535&amp;Podcasts!$D$10:'Podcasts'!$D$2535,0)))</f>
        <v/>
      </c>
      <c r="AA257" s="134" t="str">
        <f t="array" ref="AA257">IF(COUNTIF(Podcasts!$D$10:'Podcasts'!$D$2535,$B257)&lt;COLUMN(H220),"",SMALL(IF(Podcasts!$D$10:'Podcasts'!$D$2535=$B257,Podcasts!$E$10:'Podcasts'!$E$2535),COLUMN(H220)))</f>
        <v/>
      </c>
      <c r="AB257" s="404" t="str">
        <f t="array" ref="AB257">IF(AA257="","",INDEX(Podcasts!$F$10:'Podcasts'!$F$2535,MATCH(AA257&amp;$B257,Podcasts!$E$10:'Podcasts'!$E$2535&amp;Podcasts!$D$10:'Podcasts'!$D$2535,0)))</f>
        <v/>
      </c>
      <c r="AC257" s="406" t="str">
        <f t="array" ref="AC257">IF(AD257="","",INDEX(Podcasts!$J$10:'Podcasts'!$J$2535,MATCH(AD257&amp;$B257,Podcasts!$E$10:'Podcasts'!$E$2535&amp;Podcasts!$D$10:'Podcasts'!$D$2535,0)))</f>
        <v/>
      </c>
      <c r="AD257" s="400" t="str">
        <f t="array" ref="AD257">IF(COUNTIF(Podcasts!$D$10:'Podcasts'!$D$2535,$B257)&lt;COLUMN(I220),"",SMALL(IF(Podcasts!$D$10:'Podcasts'!$D$2535=$B257,Podcasts!$E$10:'Podcasts'!$E$2535),COLUMN(I220)))</f>
        <v/>
      </c>
      <c r="AE257" s="401" t="str">
        <f t="array" ref="AE257">IF(AD257="","",INDEX(Podcasts!$F$10:'Podcasts'!$F$2535,MATCH(AD257&amp;$B257,Podcasts!$E$10:'Podcasts'!$E$2535&amp;Podcasts!$D$10:'Podcasts'!$D$2535,0)))</f>
        <v/>
      </c>
      <c r="AF257" s="406" t="str">
        <f t="array" ref="AF257">IF(AG257="","",INDEX(Podcasts!$J$10:'Podcasts'!$J$2535,MATCH(AG257&amp;$B257,Podcasts!$E$10:'Podcasts'!$E$2535&amp;Podcasts!$D$10:'Podcasts'!$D$2535,0)))</f>
        <v/>
      </c>
      <c r="AG257" s="400" t="str">
        <f t="array" ref="AG257">IF(COUNTIF(Podcasts!$D$10:'Podcasts'!$D$2535,$B257)&lt;COLUMN(J220),"",SMALL(IF(Podcasts!$D$10:'Podcasts'!$D$2535=$B257,Podcasts!$E$10:'Podcasts'!$E$2535),COLUMN(J220)))</f>
        <v/>
      </c>
      <c r="AH257" s="401" t="str">
        <f t="array" ref="AH257">IF(AG257="","",INDEX(Podcasts!$F$10:'Podcasts'!$F$2535,MATCH(AG257&amp;$B257,Podcasts!$E$10:'Podcasts'!$E$2535&amp;Podcasts!$D$10:'Podcasts'!$D$2535,0)))</f>
        <v/>
      </c>
      <c r="AI257" s="406" t="str">
        <f t="array" ref="AI257">IF(AJ257="","",INDEX(Podcasts!$J$10:'Podcasts'!$J$2535,MATCH(AJ257&amp;$B257,Podcasts!$E$10:'Podcasts'!$E$2535&amp;Podcasts!$D$10:'Podcasts'!$D$2535,0)))</f>
        <v/>
      </c>
      <c r="AJ257" s="400" t="str">
        <f t="array" ref="AJ257">IF(COUNTIF(Podcasts!$D$10:'Podcasts'!$D$2535,$B257)&lt;COLUMN(K220),"",SMALL(IF(Podcasts!$D$10:'Podcasts'!$D$2535=$B257,Podcasts!$E$10:'Podcasts'!$E$2535),COLUMN(K220)))</f>
        <v/>
      </c>
      <c r="AK257" s="401" t="str">
        <f t="array" ref="AK257">IF(AJ257="","",INDEX(Podcasts!$F$10:'Podcasts'!$F$2535,MATCH(AJ257&amp;$B257,Podcasts!$E$10:'Podcasts'!$E$2535&amp;Podcasts!$D$10:'Podcasts'!$D$2535,0)))</f>
        <v/>
      </c>
      <c r="AL257" s="406" t="str">
        <f t="array" ref="AL257">IF(AM257="","",INDEX(Podcasts!$J$10:'Podcasts'!$J$2535,MATCH(AM257&amp;$B257,Podcasts!$E$10:'Podcasts'!$E$2535&amp;Podcasts!$D$10:'Podcasts'!$D$2535,0)))</f>
        <v/>
      </c>
      <c r="AM257" s="400" t="str">
        <f t="array" ref="AM257">IF(COUNTIF(Podcasts!$D$10:'Podcasts'!$D$2535,$B257)&lt;COLUMN(L220),"",SMALL(IF(Podcasts!$D$10:'Podcasts'!$D$2535=$B257,Podcasts!$E$10:'Podcasts'!$E$2535),COLUMN(L220)))</f>
        <v/>
      </c>
      <c r="AN257" s="401" t="str">
        <f t="array" ref="AN257">IF(AM257="","",INDEX(Podcasts!$F$10:'Podcasts'!$F$2535,MATCH(AM257&amp;$B257,Podcasts!$E$10:'Podcasts'!$E$2535&amp;Podcasts!$D$10:'Podcasts'!$D$2535,0)))</f>
        <v/>
      </c>
      <c r="AO257" s="402"/>
      <c r="AP257" s="119"/>
      <c r="AQ257" s="117"/>
      <c r="AR257" s="117"/>
      <c r="AS257" s="117"/>
      <c r="AT257" s="117"/>
      <c r="AU257" s="117">
        <f t="array" aca="1" ref="AU257" ca="1">IFERROR(SMALL(IF(COUNTIF(Podcasts!$D$479:'Podcasts'!$D$488,ROW(INDIRECT("1:"&amp;K$2)))=0,ROW(INDIRECT("1:"&amp;K$2))),ROW($A214)),"")</f>
        <v>218</v>
      </c>
      <c r="AV257" s="117"/>
      <c r="AW257" s="117">
        <f t="array" aca="1" ref="AW257" ca="1">IFERROR(SMALL(IF(COUNTIF(Podcasts!$D$524:'Podcasts'!$D$532,ROW(INDIRECT("1:"&amp;K$2)))=0,ROW(INDIRECT("1:"&amp;K$2))),ROW($A214)),"")</f>
        <v>221</v>
      </c>
      <c r="AX257" s="117"/>
      <c r="AY257" s="117"/>
      <c r="AZ257" s="445"/>
      <c r="BA257" s="117"/>
      <c r="BB257" s="117">
        <f t="array" aca="1" ref="BB257" ca="1">IFERROR(SMALL(IF(COUNTIF(Podcasts!$D$1257:'Podcasts'!$D$1267,ROW(INDIRECT("1:"&amp;K$2)))=0,ROW(INDIRECT("1:"&amp;K$2))),ROW($A214)),"")</f>
        <v>222</v>
      </c>
      <c r="BC257" s="117">
        <f t="array" aca="1" ref="BC257" ca="1">IFERROR(SMALL(IF(COUNTIF(Podcasts!$D$1273:'Podcasts'!$D$1283,ROW(INDIRECT("1:"&amp;K$2)))=0,ROW(INDIRECT("1:"&amp;K$2))),ROW($A214)),"")</f>
        <v>221</v>
      </c>
      <c r="BD257" s="117">
        <f t="array" aca="1" ref="BD257" ca="1">IFERROR(SMALL(IF(COUNTIF(Podcasts!$D$1289:'Podcasts'!$D$1295,ROW(INDIRECT("1:"&amp;K$2)))=0,ROW(INDIRECT("1:"&amp;K$2))),ROW($A214)),"")</f>
        <v>221</v>
      </c>
      <c r="BE257" s="117"/>
      <c r="BF257" s="117">
        <f t="array" aca="1" ref="BF257" ca="1">IFERROR(SMALL(IF(COUNTIF(Podcasts!$D$1362:'Podcasts'!$D$1364,ROW(INDIRECT("1:"&amp;K$2)))=0,ROW(INDIRECT("1:"&amp;K$2))),ROW($A214)),"")</f>
        <v>217</v>
      </c>
      <c r="BG257" s="202"/>
      <c r="BH257" s="202" t="str">
        <f t="array" aca="1" ref="BH257" ca="1">IFERROR(SMALL(IF(COUNTIF(Podcasts!$D$1425:'Podcasts'!$D$1446,ROW(INDIRECT("1:"&amp;K$2)))=0,ROW(INDIRECT("1:"&amp;K$2))),ROW($A214)),"")</f>
        <v/>
      </c>
      <c r="BI257" s="202"/>
      <c r="BJ257" s="202"/>
      <c r="BK257" s="202"/>
      <c r="BL257" s="202">
        <f t="array" aca="1" ref="BL257" ca="1">IFERROR(SMALL(IF(COUNTIF(Podcasts!$D$1839:'Podcasts'!$D$1855,ROW(INDIRECT("1:"&amp;K$2)))=0,ROW(INDIRECT("1:"&amp;K$2))),ROW($A214)),"")</f>
        <v>223</v>
      </c>
      <c r="BM257" s="567"/>
      <c r="BN257" s="567"/>
      <c r="BO257" s="567">
        <f t="array" aca="1" ref="BO257" ca="1">IFERROR(SMALL(IF(COUNTIF(Podcasts!$D$2063:'Podcasts'!$D$2071,ROW(INDIRECT("1:"&amp;K$2)))=0,ROW(INDIRECT("1:"&amp;K$2))),ROW($A214)),"")</f>
        <v>223</v>
      </c>
      <c r="BP257" s="202">
        <f t="array" aca="1" ref="BP257" ca="1">IFERROR(SMALL(IF(COUNTIF(Podcasts!$D$2077:'Podcasts'!$D$2092,ROW(INDIRECT("1:"&amp;K$2)))=0,ROW(INDIRECT("1:"&amp;K$2))),ROW($A214)),"")</f>
        <v>225</v>
      </c>
      <c r="BQ257" s="741" t="str">
        <f t="array" aca="1" ref="BQ257" ca="1">IFERROR(SMALL(IF(COUNTIF(Podcasts!$D$2098:'Podcasts'!$D$2114,ROW(INDIRECT("1:"&amp;K$2)))=0,ROW(INDIRECT("1:"&amp;K$2))),ROW($A214)),"")</f>
        <v/>
      </c>
      <c r="BR257" s="744">
        <f t="array" aca="1" ref="BR257" ca="1">IFERROR(SMALL(IF(COUNTIF(Podcasts!$D$2120:'Podcasts'!$D$2124,ROW(INDIRECT("1:"&amp;K$2)))=0,ROW(INDIRECT("1:"&amp;K$2))),ROW($A214)),"")</f>
        <v>217</v>
      </c>
      <c r="BS257" s="28"/>
    </row>
    <row r="258" spans="1:71" outlineLevel="1">
      <c r="A258" s="28"/>
      <c r="B258" s="161">
        <v>215</v>
      </c>
      <c r="C258" s="161">
        <f>COUNTIF(Podcasts!$D$10:'Podcasts'!$D$2535,B258)</f>
        <v>4</v>
      </c>
      <c r="D258" s="160" t="s">
        <v>2719</v>
      </c>
      <c r="E258" s="156" t="str">
        <f t="array" ref="E258">IF(F258="","",INDEX(Podcasts!$J$10:'Podcasts'!$J$2535,MATCH(F258&amp;$B258,Podcasts!$E$10:'Podcasts'!$E$2535&amp;Podcasts!$D$10:'Podcasts'!$D$2535,0)))</f>
        <v>Label</v>
      </c>
      <c r="F258" s="131">
        <f t="array" ref="F258">IF(COUNTIF(Podcasts!$D$10:'Podcasts'!$D$2535,$B258)&lt;COLUMN(A221),"",SMALL(IF(Podcasts!$D$10:'Podcasts'!$D$2535=$B258,Podcasts!$E$10:'Podcasts'!$E$2535),COLUMN(A221)))</f>
        <v>44638</v>
      </c>
      <c r="G258" s="132">
        <f t="array" ref="G258">IF(F258="","",INDEX(Podcasts!$F$10:'Podcasts'!$F$2535,MATCH(F258&amp;$B258,Podcasts!$E$10:'Podcasts'!$E$2535&amp;Podcasts!$D$10:'Podcasts'!$D$2535,0)))</f>
        <v>1.5787037037037037E-2</v>
      </c>
      <c r="H258" s="136" t="str">
        <f t="array" ref="H258">IF(I258="","",INDEX(Podcasts!$J$10:'Podcasts'!$J$2535,MATCH(I258&amp;$B258,Podcasts!$E$10:'Podcasts'!$E$2535&amp;Podcasts!$D$10:'Podcasts'!$D$2535,0)))</f>
        <v>Ohr</v>
      </c>
      <c r="I258" s="133">
        <f t="array" ref="I258">IF(COUNTIF(Podcasts!$D$10:'Podcasts'!$D$2535,$B258)&lt;COLUMN(B221),"",SMALL(IF(Podcasts!$D$10:'Podcasts'!$D$2535=$B258,Podcasts!$E$10:'Podcasts'!$E$2535),COLUMN(B221)))</f>
        <v>44664</v>
      </c>
      <c r="J258" s="132">
        <f t="array" ref="J258">IF(I258="","",INDEX(Podcasts!$F$10:'Podcasts'!$F$2535,MATCH(I258&amp;$B258,Podcasts!$E$10:'Podcasts'!$E$2535&amp;Podcasts!$D$10:'Podcasts'!$D$2535,0)))</f>
        <v>2.7430555555555559E-3</v>
      </c>
      <c r="K258" s="136" t="str">
        <f t="array" ref="K258">IF(L258="","",INDEX(Podcasts!$J$10:'Podcasts'!$J$2535,MATCH(L258&amp;$B258,Podcasts!$E$10:'Podcasts'!$E$2535&amp;Podcasts!$D$10:'Podcasts'!$D$2535,0)))</f>
        <v>RBP</v>
      </c>
      <c r="L258" s="133">
        <f t="array" ref="L258">IF(COUNTIF(Podcasts!$D$10:'Podcasts'!$D$2535,$B258)&lt;COLUMN(C221),"",SMALL(IF(Podcasts!$D$10:'Podcasts'!$D$2535=$B258,Podcasts!$E$10:'Podcasts'!$E$2535),COLUMN(C221)))</f>
        <v>45351</v>
      </c>
      <c r="M258" s="132">
        <f t="array" ref="M258">IF(L258="","",INDEX(Podcasts!$F$10:'Podcasts'!$F$2535,MATCH(L258&amp;$B258,Podcasts!$E$10:'Podcasts'!$E$2535&amp;Podcasts!$D$10:'Podcasts'!$D$2535,0)))</f>
        <v>6.3599537037037038E-2</v>
      </c>
      <c r="N258" s="136" t="str">
        <f t="array" ref="N258">IF(O258="","",INDEX(Podcasts!$J$10:'Podcasts'!$J$2535,MATCH(O258&amp;$B258,Podcasts!$E$10:'Podcasts'!$E$2535&amp;Podcasts!$D$10:'Podcasts'!$D$2535,0)))</f>
        <v>Zeichen</v>
      </c>
      <c r="O258" s="133">
        <f t="array" ref="O258">IF(COUNTIF(Podcasts!$D$10:'Podcasts'!$D$2535,$B258)&lt;COLUMN(D221),"",SMALL(IF(Podcasts!$D$10:'Podcasts'!$D$2535=$B258,Podcasts!$E$10:'Podcasts'!$E$2535),COLUMN(D221)))</f>
        <v>45406</v>
      </c>
      <c r="P258" s="132">
        <f t="array" ref="P258">IF(O258="","",INDEX(Podcasts!$F$10:'Podcasts'!$F$2535,MATCH(O258&amp;$B258,Podcasts!$E$10:'Podcasts'!$E$2535&amp;Podcasts!$D$10:'Podcasts'!$D$2535,0)))</f>
        <v>0</v>
      </c>
      <c r="Q258" s="136" t="str">
        <f t="array" ref="Q258">IF(R258="","",INDEX(Podcasts!$J$10:'Podcasts'!$J$2535,MATCH(R258&amp;$B258,Podcasts!$E$10:'Podcasts'!$E$2535&amp;Podcasts!$D$10:'Podcasts'!$D$2535,0)))</f>
        <v/>
      </c>
      <c r="R258" s="133" t="str">
        <f t="array" ref="R258">IF(COUNTIF(Podcasts!$D$10:'Podcasts'!$D$2535,$B258)&lt;COLUMN(E221),"",SMALL(IF(Podcasts!$D$10:'Podcasts'!$D$2535=$B258,Podcasts!$E$10:'Podcasts'!$E$2535),COLUMN(E221)))</f>
        <v/>
      </c>
      <c r="S258" s="132" t="str">
        <f t="array" ref="S258">IF(R258="","",INDEX(Podcasts!$F$10:'Podcasts'!$F$2535,MATCH(R258&amp;$B258,Podcasts!$E$10:'Podcasts'!$E$2535&amp;Podcasts!$D$10:'Podcasts'!$D$2535,0)))</f>
        <v/>
      </c>
      <c r="T258" s="136" t="str">
        <f t="array" ref="T258">IF(U258="","",INDEX(Podcasts!$J$10:'Podcasts'!$J$2535,MATCH(U258&amp;$B258,Podcasts!$E$10:'Podcasts'!$E$2535&amp;Podcasts!$D$10:'Podcasts'!$D$2535,0)))</f>
        <v/>
      </c>
      <c r="U258" s="133" t="str">
        <f t="array" ref="U258">IF(COUNTIF(Podcasts!$D$10:'Podcasts'!$D$2535,$B258)&lt;COLUMN(F221),"",SMALL(IF(Podcasts!$D$10:'Podcasts'!$D$2535=$B258,Podcasts!$E$10:'Podcasts'!$E$2535),COLUMN(F221)))</f>
        <v/>
      </c>
      <c r="V258" s="132" t="str">
        <f t="array" ref="V258">IF(U258="","",INDEX(Podcasts!$F$10:'Podcasts'!$F$2535,MATCH(U258&amp;$B258,Podcasts!$E$10:'Podcasts'!$E$2535&amp;Podcasts!$D$10:'Podcasts'!$D$2535,0)))</f>
        <v/>
      </c>
      <c r="W258" s="136" t="str">
        <f t="array" ref="W258">IF(X258="","",INDEX(Podcasts!$J$10:'Podcasts'!$J$2535,MATCH(X258&amp;$B258,Podcasts!$E$10:'Podcasts'!$E$2535&amp;Podcasts!$D$10:'Podcasts'!$D$2535,0)))</f>
        <v/>
      </c>
      <c r="X258" s="133" t="str">
        <f t="array" ref="X258">IF(COUNTIF(Podcasts!$D$10:'Podcasts'!$D$2535,$B258)&lt;COLUMN(G221),"",SMALL(IF(Podcasts!$D$10:'Podcasts'!$D$2535=$B258,Podcasts!$E$10:'Podcasts'!$E$2535),COLUMN(G221)))</f>
        <v/>
      </c>
      <c r="Y258" s="132" t="str">
        <f t="array" ref="Y258">IF(X258="","",INDEX(Podcasts!$F$10:'Podcasts'!$F$2535,MATCH(X258&amp;$B258,Podcasts!$E$10:'Podcasts'!$E$2535&amp;Podcasts!$D$10:'Podcasts'!$D$2535,0)))</f>
        <v/>
      </c>
      <c r="Z258" s="136" t="str">
        <f t="array" ref="Z258">IF(AA258="","",INDEX(Podcasts!$J$10:'Podcasts'!$J$2535,MATCH(AA258&amp;$B258,Podcasts!$E$10:'Podcasts'!$E$2535&amp;Podcasts!$D$10:'Podcasts'!$D$2535,0)))</f>
        <v/>
      </c>
      <c r="AA258" s="134" t="str">
        <f t="array" ref="AA258">IF(COUNTIF(Podcasts!$D$10:'Podcasts'!$D$2535,$B258)&lt;COLUMN(H221),"",SMALL(IF(Podcasts!$D$10:'Podcasts'!$D$2535=$B258,Podcasts!$E$10:'Podcasts'!$E$2535),COLUMN(H221)))</f>
        <v/>
      </c>
      <c r="AB258" s="404" t="str">
        <f t="array" ref="AB258">IF(AA258="","",INDEX(Podcasts!$F$10:'Podcasts'!$F$2535,MATCH(AA258&amp;$B258,Podcasts!$E$10:'Podcasts'!$E$2535&amp;Podcasts!$D$10:'Podcasts'!$D$2535,0)))</f>
        <v/>
      </c>
      <c r="AC258" s="406" t="str">
        <f t="array" ref="AC258">IF(AD258="","",INDEX(Podcasts!$J$10:'Podcasts'!$J$2535,MATCH(AD258&amp;$B258,Podcasts!$E$10:'Podcasts'!$E$2535&amp;Podcasts!$D$10:'Podcasts'!$D$2535,0)))</f>
        <v/>
      </c>
      <c r="AD258" s="400" t="str">
        <f t="array" ref="AD258">IF(COUNTIF(Podcasts!$D$10:'Podcasts'!$D$2535,$B258)&lt;COLUMN(I221),"",SMALL(IF(Podcasts!$D$10:'Podcasts'!$D$2535=$B258,Podcasts!$E$10:'Podcasts'!$E$2535),COLUMN(I221)))</f>
        <v/>
      </c>
      <c r="AE258" s="401" t="str">
        <f t="array" ref="AE258">IF(AD258="","",INDEX(Podcasts!$F$10:'Podcasts'!$F$2535,MATCH(AD258&amp;$B258,Podcasts!$E$10:'Podcasts'!$E$2535&amp;Podcasts!$D$10:'Podcasts'!$D$2535,0)))</f>
        <v/>
      </c>
      <c r="AF258" s="406" t="str">
        <f t="array" ref="AF258">IF(AG258="","",INDEX(Podcasts!$J$10:'Podcasts'!$J$2535,MATCH(AG258&amp;$B258,Podcasts!$E$10:'Podcasts'!$E$2535&amp;Podcasts!$D$10:'Podcasts'!$D$2535,0)))</f>
        <v/>
      </c>
      <c r="AG258" s="400" t="str">
        <f t="array" ref="AG258">IF(COUNTIF(Podcasts!$D$10:'Podcasts'!$D$2535,$B258)&lt;COLUMN(J221),"",SMALL(IF(Podcasts!$D$10:'Podcasts'!$D$2535=$B258,Podcasts!$E$10:'Podcasts'!$E$2535),COLUMN(J221)))</f>
        <v/>
      </c>
      <c r="AH258" s="401" t="str">
        <f t="array" ref="AH258">IF(AG258="","",INDEX(Podcasts!$F$10:'Podcasts'!$F$2535,MATCH(AG258&amp;$B258,Podcasts!$E$10:'Podcasts'!$E$2535&amp;Podcasts!$D$10:'Podcasts'!$D$2535,0)))</f>
        <v/>
      </c>
      <c r="AI258" s="406" t="str">
        <f t="array" ref="AI258">IF(AJ258="","",INDEX(Podcasts!$J$10:'Podcasts'!$J$2535,MATCH(AJ258&amp;$B258,Podcasts!$E$10:'Podcasts'!$E$2535&amp;Podcasts!$D$10:'Podcasts'!$D$2535,0)))</f>
        <v/>
      </c>
      <c r="AJ258" s="400" t="str">
        <f t="array" ref="AJ258">IF(COUNTIF(Podcasts!$D$10:'Podcasts'!$D$2535,$B258)&lt;COLUMN(K221),"",SMALL(IF(Podcasts!$D$10:'Podcasts'!$D$2535=$B258,Podcasts!$E$10:'Podcasts'!$E$2535),COLUMN(K221)))</f>
        <v/>
      </c>
      <c r="AK258" s="401" t="str">
        <f t="array" ref="AK258">IF(AJ258="","",INDEX(Podcasts!$F$10:'Podcasts'!$F$2535,MATCH(AJ258&amp;$B258,Podcasts!$E$10:'Podcasts'!$E$2535&amp;Podcasts!$D$10:'Podcasts'!$D$2535,0)))</f>
        <v/>
      </c>
      <c r="AL258" s="406" t="str">
        <f t="array" ref="AL258">IF(AM258="","",INDEX(Podcasts!$J$10:'Podcasts'!$J$2535,MATCH(AM258&amp;$B258,Podcasts!$E$10:'Podcasts'!$E$2535&amp;Podcasts!$D$10:'Podcasts'!$D$2535,0)))</f>
        <v/>
      </c>
      <c r="AM258" s="400" t="str">
        <f t="array" ref="AM258">IF(COUNTIF(Podcasts!$D$10:'Podcasts'!$D$2535,$B258)&lt;COLUMN(L221),"",SMALL(IF(Podcasts!$D$10:'Podcasts'!$D$2535=$B258,Podcasts!$E$10:'Podcasts'!$E$2535),COLUMN(L221)))</f>
        <v/>
      </c>
      <c r="AN258" s="401" t="str">
        <f t="array" ref="AN258">IF(AM258="","",INDEX(Podcasts!$F$10:'Podcasts'!$F$2535,MATCH(AM258&amp;$B258,Podcasts!$E$10:'Podcasts'!$E$2535&amp;Podcasts!$D$10:'Podcasts'!$D$2535,0)))</f>
        <v/>
      </c>
      <c r="AO258" s="402"/>
      <c r="AP258" s="119"/>
      <c r="AQ258" s="117"/>
      <c r="AR258" s="117"/>
      <c r="AS258" s="117"/>
      <c r="AT258" s="117"/>
      <c r="AU258" s="117">
        <f t="array" aca="1" ref="AU258" ca="1">IFERROR(SMALL(IF(COUNTIF(Podcasts!$D$479:'Podcasts'!$D$488,ROW(INDIRECT("1:"&amp;K$2)))=0,ROW(INDIRECT("1:"&amp;K$2))),ROW($A215)),"")</f>
        <v>219</v>
      </c>
      <c r="AV258" s="117"/>
      <c r="AW258" s="117">
        <f t="array" aca="1" ref="AW258" ca="1">IFERROR(SMALL(IF(COUNTIF(Podcasts!$D$524:'Podcasts'!$D$532,ROW(INDIRECT("1:"&amp;K$2)))=0,ROW(INDIRECT("1:"&amp;K$2))),ROW($A215)),"")</f>
        <v>222</v>
      </c>
      <c r="AX258" s="117"/>
      <c r="AY258" s="117"/>
      <c r="AZ258" s="445"/>
      <c r="BA258" s="117"/>
      <c r="BB258" s="117">
        <f t="array" aca="1" ref="BB258" ca="1">IFERROR(SMALL(IF(COUNTIF(Podcasts!$D$1257:'Podcasts'!$D$1267,ROW(INDIRECT("1:"&amp;K$2)))=0,ROW(INDIRECT("1:"&amp;K$2))),ROW($A215)),"")</f>
        <v>223</v>
      </c>
      <c r="BC258" s="117">
        <f t="array" aca="1" ref="BC258" ca="1">IFERROR(SMALL(IF(COUNTIF(Podcasts!$D$1273:'Podcasts'!$D$1283,ROW(INDIRECT("1:"&amp;K$2)))=0,ROW(INDIRECT("1:"&amp;K$2))),ROW($A215)),"")</f>
        <v>222</v>
      </c>
      <c r="BD258" s="117">
        <f t="array" aca="1" ref="BD258" ca="1">IFERROR(SMALL(IF(COUNTIF(Podcasts!$D$1289:'Podcasts'!$D$1295,ROW(INDIRECT("1:"&amp;K$2)))=0,ROW(INDIRECT("1:"&amp;K$2))),ROW($A215)),"")</f>
        <v>222</v>
      </c>
      <c r="BE258" s="117"/>
      <c r="BF258" s="117">
        <f t="array" aca="1" ref="BF258" ca="1">IFERROR(SMALL(IF(COUNTIF(Podcasts!$D$1362:'Podcasts'!$D$1364,ROW(INDIRECT("1:"&amp;K$2)))=0,ROW(INDIRECT("1:"&amp;K$2))),ROW($A215)),"")</f>
        <v>218</v>
      </c>
      <c r="BG258" s="202"/>
      <c r="BH258" s="202" t="str">
        <f t="array" aca="1" ref="BH258" ca="1">IFERROR(SMALL(IF(COUNTIF(Podcasts!$D$1425:'Podcasts'!$D$1446,ROW(INDIRECT("1:"&amp;K$2)))=0,ROW(INDIRECT("1:"&amp;K$2))),ROW($A215)),"")</f>
        <v/>
      </c>
      <c r="BI258" s="202"/>
      <c r="BJ258" s="202"/>
      <c r="BK258" s="202"/>
      <c r="BL258" s="202">
        <f t="array" aca="1" ref="BL258" ca="1">IFERROR(SMALL(IF(COUNTIF(Podcasts!$D$1839:'Podcasts'!$D$1855,ROW(INDIRECT("1:"&amp;K$2)))=0,ROW(INDIRECT("1:"&amp;K$2))),ROW($A215)),"")</f>
        <v>224</v>
      </c>
      <c r="BM258" s="567"/>
      <c r="BN258" s="567"/>
      <c r="BO258" s="567">
        <f t="array" aca="1" ref="BO258" ca="1">IFERROR(SMALL(IF(COUNTIF(Podcasts!$D$2063:'Podcasts'!$D$2071,ROW(INDIRECT("1:"&amp;K$2)))=0,ROW(INDIRECT("1:"&amp;K$2))),ROW($A215)),"")</f>
        <v>224</v>
      </c>
      <c r="BP258" s="202">
        <f t="array" aca="1" ref="BP258" ca="1">IFERROR(SMALL(IF(COUNTIF(Podcasts!$D$2077:'Podcasts'!$D$2092,ROW(INDIRECT("1:"&amp;K$2)))=0,ROW(INDIRECT("1:"&amp;K$2))),ROW($A215)),"")</f>
        <v>226</v>
      </c>
      <c r="BQ258" s="741" t="str">
        <f t="array" aca="1" ref="BQ258" ca="1">IFERROR(SMALL(IF(COUNTIF(Podcasts!$D$2098:'Podcasts'!$D$2114,ROW(INDIRECT("1:"&amp;K$2)))=0,ROW(INDIRECT("1:"&amp;K$2))),ROW($A215)),"")</f>
        <v/>
      </c>
      <c r="BR258" s="744">
        <f t="array" aca="1" ref="BR258" ca="1">IFERROR(SMALL(IF(COUNTIF(Podcasts!$D$2120:'Podcasts'!$D$2124,ROW(INDIRECT("1:"&amp;K$2)))=0,ROW(INDIRECT("1:"&amp;K$2))),ROW($A215)),"")</f>
        <v>218</v>
      </c>
      <c r="BS258" s="28"/>
    </row>
    <row r="259" spans="1:71" outlineLevel="1">
      <c r="A259" s="28"/>
      <c r="B259" s="161">
        <v>216</v>
      </c>
      <c r="C259" s="161">
        <f>COUNTIF(Podcasts!$D$10:'Podcasts'!$D$2535,B259)</f>
        <v>7</v>
      </c>
      <c r="D259" s="160" t="s">
        <v>2720</v>
      </c>
      <c r="E259" s="156" t="str">
        <f t="array" ref="E259">IF(F259="","",INDEX(Podcasts!$J$10:'Podcasts'!$J$2535,MATCH(F259&amp;$B259,Podcasts!$E$10:'Podcasts'!$E$2535&amp;Podcasts!$D$10:'Podcasts'!$D$2535,0)))</f>
        <v>Label</v>
      </c>
      <c r="F259" s="131">
        <f t="array" ref="F259">IF(COUNTIF(Podcasts!$D$10:'Podcasts'!$D$2535,$B259)&lt;COLUMN(A222),"",SMALL(IF(Podcasts!$D$10:'Podcasts'!$D$2535=$B259,Podcasts!$E$10:'Podcasts'!$E$2535),COLUMN(A222)))</f>
        <v>44701</v>
      </c>
      <c r="G259" s="132">
        <f t="array" ref="G259">IF(F259="","",INDEX(Podcasts!$F$10:'Podcasts'!$F$2535,MATCH(F259&amp;$B259,Podcasts!$E$10:'Podcasts'!$E$2535&amp;Podcasts!$D$10:'Podcasts'!$D$2535,0)))</f>
        <v>1.8298611111111113E-2</v>
      </c>
      <c r="H259" s="136" t="str">
        <f t="array" ref="H259">IF(I259="","",INDEX(Podcasts!$J$10:'Podcasts'!$J$2535,MATCH(I259&amp;$B259,Podcasts!$E$10:'Podcasts'!$E$2535&amp;Podcasts!$D$10:'Podcasts'!$D$2535,0)))</f>
        <v>Ohr</v>
      </c>
      <c r="I259" s="133">
        <f t="array" ref="I259">IF(COUNTIF(Podcasts!$D$10:'Podcasts'!$D$2535,$B259)&lt;COLUMN(B222),"",SMALL(IF(Podcasts!$D$10:'Podcasts'!$D$2535=$B259,Podcasts!$E$10:'Podcasts'!$E$2535),COLUMN(B222)))</f>
        <v>44751</v>
      </c>
      <c r="J259" s="132">
        <f t="array" ref="J259">IF(I259="","",INDEX(Podcasts!$F$10:'Podcasts'!$F$2535,MATCH(I259&amp;$B259,Podcasts!$E$10:'Podcasts'!$E$2535&amp;Podcasts!$D$10:'Podcasts'!$D$2535,0)))</f>
        <v>3.2407407407407406E-3</v>
      </c>
      <c r="K259" s="136" t="str">
        <f t="array" ref="K259">IF(L259="","",INDEX(Podcasts!$J$10:'Podcasts'!$J$2535,MATCH(L259&amp;$B259,Podcasts!$E$10:'Podcasts'!$E$2535&amp;Podcasts!$D$10:'Podcasts'!$D$2535,0)))</f>
        <v>Leichen</v>
      </c>
      <c r="L259" s="133">
        <f t="array" ref="L259">IF(COUNTIF(Podcasts!$D$10:'Podcasts'!$D$2535,$B259)&lt;COLUMN(C222),"",SMALL(IF(Podcasts!$D$10:'Podcasts'!$D$2535=$B259,Podcasts!$E$10:'Podcasts'!$E$2535),COLUMN(C222)))</f>
        <v>44758</v>
      </c>
      <c r="M259" s="132">
        <f t="array" ref="M259">IF(L259="","",INDEX(Podcasts!$F$10:'Podcasts'!$F$2535,MATCH(L259&amp;$B259,Podcasts!$E$10:'Podcasts'!$E$2535&amp;Podcasts!$D$10:'Podcasts'!$D$2535,0)))</f>
        <v>2.7106481481481481E-2</v>
      </c>
      <c r="N259" s="136" t="str">
        <f t="array" ref="N259">IF(O259="","",INDEX(Podcasts!$J$10:'Podcasts'!$J$2535,MATCH(O259&amp;$B259,Podcasts!$E$10:'Podcasts'!$E$2535&amp;Podcasts!$D$10:'Podcasts'!$D$2535,0)))</f>
        <v>Kaffee</v>
      </c>
      <c r="O259" s="133">
        <f t="array" ref="O259">IF(COUNTIF(Podcasts!$D$10:'Podcasts'!$D$2535,$B259)&lt;COLUMN(D222),"",SMALL(IF(Podcasts!$D$10:'Podcasts'!$D$2535=$B259,Podcasts!$E$10:'Podcasts'!$E$2535),COLUMN(D222)))</f>
        <v>44764</v>
      </c>
      <c r="P259" s="132">
        <f t="array" ref="P259">IF(O259="","",INDEX(Podcasts!$F$10:'Podcasts'!$F$2535,MATCH(O259&amp;$B259,Podcasts!$E$10:'Podcasts'!$E$2535&amp;Podcasts!$D$10:'Podcasts'!$D$2535,0)))</f>
        <v>2.8715277777777781E-2</v>
      </c>
      <c r="Q259" s="136" t="str">
        <f t="array" ref="Q259">IF(R259="","",INDEX(Podcasts!$J$10:'Podcasts'!$J$2535,MATCH(R259&amp;$B259,Podcasts!$E$10:'Podcasts'!$E$2535&amp;Podcasts!$D$10:'Podcasts'!$D$2535,0)))</f>
        <v>R&amp;A</v>
      </c>
      <c r="R259" s="133">
        <f t="array" ref="R259">IF(COUNTIF(Podcasts!$D$10:'Podcasts'!$D$2535,$B259)&lt;COLUMN(E222),"",SMALL(IF(Podcasts!$D$10:'Podcasts'!$D$2535=$B259,Podcasts!$E$10:'Podcasts'!$E$2535),COLUMN(E222)))</f>
        <v>44773.003472222219</v>
      </c>
      <c r="S259" s="132">
        <f t="array" ref="S259">IF(R259="","",INDEX(Podcasts!$F$10:'Podcasts'!$F$2535,MATCH(R259&amp;$B259,Podcasts!$E$10:'Podcasts'!$E$2535&amp;Podcasts!$D$10:'Podcasts'!$D$2535,0)))</f>
        <v>7.4745370370370365E-2</v>
      </c>
      <c r="T259" s="136" t="str">
        <f t="array" ref="T259">IF(U259="","",INDEX(Podcasts!$J$10:'Podcasts'!$J$2535,MATCH(U259&amp;$B259,Podcasts!$E$10:'Podcasts'!$E$2535&amp;Podcasts!$D$10:'Podcasts'!$D$2535,0)))</f>
        <v>Kuchen</v>
      </c>
      <c r="U259" s="133">
        <f t="array" ref="U259">IF(COUNTIF(Podcasts!$D$10:'Podcasts'!$D$2535,$B259)&lt;COLUMN(F222),"",SMALL(IF(Podcasts!$D$10:'Podcasts'!$D$2535=$B259,Podcasts!$E$10:'Podcasts'!$E$2535),COLUMN(F222)))</f>
        <v>44976</v>
      </c>
      <c r="V259" s="132">
        <f t="array" ref="V259">IF(U259="","",INDEX(Podcasts!$F$10:'Podcasts'!$F$2535,MATCH(U259&amp;$B259,Podcasts!$E$10:'Podcasts'!$E$2535&amp;Podcasts!$D$10:'Podcasts'!$D$2535,0)))</f>
        <v>5.917824074074074E-2</v>
      </c>
      <c r="W259" s="136" t="str">
        <f t="array" ref="W259">IF(X259="","",INDEX(Podcasts!$J$10:'Podcasts'!$J$2535,MATCH(X259&amp;$B259,Podcasts!$E$10:'Podcasts'!$E$2535&amp;Podcasts!$D$10:'Podcasts'!$D$2535,0)))</f>
        <v>Zw3i</v>
      </c>
      <c r="X259" s="133">
        <f t="array" ref="X259">IF(COUNTIF(Podcasts!$D$10:'Podcasts'!$D$2535,$B259)&lt;COLUMN(G222),"",SMALL(IF(Podcasts!$D$10:'Podcasts'!$D$2535=$B259,Podcasts!$E$10:'Podcasts'!$E$2535),COLUMN(G222)))</f>
        <v>45030</v>
      </c>
      <c r="Y259" s="132">
        <f t="array" ref="Y259">IF(X259="","",INDEX(Podcasts!$F$10:'Podcasts'!$F$2535,MATCH(X259&amp;$B259,Podcasts!$E$10:'Podcasts'!$E$2535&amp;Podcasts!$D$10:'Podcasts'!$D$2535,0)))</f>
        <v>7.1342592592592582E-2</v>
      </c>
      <c r="Z259" s="136" t="str">
        <f t="array" ref="Z259">IF(AA259="","",INDEX(Podcasts!$J$10:'Podcasts'!$J$2535,MATCH(AA259&amp;$B259,Podcasts!$E$10:'Podcasts'!$E$2535&amp;Podcasts!$D$10:'Podcasts'!$D$2535,0)))</f>
        <v/>
      </c>
      <c r="AA259" s="134" t="str">
        <f t="array" ref="AA259">IF(COUNTIF(Podcasts!$D$10:'Podcasts'!$D$2535,$B259)&lt;COLUMN(H222),"",SMALL(IF(Podcasts!$D$10:'Podcasts'!$D$2535=$B259,Podcasts!$E$10:'Podcasts'!$E$2535),COLUMN(H222)))</f>
        <v/>
      </c>
      <c r="AB259" s="404" t="str">
        <f t="array" ref="AB259">IF(AA259="","",INDEX(Podcasts!$F$10:'Podcasts'!$F$2535,MATCH(AA259&amp;$B259,Podcasts!$E$10:'Podcasts'!$E$2535&amp;Podcasts!$D$10:'Podcasts'!$D$2535,0)))</f>
        <v/>
      </c>
      <c r="AC259" s="406" t="str">
        <f t="array" ref="AC259">IF(AD259="","",INDEX(Podcasts!$J$10:'Podcasts'!$J$2535,MATCH(AD259&amp;$B259,Podcasts!$E$10:'Podcasts'!$E$2535&amp;Podcasts!$D$10:'Podcasts'!$D$2535,0)))</f>
        <v/>
      </c>
      <c r="AD259" s="400" t="str">
        <f t="array" ref="AD259">IF(COUNTIF(Podcasts!$D$10:'Podcasts'!$D$2535,$B259)&lt;COLUMN(I222),"",SMALL(IF(Podcasts!$D$10:'Podcasts'!$D$2535=$B259,Podcasts!$E$10:'Podcasts'!$E$2535),COLUMN(I222)))</f>
        <v/>
      </c>
      <c r="AE259" s="401" t="str">
        <f t="array" ref="AE259">IF(AD259="","",INDEX(Podcasts!$F$10:'Podcasts'!$F$2535,MATCH(AD259&amp;$B259,Podcasts!$E$10:'Podcasts'!$E$2535&amp;Podcasts!$D$10:'Podcasts'!$D$2535,0)))</f>
        <v/>
      </c>
      <c r="AF259" s="406" t="str">
        <f t="array" ref="AF259">IF(AG259="","",INDEX(Podcasts!$J$10:'Podcasts'!$J$2535,MATCH(AG259&amp;$B259,Podcasts!$E$10:'Podcasts'!$E$2535&amp;Podcasts!$D$10:'Podcasts'!$D$2535,0)))</f>
        <v/>
      </c>
      <c r="AG259" s="400" t="str">
        <f t="array" ref="AG259">IF(COUNTIF(Podcasts!$D$10:'Podcasts'!$D$2535,$B259)&lt;COLUMN(J222),"",SMALL(IF(Podcasts!$D$10:'Podcasts'!$D$2535=$B259,Podcasts!$E$10:'Podcasts'!$E$2535),COLUMN(J222)))</f>
        <v/>
      </c>
      <c r="AH259" s="401" t="str">
        <f t="array" ref="AH259">IF(AG259="","",INDEX(Podcasts!$F$10:'Podcasts'!$F$2535,MATCH(AG259&amp;$B259,Podcasts!$E$10:'Podcasts'!$E$2535&amp;Podcasts!$D$10:'Podcasts'!$D$2535,0)))</f>
        <v/>
      </c>
      <c r="AI259" s="406" t="str">
        <f t="array" ref="AI259">IF(AJ259="","",INDEX(Podcasts!$J$10:'Podcasts'!$J$2535,MATCH(AJ259&amp;$B259,Podcasts!$E$10:'Podcasts'!$E$2535&amp;Podcasts!$D$10:'Podcasts'!$D$2535,0)))</f>
        <v/>
      </c>
      <c r="AJ259" s="400" t="str">
        <f t="array" ref="AJ259">IF(COUNTIF(Podcasts!$D$10:'Podcasts'!$D$2535,$B259)&lt;COLUMN(K222),"",SMALL(IF(Podcasts!$D$10:'Podcasts'!$D$2535=$B259,Podcasts!$E$10:'Podcasts'!$E$2535),COLUMN(K222)))</f>
        <v/>
      </c>
      <c r="AK259" s="401" t="str">
        <f t="array" ref="AK259">IF(AJ259="","",INDEX(Podcasts!$F$10:'Podcasts'!$F$2535,MATCH(AJ259&amp;$B259,Podcasts!$E$10:'Podcasts'!$E$2535&amp;Podcasts!$D$10:'Podcasts'!$D$2535,0)))</f>
        <v/>
      </c>
      <c r="AL259" s="406" t="str">
        <f t="array" ref="AL259">IF(AM259="","",INDEX(Podcasts!$J$10:'Podcasts'!$J$2535,MATCH(AM259&amp;$B259,Podcasts!$E$10:'Podcasts'!$E$2535&amp;Podcasts!$D$10:'Podcasts'!$D$2535,0)))</f>
        <v/>
      </c>
      <c r="AM259" s="400" t="str">
        <f t="array" ref="AM259">IF(COUNTIF(Podcasts!$D$10:'Podcasts'!$D$2535,$B259)&lt;COLUMN(L222),"",SMALL(IF(Podcasts!$D$10:'Podcasts'!$D$2535=$B259,Podcasts!$E$10:'Podcasts'!$E$2535),COLUMN(L222)))</f>
        <v/>
      </c>
      <c r="AN259" s="401" t="str">
        <f t="array" ref="AN259">IF(AM259="","",INDEX(Podcasts!$F$10:'Podcasts'!$F$2535,MATCH(AM259&amp;$B259,Podcasts!$E$10:'Podcasts'!$E$2535&amp;Podcasts!$D$10:'Podcasts'!$D$2535,0)))</f>
        <v/>
      </c>
      <c r="AO259" s="402"/>
      <c r="AP259" s="119"/>
      <c r="AQ259" s="117"/>
      <c r="AR259" s="117"/>
      <c r="AS259" s="117"/>
      <c r="AT259" s="117"/>
      <c r="AU259" s="117">
        <f t="array" aca="1" ref="AU259" ca="1">IFERROR(SMALL(IF(COUNTIF(Podcasts!$D$479:'Podcasts'!$D$488,ROW(INDIRECT("1:"&amp;K$2)))=0,ROW(INDIRECT("1:"&amp;K$2))),ROW($A216)),"")</f>
        <v>220</v>
      </c>
      <c r="AV259" s="117"/>
      <c r="AW259" s="117">
        <f t="array" aca="1" ref="AW259" ca="1">IFERROR(SMALL(IF(COUNTIF(Podcasts!$D$524:'Podcasts'!$D$532,ROW(INDIRECT("1:"&amp;K$2)))=0,ROW(INDIRECT("1:"&amp;K$2))),ROW($A216)),"")</f>
        <v>223</v>
      </c>
      <c r="AX259" s="117"/>
      <c r="AY259" s="117"/>
      <c r="AZ259" s="445"/>
      <c r="BA259" s="117"/>
      <c r="BB259" s="117">
        <f t="array" aca="1" ref="BB259" ca="1">IFERROR(SMALL(IF(COUNTIF(Podcasts!$D$1257:'Podcasts'!$D$1267,ROW(INDIRECT("1:"&amp;K$2)))=0,ROW(INDIRECT("1:"&amp;K$2))),ROW($A216)),"")</f>
        <v>224</v>
      </c>
      <c r="BC259" s="117">
        <f t="array" aca="1" ref="BC259" ca="1">IFERROR(SMALL(IF(COUNTIF(Podcasts!$D$1273:'Podcasts'!$D$1283,ROW(INDIRECT("1:"&amp;K$2)))=0,ROW(INDIRECT("1:"&amp;K$2))),ROW($A216)),"")</f>
        <v>223</v>
      </c>
      <c r="BD259" s="117">
        <f t="array" aca="1" ref="BD259" ca="1">IFERROR(SMALL(IF(COUNTIF(Podcasts!$D$1289:'Podcasts'!$D$1295,ROW(INDIRECT("1:"&amp;K$2)))=0,ROW(INDIRECT("1:"&amp;K$2))),ROW($A216)),"")</f>
        <v>223</v>
      </c>
      <c r="BE259" s="117"/>
      <c r="BF259" s="117">
        <f t="array" aca="1" ref="BF259" ca="1">IFERROR(SMALL(IF(COUNTIF(Podcasts!$D$1362:'Podcasts'!$D$1364,ROW(INDIRECT("1:"&amp;K$2)))=0,ROW(INDIRECT("1:"&amp;K$2))),ROW($A216)),"")</f>
        <v>219</v>
      </c>
      <c r="BG259" s="202"/>
      <c r="BH259" s="202" t="str">
        <f t="array" aca="1" ref="BH259" ca="1">IFERROR(SMALL(IF(COUNTIF(Podcasts!$D$1425:'Podcasts'!$D$1446,ROW(INDIRECT("1:"&amp;K$2)))=0,ROW(INDIRECT("1:"&amp;K$2))),ROW($A216)),"")</f>
        <v/>
      </c>
      <c r="BI259" s="202"/>
      <c r="BJ259" s="202"/>
      <c r="BK259" s="202"/>
      <c r="BL259" s="202">
        <f t="array" aca="1" ref="BL259" ca="1">IFERROR(SMALL(IF(COUNTIF(Podcasts!$D$1839:'Podcasts'!$D$1855,ROW(INDIRECT("1:"&amp;K$2)))=0,ROW(INDIRECT("1:"&amp;K$2))),ROW($A216)),"")</f>
        <v>225</v>
      </c>
      <c r="BM259" s="567"/>
      <c r="BN259" s="567"/>
      <c r="BO259" s="567">
        <f t="array" aca="1" ref="BO259" ca="1">IFERROR(SMALL(IF(COUNTIF(Podcasts!$D$2063:'Podcasts'!$D$2071,ROW(INDIRECT("1:"&amp;K$2)))=0,ROW(INDIRECT("1:"&amp;K$2))),ROW($A216)),"")</f>
        <v>225</v>
      </c>
      <c r="BP259" s="202" t="str">
        <f t="array" aca="1" ref="BP259" ca="1">IFERROR(SMALL(IF(COUNTIF(Podcasts!$D$2077:'Podcasts'!$D$2092,ROW(INDIRECT("1:"&amp;K$2)))=0,ROW(INDIRECT("1:"&amp;K$2))),ROW($A216)),"")</f>
        <v/>
      </c>
      <c r="BQ259" s="741"/>
      <c r="BR259" s="744">
        <f t="array" aca="1" ref="BR259" ca="1">IFERROR(SMALL(IF(COUNTIF(Podcasts!$D$2120:'Podcasts'!$D$2124,ROW(INDIRECT("1:"&amp;K$2)))=0,ROW(INDIRECT("1:"&amp;K$2))),ROW($A216)),"")</f>
        <v>219</v>
      </c>
      <c r="BS259" s="28"/>
    </row>
    <row r="260" spans="1:71" outlineLevel="1">
      <c r="A260" s="28"/>
      <c r="B260" s="161">
        <v>217</v>
      </c>
      <c r="C260" s="161">
        <f>COUNTIF(Podcasts!$D$10:'Podcasts'!$D$2535,B260)</f>
        <v>5</v>
      </c>
      <c r="D260" s="160" t="s">
        <v>2723</v>
      </c>
      <c r="E260" s="156" t="str">
        <f t="array" ref="E260">IF(F260="","",INDEX(Podcasts!$J$10:'Podcasts'!$J$2535,MATCH(F260&amp;$B260,Podcasts!$E$10:'Podcasts'!$E$2535&amp;Podcasts!$D$10:'Podcasts'!$D$2535,0)))</f>
        <v>Label</v>
      </c>
      <c r="F260" s="131">
        <f t="array" ref="F260">IF(COUNTIF(Podcasts!$D$10:'Podcasts'!$D$2535,$B260)&lt;COLUMN(A223),"",SMALL(IF(Podcasts!$D$10:'Podcasts'!$D$2535=$B260,Podcasts!$E$10:'Podcasts'!$E$2535),COLUMN(A223)))</f>
        <v>44750</v>
      </c>
      <c r="G260" s="132">
        <f t="array" ref="G260">IF(F260="","",INDEX(Podcasts!$F$10:'Podcasts'!$F$2535,MATCH(F260&amp;$B260,Podcasts!$E$10:'Podcasts'!$E$2535&amp;Podcasts!$D$10:'Podcasts'!$D$2535,0)))</f>
        <v>1.695601851851852E-2</v>
      </c>
      <c r="H260" s="136" t="str">
        <f t="array" ref="H260">IF(I260="","",INDEX(Podcasts!$J$10:'Podcasts'!$J$2535,MATCH(I260&amp;$B260,Podcasts!$E$10:'Podcasts'!$E$2535&amp;Podcasts!$D$10:'Podcasts'!$D$2535,0)))</f>
        <v>Leichen</v>
      </c>
      <c r="I260" s="133">
        <f t="array" ref="I260">IF(COUNTIF(Podcasts!$D$10:'Podcasts'!$D$2535,$B260)&lt;COLUMN(B223),"",SMALL(IF(Podcasts!$D$10:'Podcasts'!$D$2535=$B260,Podcasts!$E$10:'Podcasts'!$E$2535),COLUMN(B223)))</f>
        <v>44771</v>
      </c>
      <c r="J260" s="132">
        <f t="array" ref="J260">IF(I260="","",INDEX(Podcasts!$F$10:'Podcasts'!$F$2535,MATCH(I260&amp;$B260,Podcasts!$E$10:'Podcasts'!$E$2535&amp;Podcasts!$D$10:'Podcasts'!$D$2535,0)))</f>
        <v>4.6840277777777779E-2</v>
      </c>
      <c r="K260" s="136" t="str">
        <f t="array" ref="K260">IF(L260="","",INDEX(Podcasts!$J$10:'Podcasts'!$J$2535,MATCH(L260&amp;$B260,Podcasts!$E$10:'Podcasts'!$E$2535&amp;Podcasts!$D$10:'Podcasts'!$D$2535,0)))</f>
        <v>Ohr</v>
      </c>
      <c r="L260" s="133">
        <f t="array" ref="L260">IF(COUNTIF(Podcasts!$D$10:'Podcasts'!$D$2535,$B260)&lt;COLUMN(C223),"",SMALL(IF(Podcasts!$D$10:'Podcasts'!$D$2535=$B260,Podcasts!$E$10:'Podcasts'!$E$2535),COLUMN(C223)))</f>
        <v>44782</v>
      </c>
      <c r="M260" s="132">
        <f t="array" ref="M260">IF(L260="","",INDEX(Podcasts!$F$10:'Podcasts'!$F$2535,MATCH(L260&amp;$B260,Podcasts!$E$10:'Podcasts'!$E$2535&amp;Podcasts!$D$10:'Podcasts'!$D$2535,0)))</f>
        <v>3.8194444444444443E-3</v>
      </c>
      <c r="N260" s="136" t="str">
        <f t="array" ref="N260">IF(O260="","",INDEX(Podcasts!$J$10:'Podcasts'!$J$2535,MATCH(O260&amp;$B260,Podcasts!$E$10:'Podcasts'!$E$2535&amp;Podcasts!$D$10:'Podcasts'!$D$2535,0)))</f>
        <v>Kuchen</v>
      </c>
      <c r="O260" s="133">
        <f t="array" ref="O260">IF(COUNTIF(Podcasts!$D$10:'Podcasts'!$D$2535,$B260)&lt;COLUMN(D223),"",SMALL(IF(Podcasts!$D$10:'Podcasts'!$D$2535=$B260,Podcasts!$E$10:'Podcasts'!$E$2535),COLUMN(D223)))</f>
        <v>45046</v>
      </c>
      <c r="P260" s="132">
        <f t="array" ref="P260">IF(O260="","",INDEX(Podcasts!$F$10:'Podcasts'!$F$2535,MATCH(O260&amp;$B260,Podcasts!$E$10:'Podcasts'!$E$2535&amp;Podcasts!$D$10:'Podcasts'!$D$2535,0)))</f>
        <v>7.4224537037037033E-2</v>
      </c>
      <c r="Q260" s="136" t="str">
        <f t="array" ref="Q260">IF(R260="","",INDEX(Podcasts!$J$10:'Podcasts'!$J$2535,MATCH(R260&amp;$B260,Podcasts!$E$10:'Podcasts'!$E$2535&amp;Podcasts!$D$10:'Podcasts'!$D$2535,0)))</f>
        <v>Verstärker</v>
      </c>
      <c r="R260" s="133">
        <f t="array" ref="R260">IF(COUNTIF(Podcasts!$D$10:'Podcasts'!$D$2535,$B260)&lt;COLUMN(E223),"",SMALL(IF(Podcasts!$D$10:'Podcasts'!$D$2535=$B260,Podcasts!$E$10:'Podcasts'!$E$2535),COLUMN(E223)))</f>
        <v>45202</v>
      </c>
      <c r="S260" s="132">
        <f t="array" ref="S260">IF(R260="","",INDEX(Podcasts!$F$10:'Podcasts'!$F$2535,MATCH(R260&amp;$B260,Podcasts!$E$10:'Podcasts'!$E$2535&amp;Podcasts!$D$10:'Podcasts'!$D$2535,0)))</f>
        <v>2.0694444444444446E-2</v>
      </c>
      <c r="T260" s="136" t="str">
        <f t="array" ref="T260">IF(U260="","",INDEX(Podcasts!$J$10:'Podcasts'!$J$2535,MATCH(U260&amp;$B260,Podcasts!$E$10:'Podcasts'!$E$2535&amp;Podcasts!$D$10:'Podcasts'!$D$2535,0)))</f>
        <v/>
      </c>
      <c r="U260" s="133" t="str">
        <f t="array" ref="U260">IF(COUNTIF(Podcasts!$D$10:'Podcasts'!$D$2535,$B260)&lt;COLUMN(F223),"",SMALL(IF(Podcasts!$D$10:'Podcasts'!$D$2535=$B260,Podcasts!$E$10:'Podcasts'!$E$2535),COLUMN(F223)))</f>
        <v/>
      </c>
      <c r="V260" s="132" t="str">
        <f t="array" ref="V260">IF(U260="","",INDEX(Podcasts!$F$10:'Podcasts'!$F$2535,MATCH(U260&amp;$B260,Podcasts!$E$10:'Podcasts'!$E$2535&amp;Podcasts!$D$10:'Podcasts'!$D$2535,0)))</f>
        <v/>
      </c>
      <c r="W260" s="136" t="str">
        <f t="array" ref="W260">IF(X260="","",INDEX(Podcasts!$J$10:'Podcasts'!$J$2535,MATCH(X260&amp;$B260,Podcasts!$E$10:'Podcasts'!$E$2535&amp;Podcasts!$D$10:'Podcasts'!$D$2535,0)))</f>
        <v/>
      </c>
      <c r="X260" s="133" t="str">
        <f t="array" ref="X260">IF(COUNTIF(Podcasts!$D$10:'Podcasts'!$D$2535,$B260)&lt;COLUMN(G223),"",SMALL(IF(Podcasts!$D$10:'Podcasts'!$D$2535=$B260,Podcasts!$E$10:'Podcasts'!$E$2535),COLUMN(G223)))</f>
        <v/>
      </c>
      <c r="Y260" s="132" t="str">
        <f t="array" ref="Y260">IF(X260="","",INDEX(Podcasts!$F$10:'Podcasts'!$F$2535,MATCH(X260&amp;$B260,Podcasts!$E$10:'Podcasts'!$E$2535&amp;Podcasts!$D$10:'Podcasts'!$D$2535,0)))</f>
        <v/>
      </c>
      <c r="Z260" s="136" t="str">
        <f t="array" ref="Z260">IF(AA260="","",INDEX(Podcasts!$J$10:'Podcasts'!$J$2535,MATCH(AA260&amp;$B260,Podcasts!$E$10:'Podcasts'!$E$2535&amp;Podcasts!$D$10:'Podcasts'!$D$2535,0)))</f>
        <v/>
      </c>
      <c r="AA260" s="134" t="str">
        <f t="array" ref="AA260">IF(COUNTIF(Podcasts!$D$10:'Podcasts'!$D$2535,$B260)&lt;COLUMN(H223),"",SMALL(IF(Podcasts!$D$10:'Podcasts'!$D$2535=$B260,Podcasts!$E$10:'Podcasts'!$E$2535),COLUMN(H223)))</f>
        <v/>
      </c>
      <c r="AB260" s="404" t="str">
        <f t="array" ref="AB260">IF(AA260="","",INDEX(Podcasts!$F$10:'Podcasts'!$F$2535,MATCH(AA260&amp;$B260,Podcasts!$E$10:'Podcasts'!$E$2535&amp;Podcasts!$D$10:'Podcasts'!$D$2535,0)))</f>
        <v/>
      </c>
      <c r="AC260" s="406" t="str">
        <f t="array" ref="AC260">IF(AD260="","",INDEX(Podcasts!$J$10:'Podcasts'!$J$2535,MATCH(AD260&amp;$B260,Podcasts!$E$10:'Podcasts'!$E$2535&amp;Podcasts!$D$10:'Podcasts'!$D$2535,0)))</f>
        <v/>
      </c>
      <c r="AD260" s="400" t="str">
        <f t="array" ref="AD260">IF(COUNTIF(Podcasts!$D$10:'Podcasts'!$D$2535,$B260)&lt;COLUMN(I223),"",SMALL(IF(Podcasts!$D$10:'Podcasts'!$D$2535=$B260,Podcasts!$E$10:'Podcasts'!$E$2535),COLUMN(I223)))</f>
        <v/>
      </c>
      <c r="AE260" s="401" t="str">
        <f t="array" ref="AE260">IF(AD260="","",INDEX(Podcasts!$F$10:'Podcasts'!$F$2535,MATCH(AD260&amp;$B260,Podcasts!$E$10:'Podcasts'!$E$2535&amp;Podcasts!$D$10:'Podcasts'!$D$2535,0)))</f>
        <v/>
      </c>
      <c r="AF260" s="406" t="str">
        <f t="array" ref="AF260">IF(AG260="","",INDEX(Podcasts!$J$10:'Podcasts'!$J$2535,MATCH(AG260&amp;$B260,Podcasts!$E$10:'Podcasts'!$E$2535&amp;Podcasts!$D$10:'Podcasts'!$D$2535,0)))</f>
        <v/>
      </c>
      <c r="AG260" s="400" t="str">
        <f t="array" ref="AG260">IF(COUNTIF(Podcasts!$D$10:'Podcasts'!$D$2535,$B260)&lt;COLUMN(J223),"",SMALL(IF(Podcasts!$D$10:'Podcasts'!$D$2535=$B260,Podcasts!$E$10:'Podcasts'!$E$2535),COLUMN(J223)))</f>
        <v/>
      </c>
      <c r="AH260" s="401" t="str">
        <f t="array" ref="AH260">IF(AG260="","",INDEX(Podcasts!$F$10:'Podcasts'!$F$2535,MATCH(AG260&amp;$B260,Podcasts!$E$10:'Podcasts'!$E$2535&amp;Podcasts!$D$10:'Podcasts'!$D$2535,0)))</f>
        <v/>
      </c>
      <c r="AI260" s="406" t="str">
        <f t="array" ref="AI260">IF(AJ260="","",INDEX(Podcasts!$J$10:'Podcasts'!$J$2535,MATCH(AJ260&amp;$B260,Podcasts!$E$10:'Podcasts'!$E$2535&amp;Podcasts!$D$10:'Podcasts'!$D$2535,0)))</f>
        <v/>
      </c>
      <c r="AJ260" s="400" t="str">
        <f t="array" ref="AJ260">IF(COUNTIF(Podcasts!$D$10:'Podcasts'!$D$2535,$B260)&lt;COLUMN(K223),"",SMALL(IF(Podcasts!$D$10:'Podcasts'!$D$2535=$B260,Podcasts!$E$10:'Podcasts'!$E$2535),COLUMN(K223)))</f>
        <v/>
      </c>
      <c r="AK260" s="401" t="str">
        <f t="array" ref="AK260">IF(AJ260="","",INDEX(Podcasts!$F$10:'Podcasts'!$F$2535,MATCH(AJ260&amp;$B260,Podcasts!$E$10:'Podcasts'!$E$2535&amp;Podcasts!$D$10:'Podcasts'!$D$2535,0)))</f>
        <v/>
      </c>
      <c r="AL260" s="406" t="str">
        <f t="array" ref="AL260">IF(AM260="","",INDEX(Podcasts!$J$10:'Podcasts'!$J$2535,MATCH(AM260&amp;$B260,Podcasts!$E$10:'Podcasts'!$E$2535&amp;Podcasts!$D$10:'Podcasts'!$D$2535,0)))</f>
        <v/>
      </c>
      <c r="AM260" s="400" t="str">
        <f t="array" ref="AM260">IF(COUNTIF(Podcasts!$D$10:'Podcasts'!$D$2535,$B260)&lt;COLUMN(L223),"",SMALL(IF(Podcasts!$D$10:'Podcasts'!$D$2535=$B260,Podcasts!$E$10:'Podcasts'!$E$2535),COLUMN(L223)))</f>
        <v/>
      </c>
      <c r="AN260" s="401" t="str">
        <f t="array" ref="AN260">IF(AM260="","",INDEX(Podcasts!$F$10:'Podcasts'!$F$2535,MATCH(AM260&amp;$B260,Podcasts!$E$10:'Podcasts'!$E$2535&amp;Podcasts!$D$10:'Podcasts'!$D$2535,0)))</f>
        <v/>
      </c>
      <c r="AO260" s="402"/>
      <c r="AP260" s="119"/>
      <c r="AQ260" s="117"/>
      <c r="AR260" s="117"/>
      <c r="AS260" s="117"/>
      <c r="AT260" s="117"/>
      <c r="AU260" s="117">
        <f t="array" aca="1" ref="AU260" ca="1">IFERROR(SMALL(IF(COUNTIF(Podcasts!$D$479:'Podcasts'!$D$488,ROW(INDIRECT("1:"&amp;K$2)))=0,ROW(INDIRECT("1:"&amp;K$2))),ROW($A217)),"")</f>
        <v>221</v>
      </c>
      <c r="AV260" s="117"/>
      <c r="AW260" s="117">
        <f t="array" aca="1" ref="AW260" ca="1">IFERROR(SMALL(IF(COUNTIF(Podcasts!$D$524:'Podcasts'!$D$532,ROW(INDIRECT("1:"&amp;K$2)))=0,ROW(INDIRECT("1:"&amp;K$2))),ROW($A217)),"")</f>
        <v>224</v>
      </c>
      <c r="AX260" s="117"/>
      <c r="AY260" s="117"/>
      <c r="AZ260" s="445"/>
      <c r="BA260" s="117"/>
      <c r="BB260" s="117">
        <f t="array" aca="1" ref="BB260" ca="1">IFERROR(SMALL(IF(COUNTIF(Podcasts!$D$1257:'Podcasts'!$D$1267,ROW(INDIRECT("1:"&amp;K$2)))=0,ROW(INDIRECT("1:"&amp;K$2))),ROW($A217)),"")</f>
        <v>225</v>
      </c>
      <c r="BC260" s="117">
        <f t="array" aca="1" ref="BC260" ca="1">IFERROR(SMALL(IF(COUNTIF(Podcasts!$D$1273:'Podcasts'!$D$1283,ROW(INDIRECT("1:"&amp;K$2)))=0,ROW(INDIRECT("1:"&amp;K$2))),ROW($A217)),"")</f>
        <v>224</v>
      </c>
      <c r="BD260" s="117">
        <f t="array" aca="1" ref="BD260" ca="1">IFERROR(SMALL(IF(COUNTIF(Podcasts!$D$1289:'Podcasts'!$D$1295,ROW(INDIRECT("1:"&amp;K$2)))=0,ROW(INDIRECT("1:"&amp;K$2))),ROW($A217)),"")</f>
        <v>224</v>
      </c>
      <c r="BE260" s="117"/>
      <c r="BF260" s="117">
        <f t="array" aca="1" ref="BF260" ca="1">IFERROR(SMALL(IF(COUNTIF(Podcasts!$D$1362:'Podcasts'!$D$1364,ROW(INDIRECT("1:"&amp;K$2)))=0,ROW(INDIRECT("1:"&amp;K$2))),ROW($A217)),"")</f>
        <v>220</v>
      </c>
      <c r="BG260" s="202"/>
      <c r="BH260" s="202" t="str">
        <f t="array" aca="1" ref="BH260" ca="1">IFERROR(SMALL(IF(COUNTIF(Podcasts!$D$1425:'Podcasts'!$D$1446,ROW(INDIRECT("1:"&amp;K$2)))=0,ROW(INDIRECT("1:"&amp;K$2))),ROW($A217)),"")</f>
        <v/>
      </c>
      <c r="BI260" s="202"/>
      <c r="BJ260" s="202"/>
      <c r="BK260" s="202"/>
      <c r="BL260" s="202">
        <f t="array" aca="1" ref="BL260" ca="1">IFERROR(SMALL(IF(COUNTIF(Podcasts!$D$1839:'Podcasts'!$D$1855,ROW(INDIRECT("1:"&amp;K$2)))=0,ROW(INDIRECT("1:"&amp;K$2))),ROW($A217)),"")</f>
        <v>226</v>
      </c>
      <c r="BM260" s="567"/>
      <c r="BN260" s="567"/>
      <c r="BO260" s="567">
        <f t="array" aca="1" ref="BO260" ca="1">IFERROR(SMALL(IF(COUNTIF(Podcasts!$D$2063:'Podcasts'!$D$2071,ROW(INDIRECT("1:"&amp;K$2)))=0,ROW(INDIRECT("1:"&amp;K$2))),ROW($A217)),"")</f>
        <v>226</v>
      </c>
      <c r="BP260" s="202" t="str">
        <f t="array" aca="1" ref="BP260" ca="1">IFERROR(SMALL(IF(COUNTIF(Podcasts!$D$2077:'Podcasts'!$D$2092,ROW(INDIRECT("1:"&amp;K$2)))=0,ROW(INDIRECT("1:"&amp;K$2))),ROW($A217)),"")</f>
        <v/>
      </c>
      <c r="BQ260" s="741"/>
      <c r="BR260" s="744">
        <f t="array" aca="1" ref="BR260" ca="1">IFERROR(SMALL(IF(COUNTIF(Podcasts!$D$2120:'Podcasts'!$D$2124,ROW(INDIRECT("1:"&amp;K$2)))=0,ROW(INDIRECT("1:"&amp;K$2))),ROW($A217)),"")</f>
        <v>220</v>
      </c>
      <c r="BS260" s="28"/>
    </row>
    <row r="261" spans="1:71" outlineLevel="1">
      <c r="A261" s="28"/>
      <c r="B261" s="161">
        <v>218</v>
      </c>
      <c r="C261" s="161">
        <f>COUNTIF(Podcasts!$D$10:'Podcasts'!$D$2535,B261)</f>
        <v>2</v>
      </c>
      <c r="D261" s="160" t="s">
        <v>2721</v>
      </c>
      <c r="E261" s="156" t="str">
        <f t="array" ref="E261">IF(F261="","",INDEX(Podcasts!$J$10:'Podcasts'!$J$2535,MATCH(F261&amp;$B261,Podcasts!$E$10:'Podcasts'!$E$2535&amp;Podcasts!$D$10:'Podcasts'!$D$2535,0)))</f>
        <v>Label</v>
      </c>
      <c r="F261" s="131">
        <f t="array" ref="F261">IF(COUNTIF(Podcasts!$D$10:'Podcasts'!$D$2535,$B261)&lt;COLUMN(A224),"",SMALL(IF(Podcasts!$D$10:'Podcasts'!$D$2535=$B261,Podcasts!$E$10:'Podcasts'!$E$2535),COLUMN(A224)))</f>
        <v>44813</v>
      </c>
      <c r="G261" s="132">
        <f t="array" ref="G261">IF(F261="","",INDEX(Podcasts!$F$10:'Podcasts'!$F$2535,MATCH(F261&amp;$B261,Podcasts!$E$10:'Podcasts'!$E$2535&amp;Podcasts!$D$10:'Podcasts'!$D$2535,0)))</f>
        <v>2.1921296296296296E-2</v>
      </c>
      <c r="H261" s="136" t="str">
        <f t="array" ref="H261">IF(I261="","",INDEX(Podcasts!$J$10:'Podcasts'!$J$2535,MATCH(I261&amp;$B261,Podcasts!$E$10:'Podcasts'!$E$2535&amp;Podcasts!$D$10:'Podcasts'!$D$2535,0)))</f>
        <v>Ohr</v>
      </c>
      <c r="I261" s="133">
        <f t="array" ref="I261">IF(COUNTIF(Podcasts!$D$10:'Podcasts'!$D$2535,$B261)&lt;COLUMN(B224),"",SMALL(IF(Podcasts!$D$10:'Podcasts'!$D$2535=$B261,Podcasts!$E$10:'Podcasts'!$E$2535),COLUMN(B224)))</f>
        <v>44847</v>
      </c>
      <c r="J261" s="132">
        <f t="array" ref="J261">IF(I261="","",INDEX(Podcasts!$F$10:'Podcasts'!$F$2535,MATCH(I261&amp;$B261,Podcasts!$E$10:'Podcasts'!$E$2535&amp;Podcasts!$D$10:'Podcasts'!$D$2535,0)))</f>
        <v>2.4652777777777776E-3</v>
      </c>
      <c r="K261" s="136" t="str">
        <f t="array" ref="K261">IF(L261="","",INDEX(Podcasts!$J$10:'Podcasts'!$J$2535,MATCH(L261&amp;$B261,Podcasts!$E$10:'Podcasts'!$E$2535&amp;Podcasts!$D$10:'Podcasts'!$D$2535,0)))</f>
        <v/>
      </c>
      <c r="L261" s="133" t="str">
        <f t="array" ref="L261">IF(COUNTIF(Podcasts!$D$10:'Podcasts'!$D$2535,$B261)&lt;COLUMN(C224),"",SMALL(IF(Podcasts!$D$10:'Podcasts'!$D$2535=$B261,Podcasts!$E$10:'Podcasts'!$E$2535),COLUMN(C224)))</f>
        <v/>
      </c>
      <c r="M261" s="132" t="str">
        <f t="array" ref="M261">IF(L261="","",INDEX(Podcasts!$F$10:'Podcasts'!$F$2535,MATCH(L261&amp;$B261,Podcasts!$E$10:'Podcasts'!$E$2535&amp;Podcasts!$D$10:'Podcasts'!$D$2535,0)))</f>
        <v/>
      </c>
      <c r="N261" s="136" t="str">
        <f t="array" ref="N261">IF(O261="","",INDEX(Podcasts!$J$10:'Podcasts'!$J$2535,MATCH(O261&amp;$B261,Podcasts!$E$10:'Podcasts'!$E$2535&amp;Podcasts!$D$10:'Podcasts'!$D$2535,0)))</f>
        <v/>
      </c>
      <c r="O261" s="133" t="str">
        <f t="array" ref="O261">IF(COUNTIF(Podcasts!$D$10:'Podcasts'!$D$2535,$B261)&lt;COLUMN(D224),"",SMALL(IF(Podcasts!$D$10:'Podcasts'!$D$2535=$B261,Podcasts!$E$10:'Podcasts'!$E$2535),COLUMN(D224)))</f>
        <v/>
      </c>
      <c r="P261" s="132" t="str">
        <f t="array" ref="P261">IF(O261="","",INDEX(Podcasts!$F$10:'Podcasts'!$F$2535,MATCH(O261&amp;$B261,Podcasts!$E$10:'Podcasts'!$E$2535&amp;Podcasts!$D$10:'Podcasts'!$D$2535,0)))</f>
        <v/>
      </c>
      <c r="Q261" s="136" t="str">
        <f t="array" ref="Q261">IF(R261="","",INDEX(Podcasts!$J$10:'Podcasts'!$J$2535,MATCH(R261&amp;$B261,Podcasts!$E$10:'Podcasts'!$E$2535&amp;Podcasts!$D$10:'Podcasts'!$D$2535,0)))</f>
        <v/>
      </c>
      <c r="R261" s="133" t="str">
        <f t="array" ref="R261">IF(COUNTIF(Podcasts!$D$10:'Podcasts'!$D$2535,$B261)&lt;COLUMN(E224),"",SMALL(IF(Podcasts!$D$10:'Podcasts'!$D$2535=$B261,Podcasts!$E$10:'Podcasts'!$E$2535),COLUMN(E224)))</f>
        <v/>
      </c>
      <c r="S261" s="132" t="str">
        <f t="array" ref="S261">IF(R261="","",INDEX(Podcasts!$F$10:'Podcasts'!$F$2535,MATCH(R261&amp;$B261,Podcasts!$E$10:'Podcasts'!$E$2535&amp;Podcasts!$D$10:'Podcasts'!$D$2535,0)))</f>
        <v/>
      </c>
      <c r="T261" s="136" t="str">
        <f t="array" ref="T261">IF(U261="","",INDEX(Podcasts!$J$10:'Podcasts'!$J$2535,MATCH(U261&amp;$B261,Podcasts!$E$10:'Podcasts'!$E$2535&amp;Podcasts!$D$10:'Podcasts'!$D$2535,0)))</f>
        <v/>
      </c>
      <c r="U261" s="133" t="str">
        <f t="array" ref="U261">IF(COUNTIF(Podcasts!$D$10:'Podcasts'!$D$2535,$B261)&lt;COLUMN(F224),"",SMALL(IF(Podcasts!$D$10:'Podcasts'!$D$2535=$B261,Podcasts!$E$10:'Podcasts'!$E$2535),COLUMN(F224)))</f>
        <v/>
      </c>
      <c r="V261" s="132" t="str">
        <f t="array" ref="V261">IF(U261="","",INDEX(Podcasts!$F$10:'Podcasts'!$F$2535,MATCH(U261&amp;$B261,Podcasts!$E$10:'Podcasts'!$E$2535&amp;Podcasts!$D$10:'Podcasts'!$D$2535,0)))</f>
        <v/>
      </c>
      <c r="W261" s="136" t="str">
        <f t="array" ref="W261">IF(X261="","",INDEX(Podcasts!$J$10:'Podcasts'!$J$2535,MATCH(X261&amp;$B261,Podcasts!$E$10:'Podcasts'!$E$2535&amp;Podcasts!$D$10:'Podcasts'!$D$2535,0)))</f>
        <v/>
      </c>
      <c r="X261" s="133" t="str">
        <f t="array" ref="X261">IF(COUNTIF(Podcasts!$D$10:'Podcasts'!$D$2535,$B261)&lt;COLUMN(G224),"",SMALL(IF(Podcasts!$D$10:'Podcasts'!$D$2535=$B261,Podcasts!$E$10:'Podcasts'!$E$2535),COLUMN(G224)))</f>
        <v/>
      </c>
      <c r="Y261" s="132" t="str">
        <f t="array" ref="Y261">IF(X261="","",INDEX(Podcasts!$F$10:'Podcasts'!$F$2535,MATCH(X261&amp;$B261,Podcasts!$E$10:'Podcasts'!$E$2535&amp;Podcasts!$D$10:'Podcasts'!$D$2535,0)))</f>
        <v/>
      </c>
      <c r="Z261" s="136" t="str">
        <f t="array" ref="Z261">IF(AA261="","",INDEX(Podcasts!$J$10:'Podcasts'!$J$2535,MATCH(AA261&amp;$B261,Podcasts!$E$10:'Podcasts'!$E$2535&amp;Podcasts!$D$10:'Podcasts'!$D$2535,0)))</f>
        <v/>
      </c>
      <c r="AA261" s="134" t="str">
        <f t="array" ref="AA261">IF(COUNTIF(Podcasts!$D$10:'Podcasts'!$D$2535,$B261)&lt;COLUMN(H224),"",SMALL(IF(Podcasts!$D$10:'Podcasts'!$D$2535=$B261,Podcasts!$E$10:'Podcasts'!$E$2535),COLUMN(H224)))</f>
        <v/>
      </c>
      <c r="AB261" s="404" t="str">
        <f t="array" ref="AB261">IF(AA261="","",INDEX(Podcasts!$F$10:'Podcasts'!$F$2535,MATCH(AA261&amp;$B261,Podcasts!$E$10:'Podcasts'!$E$2535&amp;Podcasts!$D$10:'Podcasts'!$D$2535,0)))</f>
        <v/>
      </c>
      <c r="AC261" s="406" t="str">
        <f t="array" ref="AC261">IF(AD261="","",INDEX(Podcasts!$J$10:'Podcasts'!$J$2535,MATCH(AD261&amp;$B261,Podcasts!$E$10:'Podcasts'!$E$2535&amp;Podcasts!$D$10:'Podcasts'!$D$2535,0)))</f>
        <v/>
      </c>
      <c r="AD261" s="400" t="str">
        <f t="array" ref="AD261">IF(COUNTIF(Podcasts!$D$10:'Podcasts'!$D$2535,$B261)&lt;COLUMN(I224),"",SMALL(IF(Podcasts!$D$10:'Podcasts'!$D$2535=$B261,Podcasts!$E$10:'Podcasts'!$E$2535),COLUMN(I224)))</f>
        <v/>
      </c>
      <c r="AE261" s="401" t="str">
        <f t="array" ref="AE261">IF(AD261="","",INDEX(Podcasts!$F$10:'Podcasts'!$F$2535,MATCH(AD261&amp;$B261,Podcasts!$E$10:'Podcasts'!$E$2535&amp;Podcasts!$D$10:'Podcasts'!$D$2535,0)))</f>
        <v/>
      </c>
      <c r="AF261" s="406" t="str">
        <f t="array" ref="AF261">IF(AG261="","",INDEX(Podcasts!$J$10:'Podcasts'!$J$2535,MATCH(AG261&amp;$B261,Podcasts!$E$10:'Podcasts'!$E$2535&amp;Podcasts!$D$10:'Podcasts'!$D$2535,0)))</f>
        <v/>
      </c>
      <c r="AG261" s="400" t="str">
        <f t="array" ref="AG261">IF(COUNTIF(Podcasts!$D$10:'Podcasts'!$D$2535,$B261)&lt;COLUMN(J224),"",SMALL(IF(Podcasts!$D$10:'Podcasts'!$D$2535=$B261,Podcasts!$E$10:'Podcasts'!$E$2535),COLUMN(J224)))</f>
        <v/>
      </c>
      <c r="AH261" s="401" t="str">
        <f t="array" ref="AH261">IF(AG261="","",INDEX(Podcasts!$F$10:'Podcasts'!$F$2535,MATCH(AG261&amp;$B261,Podcasts!$E$10:'Podcasts'!$E$2535&amp;Podcasts!$D$10:'Podcasts'!$D$2535,0)))</f>
        <v/>
      </c>
      <c r="AI261" s="406" t="str">
        <f t="array" ref="AI261">IF(AJ261="","",INDEX(Podcasts!$J$10:'Podcasts'!$J$2535,MATCH(AJ261&amp;$B261,Podcasts!$E$10:'Podcasts'!$E$2535&amp;Podcasts!$D$10:'Podcasts'!$D$2535,0)))</f>
        <v/>
      </c>
      <c r="AJ261" s="400" t="str">
        <f t="array" ref="AJ261">IF(COUNTIF(Podcasts!$D$10:'Podcasts'!$D$2535,$B261)&lt;COLUMN(K224),"",SMALL(IF(Podcasts!$D$10:'Podcasts'!$D$2535=$B261,Podcasts!$E$10:'Podcasts'!$E$2535),COLUMN(K224)))</f>
        <v/>
      </c>
      <c r="AK261" s="401" t="str">
        <f t="array" ref="AK261">IF(AJ261="","",INDEX(Podcasts!$F$10:'Podcasts'!$F$2535,MATCH(AJ261&amp;$B261,Podcasts!$E$10:'Podcasts'!$E$2535&amp;Podcasts!$D$10:'Podcasts'!$D$2535,0)))</f>
        <v/>
      </c>
      <c r="AL261" s="406" t="str">
        <f t="array" ref="AL261">IF(AM261="","",INDEX(Podcasts!$J$10:'Podcasts'!$J$2535,MATCH(AM261&amp;$B261,Podcasts!$E$10:'Podcasts'!$E$2535&amp;Podcasts!$D$10:'Podcasts'!$D$2535,0)))</f>
        <v/>
      </c>
      <c r="AM261" s="400" t="str">
        <f t="array" ref="AM261">IF(COUNTIF(Podcasts!$D$10:'Podcasts'!$D$2535,$B261)&lt;COLUMN(L224),"",SMALL(IF(Podcasts!$D$10:'Podcasts'!$D$2535=$B261,Podcasts!$E$10:'Podcasts'!$E$2535),COLUMN(L224)))</f>
        <v/>
      </c>
      <c r="AN261" s="401" t="str">
        <f t="array" ref="AN261">IF(AM261="","",INDEX(Podcasts!$F$10:'Podcasts'!$F$2535,MATCH(AM261&amp;$B261,Podcasts!$E$10:'Podcasts'!$E$2535&amp;Podcasts!$D$10:'Podcasts'!$D$2535,0)))</f>
        <v/>
      </c>
      <c r="AO261" s="402"/>
      <c r="AP261" s="119"/>
      <c r="AQ261" s="117"/>
      <c r="AR261" s="117"/>
      <c r="AS261" s="117"/>
      <c r="AT261" s="117"/>
      <c r="AU261" s="117">
        <f t="array" aca="1" ref="AU261" ca="1">IFERROR(SMALL(IF(COUNTIF(Podcasts!$D$479:'Podcasts'!$D$488,ROW(INDIRECT("1:"&amp;K$2)))=0,ROW(INDIRECT("1:"&amp;K$2))),ROW($A218)),"")</f>
        <v>222</v>
      </c>
      <c r="AV261" s="117"/>
      <c r="AW261" s="117">
        <f t="array" aca="1" ref="AW261" ca="1">IFERROR(SMALL(IF(COUNTIF(Podcasts!$D$524:'Podcasts'!$D$532,ROW(INDIRECT("1:"&amp;K$2)))=0,ROW(INDIRECT("1:"&amp;K$2))),ROW($A218)),"")</f>
        <v>225</v>
      </c>
      <c r="AX261" s="117"/>
      <c r="AY261" s="117"/>
      <c r="AZ261" s="445"/>
      <c r="BA261" s="117"/>
      <c r="BB261" s="117">
        <f t="array" aca="1" ref="BB261" ca="1">IFERROR(SMALL(IF(COUNTIF(Podcasts!$D$1257:'Podcasts'!$D$1267,ROW(INDIRECT("1:"&amp;K$2)))=0,ROW(INDIRECT("1:"&amp;K$2))),ROW($A218)),"")</f>
        <v>226</v>
      </c>
      <c r="BC261" s="117">
        <f t="array" aca="1" ref="BC261" ca="1">IFERROR(SMALL(IF(COUNTIF(Podcasts!$D$1273:'Podcasts'!$D$1283,ROW(INDIRECT("1:"&amp;K$2)))=0,ROW(INDIRECT("1:"&amp;K$2))),ROW($A218)),"")</f>
        <v>225</v>
      </c>
      <c r="BD261" s="117">
        <f t="array" aca="1" ref="BD261" ca="1">IFERROR(SMALL(IF(COUNTIF(Podcasts!$D$1289:'Podcasts'!$D$1295,ROW(INDIRECT("1:"&amp;K$2)))=0,ROW(INDIRECT("1:"&amp;K$2))),ROW($A218)),"")</f>
        <v>225</v>
      </c>
      <c r="BE261" s="117"/>
      <c r="BF261" s="117">
        <f t="array" aca="1" ref="BF261" ca="1">IFERROR(SMALL(IF(COUNTIF(Podcasts!$D$1362:'Podcasts'!$D$1364,ROW(INDIRECT("1:"&amp;K$2)))=0,ROW(INDIRECT("1:"&amp;K$2))),ROW($A218)),"")</f>
        <v>221</v>
      </c>
      <c r="BG261" s="202"/>
      <c r="BH261" s="202"/>
      <c r="BI261" s="202"/>
      <c r="BJ261" s="202"/>
      <c r="BK261" s="202"/>
      <c r="BL261" s="202" t="str">
        <f t="array" aca="1" ref="BL261" ca="1">IFERROR(SMALL(IF(COUNTIF(Podcasts!$D$1839:'Podcasts'!$D$1855,ROW(INDIRECT("1:"&amp;K$2)))=0,ROW(INDIRECT("1:"&amp;K$2))),ROW($A218)),"")</f>
        <v/>
      </c>
      <c r="BM261" s="567"/>
      <c r="BN261" s="567"/>
      <c r="BO261" s="567" t="str">
        <f t="array" aca="1" ref="BO261" ca="1">IFERROR(SMALL(IF(COUNTIF(Podcasts!$D$2063:'Podcasts'!$D$2071,ROW(INDIRECT("1:"&amp;K$2)))=0,ROW(INDIRECT("1:"&amp;K$2))),ROW($A218)),"")</f>
        <v/>
      </c>
      <c r="BP261" s="202" t="str">
        <f t="array" aca="1" ref="BP261" ca="1">IFERROR(SMALL(IF(COUNTIF(Podcasts!$D$2077:'Podcasts'!$D$2092,ROW(INDIRECT("1:"&amp;K$2)))=0,ROW(INDIRECT("1:"&amp;K$2))),ROW($A218)),"")</f>
        <v/>
      </c>
      <c r="BQ261" s="741"/>
      <c r="BR261" s="744">
        <f t="array" aca="1" ref="BR261" ca="1">IFERROR(SMALL(IF(COUNTIF(Podcasts!$D$2120:'Podcasts'!$D$2124,ROW(INDIRECT("1:"&amp;K$2)))=0,ROW(INDIRECT("1:"&amp;K$2))),ROW($A218)),"")</f>
        <v>221</v>
      </c>
      <c r="BS261" s="28"/>
    </row>
    <row r="262" spans="1:71" outlineLevel="1">
      <c r="A262" s="28"/>
      <c r="B262" s="161">
        <v>219</v>
      </c>
      <c r="C262" s="161">
        <f>COUNTIF(Podcasts!$D$10:'Podcasts'!$D$2535,B262)</f>
        <v>3</v>
      </c>
      <c r="D262" s="160" t="s">
        <v>2784</v>
      </c>
      <c r="E262" s="156" t="str">
        <f t="array" ref="E262">IF(F262="","",INDEX(Podcasts!$J$10:'Podcasts'!$J$2535,MATCH(F262&amp;$B262,Podcasts!$E$10:'Podcasts'!$E$2535&amp;Podcasts!$D$10:'Podcasts'!$D$2535,0)))</f>
        <v>Label</v>
      </c>
      <c r="F262" s="131">
        <f t="array" ref="F262">IF(COUNTIF(Podcasts!$D$10:'Podcasts'!$D$2535,$B262)&lt;COLUMN(A225),"",SMALL(IF(Podcasts!$D$10:'Podcasts'!$D$2535=$B262,Podcasts!$E$10:'Podcasts'!$E$2535),COLUMN(A225)))</f>
        <v>44876</v>
      </c>
      <c r="G262" s="132">
        <f t="array" ref="G262">IF(F262="","",INDEX(Podcasts!$F$10:'Podcasts'!$F$2535,MATCH(F262&amp;$B262,Podcasts!$E$10:'Podcasts'!$E$2535&amp;Podcasts!$D$10:'Podcasts'!$D$2535,0)))</f>
        <v>1.7916666666666668E-2</v>
      </c>
      <c r="H262" s="136" t="str">
        <f t="array" ref="H262">IF(I262="","",INDEX(Podcasts!$J$10:'Podcasts'!$J$2535,MATCH(I262&amp;$B262,Podcasts!$E$10:'Podcasts'!$E$2535&amp;Podcasts!$D$10:'Podcasts'!$D$2535,0)))</f>
        <v>Ohr</v>
      </c>
      <c r="I262" s="133">
        <f t="array" ref="I262">IF(COUNTIF(Podcasts!$D$10:'Podcasts'!$D$2535,$B262)&lt;COLUMN(B225),"",SMALL(IF(Podcasts!$D$10:'Podcasts'!$D$2535=$B262,Podcasts!$E$10:'Podcasts'!$E$2535),COLUMN(B225)))</f>
        <v>44912</v>
      </c>
      <c r="J262" s="132">
        <f t="array" ref="J262">IF(I262="","",INDEX(Podcasts!$F$10:'Podcasts'!$F$2535,MATCH(I262&amp;$B262,Podcasts!$E$10:'Podcasts'!$E$2535&amp;Podcasts!$D$10:'Podcasts'!$D$2535,0)))</f>
        <v>3.4375E-3</v>
      </c>
      <c r="K262" s="136" t="str">
        <f t="array" ref="K262">IF(L262="","",INDEX(Podcasts!$J$10:'Podcasts'!$J$2535,MATCH(L262&amp;$B262,Podcasts!$E$10:'Podcasts'!$E$2535&amp;Podcasts!$D$10:'Podcasts'!$D$2535,0)))</f>
        <v>SSP</v>
      </c>
      <c r="L262" s="133">
        <f t="array" ref="L262">IF(COUNTIF(Podcasts!$D$10:'Podcasts'!$D$2535,$B262)&lt;COLUMN(C225),"",SMALL(IF(Podcasts!$D$10:'Podcasts'!$D$2535=$B262,Podcasts!$E$10:'Podcasts'!$E$2535),COLUMN(C225)))</f>
        <v>44973</v>
      </c>
      <c r="M262" s="132">
        <f t="array" ref="M262">IF(L262="","",INDEX(Podcasts!$F$10:'Podcasts'!$F$2535,MATCH(L262&amp;$B262,Podcasts!$E$10:'Podcasts'!$E$2535&amp;Podcasts!$D$10:'Podcasts'!$D$2535,0)))</f>
        <v>0.10931712962962963</v>
      </c>
      <c r="N262" s="136" t="str">
        <f t="array" ref="N262">IF(O262="","",INDEX(Podcasts!$J$10:'Podcasts'!$J$2535,MATCH(O262&amp;$B262,Podcasts!$E$10:'Podcasts'!$E$2535&amp;Podcasts!$D$10:'Podcasts'!$D$2535,0)))</f>
        <v/>
      </c>
      <c r="O262" s="133" t="str">
        <f t="array" ref="O262">IF(COUNTIF(Podcasts!$D$10:'Podcasts'!$D$2535,$B262)&lt;COLUMN(D225),"",SMALL(IF(Podcasts!$D$10:'Podcasts'!$D$2535=$B262,Podcasts!$E$10:'Podcasts'!$E$2535),COLUMN(D225)))</f>
        <v/>
      </c>
      <c r="P262" s="132" t="str">
        <f t="array" ref="P262">IF(O262="","",INDEX(Podcasts!$F$10:'Podcasts'!$F$2535,MATCH(O262&amp;$B262,Podcasts!$E$10:'Podcasts'!$E$2535&amp;Podcasts!$D$10:'Podcasts'!$D$2535,0)))</f>
        <v/>
      </c>
      <c r="Q262" s="136" t="str">
        <f t="array" ref="Q262">IF(R262="","",INDEX(Podcasts!$J$10:'Podcasts'!$J$2535,MATCH(R262&amp;$B262,Podcasts!$E$10:'Podcasts'!$E$2535&amp;Podcasts!$D$10:'Podcasts'!$D$2535,0)))</f>
        <v/>
      </c>
      <c r="R262" s="133" t="str">
        <f t="array" ref="R262">IF(COUNTIF(Podcasts!$D$10:'Podcasts'!$D$2535,$B262)&lt;COLUMN(E225),"",SMALL(IF(Podcasts!$D$10:'Podcasts'!$D$2535=$B262,Podcasts!$E$10:'Podcasts'!$E$2535),COLUMN(E225)))</f>
        <v/>
      </c>
      <c r="S262" s="132" t="str">
        <f t="array" ref="S262">IF(R262="","",INDEX(Podcasts!$F$10:'Podcasts'!$F$2535,MATCH(R262&amp;$B262,Podcasts!$E$10:'Podcasts'!$E$2535&amp;Podcasts!$D$10:'Podcasts'!$D$2535,0)))</f>
        <v/>
      </c>
      <c r="T262" s="136" t="str">
        <f t="array" ref="T262">IF(U262="","",INDEX(Podcasts!$J$10:'Podcasts'!$J$2535,MATCH(U262&amp;$B262,Podcasts!$E$10:'Podcasts'!$E$2535&amp;Podcasts!$D$10:'Podcasts'!$D$2535,0)))</f>
        <v/>
      </c>
      <c r="U262" s="133" t="str">
        <f t="array" ref="U262">IF(COUNTIF(Podcasts!$D$10:'Podcasts'!$D$2535,$B262)&lt;COLUMN(F225),"",SMALL(IF(Podcasts!$D$10:'Podcasts'!$D$2535=$B262,Podcasts!$E$10:'Podcasts'!$E$2535),COLUMN(F225)))</f>
        <v/>
      </c>
      <c r="V262" s="132" t="str">
        <f t="array" ref="V262">IF(U262="","",INDEX(Podcasts!$F$10:'Podcasts'!$F$2535,MATCH(U262&amp;$B262,Podcasts!$E$10:'Podcasts'!$E$2535&amp;Podcasts!$D$10:'Podcasts'!$D$2535,0)))</f>
        <v/>
      </c>
      <c r="W262" s="136" t="str">
        <f t="array" ref="W262">IF(X262="","",INDEX(Podcasts!$J$10:'Podcasts'!$J$2535,MATCH(X262&amp;$B262,Podcasts!$E$10:'Podcasts'!$E$2535&amp;Podcasts!$D$10:'Podcasts'!$D$2535,0)))</f>
        <v/>
      </c>
      <c r="X262" s="133" t="str">
        <f t="array" ref="X262">IF(COUNTIF(Podcasts!$D$10:'Podcasts'!$D$2535,$B262)&lt;COLUMN(G225),"",SMALL(IF(Podcasts!$D$10:'Podcasts'!$D$2535=$B262,Podcasts!$E$10:'Podcasts'!$E$2535),COLUMN(G225)))</f>
        <v/>
      </c>
      <c r="Y262" s="132" t="str">
        <f t="array" ref="Y262">IF(X262="","",INDEX(Podcasts!$F$10:'Podcasts'!$F$2535,MATCH(X262&amp;$B262,Podcasts!$E$10:'Podcasts'!$E$2535&amp;Podcasts!$D$10:'Podcasts'!$D$2535,0)))</f>
        <v/>
      </c>
      <c r="Z262" s="136" t="str">
        <f t="array" ref="Z262">IF(AA262="","",INDEX(Podcasts!$J$10:'Podcasts'!$J$2535,MATCH(AA262&amp;$B262,Podcasts!$E$10:'Podcasts'!$E$2535&amp;Podcasts!$D$10:'Podcasts'!$D$2535,0)))</f>
        <v/>
      </c>
      <c r="AA262" s="134" t="str">
        <f t="array" ref="AA262">IF(COUNTIF(Podcasts!$D$10:'Podcasts'!$D$2535,$B262)&lt;COLUMN(H225),"",SMALL(IF(Podcasts!$D$10:'Podcasts'!$D$2535=$B262,Podcasts!$E$10:'Podcasts'!$E$2535),COLUMN(H225)))</f>
        <v/>
      </c>
      <c r="AB262" s="404" t="str">
        <f t="array" ref="AB262">IF(AA262="","",INDEX(Podcasts!$F$10:'Podcasts'!$F$2535,MATCH(AA262&amp;$B262,Podcasts!$E$10:'Podcasts'!$E$2535&amp;Podcasts!$D$10:'Podcasts'!$D$2535,0)))</f>
        <v/>
      </c>
      <c r="AC262" s="406" t="str">
        <f t="array" ref="AC262">IF(AD262="","",INDEX(Podcasts!$J$10:'Podcasts'!$J$2535,MATCH(AD262&amp;$B262,Podcasts!$E$10:'Podcasts'!$E$2535&amp;Podcasts!$D$10:'Podcasts'!$D$2535,0)))</f>
        <v/>
      </c>
      <c r="AD262" s="400" t="str">
        <f t="array" ref="AD262">IF(COUNTIF(Podcasts!$D$10:'Podcasts'!$D$2535,$B262)&lt;COLUMN(I225),"",SMALL(IF(Podcasts!$D$10:'Podcasts'!$D$2535=$B262,Podcasts!$E$10:'Podcasts'!$E$2535),COLUMN(I225)))</f>
        <v/>
      </c>
      <c r="AE262" s="401" t="str">
        <f t="array" ref="AE262">IF(AD262="","",INDEX(Podcasts!$F$10:'Podcasts'!$F$2535,MATCH(AD262&amp;$B262,Podcasts!$E$10:'Podcasts'!$E$2535&amp;Podcasts!$D$10:'Podcasts'!$D$2535,0)))</f>
        <v/>
      </c>
      <c r="AF262" s="406" t="str">
        <f t="array" ref="AF262">IF(AG262="","",INDEX(Podcasts!$J$10:'Podcasts'!$J$2535,MATCH(AG262&amp;$B262,Podcasts!$E$10:'Podcasts'!$E$2535&amp;Podcasts!$D$10:'Podcasts'!$D$2535,0)))</f>
        <v/>
      </c>
      <c r="AG262" s="400" t="str">
        <f t="array" ref="AG262">IF(COUNTIF(Podcasts!$D$10:'Podcasts'!$D$2535,$B262)&lt;COLUMN(J225),"",SMALL(IF(Podcasts!$D$10:'Podcasts'!$D$2535=$B262,Podcasts!$E$10:'Podcasts'!$E$2535),COLUMN(J225)))</f>
        <v/>
      </c>
      <c r="AH262" s="401" t="str">
        <f t="array" ref="AH262">IF(AG262="","",INDEX(Podcasts!$F$10:'Podcasts'!$F$2535,MATCH(AG262&amp;$B262,Podcasts!$E$10:'Podcasts'!$E$2535&amp;Podcasts!$D$10:'Podcasts'!$D$2535,0)))</f>
        <v/>
      </c>
      <c r="AI262" s="406" t="str">
        <f t="array" ref="AI262">IF(AJ262="","",INDEX(Podcasts!$J$10:'Podcasts'!$J$2535,MATCH(AJ262&amp;$B262,Podcasts!$E$10:'Podcasts'!$E$2535&amp;Podcasts!$D$10:'Podcasts'!$D$2535,0)))</f>
        <v/>
      </c>
      <c r="AJ262" s="400" t="str">
        <f t="array" ref="AJ262">IF(COUNTIF(Podcasts!$D$10:'Podcasts'!$D$2535,$B262)&lt;COLUMN(K225),"",SMALL(IF(Podcasts!$D$10:'Podcasts'!$D$2535=$B262,Podcasts!$E$10:'Podcasts'!$E$2535),COLUMN(K225)))</f>
        <v/>
      </c>
      <c r="AK262" s="401" t="str">
        <f t="array" ref="AK262">IF(AJ262="","",INDEX(Podcasts!$F$10:'Podcasts'!$F$2535,MATCH(AJ262&amp;$B262,Podcasts!$E$10:'Podcasts'!$E$2535&amp;Podcasts!$D$10:'Podcasts'!$D$2535,0)))</f>
        <v/>
      </c>
      <c r="AL262" s="406" t="str">
        <f t="array" ref="AL262">IF(AM262="","",INDEX(Podcasts!$J$10:'Podcasts'!$J$2535,MATCH(AM262&amp;$B262,Podcasts!$E$10:'Podcasts'!$E$2535&amp;Podcasts!$D$10:'Podcasts'!$D$2535,0)))</f>
        <v/>
      </c>
      <c r="AM262" s="400" t="str">
        <f t="array" ref="AM262">IF(COUNTIF(Podcasts!$D$10:'Podcasts'!$D$2535,$B262)&lt;COLUMN(L225),"",SMALL(IF(Podcasts!$D$10:'Podcasts'!$D$2535=$B262,Podcasts!$E$10:'Podcasts'!$E$2535),COLUMN(L225)))</f>
        <v/>
      </c>
      <c r="AN262" s="401" t="str">
        <f t="array" ref="AN262">IF(AM262="","",INDEX(Podcasts!$F$10:'Podcasts'!$F$2535,MATCH(AM262&amp;$B262,Podcasts!$E$10:'Podcasts'!$E$2535&amp;Podcasts!$D$10:'Podcasts'!$D$2535,0)))</f>
        <v/>
      </c>
      <c r="AO262" s="402"/>
      <c r="AP262" s="119"/>
      <c r="AQ262" s="117"/>
      <c r="AR262" s="117"/>
      <c r="AS262" s="117"/>
      <c r="AT262" s="117"/>
      <c r="AU262" s="117">
        <f t="array" aca="1" ref="AU262" ca="1">IFERROR(SMALL(IF(COUNTIF(Podcasts!$D$479:'Podcasts'!$D$488,ROW(INDIRECT("1:"&amp;K$2)))=0,ROW(INDIRECT("1:"&amp;K$2))),ROW($A219)),"")</f>
        <v>223</v>
      </c>
      <c r="AV262" s="117"/>
      <c r="AW262" s="117">
        <f t="array" aca="1" ref="AW262" ca="1">IFERROR(SMALL(IF(COUNTIF(Podcasts!$D$524:'Podcasts'!$D$532,ROW(INDIRECT("1:"&amp;K$2)))=0,ROW(INDIRECT("1:"&amp;K$2))),ROW($A219)),"")</f>
        <v>226</v>
      </c>
      <c r="AX262" s="117"/>
      <c r="AY262" s="117"/>
      <c r="AZ262" s="445"/>
      <c r="BA262" s="117"/>
      <c r="BB262" s="117" t="str">
        <f t="array" aca="1" ref="BB262" ca="1">IFERROR(SMALL(IF(COUNTIF(Podcasts!$D$1257:'Podcasts'!$D$1267,ROW(INDIRECT("1:"&amp;K$2)))=0,ROW(INDIRECT("1:"&amp;K$2))),ROW($A219)),"")</f>
        <v/>
      </c>
      <c r="BC262" s="117">
        <f t="array" aca="1" ref="BC262" ca="1">IFERROR(SMALL(IF(COUNTIF(Podcasts!$D$1273:'Podcasts'!$D$1283,ROW(INDIRECT("1:"&amp;K$2)))=0,ROW(INDIRECT("1:"&amp;K$2))),ROW($A219)),"")</f>
        <v>226</v>
      </c>
      <c r="BD262" s="117">
        <f t="array" aca="1" ref="BD262" ca="1">IFERROR(SMALL(IF(COUNTIF(Podcasts!$D$1289:'Podcasts'!$D$1295,ROW(INDIRECT("1:"&amp;K$2)))=0,ROW(INDIRECT("1:"&amp;K$2))),ROW($A219)),"")</f>
        <v>226</v>
      </c>
      <c r="BE262" s="117"/>
      <c r="BF262" s="117">
        <f t="array" aca="1" ref="BF262" ca="1">IFERROR(SMALL(IF(COUNTIF(Podcasts!$D$1362:'Podcasts'!$D$1364,ROW(INDIRECT("1:"&amp;K$2)))=0,ROW(INDIRECT("1:"&amp;K$2))),ROW($A219)),"")</f>
        <v>222</v>
      </c>
      <c r="BG262" s="202"/>
      <c r="BH262" s="202"/>
      <c r="BI262" s="202"/>
      <c r="BJ262" s="202"/>
      <c r="BK262" s="202"/>
      <c r="BL262" s="202" t="str">
        <f t="array" aca="1" ref="BL262" ca="1">IFERROR(SMALL(IF(COUNTIF(Podcasts!$D$1839:'Podcasts'!$D$1855,ROW(INDIRECT("1:"&amp;K$2)))=0,ROW(INDIRECT("1:"&amp;K$2))),ROW($A219)),"")</f>
        <v/>
      </c>
      <c r="BM262" s="567"/>
      <c r="BN262" s="567"/>
      <c r="BO262" s="567" t="str">
        <f t="array" aca="1" ref="BO262" ca="1">IFERROR(SMALL(IF(COUNTIF(Podcasts!$D$2063:'Podcasts'!$D$2071,ROW(INDIRECT("1:"&amp;K$2)))=0,ROW(INDIRECT("1:"&amp;K$2))),ROW($A219)),"")</f>
        <v/>
      </c>
      <c r="BP262" s="202" t="str">
        <f t="array" aca="1" ref="BP262" ca="1">IFERROR(SMALL(IF(COUNTIF(Podcasts!$D$2077:'Podcasts'!$D$2092,ROW(INDIRECT("1:"&amp;K$2)))=0,ROW(INDIRECT("1:"&amp;K$2))),ROW($A219)),"")</f>
        <v/>
      </c>
      <c r="BQ262" s="741"/>
      <c r="BR262" s="744">
        <f t="array" aca="1" ref="BR262" ca="1">IFERROR(SMALL(IF(COUNTIF(Podcasts!$D$2120:'Podcasts'!$D$2124,ROW(INDIRECT("1:"&amp;K$2)))=0,ROW(INDIRECT("1:"&amp;K$2))),ROW($A219)),"")</f>
        <v>222</v>
      </c>
      <c r="BS262" s="28"/>
    </row>
    <row r="263" spans="1:71" outlineLevel="1">
      <c r="A263" s="28"/>
      <c r="B263" s="161">
        <v>220</v>
      </c>
      <c r="C263" s="161">
        <f>COUNTIF(Podcasts!$D$10:'Podcasts'!$D$2535,B263)</f>
        <v>3</v>
      </c>
      <c r="D263" s="160" t="s">
        <v>2786</v>
      </c>
      <c r="E263" s="156" t="str">
        <f t="array" ref="E263">IF(F263="","",INDEX(Podcasts!$J$10:'Podcasts'!$J$2535,MATCH(F263&amp;$B263,Podcasts!$E$10:'Podcasts'!$E$2535&amp;Podcasts!$D$10:'Podcasts'!$D$2535,0)))</f>
        <v>Label</v>
      </c>
      <c r="F263" s="131">
        <f t="array" ref="F263">IF(COUNTIF(Podcasts!$D$10:'Podcasts'!$D$2535,$B263)&lt;COLUMN(A226),"",SMALL(IF(Podcasts!$D$10:'Podcasts'!$D$2535=$B263,Podcasts!$E$10:'Podcasts'!$E$2535),COLUMN(A226)))</f>
        <v>44944</v>
      </c>
      <c r="G263" s="132">
        <f t="array" ref="G263">IF(F263="","",INDEX(Podcasts!$F$10:'Podcasts'!$F$2535,MATCH(F263&amp;$B263,Podcasts!$E$10:'Podcasts'!$E$2535&amp;Podcasts!$D$10:'Podcasts'!$D$2535,0)))</f>
        <v>2.2418981481481481E-2</v>
      </c>
      <c r="H263" s="136" t="str">
        <f t="array" ref="H263">IF(I263="","",INDEX(Podcasts!$J$10:'Podcasts'!$J$2535,MATCH(I263&amp;$B263,Podcasts!$E$10:'Podcasts'!$E$2535&amp;Podcasts!$D$10:'Podcasts'!$D$2535,0)))</f>
        <v>Ohr</v>
      </c>
      <c r="I263" s="133">
        <f t="array" ref="I263">IF(COUNTIF(Podcasts!$D$10:'Podcasts'!$D$2535,$B263)&lt;COLUMN(B226),"",SMALL(IF(Podcasts!$D$10:'Podcasts'!$D$2535=$B263,Podcasts!$E$10:'Podcasts'!$E$2535),COLUMN(B226)))</f>
        <v>44975</v>
      </c>
      <c r="J263" s="132">
        <f t="array" ref="J263">IF(I263="","",INDEX(Podcasts!$F$10:'Podcasts'!$F$2535,MATCH(I263&amp;$B263,Podcasts!$E$10:'Podcasts'!$E$2535&amp;Podcasts!$D$10:'Podcasts'!$D$2535,0)))</f>
        <v>5.7291666666666671E-3</v>
      </c>
      <c r="K263" s="136" t="str">
        <f t="array" ref="K263">IF(L263="","",INDEX(Podcasts!$J$10:'Podcasts'!$J$2535,MATCH(L263&amp;$B263,Podcasts!$E$10:'Podcasts'!$E$2535&amp;Podcasts!$D$10:'Podcasts'!$D$2535,0)))</f>
        <v>:punkt</v>
      </c>
      <c r="L263" s="133">
        <f t="array" ref="L263">IF(COUNTIF(Podcasts!$D$10:'Podcasts'!$D$2535,$B263)&lt;COLUMN(C226),"",SMALL(IF(Podcasts!$D$10:'Podcasts'!$D$2535=$B263,Podcasts!$E$10:'Podcasts'!$E$2535),COLUMN(C226)))</f>
        <v>45381</v>
      </c>
      <c r="M263" s="132">
        <f t="array" ref="M263">IF(L263="","",INDEX(Podcasts!$F$10:'Podcasts'!$F$2535,MATCH(L263&amp;$B263,Podcasts!$E$10:'Podcasts'!$E$2535&amp;Podcasts!$D$10:'Podcasts'!$D$2535,0)))</f>
        <v>3.6828703703703704E-2</v>
      </c>
      <c r="N263" s="136" t="str">
        <f t="array" ref="N263">IF(O263="","",INDEX(Podcasts!$J$10:'Podcasts'!$J$2535,MATCH(O263&amp;$B263,Podcasts!$E$10:'Podcasts'!$E$2535&amp;Podcasts!$D$10:'Podcasts'!$D$2535,0)))</f>
        <v/>
      </c>
      <c r="O263" s="133" t="str">
        <f t="array" ref="O263">IF(COUNTIF(Podcasts!$D$10:'Podcasts'!$D$2535,$B263)&lt;COLUMN(D226),"",SMALL(IF(Podcasts!$D$10:'Podcasts'!$D$2535=$B263,Podcasts!$E$10:'Podcasts'!$E$2535),COLUMN(D226)))</f>
        <v/>
      </c>
      <c r="P263" s="132" t="str">
        <f t="array" ref="P263">IF(O263="","",INDEX(Podcasts!$F$10:'Podcasts'!$F$2535,MATCH(O263&amp;$B263,Podcasts!$E$10:'Podcasts'!$E$2535&amp;Podcasts!$D$10:'Podcasts'!$D$2535,0)))</f>
        <v/>
      </c>
      <c r="Q263" s="136" t="str">
        <f t="array" ref="Q263">IF(R263="","",INDEX(Podcasts!$J$10:'Podcasts'!$J$2535,MATCH(R263&amp;$B263,Podcasts!$E$10:'Podcasts'!$E$2535&amp;Podcasts!$D$10:'Podcasts'!$D$2535,0)))</f>
        <v/>
      </c>
      <c r="R263" s="133" t="str">
        <f t="array" ref="R263">IF(COUNTIF(Podcasts!$D$10:'Podcasts'!$D$2535,$B263)&lt;COLUMN(E226),"",SMALL(IF(Podcasts!$D$10:'Podcasts'!$D$2535=$B263,Podcasts!$E$10:'Podcasts'!$E$2535),COLUMN(E226)))</f>
        <v/>
      </c>
      <c r="S263" s="132" t="str">
        <f t="array" ref="S263">IF(R263="","",INDEX(Podcasts!$F$10:'Podcasts'!$F$2535,MATCH(R263&amp;$B263,Podcasts!$E$10:'Podcasts'!$E$2535&amp;Podcasts!$D$10:'Podcasts'!$D$2535,0)))</f>
        <v/>
      </c>
      <c r="T263" s="136" t="str">
        <f t="array" ref="T263">IF(U263="","",INDEX(Podcasts!$J$10:'Podcasts'!$J$2535,MATCH(U263&amp;$B263,Podcasts!$E$10:'Podcasts'!$E$2535&amp;Podcasts!$D$10:'Podcasts'!$D$2535,0)))</f>
        <v/>
      </c>
      <c r="U263" s="133" t="str">
        <f t="array" ref="U263">IF(COUNTIF(Podcasts!$D$10:'Podcasts'!$D$2535,$B263)&lt;COLUMN(F226),"",SMALL(IF(Podcasts!$D$10:'Podcasts'!$D$2535=$B263,Podcasts!$E$10:'Podcasts'!$E$2535),COLUMN(F226)))</f>
        <v/>
      </c>
      <c r="V263" s="132" t="str">
        <f t="array" ref="V263">IF(U263="","",INDEX(Podcasts!$F$10:'Podcasts'!$F$2535,MATCH(U263&amp;$B263,Podcasts!$E$10:'Podcasts'!$E$2535&amp;Podcasts!$D$10:'Podcasts'!$D$2535,0)))</f>
        <v/>
      </c>
      <c r="W263" s="136" t="str">
        <f t="array" ref="W263">IF(X263="","",INDEX(Podcasts!$J$10:'Podcasts'!$J$2535,MATCH(X263&amp;$B263,Podcasts!$E$10:'Podcasts'!$E$2535&amp;Podcasts!$D$10:'Podcasts'!$D$2535,0)))</f>
        <v/>
      </c>
      <c r="X263" s="133" t="str">
        <f t="array" ref="X263">IF(COUNTIF(Podcasts!$D$10:'Podcasts'!$D$2535,$B263)&lt;COLUMN(G226),"",SMALL(IF(Podcasts!$D$10:'Podcasts'!$D$2535=$B263,Podcasts!$E$10:'Podcasts'!$E$2535),COLUMN(G226)))</f>
        <v/>
      </c>
      <c r="Y263" s="132" t="str">
        <f t="array" ref="Y263">IF(X263="","",INDEX(Podcasts!$F$10:'Podcasts'!$F$2535,MATCH(X263&amp;$B263,Podcasts!$E$10:'Podcasts'!$E$2535&amp;Podcasts!$D$10:'Podcasts'!$D$2535,0)))</f>
        <v/>
      </c>
      <c r="Z263" s="136" t="str">
        <f t="array" ref="Z263">IF(AA263="","",INDEX(Podcasts!$J$10:'Podcasts'!$J$2535,MATCH(AA263&amp;$B263,Podcasts!$E$10:'Podcasts'!$E$2535&amp;Podcasts!$D$10:'Podcasts'!$D$2535,0)))</f>
        <v/>
      </c>
      <c r="AA263" s="134" t="str">
        <f t="array" ref="AA263">IF(COUNTIF(Podcasts!$D$10:'Podcasts'!$D$2535,$B263)&lt;COLUMN(H226),"",SMALL(IF(Podcasts!$D$10:'Podcasts'!$D$2535=$B263,Podcasts!$E$10:'Podcasts'!$E$2535),COLUMN(H226)))</f>
        <v/>
      </c>
      <c r="AB263" s="404" t="str">
        <f t="array" ref="AB263">IF(AA263="","",INDEX(Podcasts!$F$10:'Podcasts'!$F$2535,MATCH(AA263&amp;$B263,Podcasts!$E$10:'Podcasts'!$E$2535&amp;Podcasts!$D$10:'Podcasts'!$D$2535,0)))</f>
        <v/>
      </c>
      <c r="AC263" s="406" t="str">
        <f t="array" ref="AC263">IF(AD263="","",INDEX(Podcasts!$J$10:'Podcasts'!$J$2535,MATCH(AD263&amp;$B263,Podcasts!$E$10:'Podcasts'!$E$2535&amp;Podcasts!$D$10:'Podcasts'!$D$2535,0)))</f>
        <v/>
      </c>
      <c r="AD263" s="400" t="str">
        <f t="array" ref="AD263">IF(COUNTIF(Podcasts!$D$10:'Podcasts'!$D$2535,$B263)&lt;COLUMN(I226),"",SMALL(IF(Podcasts!$D$10:'Podcasts'!$D$2535=$B263,Podcasts!$E$10:'Podcasts'!$E$2535),COLUMN(I226)))</f>
        <v/>
      </c>
      <c r="AE263" s="401" t="str">
        <f t="array" ref="AE263">IF(AD263="","",INDEX(Podcasts!$F$10:'Podcasts'!$F$2535,MATCH(AD263&amp;$B263,Podcasts!$E$10:'Podcasts'!$E$2535&amp;Podcasts!$D$10:'Podcasts'!$D$2535,0)))</f>
        <v/>
      </c>
      <c r="AF263" s="406" t="str">
        <f t="array" ref="AF263">IF(AG263="","",INDEX(Podcasts!$J$10:'Podcasts'!$J$2535,MATCH(AG263&amp;$B263,Podcasts!$E$10:'Podcasts'!$E$2535&amp;Podcasts!$D$10:'Podcasts'!$D$2535,0)))</f>
        <v/>
      </c>
      <c r="AG263" s="400" t="str">
        <f t="array" ref="AG263">IF(COUNTIF(Podcasts!$D$10:'Podcasts'!$D$2535,$B263)&lt;COLUMN(J226),"",SMALL(IF(Podcasts!$D$10:'Podcasts'!$D$2535=$B263,Podcasts!$E$10:'Podcasts'!$E$2535),COLUMN(J226)))</f>
        <v/>
      </c>
      <c r="AH263" s="401" t="str">
        <f t="array" ref="AH263">IF(AG263="","",INDEX(Podcasts!$F$10:'Podcasts'!$F$2535,MATCH(AG263&amp;$B263,Podcasts!$E$10:'Podcasts'!$E$2535&amp;Podcasts!$D$10:'Podcasts'!$D$2535,0)))</f>
        <v/>
      </c>
      <c r="AI263" s="406" t="str">
        <f t="array" ref="AI263">IF(AJ263="","",INDEX(Podcasts!$J$10:'Podcasts'!$J$2535,MATCH(AJ263&amp;$B263,Podcasts!$E$10:'Podcasts'!$E$2535&amp;Podcasts!$D$10:'Podcasts'!$D$2535,0)))</f>
        <v/>
      </c>
      <c r="AJ263" s="400" t="str">
        <f t="array" ref="AJ263">IF(COUNTIF(Podcasts!$D$10:'Podcasts'!$D$2535,$B263)&lt;COLUMN(K226),"",SMALL(IF(Podcasts!$D$10:'Podcasts'!$D$2535=$B263,Podcasts!$E$10:'Podcasts'!$E$2535),COLUMN(K226)))</f>
        <v/>
      </c>
      <c r="AK263" s="401" t="str">
        <f t="array" ref="AK263">IF(AJ263="","",INDEX(Podcasts!$F$10:'Podcasts'!$F$2535,MATCH(AJ263&amp;$B263,Podcasts!$E$10:'Podcasts'!$E$2535&amp;Podcasts!$D$10:'Podcasts'!$D$2535,0)))</f>
        <v/>
      </c>
      <c r="AL263" s="406" t="str">
        <f t="array" ref="AL263">IF(AM263="","",INDEX(Podcasts!$J$10:'Podcasts'!$J$2535,MATCH(AM263&amp;$B263,Podcasts!$E$10:'Podcasts'!$E$2535&amp;Podcasts!$D$10:'Podcasts'!$D$2535,0)))</f>
        <v/>
      </c>
      <c r="AM263" s="400" t="str">
        <f t="array" ref="AM263">IF(COUNTIF(Podcasts!$D$10:'Podcasts'!$D$2535,$B263)&lt;COLUMN(L226),"",SMALL(IF(Podcasts!$D$10:'Podcasts'!$D$2535=$B263,Podcasts!$E$10:'Podcasts'!$E$2535),COLUMN(L226)))</f>
        <v/>
      </c>
      <c r="AN263" s="401" t="str">
        <f t="array" ref="AN263">IF(AM263="","",INDEX(Podcasts!$F$10:'Podcasts'!$F$2535,MATCH(AM263&amp;$B263,Podcasts!$E$10:'Podcasts'!$E$2535&amp;Podcasts!$D$10:'Podcasts'!$D$2535,0)))</f>
        <v/>
      </c>
      <c r="AO263" s="402"/>
      <c r="AP263" s="119"/>
      <c r="AQ263" s="117"/>
      <c r="AR263" s="117"/>
      <c r="AS263" s="117"/>
      <c r="AT263" s="117"/>
      <c r="AU263" s="117">
        <f t="array" aca="1" ref="AU263" ca="1">IFERROR(SMALL(IF(COUNTIF(Podcasts!$D$479:'Podcasts'!$D$488,ROW(INDIRECT("1:"&amp;K$2)))=0,ROW(INDIRECT("1:"&amp;K$2))),ROW($A220)),"")</f>
        <v>224</v>
      </c>
      <c r="AV263" s="117"/>
      <c r="AW263" s="117" t="str">
        <f t="array" aca="1" ref="AW263" ca="1">IFERROR(SMALL(IF(COUNTIF(Podcasts!$D$524:'Podcasts'!$D$532,ROW(INDIRECT("1:"&amp;K$2)))=0,ROW(INDIRECT("1:"&amp;K$2))),ROW($A220)),"")</f>
        <v/>
      </c>
      <c r="AX263" s="117"/>
      <c r="AY263" s="117"/>
      <c r="AZ263" s="445"/>
      <c r="BA263" s="117"/>
      <c r="BB263" s="117" t="str">
        <f t="array" aca="1" ref="BB263" ca="1">IFERROR(SMALL(IF(COUNTIF(Podcasts!$D$1257:'Podcasts'!$D$1267,ROW(INDIRECT("1:"&amp;K$2)))=0,ROW(INDIRECT("1:"&amp;K$2))),ROW($A220)),"")</f>
        <v/>
      </c>
      <c r="BC263" s="117" t="str">
        <f t="array" aca="1" ref="BC263" ca="1">IFERROR(SMALL(IF(COUNTIF(Podcasts!$D$1273:'Podcasts'!$D$1283,ROW(INDIRECT("1:"&amp;K$2)))=0,ROW(INDIRECT("1:"&amp;K$2))),ROW($A220)),"")</f>
        <v/>
      </c>
      <c r="BD263" s="117" t="str">
        <f t="array" aca="1" ref="BD263" ca="1">IFERROR(SMALL(IF(COUNTIF(Podcasts!$D$1289:'Podcasts'!$D$1295,ROW(INDIRECT("1:"&amp;K$2)))=0,ROW(INDIRECT("1:"&amp;K$2))),ROW($A220)),"")</f>
        <v/>
      </c>
      <c r="BE263" s="117"/>
      <c r="BF263" s="117">
        <f t="array" aca="1" ref="BF263" ca="1">IFERROR(SMALL(IF(COUNTIF(Podcasts!$D$1362:'Podcasts'!$D$1364,ROW(INDIRECT("1:"&amp;K$2)))=0,ROW(INDIRECT("1:"&amp;K$2))),ROW($A220)),"")</f>
        <v>223</v>
      </c>
      <c r="BG263" s="202"/>
      <c r="BH263" s="202"/>
      <c r="BI263" s="202"/>
      <c r="BJ263" s="202"/>
      <c r="BK263" s="202"/>
      <c r="BL263" s="202" t="str">
        <f t="array" aca="1" ref="BL263" ca="1">IFERROR(SMALL(IF(COUNTIF(Podcasts!$D$1839:'Podcasts'!$D$1855,ROW(INDIRECT("1:"&amp;K$2)))=0,ROW(INDIRECT("1:"&amp;K$2))),ROW($A220)),"")</f>
        <v/>
      </c>
      <c r="BM263" s="567"/>
      <c r="BN263" s="567"/>
      <c r="BO263" s="567" t="str">
        <f t="array" aca="1" ref="BO263" ca="1">IFERROR(SMALL(IF(COUNTIF(Podcasts!$D$2063:'Podcasts'!$D$2071,ROW(INDIRECT("1:"&amp;K$2)))=0,ROW(INDIRECT("1:"&amp;K$2))),ROW($A220)),"")</f>
        <v/>
      </c>
      <c r="BP263" s="202"/>
      <c r="BQ263" s="741"/>
      <c r="BR263" s="744">
        <f t="array" aca="1" ref="BR263" ca="1">IFERROR(SMALL(IF(COUNTIF(Podcasts!$D$2120:'Podcasts'!$D$2124,ROW(INDIRECT("1:"&amp;K$2)))=0,ROW(INDIRECT("1:"&amp;K$2))),ROW($A220)),"")</f>
        <v>223</v>
      </c>
      <c r="BS263" s="28"/>
    </row>
    <row r="264" spans="1:71" outlineLevel="1">
      <c r="A264" s="28"/>
      <c r="B264" s="161">
        <v>221</v>
      </c>
      <c r="C264" s="161">
        <f>COUNTIF(Podcasts!$D$10:'Podcasts'!$D$2535,B264)</f>
        <v>5</v>
      </c>
      <c r="D264" s="160" t="s">
        <v>2785</v>
      </c>
      <c r="E264" s="156" t="str">
        <f t="array" ref="E264">IF(F264="","",INDEX(Podcasts!$J$10:'Podcasts'!$J$2535,MATCH(F264&amp;$B264,Podcasts!$E$10:'Podcasts'!$E$2535&amp;Podcasts!$D$10:'Podcasts'!$D$2535,0)))</f>
        <v>Label</v>
      </c>
      <c r="F264" s="131">
        <f t="array" ref="F264">IF(COUNTIF(Podcasts!$D$10:'Podcasts'!$D$2535,$B264)&lt;COLUMN(A227),"",SMALL(IF(Podcasts!$D$10:'Podcasts'!$D$2535=$B264,Podcasts!$E$10:'Podcasts'!$E$2535),COLUMN(A227)))</f>
        <v>44981</v>
      </c>
      <c r="G264" s="132">
        <f t="array" ref="G264">IF(F264="","",INDEX(Podcasts!$F$10:'Podcasts'!$F$2535,MATCH(F264&amp;$B264,Podcasts!$E$10:'Podcasts'!$E$2535&amp;Podcasts!$D$10:'Podcasts'!$D$2535,0)))</f>
        <v>1.9675925925925927E-2</v>
      </c>
      <c r="H264" s="136" t="str">
        <f t="array" ref="H264">IF(I264="","",INDEX(Podcasts!$J$10:'Podcasts'!$J$2535,MATCH(I264&amp;$B264,Podcasts!$E$10:'Podcasts'!$E$2535&amp;Podcasts!$D$10:'Podcasts'!$D$2535,0)))</f>
        <v>Ohr</v>
      </c>
      <c r="I264" s="133">
        <f t="array" ref="I264">IF(COUNTIF(Podcasts!$D$10:'Podcasts'!$D$2535,$B264)&lt;COLUMN(B227),"",SMALL(IF(Podcasts!$D$10:'Podcasts'!$D$2535=$B264,Podcasts!$E$10:'Podcasts'!$E$2535),COLUMN(B227)))</f>
        <v>45003</v>
      </c>
      <c r="J264" s="132">
        <f t="array" ref="J264">IF(I264="","",INDEX(Podcasts!$F$10:'Podcasts'!$F$2535,MATCH(I264&amp;$B264,Podcasts!$E$10:'Podcasts'!$E$2535&amp;Podcasts!$D$10:'Podcasts'!$D$2535,0)))</f>
        <v>2.8587962962962963E-3</v>
      </c>
      <c r="K264" s="136" t="str">
        <f t="array" ref="K264">IF(L264="","",INDEX(Podcasts!$J$10:'Podcasts'!$J$2535,MATCH(L264&amp;$B264,Podcasts!$E$10:'Podcasts'!$E$2535&amp;Podcasts!$D$10:'Podcasts'!$D$2535,0)))</f>
        <v>Verstärker</v>
      </c>
      <c r="L264" s="133">
        <f t="array" ref="L264">IF(COUNTIF(Podcasts!$D$10:'Podcasts'!$D$2535,$B264)&lt;COLUMN(C227),"",SMALL(IF(Podcasts!$D$10:'Podcasts'!$D$2535=$B264,Podcasts!$E$10:'Podcasts'!$E$2535),COLUMN(C227)))</f>
        <v>45019</v>
      </c>
      <c r="M264" s="132">
        <f t="array" ref="M264">IF(L264="","",INDEX(Podcasts!$F$10:'Podcasts'!$F$2535,MATCH(L264&amp;$B264,Podcasts!$E$10:'Podcasts'!$E$2535&amp;Podcasts!$D$10:'Podcasts'!$D$2535,0)))</f>
        <v>2.0520833333333332E-2</v>
      </c>
      <c r="N264" s="136" t="str">
        <f t="array" ref="N264">IF(O264="","",INDEX(Podcasts!$J$10:'Podcasts'!$J$2535,MATCH(O264&amp;$B264,Podcasts!$E$10:'Podcasts'!$E$2535&amp;Podcasts!$D$10:'Podcasts'!$D$2535,0)))</f>
        <v>Kaffee</v>
      </c>
      <c r="O264" s="133">
        <f t="array" ref="O264">IF(COUNTIF(Podcasts!$D$10:'Podcasts'!$D$2535,$B264)&lt;COLUMN(D227),"",SMALL(IF(Podcasts!$D$10:'Podcasts'!$D$2535=$B264,Podcasts!$E$10:'Podcasts'!$E$2535),COLUMN(D227)))</f>
        <v>45149</v>
      </c>
      <c r="P264" s="132">
        <f t="array" ref="P264">IF(O264="","",INDEX(Podcasts!$F$10:'Podcasts'!$F$2535,MATCH(O264&amp;$B264,Podcasts!$E$10:'Podcasts'!$E$2535&amp;Podcasts!$D$10:'Podcasts'!$D$2535,0)))</f>
        <v>5.0567129629629635E-2</v>
      </c>
      <c r="Q264" s="136" t="str">
        <f t="array" ref="Q264">IF(R264="","",INDEX(Podcasts!$J$10:'Podcasts'!$J$2535,MATCH(R264&amp;$B264,Podcasts!$E$10:'Podcasts'!$E$2535&amp;Podcasts!$D$10:'Podcasts'!$D$2535,0)))</f>
        <v>Kuchen</v>
      </c>
      <c r="R264" s="133">
        <f t="array" ref="R264">IF(COUNTIF(Podcasts!$D$10:'Podcasts'!$D$2535,$B264)&lt;COLUMN(E227),"",SMALL(IF(Podcasts!$D$10:'Podcasts'!$D$2535=$B264,Podcasts!$E$10:'Podcasts'!$E$2535),COLUMN(E227)))</f>
        <v>45270</v>
      </c>
      <c r="S264" s="132">
        <f t="array" ref="S264">IF(R264="","",INDEX(Podcasts!$F$10:'Podcasts'!$F$2535,MATCH(R264&amp;$B264,Podcasts!$E$10:'Podcasts'!$E$2535&amp;Podcasts!$D$10:'Podcasts'!$D$2535,0)))</f>
        <v>4.3946759259259255E-2</v>
      </c>
      <c r="T264" s="136" t="str">
        <f t="array" ref="T264">IF(U264="","",INDEX(Podcasts!$J$10:'Podcasts'!$J$2535,MATCH(U264&amp;$B264,Podcasts!$E$10:'Podcasts'!$E$2535&amp;Podcasts!$D$10:'Podcasts'!$D$2535,0)))</f>
        <v/>
      </c>
      <c r="U264" s="133" t="str">
        <f t="array" ref="U264">IF(COUNTIF(Podcasts!$D$10:'Podcasts'!$D$2535,$B264)&lt;COLUMN(F227),"",SMALL(IF(Podcasts!$D$10:'Podcasts'!$D$2535=$B264,Podcasts!$E$10:'Podcasts'!$E$2535),COLUMN(F227)))</f>
        <v/>
      </c>
      <c r="V264" s="132" t="str">
        <f t="array" ref="V264">IF(U264="","",INDEX(Podcasts!$F$10:'Podcasts'!$F$2535,MATCH(U264&amp;$B264,Podcasts!$E$10:'Podcasts'!$E$2535&amp;Podcasts!$D$10:'Podcasts'!$D$2535,0)))</f>
        <v/>
      </c>
      <c r="W264" s="136" t="str">
        <f t="array" ref="W264">IF(X264="","",INDEX(Podcasts!$J$10:'Podcasts'!$J$2535,MATCH(X264&amp;$B264,Podcasts!$E$10:'Podcasts'!$E$2535&amp;Podcasts!$D$10:'Podcasts'!$D$2535,0)))</f>
        <v/>
      </c>
      <c r="X264" s="133" t="str">
        <f t="array" ref="X264">IF(COUNTIF(Podcasts!$D$10:'Podcasts'!$D$2535,$B264)&lt;COLUMN(G227),"",SMALL(IF(Podcasts!$D$10:'Podcasts'!$D$2535=$B264,Podcasts!$E$10:'Podcasts'!$E$2535),COLUMN(G227)))</f>
        <v/>
      </c>
      <c r="Y264" s="132" t="str">
        <f t="array" ref="Y264">IF(X264="","",INDEX(Podcasts!$F$10:'Podcasts'!$F$2535,MATCH(X264&amp;$B264,Podcasts!$E$10:'Podcasts'!$E$2535&amp;Podcasts!$D$10:'Podcasts'!$D$2535,0)))</f>
        <v/>
      </c>
      <c r="Z264" s="136" t="str">
        <f t="array" ref="Z264">IF(AA264="","",INDEX(Podcasts!$J$10:'Podcasts'!$J$2535,MATCH(AA264&amp;$B264,Podcasts!$E$10:'Podcasts'!$E$2535&amp;Podcasts!$D$10:'Podcasts'!$D$2535,0)))</f>
        <v/>
      </c>
      <c r="AA264" s="134" t="str">
        <f t="array" ref="AA264">IF(COUNTIF(Podcasts!$D$10:'Podcasts'!$D$2535,$B264)&lt;COLUMN(H227),"",SMALL(IF(Podcasts!$D$10:'Podcasts'!$D$2535=$B264,Podcasts!$E$10:'Podcasts'!$E$2535),COLUMN(H227)))</f>
        <v/>
      </c>
      <c r="AB264" s="404" t="str">
        <f t="array" ref="AB264">IF(AA264="","",INDEX(Podcasts!$F$10:'Podcasts'!$F$2535,MATCH(AA264&amp;$B264,Podcasts!$E$10:'Podcasts'!$E$2535&amp;Podcasts!$D$10:'Podcasts'!$D$2535,0)))</f>
        <v/>
      </c>
      <c r="AC264" s="406" t="str">
        <f t="array" ref="AC264">IF(AD264="","",INDEX(Podcasts!$J$10:'Podcasts'!$J$2535,MATCH(AD264&amp;$B264,Podcasts!$E$10:'Podcasts'!$E$2535&amp;Podcasts!$D$10:'Podcasts'!$D$2535,0)))</f>
        <v/>
      </c>
      <c r="AD264" s="400" t="str">
        <f t="array" ref="AD264">IF(COUNTIF(Podcasts!$D$10:'Podcasts'!$D$2535,$B264)&lt;COLUMN(I227),"",SMALL(IF(Podcasts!$D$10:'Podcasts'!$D$2535=$B264,Podcasts!$E$10:'Podcasts'!$E$2535),COLUMN(I227)))</f>
        <v/>
      </c>
      <c r="AE264" s="401" t="str">
        <f t="array" ref="AE264">IF(AD264="","",INDEX(Podcasts!$F$10:'Podcasts'!$F$2535,MATCH(AD264&amp;$B264,Podcasts!$E$10:'Podcasts'!$E$2535&amp;Podcasts!$D$10:'Podcasts'!$D$2535,0)))</f>
        <v/>
      </c>
      <c r="AF264" s="406" t="str">
        <f t="array" ref="AF264">IF(AG264="","",INDEX(Podcasts!$J$10:'Podcasts'!$J$2535,MATCH(AG264&amp;$B264,Podcasts!$E$10:'Podcasts'!$E$2535&amp;Podcasts!$D$10:'Podcasts'!$D$2535,0)))</f>
        <v/>
      </c>
      <c r="AG264" s="400" t="str">
        <f t="array" ref="AG264">IF(COUNTIF(Podcasts!$D$10:'Podcasts'!$D$2535,$B264)&lt;COLUMN(J227),"",SMALL(IF(Podcasts!$D$10:'Podcasts'!$D$2535=$B264,Podcasts!$E$10:'Podcasts'!$E$2535),COLUMN(J227)))</f>
        <v/>
      </c>
      <c r="AH264" s="401" t="str">
        <f t="array" ref="AH264">IF(AG264="","",INDEX(Podcasts!$F$10:'Podcasts'!$F$2535,MATCH(AG264&amp;$B264,Podcasts!$E$10:'Podcasts'!$E$2535&amp;Podcasts!$D$10:'Podcasts'!$D$2535,0)))</f>
        <v/>
      </c>
      <c r="AI264" s="406" t="str">
        <f t="array" ref="AI264">IF(AJ264="","",INDEX(Podcasts!$J$10:'Podcasts'!$J$2535,MATCH(AJ264&amp;$B264,Podcasts!$E$10:'Podcasts'!$E$2535&amp;Podcasts!$D$10:'Podcasts'!$D$2535,0)))</f>
        <v/>
      </c>
      <c r="AJ264" s="400" t="str">
        <f t="array" ref="AJ264">IF(COUNTIF(Podcasts!$D$10:'Podcasts'!$D$2535,$B264)&lt;COLUMN(K227),"",SMALL(IF(Podcasts!$D$10:'Podcasts'!$D$2535=$B264,Podcasts!$E$10:'Podcasts'!$E$2535),COLUMN(K227)))</f>
        <v/>
      </c>
      <c r="AK264" s="401" t="str">
        <f t="array" ref="AK264">IF(AJ264="","",INDEX(Podcasts!$F$10:'Podcasts'!$F$2535,MATCH(AJ264&amp;$B264,Podcasts!$E$10:'Podcasts'!$E$2535&amp;Podcasts!$D$10:'Podcasts'!$D$2535,0)))</f>
        <v/>
      </c>
      <c r="AL264" s="406" t="str">
        <f t="array" ref="AL264">IF(AM264="","",INDEX(Podcasts!$J$10:'Podcasts'!$J$2535,MATCH(AM264&amp;$B264,Podcasts!$E$10:'Podcasts'!$E$2535&amp;Podcasts!$D$10:'Podcasts'!$D$2535,0)))</f>
        <v/>
      </c>
      <c r="AM264" s="400" t="str">
        <f t="array" ref="AM264">IF(COUNTIF(Podcasts!$D$10:'Podcasts'!$D$2535,$B264)&lt;COLUMN(L227),"",SMALL(IF(Podcasts!$D$10:'Podcasts'!$D$2535=$B264,Podcasts!$E$10:'Podcasts'!$E$2535),COLUMN(L227)))</f>
        <v/>
      </c>
      <c r="AN264" s="401" t="str">
        <f t="array" ref="AN264">IF(AM264="","",INDEX(Podcasts!$F$10:'Podcasts'!$F$2535,MATCH(AM264&amp;$B264,Podcasts!$E$10:'Podcasts'!$E$2535&amp;Podcasts!$D$10:'Podcasts'!$D$2535,0)))</f>
        <v/>
      </c>
      <c r="AO264" s="402"/>
      <c r="AP264" s="119"/>
      <c r="AQ264" s="117"/>
      <c r="AR264" s="117"/>
      <c r="AS264" s="117"/>
      <c r="AT264" s="117"/>
      <c r="AU264" s="117">
        <f t="array" aca="1" ref="AU264" ca="1">IFERROR(SMALL(IF(COUNTIF(Podcasts!$D$479:'Podcasts'!$D$488,ROW(INDIRECT("1:"&amp;K$2)))=0,ROW(INDIRECT("1:"&amp;K$2))),ROW($A221)),"")</f>
        <v>225</v>
      </c>
      <c r="AV264" s="117"/>
      <c r="AW264" s="117" t="str">
        <f t="array" aca="1" ref="AW264" ca="1">IFERROR(SMALL(IF(COUNTIF(Podcasts!$D$524:'Podcasts'!$D$532,ROW(INDIRECT("1:"&amp;K$2)))=0,ROW(INDIRECT("1:"&amp;K$2))),ROW($A221)),"")</f>
        <v/>
      </c>
      <c r="AX264" s="117"/>
      <c r="AY264" s="117"/>
      <c r="AZ264" s="445"/>
      <c r="BA264" s="117"/>
      <c r="BB264" s="117" t="str">
        <f t="array" aca="1" ref="BB264" ca="1">IFERROR(SMALL(IF(COUNTIF(Podcasts!$D$1257:'Podcasts'!$D$1267,ROW(INDIRECT("1:"&amp;K$2)))=0,ROW(INDIRECT("1:"&amp;K$2))),ROW($A221)),"")</f>
        <v/>
      </c>
      <c r="BC264" s="117" t="str">
        <f t="array" aca="1" ref="BC264" ca="1">IFERROR(SMALL(IF(COUNTIF(Podcasts!$D$1273:'Podcasts'!$D$1283,ROW(INDIRECT("1:"&amp;K$2)))=0,ROW(INDIRECT("1:"&amp;K$2))),ROW($A221)),"")</f>
        <v/>
      </c>
      <c r="BD264" s="117" t="str">
        <f t="array" aca="1" ref="BD264" ca="1">IFERROR(SMALL(IF(COUNTIF(Podcasts!$D$1289:'Podcasts'!$D$1295,ROW(INDIRECT("1:"&amp;K$2)))=0,ROW(INDIRECT("1:"&amp;K$2))),ROW($A221)),"")</f>
        <v/>
      </c>
      <c r="BE264" s="117"/>
      <c r="BF264" s="117">
        <f t="array" aca="1" ref="BF264" ca="1">IFERROR(SMALL(IF(COUNTIF(Podcasts!$D$1362:'Podcasts'!$D$1364,ROW(INDIRECT("1:"&amp;K$2)))=0,ROW(INDIRECT("1:"&amp;K$2))),ROW($A221)),"")</f>
        <v>224</v>
      </c>
      <c r="BG264" s="202"/>
      <c r="BH264" s="202"/>
      <c r="BI264" s="202"/>
      <c r="BJ264" s="202"/>
      <c r="BK264" s="202"/>
      <c r="BL264" s="202" t="str">
        <f t="array" aca="1" ref="BL264" ca="1">IFERROR(SMALL(IF(COUNTIF(Podcasts!$D$1839:'Podcasts'!$D$1855,ROW(INDIRECT("1:"&amp;K$2)))=0,ROW(INDIRECT("1:"&amp;K$2))),ROW($A221)),"")</f>
        <v/>
      </c>
      <c r="BM264" s="567"/>
      <c r="BN264" s="567"/>
      <c r="BO264" s="567" t="str">
        <f t="array" aca="1" ref="BO264" ca="1">IFERROR(SMALL(IF(COUNTIF(Podcasts!$D$2063:'Podcasts'!$D$2071,ROW(INDIRECT("1:"&amp;K$2)))=0,ROW(INDIRECT("1:"&amp;K$2))),ROW($A221)),"")</f>
        <v/>
      </c>
      <c r="BP264" s="202"/>
      <c r="BQ264" s="741"/>
      <c r="BR264" s="744">
        <f t="array" aca="1" ref="BR264" ca="1">IFERROR(SMALL(IF(COUNTIF(Podcasts!$D$2120:'Podcasts'!$D$2124,ROW(INDIRECT("1:"&amp;K$2)))=0,ROW(INDIRECT("1:"&amp;K$2))),ROW($A221)),"")</f>
        <v>224</v>
      </c>
      <c r="BS264" s="28"/>
    </row>
    <row r="265" spans="1:71" outlineLevel="1">
      <c r="A265" s="28"/>
      <c r="B265" s="161">
        <v>222</v>
      </c>
      <c r="C265" s="161">
        <f>COUNTIF(Podcasts!$D$10:'Podcasts'!$D$2535,B265)</f>
        <v>4</v>
      </c>
      <c r="D265" s="160" t="s">
        <v>2725</v>
      </c>
      <c r="E265" s="156" t="str">
        <f t="array" ref="E265">IF(F265="","",INDEX(Podcasts!$J$10:'Podcasts'!$J$2535,MATCH(F265&amp;$B265,Podcasts!$E$10:'Podcasts'!$E$2535&amp;Podcasts!$D$10:'Podcasts'!$D$2535,0)))</f>
        <v>Label</v>
      </c>
      <c r="F265" s="131">
        <f t="array" ref="F265">IF(COUNTIF(Podcasts!$D$10:'Podcasts'!$D$2535,$B265)&lt;COLUMN(A228),"",SMALL(IF(Podcasts!$D$10:'Podcasts'!$D$2535=$B265,Podcasts!$E$10:'Podcasts'!$E$2535),COLUMN(A228)))</f>
        <v>45051</v>
      </c>
      <c r="G265" s="132">
        <f t="array" ref="G265">IF(F265="","",INDEX(Podcasts!$F$10:'Podcasts'!$F$2535,MATCH(F265&amp;$B265,Podcasts!$E$10:'Podcasts'!$E$2535&amp;Podcasts!$D$10:'Podcasts'!$D$2535,0)))</f>
        <v>2.1574074074074075E-2</v>
      </c>
      <c r="H265" s="136" t="str">
        <f t="array" ref="H265">IF(I265="","",INDEX(Podcasts!$J$10:'Podcasts'!$J$2535,MATCH(I265&amp;$B265,Podcasts!$E$10:'Podcasts'!$E$2535&amp;Podcasts!$D$10:'Podcasts'!$D$2535,0)))</f>
        <v>Ohr</v>
      </c>
      <c r="I265" s="133">
        <f t="array" ref="I265">IF(COUNTIF(Podcasts!$D$10:'Podcasts'!$D$2535,$B265)&lt;COLUMN(B228),"",SMALL(IF(Podcasts!$D$10:'Podcasts'!$D$2535=$B265,Podcasts!$E$10:'Podcasts'!$E$2535),COLUMN(B228)))</f>
        <v>45094</v>
      </c>
      <c r="J265" s="132">
        <f t="array" ref="J265">IF(I265="","",INDEX(Podcasts!$F$10:'Podcasts'!$F$2535,MATCH(I265&amp;$B265,Podcasts!$E$10:'Podcasts'!$E$2535&amp;Podcasts!$D$10:'Podcasts'!$D$2535,0)))</f>
        <v>4.6296296296296302E-3</v>
      </c>
      <c r="K265" s="136" t="str">
        <f t="array" ref="K265">IF(L265="","",INDEX(Podcasts!$J$10:'Podcasts'!$J$2535,MATCH(L265&amp;$B265,Podcasts!$E$10:'Podcasts'!$E$2535&amp;Podcasts!$D$10:'Podcasts'!$D$2535,0)))</f>
        <v>SSP</v>
      </c>
      <c r="L265" s="133">
        <f t="array" ref="L265">IF(COUNTIF(Podcasts!$D$10:'Podcasts'!$D$2535,$B265)&lt;COLUMN(C228),"",SMALL(IF(Podcasts!$D$10:'Podcasts'!$D$2535=$B265,Podcasts!$E$10:'Podcasts'!$E$2535),COLUMN(C228)))</f>
        <v>45270</v>
      </c>
      <c r="M265" s="132">
        <f t="array" ref="M265">IF(L265="","",INDEX(Podcasts!$F$10:'Podcasts'!$F$2535,MATCH(L265&amp;$B265,Podcasts!$E$10:'Podcasts'!$E$2535&amp;Podcasts!$D$10:'Podcasts'!$D$2535,0)))</f>
        <v>0.10137731481481482</v>
      </c>
      <c r="N265" s="136" t="str">
        <f t="array" ref="N265">IF(O265="","",INDEX(Podcasts!$J$10:'Podcasts'!$J$2535,MATCH(O265&amp;$B265,Podcasts!$E$10:'Podcasts'!$E$2535&amp;Podcasts!$D$10:'Podcasts'!$D$2535,0)))</f>
        <v>Zeichen</v>
      </c>
      <c r="O265" s="133">
        <f t="array" ref="O265">IF(COUNTIF(Podcasts!$D$10:'Podcasts'!$D$2535,$B265)&lt;COLUMN(D228),"",SMALL(IF(Podcasts!$D$10:'Podcasts'!$D$2535=$B265,Podcasts!$E$10:'Podcasts'!$E$2535),COLUMN(D228)))</f>
        <v>45282</v>
      </c>
      <c r="P265" s="132">
        <f t="array" ref="P265">IF(O265="","",INDEX(Podcasts!$F$10:'Podcasts'!$F$2535,MATCH(O265&amp;$B265,Podcasts!$E$10:'Podcasts'!$E$2535&amp;Podcasts!$D$10:'Podcasts'!$D$2535,0)))</f>
        <v>9.3761574074074081E-2</v>
      </c>
      <c r="Q265" s="136" t="str">
        <f t="array" ref="Q265">IF(R265="","",INDEX(Podcasts!$J$10:'Podcasts'!$J$2535,MATCH(R265&amp;$B265,Podcasts!$E$10:'Podcasts'!$E$2535&amp;Podcasts!$D$10:'Podcasts'!$D$2535,0)))</f>
        <v/>
      </c>
      <c r="R265" s="133" t="str">
        <f t="array" ref="R265">IF(COUNTIF(Podcasts!$D$10:'Podcasts'!$D$2535,$B265)&lt;COLUMN(E228),"",SMALL(IF(Podcasts!$D$10:'Podcasts'!$D$2535=$B265,Podcasts!$E$10:'Podcasts'!$E$2535),COLUMN(E228)))</f>
        <v/>
      </c>
      <c r="S265" s="132" t="str">
        <f t="array" ref="S265">IF(R265="","",INDEX(Podcasts!$F$10:'Podcasts'!$F$2535,MATCH(R265&amp;$B265,Podcasts!$E$10:'Podcasts'!$E$2535&amp;Podcasts!$D$10:'Podcasts'!$D$2535,0)))</f>
        <v/>
      </c>
      <c r="T265" s="136" t="str">
        <f t="array" ref="T265">IF(U265="","",INDEX(Podcasts!$J$10:'Podcasts'!$J$2535,MATCH(U265&amp;$B265,Podcasts!$E$10:'Podcasts'!$E$2535&amp;Podcasts!$D$10:'Podcasts'!$D$2535,0)))</f>
        <v/>
      </c>
      <c r="U265" s="133" t="str">
        <f t="array" ref="U265">IF(COUNTIF(Podcasts!$D$10:'Podcasts'!$D$2535,$B265)&lt;COLUMN(F228),"",SMALL(IF(Podcasts!$D$10:'Podcasts'!$D$2535=$B265,Podcasts!$E$10:'Podcasts'!$E$2535),COLUMN(F228)))</f>
        <v/>
      </c>
      <c r="V265" s="132" t="str">
        <f t="array" ref="V265">IF(U265="","",INDEX(Podcasts!$F$10:'Podcasts'!$F$2535,MATCH(U265&amp;$B265,Podcasts!$E$10:'Podcasts'!$E$2535&amp;Podcasts!$D$10:'Podcasts'!$D$2535,0)))</f>
        <v/>
      </c>
      <c r="W265" s="136" t="str">
        <f t="array" ref="W265">IF(X265="","",INDEX(Podcasts!$J$10:'Podcasts'!$J$2535,MATCH(X265&amp;$B265,Podcasts!$E$10:'Podcasts'!$E$2535&amp;Podcasts!$D$10:'Podcasts'!$D$2535,0)))</f>
        <v/>
      </c>
      <c r="X265" s="133" t="str">
        <f t="array" ref="X265">IF(COUNTIF(Podcasts!$D$10:'Podcasts'!$D$2535,$B265)&lt;COLUMN(G228),"",SMALL(IF(Podcasts!$D$10:'Podcasts'!$D$2535=$B265,Podcasts!$E$10:'Podcasts'!$E$2535),COLUMN(G228)))</f>
        <v/>
      </c>
      <c r="Y265" s="132" t="str">
        <f t="array" ref="Y265">IF(X265="","",INDEX(Podcasts!$F$10:'Podcasts'!$F$2535,MATCH(X265&amp;$B265,Podcasts!$E$10:'Podcasts'!$E$2535&amp;Podcasts!$D$10:'Podcasts'!$D$2535,0)))</f>
        <v/>
      </c>
      <c r="Z265" s="136" t="str">
        <f t="array" ref="Z265">IF(AA265="","",INDEX(Podcasts!$J$10:'Podcasts'!$J$2535,MATCH(AA265&amp;$B265,Podcasts!$E$10:'Podcasts'!$E$2535&amp;Podcasts!$D$10:'Podcasts'!$D$2535,0)))</f>
        <v/>
      </c>
      <c r="AA265" s="134" t="str">
        <f t="array" ref="AA265">IF(COUNTIF(Podcasts!$D$10:'Podcasts'!$D$2535,$B265)&lt;COLUMN(H228),"",SMALL(IF(Podcasts!$D$10:'Podcasts'!$D$2535=$B265,Podcasts!$E$10:'Podcasts'!$E$2535),COLUMN(H228)))</f>
        <v/>
      </c>
      <c r="AB265" s="404" t="str">
        <f t="array" ref="AB265">IF(AA265="","",INDEX(Podcasts!$F$10:'Podcasts'!$F$2535,MATCH(AA265&amp;$B265,Podcasts!$E$10:'Podcasts'!$E$2535&amp;Podcasts!$D$10:'Podcasts'!$D$2535,0)))</f>
        <v/>
      </c>
      <c r="AC265" s="406" t="str">
        <f t="array" ref="AC265">IF(AD265="","",INDEX(Podcasts!$J$10:'Podcasts'!$J$2535,MATCH(AD265&amp;$B265,Podcasts!$E$10:'Podcasts'!$E$2535&amp;Podcasts!$D$10:'Podcasts'!$D$2535,0)))</f>
        <v/>
      </c>
      <c r="AD265" s="400" t="str">
        <f t="array" ref="AD265">IF(COUNTIF(Podcasts!$D$10:'Podcasts'!$D$2535,$B265)&lt;COLUMN(I228),"",SMALL(IF(Podcasts!$D$10:'Podcasts'!$D$2535=$B265,Podcasts!$E$10:'Podcasts'!$E$2535),COLUMN(I228)))</f>
        <v/>
      </c>
      <c r="AE265" s="401" t="str">
        <f t="array" ref="AE265">IF(AD265="","",INDEX(Podcasts!$F$10:'Podcasts'!$F$2535,MATCH(AD265&amp;$B265,Podcasts!$E$10:'Podcasts'!$E$2535&amp;Podcasts!$D$10:'Podcasts'!$D$2535,0)))</f>
        <v/>
      </c>
      <c r="AF265" s="406" t="str">
        <f t="array" ref="AF265">IF(AG265="","",INDEX(Podcasts!$J$10:'Podcasts'!$J$2535,MATCH(AG265&amp;$B265,Podcasts!$E$10:'Podcasts'!$E$2535&amp;Podcasts!$D$10:'Podcasts'!$D$2535,0)))</f>
        <v/>
      </c>
      <c r="AG265" s="400" t="str">
        <f t="array" ref="AG265">IF(COUNTIF(Podcasts!$D$10:'Podcasts'!$D$2535,$B265)&lt;COLUMN(J228),"",SMALL(IF(Podcasts!$D$10:'Podcasts'!$D$2535=$B265,Podcasts!$E$10:'Podcasts'!$E$2535),COLUMN(J228)))</f>
        <v/>
      </c>
      <c r="AH265" s="401" t="str">
        <f t="array" ref="AH265">IF(AG265="","",INDEX(Podcasts!$F$10:'Podcasts'!$F$2535,MATCH(AG265&amp;$B265,Podcasts!$E$10:'Podcasts'!$E$2535&amp;Podcasts!$D$10:'Podcasts'!$D$2535,0)))</f>
        <v/>
      </c>
      <c r="AI265" s="406" t="str">
        <f t="array" ref="AI265">IF(AJ265="","",INDEX(Podcasts!$J$10:'Podcasts'!$J$2535,MATCH(AJ265&amp;$B265,Podcasts!$E$10:'Podcasts'!$E$2535&amp;Podcasts!$D$10:'Podcasts'!$D$2535,0)))</f>
        <v/>
      </c>
      <c r="AJ265" s="400" t="str">
        <f t="array" ref="AJ265">IF(COUNTIF(Podcasts!$D$10:'Podcasts'!$D$2535,$B265)&lt;COLUMN(K228),"",SMALL(IF(Podcasts!$D$10:'Podcasts'!$D$2535=$B265,Podcasts!$E$10:'Podcasts'!$E$2535),COLUMN(K228)))</f>
        <v/>
      </c>
      <c r="AK265" s="401" t="str">
        <f t="array" ref="AK265">IF(AJ265="","",INDEX(Podcasts!$F$10:'Podcasts'!$F$2535,MATCH(AJ265&amp;$B265,Podcasts!$E$10:'Podcasts'!$E$2535&amp;Podcasts!$D$10:'Podcasts'!$D$2535,0)))</f>
        <v/>
      </c>
      <c r="AL265" s="406" t="str">
        <f t="array" ref="AL265">IF(AM265="","",INDEX(Podcasts!$J$10:'Podcasts'!$J$2535,MATCH(AM265&amp;$B265,Podcasts!$E$10:'Podcasts'!$E$2535&amp;Podcasts!$D$10:'Podcasts'!$D$2535,0)))</f>
        <v/>
      </c>
      <c r="AM265" s="400" t="str">
        <f t="array" ref="AM265">IF(COUNTIF(Podcasts!$D$10:'Podcasts'!$D$2535,$B265)&lt;COLUMN(L228),"",SMALL(IF(Podcasts!$D$10:'Podcasts'!$D$2535=$B265,Podcasts!$E$10:'Podcasts'!$E$2535),COLUMN(L228)))</f>
        <v/>
      </c>
      <c r="AN265" s="401" t="str">
        <f t="array" ref="AN265">IF(AM265="","",INDEX(Podcasts!$F$10:'Podcasts'!$F$2535,MATCH(AM265&amp;$B265,Podcasts!$E$10:'Podcasts'!$E$2535&amp;Podcasts!$D$10:'Podcasts'!$D$2535,0)))</f>
        <v/>
      </c>
      <c r="AO265" s="402"/>
      <c r="AP265" s="119"/>
      <c r="AQ265" s="117"/>
      <c r="AR265" s="117"/>
      <c r="AS265" s="117"/>
      <c r="AT265" s="117"/>
      <c r="AU265" s="117">
        <f t="array" aca="1" ref="AU265" ca="1">IFERROR(SMALL(IF(COUNTIF(Podcasts!$D$479:'Podcasts'!$D$488,ROW(INDIRECT("1:"&amp;K$2)))=0,ROW(INDIRECT("1:"&amp;K$2))),ROW($A222)),"")</f>
        <v>226</v>
      </c>
      <c r="AV265" s="117"/>
      <c r="AW265" s="117" t="str">
        <f t="array" aca="1" ref="AW265" ca="1">IFERROR(SMALL(IF(COUNTIF(Podcasts!$D$524:'Podcasts'!$D$532,ROW(INDIRECT("1:"&amp;K$2)))=0,ROW(INDIRECT("1:"&amp;K$2))),ROW($A222)),"")</f>
        <v/>
      </c>
      <c r="AX265" s="117"/>
      <c r="AY265" s="117"/>
      <c r="AZ265" s="445"/>
      <c r="BA265" s="117"/>
      <c r="BB265" s="117" t="str">
        <f t="array" aca="1" ref="BB265" ca="1">IFERROR(SMALL(IF(COUNTIF(Podcasts!$D$1257:'Podcasts'!$D$1267,ROW(INDIRECT("1:"&amp;K$2)))=0,ROW(INDIRECT("1:"&amp;K$2))),ROW($A222)),"")</f>
        <v/>
      </c>
      <c r="BC265" s="117" t="str">
        <f t="array" aca="1" ref="BC265" ca="1">IFERROR(SMALL(IF(COUNTIF(Podcasts!$D$1273:'Podcasts'!$D$1283,ROW(INDIRECT("1:"&amp;K$2)))=0,ROW(INDIRECT("1:"&amp;K$2))),ROW($A222)),"")</f>
        <v/>
      </c>
      <c r="BD265" s="117" t="str">
        <f t="array" aca="1" ref="BD265" ca="1">IFERROR(SMALL(IF(COUNTIF(Podcasts!$D$1289:'Podcasts'!$D$1295,ROW(INDIRECT("1:"&amp;K$2)))=0,ROW(INDIRECT("1:"&amp;K$2))),ROW($A222)),"")</f>
        <v/>
      </c>
      <c r="BE265" s="117"/>
      <c r="BF265" s="117">
        <f t="array" aca="1" ref="BF265" ca="1">IFERROR(SMALL(IF(COUNTIF(Podcasts!$D$1362:'Podcasts'!$D$1364,ROW(INDIRECT("1:"&amp;K$2)))=0,ROW(INDIRECT("1:"&amp;K$2))),ROW($A222)),"")</f>
        <v>225</v>
      </c>
      <c r="BG265" s="202"/>
      <c r="BH265" s="202"/>
      <c r="BI265" s="202"/>
      <c r="BJ265" s="202"/>
      <c r="BK265" s="202"/>
      <c r="BL265" s="202"/>
      <c r="BM265" s="567"/>
      <c r="BN265" s="567"/>
      <c r="BO265" s="567"/>
      <c r="BP265" s="202"/>
      <c r="BQ265" s="741"/>
      <c r="BR265" s="744">
        <f t="array" aca="1" ref="BR265" ca="1">IFERROR(SMALL(IF(COUNTIF(Podcasts!$D$2120:'Podcasts'!$D$2124,ROW(INDIRECT("1:"&amp;K$2)))=0,ROW(INDIRECT("1:"&amp;K$2))),ROW($A222)),"")</f>
        <v>225</v>
      </c>
      <c r="BS265" s="28"/>
    </row>
    <row r="266" spans="1:71" outlineLevel="1">
      <c r="A266" s="28"/>
      <c r="B266" s="161">
        <v>223</v>
      </c>
      <c r="C266" s="161">
        <f>COUNTIF(Podcasts!$D$10:'Podcasts'!$D$2535,B266)</f>
        <v>3</v>
      </c>
      <c r="D266" s="160" t="s">
        <v>2724</v>
      </c>
      <c r="E266" s="156" t="str">
        <f t="array" ref="E266">IF(F266="","",INDEX(Podcasts!$J$10:'Podcasts'!$J$2535,MATCH(F266&amp;$B266,Podcasts!$E$10:'Podcasts'!$E$2535&amp;Podcasts!$D$10:'Podcasts'!$D$2535,0)))</f>
        <v>Label</v>
      </c>
      <c r="F266" s="131">
        <f t="array" ref="F266">IF(COUNTIF(Podcasts!$D$10:'Podcasts'!$D$2535,$B266)&lt;COLUMN(A229),"",SMALL(IF(Podcasts!$D$10:'Podcasts'!$D$2535=$B266,Podcasts!$E$10:'Podcasts'!$E$2535),COLUMN(A229)))</f>
        <v>45128</v>
      </c>
      <c r="G266" s="132">
        <f t="array" ref="G266">IF(F266="","",INDEX(Podcasts!$F$10:'Podcasts'!$F$2535,MATCH(F266&amp;$B266,Podcasts!$E$10:'Podcasts'!$E$2535&amp;Podcasts!$D$10:'Podcasts'!$D$2535,0)))</f>
        <v>2.4456018518518519E-2</v>
      </c>
      <c r="H266" s="136" t="str">
        <f t="array" ref="H266">IF(I266="","",INDEX(Podcasts!$J$10:'Podcasts'!$J$2535,MATCH(I266&amp;$B266,Podcasts!$E$10:'Podcasts'!$E$2535&amp;Podcasts!$D$10:'Podcasts'!$D$2535,0)))</f>
        <v>???od</v>
      </c>
      <c r="I266" s="133">
        <f t="array" ref="I266">IF(COUNTIF(Podcasts!$D$10:'Podcasts'!$D$2535,$B266)&lt;COLUMN(B229),"",SMALL(IF(Podcasts!$D$10:'Podcasts'!$D$2535=$B266,Podcasts!$E$10:'Podcasts'!$E$2535),COLUMN(B229)))</f>
        <v>45154</v>
      </c>
      <c r="J266" s="132">
        <f t="array" ref="J266">IF(I266="","",INDEX(Podcasts!$F$10:'Podcasts'!$F$2535,MATCH(I266&amp;$B266,Podcasts!$E$10:'Podcasts'!$E$2535&amp;Podcasts!$D$10:'Podcasts'!$D$2535,0)))</f>
        <v>7.7129629629629631E-2</v>
      </c>
      <c r="K266" s="136" t="str">
        <f t="array" ref="K266">IF(L266="","",INDEX(Podcasts!$J$10:'Podcasts'!$J$2535,MATCH(L266&amp;$B266,Podcasts!$E$10:'Podcasts'!$E$2535&amp;Podcasts!$D$10:'Podcasts'!$D$2535,0)))</f>
        <v>Ohr</v>
      </c>
      <c r="L266" s="133">
        <f t="array" ref="L266">IF(COUNTIF(Podcasts!$D$10:'Podcasts'!$D$2535,$B266)&lt;COLUMN(C229),"",SMALL(IF(Podcasts!$D$10:'Podcasts'!$D$2535=$B266,Podcasts!$E$10:'Podcasts'!$E$2535),COLUMN(C229)))</f>
        <v>45158</v>
      </c>
      <c r="M266" s="132">
        <f t="array" ref="M266">IF(L266="","",INDEX(Podcasts!$F$10:'Podcasts'!$F$2535,MATCH(L266&amp;$B266,Podcasts!$E$10:'Podcasts'!$E$2535&amp;Podcasts!$D$10:'Podcasts'!$D$2535,0)))</f>
        <v>4.7106481481481478E-3</v>
      </c>
      <c r="N266" s="136" t="str">
        <f t="array" ref="N266">IF(O266="","",INDEX(Podcasts!$J$10:'Podcasts'!$J$2535,MATCH(O266&amp;$B266,Podcasts!$E$10:'Podcasts'!$E$2535&amp;Podcasts!$D$10:'Podcasts'!$D$2535,0)))</f>
        <v/>
      </c>
      <c r="O266" s="133" t="str">
        <f t="array" ref="O266">IF(COUNTIF(Podcasts!$D$10:'Podcasts'!$D$2535,$B266)&lt;COLUMN(D229),"",SMALL(IF(Podcasts!$D$10:'Podcasts'!$D$2535=$B266,Podcasts!$E$10:'Podcasts'!$E$2535),COLUMN(D229)))</f>
        <v/>
      </c>
      <c r="P266" s="132" t="str">
        <f t="array" ref="P266">IF(O266="","",INDEX(Podcasts!$F$10:'Podcasts'!$F$2535,MATCH(O266&amp;$B266,Podcasts!$E$10:'Podcasts'!$E$2535&amp;Podcasts!$D$10:'Podcasts'!$D$2535,0)))</f>
        <v/>
      </c>
      <c r="Q266" s="136" t="str">
        <f t="array" ref="Q266">IF(R266="","",INDEX(Podcasts!$J$10:'Podcasts'!$J$2535,MATCH(R266&amp;$B266,Podcasts!$E$10:'Podcasts'!$E$2535&amp;Podcasts!$D$10:'Podcasts'!$D$2535,0)))</f>
        <v/>
      </c>
      <c r="R266" s="133" t="str">
        <f t="array" ref="R266">IF(COUNTIF(Podcasts!$D$10:'Podcasts'!$D$2535,$B266)&lt;COLUMN(E229),"",SMALL(IF(Podcasts!$D$10:'Podcasts'!$D$2535=$B266,Podcasts!$E$10:'Podcasts'!$E$2535),COLUMN(E229)))</f>
        <v/>
      </c>
      <c r="S266" s="132" t="str">
        <f t="array" ref="S266">IF(R266="","",INDEX(Podcasts!$F$10:'Podcasts'!$F$2535,MATCH(R266&amp;$B266,Podcasts!$E$10:'Podcasts'!$E$2535&amp;Podcasts!$D$10:'Podcasts'!$D$2535,0)))</f>
        <v/>
      </c>
      <c r="T266" s="136" t="str">
        <f t="array" ref="T266">IF(U266="","",INDEX(Podcasts!$J$10:'Podcasts'!$J$2535,MATCH(U266&amp;$B266,Podcasts!$E$10:'Podcasts'!$E$2535&amp;Podcasts!$D$10:'Podcasts'!$D$2535,0)))</f>
        <v/>
      </c>
      <c r="U266" s="133" t="str">
        <f t="array" ref="U266">IF(COUNTIF(Podcasts!$D$10:'Podcasts'!$D$2535,$B266)&lt;COLUMN(F229),"",SMALL(IF(Podcasts!$D$10:'Podcasts'!$D$2535=$B266,Podcasts!$E$10:'Podcasts'!$E$2535),COLUMN(F229)))</f>
        <v/>
      </c>
      <c r="V266" s="132" t="str">
        <f t="array" ref="V266">IF(U266="","",INDEX(Podcasts!$F$10:'Podcasts'!$F$2535,MATCH(U266&amp;$B266,Podcasts!$E$10:'Podcasts'!$E$2535&amp;Podcasts!$D$10:'Podcasts'!$D$2535,0)))</f>
        <v/>
      </c>
      <c r="W266" s="136" t="str">
        <f t="array" ref="W266">IF(X266="","",INDEX(Podcasts!$J$10:'Podcasts'!$J$2535,MATCH(X266&amp;$B266,Podcasts!$E$10:'Podcasts'!$E$2535&amp;Podcasts!$D$10:'Podcasts'!$D$2535,0)))</f>
        <v/>
      </c>
      <c r="X266" s="133" t="str">
        <f t="array" ref="X266">IF(COUNTIF(Podcasts!$D$10:'Podcasts'!$D$2535,$B266)&lt;COLUMN(G229),"",SMALL(IF(Podcasts!$D$10:'Podcasts'!$D$2535=$B266,Podcasts!$E$10:'Podcasts'!$E$2535),COLUMN(G229)))</f>
        <v/>
      </c>
      <c r="Y266" s="132" t="str">
        <f t="array" ref="Y266">IF(X266="","",INDEX(Podcasts!$F$10:'Podcasts'!$F$2535,MATCH(X266&amp;$B266,Podcasts!$E$10:'Podcasts'!$E$2535&amp;Podcasts!$D$10:'Podcasts'!$D$2535,0)))</f>
        <v/>
      </c>
      <c r="Z266" s="136" t="str">
        <f t="array" ref="Z266">IF(AA266="","",INDEX(Podcasts!$J$10:'Podcasts'!$J$2535,MATCH(AA266&amp;$B266,Podcasts!$E$10:'Podcasts'!$E$2535&amp;Podcasts!$D$10:'Podcasts'!$D$2535,0)))</f>
        <v/>
      </c>
      <c r="AA266" s="134" t="str">
        <f t="array" ref="AA266">IF(COUNTIF(Podcasts!$D$10:'Podcasts'!$D$2535,$B266)&lt;COLUMN(H229),"",SMALL(IF(Podcasts!$D$10:'Podcasts'!$D$2535=$B266,Podcasts!$E$10:'Podcasts'!$E$2535),COLUMN(H229)))</f>
        <v/>
      </c>
      <c r="AB266" s="404" t="str">
        <f t="array" ref="AB266">IF(AA266="","",INDEX(Podcasts!$F$10:'Podcasts'!$F$2535,MATCH(AA266&amp;$B266,Podcasts!$E$10:'Podcasts'!$E$2535&amp;Podcasts!$D$10:'Podcasts'!$D$2535,0)))</f>
        <v/>
      </c>
      <c r="AC266" s="406" t="str">
        <f t="array" ref="AC266">IF(AD266="","",INDEX(Podcasts!$J$10:'Podcasts'!$J$2535,MATCH(AD266&amp;$B266,Podcasts!$E$10:'Podcasts'!$E$2535&amp;Podcasts!$D$10:'Podcasts'!$D$2535,0)))</f>
        <v/>
      </c>
      <c r="AD266" s="400" t="str">
        <f t="array" ref="AD266">IF(COUNTIF(Podcasts!$D$10:'Podcasts'!$D$2535,$B266)&lt;COLUMN(I229),"",SMALL(IF(Podcasts!$D$10:'Podcasts'!$D$2535=$B266,Podcasts!$E$10:'Podcasts'!$E$2535),COLUMN(I229)))</f>
        <v/>
      </c>
      <c r="AE266" s="401" t="str">
        <f t="array" ref="AE266">IF(AD266="","",INDEX(Podcasts!$F$10:'Podcasts'!$F$2535,MATCH(AD266&amp;$B266,Podcasts!$E$10:'Podcasts'!$E$2535&amp;Podcasts!$D$10:'Podcasts'!$D$2535,0)))</f>
        <v/>
      </c>
      <c r="AF266" s="406" t="str">
        <f t="array" ref="AF266">IF(AG266="","",INDEX(Podcasts!$J$10:'Podcasts'!$J$2535,MATCH(AG266&amp;$B266,Podcasts!$E$10:'Podcasts'!$E$2535&amp;Podcasts!$D$10:'Podcasts'!$D$2535,0)))</f>
        <v/>
      </c>
      <c r="AG266" s="400" t="str">
        <f t="array" ref="AG266">IF(COUNTIF(Podcasts!$D$10:'Podcasts'!$D$2535,$B266)&lt;COLUMN(J229),"",SMALL(IF(Podcasts!$D$10:'Podcasts'!$D$2535=$B266,Podcasts!$E$10:'Podcasts'!$E$2535),COLUMN(J229)))</f>
        <v/>
      </c>
      <c r="AH266" s="401" t="str">
        <f t="array" ref="AH266">IF(AG266="","",INDEX(Podcasts!$F$10:'Podcasts'!$F$2535,MATCH(AG266&amp;$B266,Podcasts!$E$10:'Podcasts'!$E$2535&amp;Podcasts!$D$10:'Podcasts'!$D$2535,0)))</f>
        <v/>
      </c>
      <c r="AI266" s="406" t="str">
        <f t="array" ref="AI266">IF(AJ266="","",INDEX(Podcasts!$J$10:'Podcasts'!$J$2535,MATCH(AJ266&amp;$B266,Podcasts!$E$10:'Podcasts'!$E$2535&amp;Podcasts!$D$10:'Podcasts'!$D$2535,0)))</f>
        <v/>
      </c>
      <c r="AJ266" s="400" t="str">
        <f t="array" ref="AJ266">IF(COUNTIF(Podcasts!$D$10:'Podcasts'!$D$2535,$B266)&lt;COLUMN(K229),"",SMALL(IF(Podcasts!$D$10:'Podcasts'!$D$2535=$B266,Podcasts!$E$10:'Podcasts'!$E$2535),COLUMN(K229)))</f>
        <v/>
      </c>
      <c r="AK266" s="401" t="str">
        <f t="array" ref="AK266">IF(AJ266="","",INDEX(Podcasts!$F$10:'Podcasts'!$F$2535,MATCH(AJ266&amp;$B266,Podcasts!$E$10:'Podcasts'!$E$2535&amp;Podcasts!$D$10:'Podcasts'!$D$2535,0)))</f>
        <v/>
      </c>
      <c r="AL266" s="406" t="str">
        <f t="array" ref="AL266">IF(AM266="","",INDEX(Podcasts!$J$10:'Podcasts'!$J$2535,MATCH(AM266&amp;$B266,Podcasts!$E$10:'Podcasts'!$E$2535&amp;Podcasts!$D$10:'Podcasts'!$D$2535,0)))</f>
        <v/>
      </c>
      <c r="AM266" s="400" t="str">
        <f t="array" ref="AM266">IF(COUNTIF(Podcasts!$D$10:'Podcasts'!$D$2535,$B266)&lt;COLUMN(L229),"",SMALL(IF(Podcasts!$D$10:'Podcasts'!$D$2535=$B266,Podcasts!$E$10:'Podcasts'!$E$2535),COLUMN(L229)))</f>
        <v/>
      </c>
      <c r="AN266" s="401" t="str">
        <f t="array" ref="AN266">IF(AM266="","",INDEX(Podcasts!$F$10:'Podcasts'!$F$2535,MATCH(AM266&amp;$B266,Podcasts!$E$10:'Podcasts'!$E$2535&amp;Podcasts!$D$10:'Podcasts'!$D$2535,0)))</f>
        <v/>
      </c>
      <c r="AO266" s="402"/>
      <c r="AP266" s="119"/>
      <c r="AQ266" s="117"/>
      <c r="AR266" s="117"/>
      <c r="AS266" s="117"/>
      <c r="AT266" s="117"/>
      <c r="AU266" s="117" t="str">
        <f t="array" aca="1" ref="AU266" ca="1">IFERROR(SMALL(IF(COUNTIF(Podcasts!$D$479:'Podcasts'!$D$488,ROW(INDIRECT("1:"&amp;K$2)))=0,ROW(INDIRECT("1:"&amp;K$2))),ROW($A223)),"")</f>
        <v/>
      </c>
      <c r="AV266" s="117"/>
      <c r="AW266" s="117" t="str">
        <f t="array" aca="1" ref="AW266" ca="1">IFERROR(SMALL(IF(COUNTIF(Podcasts!$D$524:'Podcasts'!$D$532,ROW(INDIRECT("1:"&amp;K$2)))=0,ROW(INDIRECT("1:"&amp;K$2))),ROW($A223)),"")</f>
        <v/>
      </c>
      <c r="AX266" s="117"/>
      <c r="AY266" s="117"/>
      <c r="AZ266" s="445"/>
      <c r="BA266" s="117"/>
      <c r="BB266" s="117"/>
      <c r="BC266" s="117" t="str">
        <f t="array" aca="1" ref="BC266" ca="1">IFERROR(SMALL(IF(COUNTIF(Podcasts!$D$1273:'Podcasts'!$D$1283,ROW(INDIRECT("1:"&amp;K$2)))=0,ROW(INDIRECT("1:"&amp;K$2))),ROW($A223)),"")</f>
        <v/>
      </c>
      <c r="BD266" s="117" t="str">
        <f t="array" aca="1" ref="BD266" ca="1">IFERROR(SMALL(IF(COUNTIF(Podcasts!$D$1289:'Podcasts'!$D$1295,ROW(INDIRECT("1:"&amp;K$2)))=0,ROW(INDIRECT("1:"&amp;K$2))),ROW($A223)),"")</f>
        <v/>
      </c>
      <c r="BE266" s="117"/>
      <c r="BF266" s="117">
        <f t="array" aca="1" ref="BF266" ca="1">IFERROR(SMALL(IF(COUNTIF(Podcasts!$D$1362:'Podcasts'!$D$1364,ROW(INDIRECT("1:"&amp;K$2)))=0,ROW(INDIRECT("1:"&amp;K$2))),ROW($A223)),"")</f>
        <v>226</v>
      </c>
      <c r="BG266" s="202"/>
      <c r="BH266" s="202"/>
      <c r="BI266" s="202"/>
      <c r="BJ266" s="202"/>
      <c r="BK266" s="202"/>
      <c r="BL266" s="202"/>
      <c r="BM266" s="567"/>
      <c r="BN266" s="567"/>
      <c r="BO266" s="567"/>
      <c r="BP266" s="202"/>
      <c r="BQ266" s="741"/>
      <c r="BR266" s="744">
        <f t="array" aca="1" ref="BR266" ca="1">IFERROR(SMALL(IF(COUNTIF(Podcasts!$D$2120:'Podcasts'!$D$2124,ROW(INDIRECT("1:"&amp;K$2)))=0,ROW(INDIRECT("1:"&amp;K$2))),ROW($A223)),"")</f>
        <v>226</v>
      </c>
      <c r="BS266" s="28"/>
    </row>
    <row r="267" spans="1:71" outlineLevel="1">
      <c r="A267" s="28"/>
      <c r="B267" s="161">
        <v>224</v>
      </c>
      <c r="C267" s="161">
        <f>COUNTIF(Podcasts!$D$10:'Podcasts'!$D$2535,B267)</f>
        <v>3</v>
      </c>
      <c r="D267" s="160" t="s">
        <v>2722</v>
      </c>
      <c r="E267" s="156" t="str">
        <f t="array" ref="E267">IF(F267="","",INDEX(Podcasts!$J$10:'Podcasts'!$J$2535,MATCH(F267&amp;$B267,Podcasts!$E$10:'Podcasts'!$E$2535&amp;Podcasts!$D$10:'Podcasts'!$D$2535,0)))</f>
        <v>Label</v>
      </c>
      <c r="F267" s="131">
        <f t="array" ref="F267">IF(COUNTIF(Podcasts!$D$10:'Podcasts'!$D$2535,$B267)&lt;COLUMN(A230),"",SMALL(IF(Podcasts!$D$10:'Podcasts'!$D$2535=$B267,Podcasts!$E$10:'Podcasts'!$E$2535),COLUMN(A230)))</f>
        <v>45247</v>
      </c>
      <c r="G267" s="132">
        <f t="array" ref="G267">IF(F267="","",INDEX(Podcasts!$F$10:'Podcasts'!$F$2535,MATCH(F267&amp;$B267,Podcasts!$E$10:'Podcasts'!$E$2535&amp;Podcasts!$D$10:'Podcasts'!$D$2535,0)))</f>
        <v>2.5914351851851855E-2</v>
      </c>
      <c r="H267" s="136" t="str">
        <f t="array" ref="H267">IF(I267="","",INDEX(Podcasts!$J$10:'Podcasts'!$J$2535,MATCH(I267&amp;$B267,Podcasts!$E$10:'Podcasts'!$E$2535&amp;Podcasts!$D$10:'Podcasts'!$D$2535,0)))</f>
        <v>Ohr</v>
      </c>
      <c r="I267" s="133">
        <f t="array" ref="I267">IF(COUNTIF(Podcasts!$D$10:'Podcasts'!$D$2535,$B267)&lt;COLUMN(B230),"",SMALL(IF(Podcasts!$D$10:'Podcasts'!$D$2535=$B267,Podcasts!$E$10:'Podcasts'!$E$2535),COLUMN(B230)))</f>
        <v>45274</v>
      </c>
      <c r="J267" s="132">
        <f t="array" ref="J267">IF(I267="","",INDEX(Podcasts!$F$10:'Podcasts'!$F$2535,MATCH(I267&amp;$B267,Podcasts!$E$10:'Podcasts'!$E$2535&amp;Podcasts!$D$10:'Podcasts'!$D$2535,0)))</f>
        <v>5.3587962962962964E-3</v>
      </c>
      <c r="K267" s="136" t="str">
        <f t="array" ref="K267">IF(L267="","",INDEX(Podcasts!$J$10:'Podcasts'!$J$2535,MATCH(L267&amp;$B267,Podcasts!$E$10:'Podcasts'!$E$2535&amp;Podcasts!$D$10:'Podcasts'!$D$2535,0)))</f>
        <v>Zentrale</v>
      </c>
      <c r="L267" s="133">
        <f t="array" ref="L267">IF(COUNTIF(Podcasts!$D$10:'Podcasts'!$D$2535,$B267)&lt;COLUMN(C230),"",SMALL(IF(Podcasts!$D$10:'Podcasts'!$D$2535=$B267,Podcasts!$E$10:'Podcasts'!$E$2535),COLUMN(C230)))</f>
        <v>45343</v>
      </c>
      <c r="M267" s="132">
        <f t="array" ref="M267">IF(L267="","",INDEX(Podcasts!$F$10:'Podcasts'!$F$2535,MATCH(L267&amp;$B267,Podcasts!$E$10:'Podcasts'!$E$2535&amp;Podcasts!$D$10:'Podcasts'!$D$2535,0)))</f>
        <v>9.9918981481481484E-2</v>
      </c>
      <c r="N267" s="136" t="str">
        <f t="array" ref="N267">IF(O267="","",INDEX(Podcasts!$J$10:'Podcasts'!$J$2535,MATCH(O267&amp;$B267,Podcasts!$E$10:'Podcasts'!$E$2535&amp;Podcasts!$D$10:'Podcasts'!$D$2535,0)))</f>
        <v/>
      </c>
      <c r="O267" s="133" t="str">
        <f t="array" ref="O267">IF(COUNTIF(Podcasts!$D$10:'Podcasts'!$D$2535,$B267)&lt;COLUMN(D230),"",SMALL(IF(Podcasts!$D$10:'Podcasts'!$D$2535=$B267,Podcasts!$E$10:'Podcasts'!$E$2535),COLUMN(D230)))</f>
        <v/>
      </c>
      <c r="P267" s="132" t="str">
        <f t="array" ref="P267">IF(O267="","",INDEX(Podcasts!$F$10:'Podcasts'!$F$2535,MATCH(O267&amp;$B267,Podcasts!$E$10:'Podcasts'!$E$2535&amp;Podcasts!$D$10:'Podcasts'!$D$2535,0)))</f>
        <v/>
      </c>
      <c r="Q267" s="136" t="str">
        <f t="array" ref="Q267">IF(R267="","",INDEX(Podcasts!$J$10:'Podcasts'!$J$2535,MATCH(R267&amp;$B267,Podcasts!$E$10:'Podcasts'!$E$2535&amp;Podcasts!$D$10:'Podcasts'!$D$2535,0)))</f>
        <v/>
      </c>
      <c r="R267" s="133" t="str">
        <f t="array" ref="R267">IF(COUNTIF(Podcasts!$D$10:'Podcasts'!$D$2535,$B267)&lt;COLUMN(E230),"",SMALL(IF(Podcasts!$D$10:'Podcasts'!$D$2535=$B267,Podcasts!$E$10:'Podcasts'!$E$2535),COLUMN(E230)))</f>
        <v/>
      </c>
      <c r="S267" s="132" t="str">
        <f t="array" ref="S267">IF(R267="","",INDEX(Podcasts!$F$10:'Podcasts'!$F$2535,MATCH(R267&amp;$B267,Podcasts!$E$10:'Podcasts'!$E$2535&amp;Podcasts!$D$10:'Podcasts'!$D$2535,0)))</f>
        <v/>
      </c>
      <c r="T267" s="136" t="str">
        <f t="array" ref="T267">IF(U267="","",INDEX(Podcasts!$J$10:'Podcasts'!$J$2535,MATCH(U267&amp;$B267,Podcasts!$E$10:'Podcasts'!$E$2535&amp;Podcasts!$D$10:'Podcasts'!$D$2535,0)))</f>
        <v/>
      </c>
      <c r="U267" s="133" t="str">
        <f t="array" ref="U267">IF(COUNTIF(Podcasts!$D$10:'Podcasts'!$D$2535,$B267)&lt;COLUMN(F230),"",SMALL(IF(Podcasts!$D$10:'Podcasts'!$D$2535=$B267,Podcasts!$E$10:'Podcasts'!$E$2535),COLUMN(F230)))</f>
        <v/>
      </c>
      <c r="V267" s="132" t="str">
        <f t="array" ref="V267">IF(U267="","",INDEX(Podcasts!$F$10:'Podcasts'!$F$2535,MATCH(U267&amp;$B267,Podcasts!$E$10:'Podcasts'!$E$2535&amp;Podcasts!$D$10:'Podcasts'!$D$2535,0)))</f>
        <v/>
      </c>
      <c r="W267" s="136" t="str">
        <f t="array" ref="W267">IF(X267="","",INDEX(Podcasts!$J$10:'Podcasts'!$J$2535,MATCH(X267&amp;$B267,Podcasts!$E$10:'Podcasts'!$E$2535&amp;Podcasts!$D$10:'Podcasts'!$D$2535,0)))</f>
        <v/>
      </c>
      <c r="X267" s="133" t="str">
        <f t="array" ref="X267">IF(COUNTIF(Podcasts!$D$10:'Podcasts'!$D$2535,$B267)&lt;COLUMN(G230),"",SMALL(IF(Podcasts!$D$10:'Podcasts'!$D$2535=$B267,Podcasts!$E$10:'Podcasts'!$E$2535),COLUMN(G230)))</f>
        <v/>
      </c>
      <c r="Y267" s="132" t="str">
        <f t="array" ref="Y267">IF(X267="","",INDEX(Podcasts!$F$10:'Podcasts'!$F$2535,MATCH(X267&amp;$B267,Podcasts!$E$10:'Podcasts'!$E$2535&amp;Podcasts!$D$10:'Podcasts'!$D$2535,0)))</f>
        <v/>
      </c>
      <c r="Z267" s="136" t="str">
        <f t="array" ref="Z267">IF(AA267="","",INDEX(Podcasts!$J$10:'Podcasts'!$J$2535,MATCH(AA267&amp;$B267,Podcasts!$E$10:'Podcasts'!$E$2535&amp;Podcasts!$D$10:'Podcasts'!$D$2535,0)))</f>
        <v/>
      </c>
      <c r="AA267" s="134" t="str">
        <f t="array" ref="AA267">IF(COUNTIF(Podcasts!$D$10:'Podcasts'!$D$2535,$B267)&lt;COLUMN(H230),"",SMALL(IF(Podcasts!$D$10:'Podcasts'!$D$2535=$B267,Podcasts!$E$10:'Podcasts'!$E$2535),COLUMN(H230)))</f>
        <v/>
      </c>
      <c r="AB267" s="404" t="str">
        <f t="array" ref="AB267">IF(AA267="","",INDEX(Podcasts!$F$10:'Podcasts'!$F$2535,MATCH(AA267&amp;$B267,Podcasts!$E$10:'Podcasts'!$E$2535&amp;Podcasts!$D$10:'Podcasts'!$D$2535,0)))</f>
        <v/>
      </c>
      <c r="AC267" s="406" t="str">
        <f t="array" ref="AC267">IF(AD267="","",INDEX(Podcasts!$J$10:'Podcasts'!$J$2535,MATCH(AD267&amp;$B267,Podcasts!$E$10:'Podcasts'!$E$2535&amp;Podcasts!$D$10:'Podcasts'!$D$2535,0)))</f>
        <v/>
      </c>
      <c r="AD267" s="400" t="str">
        <f t="array" ref="AD267">IF(COUNTIF(Podcasts!$D$10:'Podcasts'!$D$2535,$B267)&lt;COLUMN(I230),"",SMALL(IF(Podcasts!$D$10:'Podcasts'!$D$2535=$B267,Podcasts!$E$10:'Podcasts'!$E$2535),COLUMN(I230)))</f>
        <v/>
      </c>
      <c r="AE267" s="401" t="str">
        <f t="array" ref="AE267">IF(AD267="","",INDEX(Podcasts!$F$10:'Podcasts'!$F$2535,MATCH(AD267&amp;$B267,Podcasts!$E$10:'Podcasts'!$E$2535&amp;Podcasts!$D$10:'Podcasts'!$D$2535,0)))</f>
        <v/>
      </c>
      <c r="AF267" s="406" t="str">
        <f t="array" ref="AF267">IF(AG267="","",INDEX(Podcasts!$J$10:'Podcasts'!$J$2535,MATCH(AG267&amp;$B267,Podcasts!$E$10:'Podcasts'!$E$2535&amp;Podcasts!$D$10:'Podcasts'!$D$2535,0)))</f>
        <v/>
      </c>
      <c r="AG267" s="400" t="str">
        <f t="array" ref="AG267">IF(COUNTIF(Podcasts!$D$10:'Podcasts'!$D$2535,$B267)&lt;COLUMN(J230),"",SMALL(IF(Podcasts!$D$10:'Podcasts'!$D$2535=$B267,Podcasts!$E$10:'Podcasts'!$E$2535),COLUMN(J230)))</f>
        <v/>
      </c>
      <c r="AH267" s="401" t="str">
        <f t="array" ref="AH267">IF(AG267="","",INDEX(Podcasts!$F$10:'Podcasts'!$F$2535,MATCH(AG267&amp;$B267,Podcasts!$E$10:'Podcasts'!$E$2535&amp;Podcasts!$D$10:'Podcasts'!$D$2535,0)))</f>
        <v/>
      </c>
      <c r="AI267" s="406" t="str">
        <f t="array" ref="AI267">IF(AJ267="","",INDEX(Podcasts!$J$10:'Podcasts'!$J$2535,MATCH(AJ267&amp;$B267,Podcasts!$E$10:'Podcasts'!$E$2535&amp;Podcasts!$D$10:'Podcasts'!$D$2535,0)))</f>
        <v/>
      </c>
      <c r="AJ267" s="400" t="str">
        <f t="array" ref="AJ267">IF(COUNTIF(Podcasts!$D$10:'Podcasts'!$D$2535,$B267)&lt;COLUMN(K230),"",SMALL(IF(Podcasts!$D$10:'Podcasts'!$D$2535=$B267,Podcasts!$E$10:'Podcasts'!$E$2535),COLUMN(K230)))</f>
        <v/>
      </c>
      <c r="AK267" s="401" t="str">
        <f t="array" ref="AK267">IF(AJ267="","",INDEX(Podcasts!$F$10:'Podcasts'!$F$2535,MATCH(AJ267&amp;$B267,Podcasts!$E$10:'Podcasts'!$E$2535&amp;Podcasts!$D$10:'Podcasts'!$D$2535,0)))</f>
        <v/>
      </c>
      <c r="AL267" s="406" t="str">
        <f t="array" ref="AL267">IF(AM267="","",INDEX(Podcasts!$J$10:'Podcasts'!$J$2535,MATCH(AM267&amp;$B267,Podcasts!$E$10:'Podcasts'!$E$2535&amp;Podcasts!$D$10:'Podcasts'!$D$2535,0)))</f>
        <v/>
      </c>
      <c r="AM267" s="400" t="str">
        <f t="array" ref="AM267">IF(COUNTIF(Podcasts!$D$10:'Podcasts'!$D$2535,$B267)&lt;COLUMN(L230),"",SMALL(IF(Podcasts!$D$10:'Podcasts'!$D$2535=$B267,Podcasts!$E$10:'Podcasts'!$E$2535),COLUMN(L230)))</f>
        <v/>
      </c>
      <c r="AN267" s="401" t="str">
        <f t="array" ref="AN267">IF(AM267="","",INDEX(Podcasts!$F$10:'Podcasts'!$F$2535,MATCH(AM267&amp;$B267,Podcasts!$E$10:'Podcasts'!$E$2535&amp;Podcasts!$D$10:'Podcasts'!$D$2535,0)))</f>
        <v/>
      </c>
      <c r="AO267" s="402"/>
      <c r="AP267" s="119"/>
      <c r="AQ267" s="117"/>
      <c r="AR267" s="117"/>
      <c r="AS267" s="117"/>
      <c r="AT267" s="117"/>
      <c r="AU267" s="117" t="str">
        <f t="array" aca="1" ref="AU267" ca="1">IFERROR(SMALL(IF(COUNTIF(Podcasts!$D$479:'Podcasts'!$D$488,ROW(INDIRECT("1:"&amp;K$2)))=0,ROW(INDIRECT("1:"&amp;K$2))),ROW($A224)),"")</f>
        <v/>
      </c>
      <c r="AV267" s="117"/>
      <c r="AW267" s="117"/>
      <c r="AX267" s="117"/>
      <c r="AY267" s="117"/>
      <c r="AZ267" s="445"/>
      <c r="BA267" s="117"/>
      <c r="BB267" s="117"/>
      <c r="BC267" s="117"/>
      <c r="BD267" s="117"/>
      <c r="BE267" s="117"/>
      <c r="BF267" s="117" t="str">
        <f t="array" aca="1" ref="BF267" ca="1">IFERROR(SMALL(IF(COUNTIF(Podcasts!$D$1362:'Podcasts'!$D$1364,ROW(INDIRECT("1:"&amp;K$2)))=0,ROW(INDIRECT("1:"&amp;K$2))),ROW($A224)),"")</f>
        <v/>
      </c>
      <c r="BG267" s="202"/>
      <c r="BH267" s="202"/>
      <c r="BI267" s="202"/>
      <c r="BJ267" s="202"/>
      <c r="BK267" s="202"/>
      <c r="BL267" s="202"/>
      <c r="BM267" s="567"/>
      <c r="BN267" s="567"/>
      <c r="BO267" s="567"/>
      <c r="BP267" s="202"/>
      <c r="BQ267" s="741"/>
      <c r="BR267" s="744" t="str">
        <f t="array" aca="1" ref="BR267" ca="1">IFERROR(SMALL(IF(COUNTIF(Podcasts!$D$2120:'Podcasts'!$D$2124,ROW(INDIRECT("1:"&amp;K$2)))=0,ROW(INDIRECT("1:"&amp;K$2))),ROW($A224)),"")</f>
        <v/>
      </c>
      <c r="BS267" s="28"/>
    </row>
    <row r="268" spans="1:71" outlineLevel="1">
      <c r="A268" s="28"/>
      <c r="B268" s="161">
        <v>225</v>
      </c>
      <c r="C268" s="161">
        <f>COUNTIF(Podcasts!$D$10:'Podcasts'!$D$2535,B268)</f>
        <v>4</v>
      </c>
      <c r="D268" s="160" t="s">
        <v>3074</v>
      </c>
      <c r="E268" s="156" t="str">
        <f t="array" ref="E268">IF(F268="","",INDEX(Podcasts!$J$10:'Podcasts'!$J$2535,MATCH(F268&amp;$B268,Podcasts!$E$10:'Podcasts'!$E$2535&amp;Podcasts!$D$10:'Podcasts'!$D$2535,0)))</f>
        <v>Label</v>
      </c>
      <c r="F268" s="131">
        <f t="array" ref="F268">IF(COUNTIF(Podcasts!$D$10:'Podcasts'!$D$2535,$B268)&lt;COLUMN(A231),"",SMALL(IF(Podcasts!$D$10:'Podcasts'!$D$2535=$B268,Podcasts!$E$10:'Podcasts'!$E$2535),COLUMN(A231)))</f>
        <v>45310</v>
      </c>
      <c r="G268" s="132">
        <f t="array" ref="G268">IF(F268="","",INDEX(Podcasts!$F$10:'Podcasts'!$F$2535,MATCH(F268&amp;$B268,Podcasts!$E$10:'Podcasts'!$E$2535&amp;Podcasts!$D$10:'Podcasts'!$D$2535,0)))</f>
        <v>2.255787037037037E-2</v>
      </c>
      <c r="H268" s="136" t="str">
        <f t="array" ref="H268">IF(I268="","",INDEX(Podcasts!$J$10:'Podcasts'!$J$2535,MATCH(I268&amp;$B268,Podcasts!$E$10:'Podcasts'!$E$2535&amp;Podcasts!$D$10:'Podcasts'!$D$2535,0)))</f>
        <v>???od</v>
      </c>
      <c r="I268" s="133">
        <f t="array" ref="I268">IF(COUNTIF(Podcasts!$D$10:'Podcasts'!$D$2535,$B268)&lt;COLUMN(B231),"",SMALL(IF(Podcasts!$D$10:'Podcasts'!$D$2535=$B268,Podcasts!$E$10:'Podcasts'!$E$2535),COLUMN(B231)))</f>
        <v>45344</v>
      </c>
      <c r="J268" s="132">
        <f t="array" ref="J268">IF(I268="","",INDEX(Podcasts!$F$10:'Podcasts'!$F$2535,MATCH(I268&amp;$B268,Podcasts!$E$10:'Podcasts'!$E$2535&amp;Podcasts!$D$10:'Podcasts'!$D$2535,0)))</f>
        <v>4.6979166666666662E-2</v>
      </c>
      <c r="K268" s="136" t="str">
        <f t="array" ref="K268">IF(L268="","",INDEX(Podcasts!$J$10:'Podcasts'!$J$2535,MATCH(L268&amp;$B268,Podcasts!$E$10:'Podcasts'!$E$2535&amp;Podcasts!$D$10:'Podcasts'!$D$2535,0)))</f>
        <v>Ohr</v>
      </c>
      <c r="L268" s="133">
        <f t="array" ref="L268">IF(COUNTIF(Podcasts!$D$10:'Podcasts'!$D$2535,$B268)&lt;COLUMN(C231),"",SMALL(IF(Podcasts!$D$10:'Podcasts'!$D$2535=$B268,Podcasts!$E$10:'Podcasts'!$E$2535),COLUMN(C231)))</f>
        <v>45370</v>
      </c>
      <c r="M268" s="132">
        <f t="array" ref="M268">IF(L268="","",INDEX(Podcasts!$F$10:'Podcasts'!$F$2535,MATCH(L268&amp;$B268,Podcasts!$E$10:'Podcasts'!$E$2535&amp;Podcasts!$D$10:'Podcasts'!$D$2535,0)))</f>
        <v>4.9652777777777777E-3</v>
      </c>
      <c r="N268" s="136" t="str">
        <f t="array" ref="N268">IF(O268="","",INDEX(Podcasts!$J$10:'Podcasts'!$J$2535,MATCH(O268&amp;$B268,Podcasts!$E$10:'Podcasts'!$E$2535&amp;Podcasts!$D$10:'Podcasts'!$D$2535,0)))</f>
        <v>DGdB</v>
      </c>
      <c r="O268" s="133">
        <f t="array" ref="O268">IF(COUNTIF(Podcasts!$D$10:'Podcasts'!$D$2535,$B268)&lt;COLUMN(D231),"",SMALL(IF(Podcasts!$D$10:'Podcasts'!$D$2535=$B268,Podcasts!$E$10:'Podcasts'!$E$2535),COLUMN(D231)))</f>
        <v>45383</v>
      </c>
      <c r="P268" s="132">
        <f t="array" ref="P268">IF(O268="","",INDEX(Podcasts!$F$10:'Podcasts'!$F$2535,MATCH(O268&amp;$B268,Podcasts!$E$10:'Podcasts'!$E$2535&amp;Podcasts!$D$10:'Podcasts'!$D$2535,0)))</f>
        <v>0.15474537037037037</v>
      </c>
      <c r="Q268" s="136" t="str">
        <f t="array" ref="Q268">IF(R268="","",INDEX(Podcasts!$J$10:'Podcasts'!$J$2535,MATCH(R268&amp;$B268,Podcasts!$E$10:'Podcasts'!$E$2535&amp;Podcasts!$D$10:'Podcasts'!$D$2535,0)))</f>
        <v/>
      </c>
      <c r="R268" s="133" t="str">
        <f t="array" ref="R268">IF(COUNTIF(Podcasts!$D$10:'Podcasts'!$D$2535,$B268)&lt;COLUMN(E231),"",SMALL(IF(Podcasts!$D$10:'Podcasts'!$D$2535=$B268,Podcasts!$E$10:'Podcasts'!$E$2535),COLUMN(E231)))</f>
        <v/>
      </c>
      <c r="S268" s="132" t="str">
        <f t="array" ref="S268">IF(R268="","",INDEX(Podcasts!$F$10:'Podcasts'!$F$2535,MATCH(R268&amp;$B268,Podcasts!$E$10:'Podcasts'!$E$2535&amp;Podcasts!$D$10:'Podcasts'!$D$2535,0)))</f>
        <v/>
      </c>
      <c r="T268" s="136" t="str">
        <f t="array" ref="T268">IF(U268="","",INDEX(Podcasts!$J$10:'Podcasts'!$J$2535,MATCH(U268&amp;$B268,Podcasts!$E$10:'Podcasts'!$E$2535&amp;Podcasts!$D$10:'Podcasts'!$D$2535,0)))</f>
        <v/>
      </c>
      <c r="U268" s="133" t="str">
        <f t="array" ref="U268">IF(COUNTIF(Podcasts!$D$10:'Podcasts'!$D$2535,$B268)&lt;COLUMN(F231),"",SMALL(IF(Podcasts!$D$10:'Podcasts'!$D$2535=$B268,Podcasts!$E$10:'Podcasts'!$E$2535),COLUMN(F231)))</f>
        <v/>
      </c>
      <c r="V268" s="132" t="str">
        <f t="array" ref="V268">IF(U268="","",INDEX(Podcasts!$F$10:'Podcasts'!$F$2535,MATCH(U268&amp;$B268,Podcasts!$E$10:'Podcasts'!$E$2535&amp;Podcasts!$D$10:'Podcasts'!$D$2535,0)))</f>
        <v/>
      </c>
      <c r="W268" s="136" t="str">
        <f t="array" ref="W268">IF(X268="","",INDEX(Podcasts!$J$10:'Podcasts'!$J$2535,MATCH(X268&amp;$B268,Podcasts!$E$10:'Podcasts'!$E$2535&amp;Podcasts!$D$10:'Podcasts'!$D$2535,0)))</f>
        <v/>
      </c>
      <c r="X268" s="133" t="str">
        <f t="array" ref="X268">IF(COUNTIF(Podcasts!$D$10:'Podcasts'!$D$2535,$B268)&lt;COLUMN(G231),"",SMALL(IF(Podcasts!$D$10:'Podcasts'!$D$2535=$B268,Podcasts!$E$10:'Podcasts'!$E$2535),COLUMN(G231)))</f>
        <v/>
      </c>
      <c r="Y268" s="132" t="str">
        <f t="array" ref="Y268">IF(X268="","",INDEX(Podcasts!$F$10:'Podcasts'!$F$2535,MATCH(X268&amp;$B268,Podcasts!$E$10:'Podcasts'!$E$2535&amp;Podcasts!$D$10:'Podcasts'!$D$2535,0)))</f>
        <v/>
      </c>
      <c r="Z268" s="136" t="str">
        <f t="array" ref="Z268">IF(AA268="","",INDEX(Podcasts!$J$10:'Podcasts'!$J$2535,MATCH(AA268&amp;$B268,Podcasts!$E$10:'Podcasts'!$E$2535&amp;Podcasts!$D$10:'Podcasts'!$D$2535,0)))</f>
        <v/>
      </c>
      <c r="AA268" s="134" t="str">
        <f t="array" ref="AA268">IF(COUNTIF(Podcasts!$D$10:'Podcasts'!$D$2535,$B268)&lt;COLUMN(H231),"",SMALL(IF(Podcasts!$D$10:'Podcasts'!$D$2535=$B268,Podcasts!$E$10:'Podcasts'!$E$2535),COLUMN(H231)))</f>
        <v/>
      </c>
      <c r="AB268" s="404" t="str">
        <f t="array" ref="AB268">IF(AA268="","",INDEX(Podcasts!$F$10:'Podcasts'!$F$2535,MATCH(AA268&amp;$B268,Podcasts!$E$10:'Podcasts'!$E$2535&amp;Podcasts!$D$10:'Podcasts'!$D$2535,0)))</f>
        <v/>
      </c>
      <c r="AC268" s="406" t="str">
        <f t="array" ref="AC268">IF(AD268="","",INDEX(Podcasts!$J$10:'Podcasts'!$J$2535,MATCH(AD268&amp;$B268,Podcasts!$E$10:'Podcasts'!$E$2535&amp;Podcasts!$D$10:'Podcasts'!$D$2535,0)))</f>
        <v/>
      </c>
      <c r="AD268" s="400" t="str">
        <f t="array" ref="AD268">IF(COUNTIF(Podcasts!$D$10:'Podcasts'!$D$2535,$B268)&lt;COLUMN(I231),"",SMALL(IF(Podcasts!$D$10:'Podcasts'!$D$2535=$B268,Podcasts!$E$10:'Podcasts'!$E$2535),COLUMN(I231)))</f>
        <v/>
      </c>
      <c r="AE268" s="401" t="str">
        <f t="array" ref="AE268">IF(AD268="","",INDEX(Podcasts!$F$10:'Podcasts'!$F$2535,MATCH(AD268&amp;$B268,Podcasts!$E$10:'Podcasts'!$E$2535&amp;Podcasts!$D$10:'Podcasts'!$D$2535,0)))</f>
        <v/>
      </c>
      <c r="AF268" s="406" t="str">
        <f t="array" ref="AF268">IF(AG268="","",INDEX(Podcasts!$J$10:'Podcasts'!$J$2535,MATCH(AG268&amp;$B268,Podcasts!$E$10:'Podcasts'!$E$2535&amp;Podcasts!$D$10:'Podcasts'!$D$2535,0)))</f>
        <v/>
      </c>
      <c r="AG268" s="400" t="str">
        <f t="array" ref="AG268">IF(COUNTIF(Podcasts!$D$10:'Podcasts'!$D$2535,$B268)&lt;COLUMN(J231),"",SMALL(IF(Podcasts!$D$10:'Podcasts'!$D$2535=$B268,Podcasts!$E$10:'Podcasts'!$E$2535),COLUMN(J231)))</f>
        <v/>
      </c>
      <c r="AH268" s="401" t="str">
        <f t="array" ref="AH268">IF(AG268="","",INDEX(Podcasts!$F$10:'Podcasts'!$F$2535,MATCH(AG268&amp;$B268,Podcasts!$E$10:'Podcasts'!$E$2535&amp;Podcasts!$D$10:'Podcasts'!$D$2535,0)))</f>
        <v/>
      </c>
      <c r="AI268" s="406" t="str">
        <f t="array" ref="AI268">IF(AJ268="","",INDEX(Podcasts!$J$10:'Podcasts'!$J$2535,MATCH(AJ268&amp;$B268,Podcasts!$E$10:'Podcasts'!$E$2535&amp;Podcasts!$D$10:'Podcasts'!$D$2535,0)))</f>
        <v/>
      </c>
      <c r="AJ268" s="400" t="str">
        <f t="array" ref="AJ268">IF(COUNTIF(Podcasts!$D$10:'Podcasts'!$D$2535,$B268)&lt;COLUMN(K231),"",SMALL(IF(Podcasts!$D$10:'Podcasts'!$D$2535=$B268,Podcasts!$E$10:'Podcasts'!$E$2535),COLUMN(K231)))</f>
        <v/>
      </c>
      <c r="AK268" s="401" t="str">
        <f t="array" ref="AK268">IF(AJ268="","",INDEX(Podcasts!$F$10:'Podcasts'!$F$2535,MATCH(AJ268&amp;$B268,Podcasts!$E$10:'Podcasts'!$E$2535&amp;Podcasts!$D$10:'Podcasts'!$D$2535,0)))</f>
        <v/>
      </c>
      <c r="AL268" s="406" t="str">
        <f t="array" ref="AL268">IF(AM268="","",INDEX(Podcasts!$J$10:'Podcasts'!$J$2535,MATCH(AM268&amp;$B268,Podcasts!$E$10:'Podcasts'!$E$2535&amp;Podcasts!$D$10:'Podcasts'!$D$2535,0)))</f>
        <v/>
      </c>
      <c r="AM268" s="400" t="str">
        <f t="array" ref="AM268">IF(COUNTIF(Podcasts!$D$10:'Podcasts'!$D$2535,$B268)&lt;COLUMN(L231),"",SMALL(IF(Podcasts!$D$10:'Podcasts'!$D$2535=$B268,Podcasts!$E$10:'Podcasts'!$E$2535),COLUMN(L231)))</f>
        <v/>
      </c>
      <c r="AN268" s="401" t="str">
        <f t="array" ref="AN268">IF(AM268="","",INDEX(Podcasts!$F$10:'Podcasts'!$F$2535,MATCH(AM268&amp;$B268,Podcasts!$E$10:'Podcasts'!$E$2535&amp;Podcasts!$D$10:'Podcasts'!$D$2535,0)))</f>
        <v/>
      </c>
      <c r="AO268" s="402"/>
      <c r="AP268" s="119"/>
      <c r="AQ268" s="117"/>
      <c r="AR268" s="117"/>
      <c r="AS268" s="117"/>
      <c r="AT268" s="117"/>
      <c r="AU268" s="117" t="str">
        <f t="array" aca="1" ref="AU268" ca="1">IFERROR(SMALL(IF(COUNTIF(Podcasts!$D$479:'Podcasts'!$D$488,ROW(INDIRECT("1:"&amp;K$2)))=0,ROW(INDIRECT("1:"&amp;K$2))),ROW($A225)),"")</f>
        <v/>
      </c>
      <c r="AV268" s="117"/>
      <c r="AW268" s="117"/>
      <c r="AX268" s="117"/>
      <c r="AY268" s="117"/>
      <c r="AZ268" s="445"/>
      <c r="BA268" s="117"/>
      <c r="BB268" s="117"/>
      <c r="BC268" s="117"/>
      <c r="BD268" s="117"/>
      <c r="BE268" s="117"/>
      <c r="BF268" s="117" t="str">
        <f t="array" aca="1" ref="BF268" ca="1">IFERROR(SMALL(IF(COUNTIF(Podcasts!$D$1362:'Podcasts'!$D$1364,ROW(INDIRECT("1:"&amp;K$2)))=0,ROW(INDIRECT("1:"&amp;K$2))),ROW($A225)),"")</f>
        <v/>
      </c>
      <c r="BG268" s="202"/>
      <c r="BH268" s="202"/>
      <c r="BI268" s="202"/>
      <c r="BJ268" s="202"/>
      <c r="BK268" s="202"/>
      <c r="BL268" s="202"/>
      <c r="BM268" s="567"/>
      <c r="BN268" s="567"/>
      <c r="BO268" s="567"/>
      <c r="BP268" s="202"/>
      <c r="BQ268" s="741"/>
      <c r="BR268" s="744" t="str">
        <f t="array" aca="1" ref="BR268" ca="1">IFERROR(SMALL(IF(COUNTIF(Podcasts!$D$2120:'Podcasts'!$D$2124,ROW(INDIRECT("1:"&amp;K$2)))=0,ROW(INDIRECT("1:"&amp;K$2))),ROW($A225)),"")</f>
        <v/>
      </c>
      <c r="BS268" s="28"/>
    </row>
    <row r="269" spans="1:71" outlineLevel="1">
      <c r="A269" s="28"/>
      <c r="B269" s="161">
        <v>226</v>
      </c>
      <c r="C269" s="161">
        <f>COUNTIF(Podcasts!$D$10:'Podcasts'!$D$2535,B269)</f>
        <v>1</v>
      </c>
      <c r="D269" s="160" t="s">
        <v>3072</v>
      </c>
      <c r="E269" s="156" t="str">
        <f t="array" ref="E269">IF(F269="","",INDEX(Podcasts!$J$10:'Podcasts'!$J$2535,MATCH(F269&amp;$B269,Podcasts!$E$10:'Podcasts'!$E$2535&amp;Podcasts!$D$10:'Podcasts'!$D$2535,0)))</f>
        <v>Label</v>
      </c>
      <c r="F269" s="131">
        <f t="array" ref="F269">IF(COUNTIF(Podcasts!$D$10:'Podcasts'!$D$2535,$B269)&lt;COLUMN(A232),"",SMALL(IF(Podcasts!$D$10:'Podcasts'!$D$2535=$B269,Podcasts!$E$10:'Podcasts'!$E$2535),COLUMN(A232)))</f>
        <v>45366</v>
      </c>
      <c r="G269" s="132">
        <f t="array" ref="G269">IF(F269="","",INDEX(Podcasts!$F$10:'Podcasts'!$F$2535,MATCH(F269&amp;$B269,Podcasts!$E$10:'Podcasts'!$E$2535&amp;Podcasts!$D$10:'Podcasts'!$D$2535,0)))</f>
        <v>3.3738425925925929E-2</v>
      </c>
      <c r="H269" s="136" t="str">
        <f t="array" ref="H269">IF(I269="","",INDEX(Podcasts!$J$10:'Podcasts'!$J$2535,MATCH(I269&amp;$B269,Podcasts!$E$10:'Podcasts'!$E$2535&amp;Podcasts!$D$10:'Podcasts'!$D$2535,0)))</f>
        <v/>
      </c>
      <c r="I269" s="133" t="str">
        <f t="array" ref="I269">IF(COUNTIF(Podcasts!$D$10:'Podcasts'!$D$2535,$B269)&lt;COLUMN(B232),"",SMALL(IF(Podcasts!$D$10:'Podcasts'!$D$2535=$B269,Podcasts!$E$10:'Podcasts'!$E$2535),COLUMN(B232)))</f>
        <v/>
      </c>
      <c r="J269" s="132" t="str">
        <f t="array" ref="J269">IF(I269="","",INDEX(Podcasts!$F$10:'Podcasts'!$F$2535,MATCH(I269&amp;$B269,Podcasts!$E$10:'Podcasts'!$E$2535&amp;Podcasts!$D$10:'Podcasts'!$D$2535,0)))</f>
        <v/>
      </c>
      <c r="K269" s="136" t="str">
        <f t="array" ref="K269">IF(L269="","",INDEX(Podcasts!$J$10:'Podcasts'!$J$2535,MATCH(L269&amp;$B269,Podcasts!$E$10:'Podcasts'!$E$2535&amp;Podcasts!$D$10:'Podcasts'!$D$2535,0)))</f>
        <v/>
      </c>
      <c r="L269" s="133" t="str">
        <f t="array" ref="L269">IF(COUNTIF(Podcasts!$D$10:'Podcasts'!$D$2535,$B269)&lt;COLUMN(C232),"",SMALL(IF(Podcasts!$D$10:'Podcasts'!$D$2535=$B269,Podcasts!$E$10:'Podcasts'!$E$2535),COLUMN(C232)))</f>
        <v/>
      </c>
      <c r="M269" s="132" t="str">
        <f t="array" ref="M269">IF(L269="","",INDEX(Podcasts!$F$10:'Podcasts'!$F$2535,MATCH(L269&amp;$B269,Podcasts!$E$10:'Podcasts'!$E$2535&amp;Podcasts!$D$10:'Podcasts'!$D$2535,0)))</f>
        <v/>
      </c>
      <c r="N269" s="136" t="str">
        <f t="array" ref="N269">IF(O269="","",INDEX(Podcasts!$J$10:'Podcasts'!$J$2535,MATCH(O269&amp;$B269,Podcasts!$E$10:'Podcasts'!$E$2535&amp;Podcasts!$D$10:'Podcasts'!$D$2535,0)))</f>
        <v/>
      </c>
      <c r="O269" s="133" t="str">
        <f t="array" ref="O269">IF(COUNTIF(Podcasts!$D$10:'Podcasts'!$D$2535,$B269)&lt;COLUMN(D232),"",SMALL(IF(Podcasts!$D$10:'Podcasts'!$D$2535=$B269,Podcasts!$E$10:'Podcasts'!$E$2535),COLUMN(D232)))</f>
        <v/>
      </c>
      <c r="P269" s="132" t="str">
        <f t="array" ref="P269">IF(O269="","",INDEX(Podcasts!$F$10:'Podcasts'!$F$2535,MATCH(O269&amp;$B269,Podcasts!$E$10:'Podcasts'!$E$2535&amp;Podcasts!$D$10:'Podcasts'!$D$2535,0)))</f>
        <v/>
      </c>
      <c r="Q269" s="136" t="str">
        <f t="array" ref="Q269">IF(R269="","",INDEX(Podcasts!$J$10:'Podcasts'!$J$2535,MATCH(R269&amp;$B269,Podcasts!$E$10:'Podcasts'!$E$2535&amp;Podcasts!$D$10:'Podcasts'!$D$2535,0)))</f>
        <v/>
      </c>
      <c r="R269" s="133" t="str">
        <f t="array" ref="R269">IF(COUNTIF(Podcasts!$D$10:'Podcasts'!$D$2535,$B269)&lt;COLUMN(E232),"",SMALL(IF(Podcasts!$D$10:'Podcasts'!$D$2535=$B269,Podcasts!$E$10:'Podcasts'!$E$2535),COLUMN(E232)))</f>
        <v/>
      </c>
      <c r="S269" s="132" t="str">
        <f t="array" ref="S269">IF(R269="","",INDEX(Podcasts!$F$10:'Podcasts'!$F$2535,MATCH(R269&amp;$B269,Podcasts!$E$10:'Podcasts'!$E$2535&amp;Podcasts!$D$10:'Podcasts'!$D$2535,0)))</f>
        <v/>
      </c>
      <c r="T269" s="136" t="str">
        <f t="array" ref="T269">IF(U269="","",INDEX(Podcasts!$J$10:'Podcasts'!$J$2535,MATCH(U269&amp;$B269,Podcasts!$E$10:'Podcasts'!$E$2535&amp;Podcasts!$D$10:'Podcasts'!$D$2535,0)))</f>
        <v/>
      </c>
      <c r="U269" s="133" t="str">
        <f t="array" ref="U269">IF(COUNTIF(Podcasts!$D$10:'Podcasts'!$D$2535,$B269)&lt;COLUMN(F232),"",SMALL(IF(Podcasts!$D$10:'Podcasts'!$D$2535=$B269,Podcasts!$E$10:'Podcasts'!$E$2535),COLUMN(F232)))</f>
        <v/>
      </c>
      <c r="V269" s="132" t="str">
        <f t="array" ref="V269">IF(U269="","",INDEX(Podcasts!$F$10:'Podcasts'!$F$2535,MATCH(U269&amp;$B269,Podcasts!$E$10:'Podcasts'!$E$2535&amp;Podcasts!$D$10:'Podcasts'!$D$2535,0)))</f>
        <v/>
      </c>
      <c r="W269" s="136" t="str">
        <f t="array" ref="W269">IF(X269="","",INDEX(Podcasts!$J$10:'Podcasts'!$J$2535,MATCH(X269&amp;$B269,Podcasts!$E$10:'Podcasts'!$E$2535&amp;Podcasts!$D$10:'Podcasts'!$D$2535,0)))</f>
        <v/>
      </c>
      <c r="X269" s="133" t="str">
        <f t="array" ref="X269">IF(COUNTIF(Podcasts!$D$10:'Podcasts'!$D$2535,$B269)&lt;COLUMN(G232),"",SMALL(IF(Podcasts!$D$10:'Podcasts'!$D$2535=$B269,Podcasts!$E$10:'Podcasts'!$E$2535),COLUMN(G232)))</f>
        <v/>
      </c>
      <c r="Y269" s="132" t="str">
        <f t="array" ref="Y269">IF(X269="","",INDEX(Podcasts!$F$10:'Podcasts'!$F$2535,MATCH(X269&amp;$B269,Podcasts!$E$10:'Podcasts'!$E$2535&amp;Podcasts!$D$10:'Podcasts'!$D$2535,0)))</f>
        <v/>
      </c>
      <c r="Z269" s="136" t="str">
        <f t="array" ref="Z269">IF(AA269="","",INDEX(Podcasts!$J$10:'Podcasts'!$J$2535,MATCH(AA269&amp;$B269,Podcasts!$E$10:'Podcasts'!$E$2535&amp;Podcasts!$D$10:'Podcasts'!$D$2535,0)))</f>
        <v/>
      </c>
      <c r="AA269" s="134" t="str">
        <f t="array" ref="AA269">IF(COUNTIF(Podcasts!$D$10:'Podcasts'!$D$2535,$B269)&lt;COLUMN(H232),"",SMALL(IF(Podcasts!$D$10:'Podcasts'!$D$2535=$B269,Podcasts!$E$10:'Podcasts'!$E$2535),COLUMN(H232)))</f>
        <v/>
      </c>
      <c r="AB269" s="404" t="str">
        <f t="array" ref="AB269">IF(AA269="","",INDEX(Podcasts!$F$10:'Podcasts'!$F$2535,MATCH(AA269&amp;$B269,Podcasts!$E$10:'Podcasts'!$E$2535&amp;Podcasts!$D$10:'Podcasts'!$D$2535,0)))</f>
        <v/>
      </c>
      <c r="AC269" s="406" t="str">
        <f t="array" ref="AC269">IF(AD269="","",INDEX(Podcasts!$J$10:'Podcasts'!$J$2535,MATCH(AD269&amp;$B269,Podcasts!$E$10:'Podcasts'!$E$2535&amp;Podcasts!$D$10:'Podcasts'!$D$2535,0)))</f>
        <v/>
      </c>
      <c r="AD269" s="400" t="str">
        <f t="array" ref="AD269">IF(COUNTIF(Podcasts!$D$10:'Podcasts'!$D$2535,$B269)&lt;COLUMN(I232),"",SMALL(IF(Podcasts!$D$10:'Podcasts'!$D$2535=$B269,Podcasts!$E$10:'Podcasts'!$E$2535),COLUMN(I232)))</f>
        <v/>
      </c>
      <c r="AE269" s="401" t="str">
        <f t="array" ref="AE269">IF(AD269="","",INDEX(Podcasts!$F$10:'Podcasts'!$F$2535,MATCH(AD269&amp;$B269,Podcasts!$E$10:'Podcasts'!$E$2535&amp;Podcasts!$D$10:'Podcasts'!$D$2535,0)))</f>
        <v/>
      </c>
      <c r="AF269" s="406" t="str">
        <f t="array" ref="AF269">IF(AG269="","",INDEX(Podcasts!$J$10:'Podcasts'!$J$2535,MATCH(AG269&amp;$B269,Podcasts!$E$10:'Podcasts'!$E$2535&amp;Podcasts!$D$10:'Podcasts'!$D$2535,0)))</f>
        <v/>
      </c>
      <c r="AG269" s="400" t="str">
        <f t="array" ref="AG269">IF(COUNTIF(Podcasts!$D$10:'Podcasts'!$D$2535,$B269)&lt;COLUMN(J232),"",SMALL(IF(Podcasts!$D$10:'Podcasts'!$D$2535=$B269,Podcasts!$E$10:'Podcasts'!$E$2535),COLUMN(J232)))</f>
        <v/>
      </c>
      <c r="AH269" s="401" t="str">
        <f t="array" ref="AH269">IF(AG269="","",INDEX(Podcasts!$F$10:'Podcasts'!$F$2535,MATCH(AG269&amp;$B269,Podcasts!$E$10:'Podcasts'!$E$2535&amp;Podcasts!$D$10:'Podcasts'!$D$2535,0)))</f>
        <v/>
      </c>
      <c r="AI269" s="406" t="str">
        <f t="array" ref="AI269">IF(AJ269="","",INDEX(Podcasts!$J$10:'Podcasts'!$J$2535,MATCH(AJ269&amp;$B269,Podcasts!$E$10:'Podcasts'!$E$2535&amp;Podcasts!$D$10:'Podcasts'!$D$2535,0)))</f>
        <v/>
      </c>
      <c r="AJ269" s="400" t="str">
        <f t="array" ref="AJ269">IF(COUNTIF(Podcasts!$D$10:'Podcasts'!$D$2535,$B269)&lt;COLUMN(K232),"",SMALL(IF(Podcasts!$D$10:'Podcasts'!$D$2535=$B269,Podcasts!$E$10:'Podcasts'!$E$2535),COLUMN(K232)))</f>
        <v/>
      </c>
      <c r="AK269" s="401" t="str">
        <f t="array" ref="AK269">IF(AJ269="","",INDEX(Podcasts!$F$10:'Podcasts'!$F$2535,MATCH(AJ269&amp;$B269,Podcasts!$E$10:'Podcasts'!$E$2535&amp;Podcasts!$D$10:'Podcasts'!$D$2535,0)))</f>
        <v/>
      </c>
      <c r="AL269" s="406" t="str">
        <f t="array" ref="AL269">IF(AM269="","",INDEX(Podcasts!$J$10:'Podcasts'!$J$2535,MATCH(AM269&amp;$B269,Podcasts!$E$10:'Podcasts'!$E$2535&amp;Podcasts!$D$10:'Podcasts'!$D$2535,0)))</f>
        <v/>
      </c>
      <c r="AM269" s="400" t="str">
        <f t="array" ref="AM269">IF(COUNTIF(Podcasts!$D$10:'Podcasts'!$D$2535,$B269)&lt;COLUMN(L232),"",SMALL(IF(Podcasts!$D$10:'Podcasts'!$D$2535=$B269,Podcasts!$E$10:'Podcasts'!$E$2535),COLUMN(L232)))</f>
        <v/>
      </c>
      <c r="AN269" s="401" t="str">
        <f t="array" ref="AN269">IF(AM269="","",INDEX(Podcasts!$F$10:'Podcasts'!$F$2535,MATCH(AM269&amp;$B269,Podcasts!$E$10:'Podcasts'!$E$2535&amp;Podcasts!$D$10:'Podcasts'!$D$2535,0)))</f>
        <v/>
      </c>
      <c r="AO269" s="402"/>
      <c r="AP269" s="119"/>
      <c r="AQ269" s="117"/>
      <c r="AR269" s="117"/>
      <c r="AS269" s="117"/>
      <c r="AT269" s="117"/>
      <c r="AU269" s="117" t="str">
        <f t="array" aca="1" ref="AU269" ca="1">IFERROR(SMALL(IF(COUNTIF(Podcasts!$D$479:'Podcasts'!$D$488,ROW(INDIRECT("1:"&amp;K$2)))=0,ROW(INDIRECT("1:"&amp;K$2))),ROW($A226)),"")</f>
        <v/>
      </c>
      <c r="AV269" s="117"/>
      <c r="AW269" s="117"/>
      <c r="AX269" s="117"/>
      <c r="AY269" s="117"/>
      <c r="AZ269" s="445"/>
      <c r="BA269" s="117"/>
      <c r="BB269" s="117"/>
      <c r="BC269" s="117"/>
      <c r="BD269" s="117"/>
      <c r="BE269" s="117"/>
      <c r="BF269" s="117" t="str">
        <f t="array" aca="1" ref="BF269" ca="1">IFERROR(SMALL(IF(COUNTIF(Podcasts!$D$1362:'Podcasts'!$D$1364,ROW(INDIRECT("1:"&amp;K$2)))=0,ROW(INDIRECT("1:"&amp;K$2))),ROW($A226)),"")</f>
        <v/>
      </c>
      <c r="BG269" s="202"/>
      <c r="BH269" s="202"/>
      <c r="BI269" s="202"/>
      <c r="BJ269" s="202"/>
      <c r="BK269" s="202"/>
      <c r="BL269" s="202"/>
      <c r="BM269" s="567"/>
      <c r="BN269" s="567"/>
      <c r="BO269" s="567"/>
      <c r="BP269" s="202"/>
      <c r="BQ269" s="741"/>
      <c r="BR269" s="744" t="str">
        <f t="array" aca="1" ref="BR269" ca="1">IFERROR(SMALL(IF(COUNTIF(Podcasts!$D$2120:'Podcasts'!$D$2124,ROW(INDIRECT("1:"&amp;K$2)))=0,ROW(INDIRECT("1:"&amp;K$2))),ROW($A226)),"")</f>
        <v/>
      </c>
      <c r="BS269" s="28"/>
    </row>
    <row r="270" spans="1:71" outlineLevel="1">
      <c r="A270" s="28"/>
      <c r="B270" s="161">
        <v>227</v>
      </c>
      <c r="C270" s="161">
        <f>COUNTIF(Podcasts!$D$10:'Podcasts'!$D$2535,B270)</f>
        <v>1</v>
      </c>
      <c r="D270" s="407" t="s">
        <v>3073</v>
      </c>
      <c r="E270" s="156" t="str">
        <f t="array" ref="E270">IF(F270="","",INDEX(Podcasts!$J$10:'Podcasts'!$J$2535,MATCH(F270&amp;$B270,Podcasts!$E$10:'Podcasts'!$E$2535&amp;Podcasts!$D$10:'Podcasts'!$D$2535,0)))</f>
        <v>Label</v>
      </c>
      <c r="F270" s="131">
        <f t="array" ref="F270">IF(COUNTIF(Podcasts!$D$10:'Podcasts'!$D$2535,$B270)&lt;COLUMN(A233),"",SMALL(IF(Podcasts!$D$10:'Podcasts'!$D$2535=$B270,Podcasts!$E$10:'Podcasts'!$E$2535),COLUMN(A233)))</f>
        <v>45415</v>
      </c>
      <c r="G270" s="132">
        <f t="array" ref="G270">IF(F270="","",INDEX(Podcasts!$F$10:'Podcasts'!$F$2535,MATCH(F270&amp;$B270,Podcasts!$E$10:'Podcasts'!$E$2535&amp;Podcasts!$D$10:'Podcasts'!$D$2535,0)))</f>
        <v>0</v>
      </c>
      <c r="H270" s="136" t="str">
        <f t="array" ref="H270">IF(I270="","",INDEX(Podcasts!$J$10:'Podcasts'!$J$2535,MATCH(I270&amp;$B270,Podcasts!$E$10:'Podcasts'!$E$2535&amp;Podcasts!$D$10:'Podcasts'!$D$2535,0)))</f>
        <v/>
      </c>
      <c r="I270" s="133" t="str">
        <f t="array" ref="I270">IF(COUNTIF(Podcasts!$D$10:'Podcasts'!$D$2535,$B270)&lt;COLUMN(B233),"",SMALL(IF(Podcasts!$D$10:'Podcasts'!$D$2535=$B270,Podcasts!$E$10:'Podcasts'!$E$2535),COLUMN(B233)))</f>
        <v/>
      </c>
      <c r="J270" s="132" t="str">
        <f t="array" ref="J270">IF(I270="","",INDEX(Podcasts!$F$10:'Podcasts'!$F$2535,MATCH(I270&amp;$B270,Podcasts!$E$10:'Podcasts'!$E$2535&amp;Podcasts!$D$10:'Podcasts'!$D$2535,0)))</f>
        <v/>
      </c>
      <c r="K270" s="136" t="str">
        <f t="array" ref="K270">IF(L270="","",INDEX(Podcasts!$J$10:'Podcasts'!$J$2535,MATCH(L270&amp;$B270,Podcasts!$E$10:'Podcasts'!$E$2535&amp;Podcasts!$D$10:'Podcasts'!$D$2535,0)))</f>
        <v/>
      </c>
      <c r="L270" s="133" t="str">
        <f t="array" ref="L270">IF(COUNTIF(Podcasts!$D$10:'Podcasts'!$D$2535,$B270)&lt;COLUMN(C233),"",SMALL(IF(Podcasts!$D$10:'Podcasts'!$D$2535=$B270,Podcasts!$E$10:'Podcasts'!$E$2535),COLUMN(C233)))</f>
        <v/>
      </c>
      <c r="M270" s="132" t="str">
        <f t="array" ref="M270">IF(L270="","",INDEX(Podcasts!$F$10:'Podcasts'!$F$2535,MATCH(L270&amp;$B270,Podcasts!$E$10:'Podcasts'!$E$2535&amp;Podcasts!$D$10:'Podcasts'!$D$2535,0)))</f>
        <v/>
      </c>
      <c r="N270" s="136" t="str">
        <f t="array" ref="N270">IF(O270="","",INDEX(Podcasts!$J$10:'Podcasts'!$J$2535,MATCH(O270&amp;$B270,Podcasts!$E$10:'Podcasts'!$E$2535&amp;Podcasts!$D$10:'Podcasts'!$D$2535,0)))</f>
        <v/>
      </c>
      <c r="O270" s="133" t="str">
        <f t="array" ref="O270">IF(COUNTIF(Podcasts!$D$10:'Podcasts'!$D$2535,$B270)&lt;COLUMN(D233),"",SMALL(IF(Podcasts!$D$10:'Podcasts'!$D$2535=$B270,Podcasts!$E$10:'Podcasts'!$E$2535),COLUMN(D233)))</f>
        <v/>
      </c>
      <c r="P270" s="132" t="str">
        <f t="array" ref="P270">IF(O270="","",INDEX(Podcasts!$F$10:'Podcasts'!$F$2535,MATCH(O270&amp;$B270,Podcasts!$E$10:'Podcasts'!$E$2535&amp;Podcasts!$D$10:'Podcasts'!$D$2535,0)))</f>
        <v/>
      </c>
      <c r="Q270" s="136" t="str">
        <f t="array" ref="Q270">IF(R270="","",INDEX(Podcasts!$J$10:'Podcasts'!$J$2535,MATCH(R270&amp;$B270,Podcasts!$E$10:'Podcasts'!$E$2535&amp;Podcasts!$D$10:'Podcasts'!$D$2535,0)))</f>
        <v/>
      </c>
      <c r="R270" s="133" t="str">
        <f t="array" ref="R270">IF(COUNTIF(Podcasts!$D$10:'Podcasts'!$D$2535,$B270)&lt;COLUMN(E233),"",SMALL(IF(Podcasts!$D$10:'Podcasts'!$D$2535=$B270,Podcasts!$E$10:'Podcasts'!$E$2535),COLUMN(E233)))</f>
        <v/>
      </c>
      <c r="S270" s="132" t="str">
        <f t="array" ref="S270">IF(R270="","",INDEX(Podcasts!$F$10:'Podcasts'!$F$2535,MATCH(R270&amp;$B270,Podcasts!$E$10:'Podcasts'!$E$2535&amp;Podcasts!$D$10:'Podcasts'!$D$2535,0)))</f>
        <v/>
      </c>
      <c r="T270" s="136" t="str">
        <f t="array" ref="T270">IF(U270="","",INDEX(Podcasts!$J$10:'Podcasts'!$J$2535,MATCH(U270&amp;$B270,Podcasts!$E$10:'Podcasts'!$E$2535&amp;Podcasts!$D$10:'Podcasts'!$D$2535,0)))</f>
        <v/>
      </c>
      <c r="U270" s="133" t="str">
        <f t="array" ref="U270">IF(COUNTIF(Podcasts!$D$10:'Podcasts'!$D$2535,$B270)&lt;COLUMN(F233),"",SMALL(IF(Podcasts!$D$10:'Podcasts'!$D$2535=$B270,Podcasts!$E$10:'Podcasts'!$E$2535),COLUMN(F233)))</f>
        <v/>
      </c>
      <c r="V270" s="132" t="str">
        <f t="array" ref="V270">IF(U270="","",INDEX(Podcasts!$F$10:'Podcasts'!$F$2535,MATCH(U270&amp;$B270,Podcasts!$E$10:'Podcasts'!$E$2535&amp;Podcasts!$D$10:'Podcasts'!$D$2535,0)))</f>
        <v/>
      </c>
      <c r="W270" s="136" t="str">
        <f t="array" ref="W270">IF(X270="","",INDEX(Podcasts!$J$10:'Podcasts'!$J$2535,MATCH(X270&amp;$B270,Podcasts!$E$10:'Podcasts'!$E$2535&amp;Podcasts!$D$10:'Podcasts'!$D$2535,0)))</f>
        <v/>
      </c>
      <c r="X270" s="133" t="str">
        <f t="array" ref="X270">IF(COUNTIF(Podcasts!$D$10:'Podcasts'!$D$2535,$B270)&lt;COLUMN(G233),"",SMALL(IF(Podcasts!$D$10:'Podcasts'!$D$2535=$B270,Podcasts!$E$10:'Podcasts'!$E$2535),COLUMN(G233)))</f>
        <v/>
      </c>
      <c r="Y270" s="132" t="str">
        <f t="array" ref="Y270">IF(X270="","",INDEX(Podcasts!$F$10:'Podcasts'!$F$2535,MATCH(X270&amp;$B270,Podcasts!$E$10:'Podcasts'!$E$2535&amp;Podcasts!$D$10:'Podcasts'!$D$2535,0)))</f>
        <v/>
      </c>
      <c r="Z270" s="136" t="str">
        <f t="array" ref="Z270">IF(AA270="","",INDEX(Podcasts!$J$10:'Podcasts'!$J$2535,MATCH(AA270&amp;$B270,Podcasts!$E$10:'Podcasts'!$E$2535&amp;Podcasts!$D$10:'Podcasts'!$D$2535,0)))</f>
        <v/>
      </c>
      <c r="AA270" s="134" t="str">
        <f t="array" ref="AA270">IF(COUNTIF(Podcasts!$D$10:'Podcasts'!$D$2535,$B270)&lt;COLUMN(H233),"",SMALL(IF(Podcasts!$D$10:'Podcasts'!$D$2535=$B270,Podcasts!$E$10:'Podcasts'!$E$2535),COLUMN(H233)))</f>
        <v/>
      </c>
      <c r="AB270" s="404" t="str">
        <f t="array" ref="AB270">IF(AA270="","",INDEX(Podcasts!$F$10:'Podcasts'!$F$2535,MATCH(AA270&amp;$B270,Podcasts!$E$10:'Podcasts'!$E$2535&amp;Podcasts!$D$10:'Podcasts'!$D$2535,0)))</f>
        <v/>
      </c>
      <c r="AC270" s="406" t="str">
        <f t="array" ref="AC270">IF(AD270="","",INDEX(Podcasts!$J$10:'Podcasts'!$J$2535,MATCH(AD270&amp;$B270,Podcasts!$E$10:'Podcasts'!$E$2535&amp;Podcasts!$D$10:'Podcasts'!$D$2535,0)))</f>
        <v/>
      </c>
      <c r="AD270" s="400" t="str">
        <f t="array" ref="AD270">IF(COUNTIF(Podcasts!$D$10:'Podcasts'!$D$2535,$B270)&lt;COLUMN(I233),"",SMALL(IF(Podcasts!$D$10:'Podcasts'!$D$2535=$B270,Podcasts!$E$10:'Podcasts'!$E$2535),COLUMN(I233)))</f>
        <v/>
      </c>
      <c r="AE270" s="401" t="str">
        <f t="array" ref="AE270">IF(AD270="","",INDEX(Podcasts!$F$10:'Podcasts'!$F$2535,MATCH(AD270&amp;$B270,Podcasts!$E$10:'Podcasts'!$E$2535&amp;Podcasts!$D$10:'Podcasts'!$D$2535,0)))</f>
        <v/>
      </c>
      <c r="AF270" s="406" t="str">
        <f t="array" ref="AF270">IF(AG270="","",INDEX(Podcasts!$J$10:'Podcasts'!$J$2535,MATCH(AG270&amp;$B270,Podcasts!$E$10:'Podcasts'!$E$2535&amp;Podcasts!$D$10:'Podcasts'!$D$2535,0)))</f>
        <v/>
      </c>
      <c r="AG270" s="400" t="str">
        <f t="array" ref="AG270">IF(COUNTIF(Podcasts!$D$10:'Podcasts'!$D$2535,$B270)&lt;COLUMN(J233),"",SMALL(IF(Podcasts!$D$10:'Podcasts'!$D$2535=$B270,Podcasts!$E$10:'Podcasts'!$E$2535),COLUMN(J233)))</f>
        <v/>
      </c>
      <c r="AH270" s="401" t="str">
        <f t="array" ref="AH270">IF(AG270="","",INDEX(Podcasts!$F$10:'Podcasts'!$F$2535,MATCH(AG270&amp;$B270,Podcasts!$E$10:'Podcasts'!$E$2535&amp;Podcasts!$D$10:'Podcasts'!$D$2535,0)))</f>
        <v/>
      </c>
      <c r="AI270" s="406" t="str">
        <f t="array" ref="AI270">IF(AJ270="","",INDEX(Podcasts!$J$10:'Podcasts'!$J$2535,MATCH(AJ270&amp;$B270,Podcasts!$E$10:'Podcasts'!$E$2535&amp;Podcasts!$D$10:'Podcasts'!$D$2535,0)))</f>
        <v/>
      </c>
      <c r="AJ270" s="400" t="str">
        <f t="array" ref="AJ270">IF(COUNTIF(Podcasts!$D$10:'Podcasts'!$D$2535,$B270)&lt;COLUMN(K233),"",SMALL(IF(Podcasts!$D$10:'Podcasts'!$D$2535=$B270,Podcasts!$E$10:'Podcasts'!$E$2535),COLUMN(K233)))</f>
        <v/>
      </c>
      <c r="AK270" s="401" t="str">
        <f t="array" ref="AK270">IF(AJ270="","",INDEX(Podcasts!$F$10:'Podcasts'!$F$2535,MATCH(AJ270&amp;$B270,Podcasts!$E$10:'Podcasts'!$E$2535&amp;Podcasts!$D$10:'Podcasts'!$D$2535,0)))</f>
        <v/>
      </c>
      <c r="AL270" s="406" t="str">
        <f t="array" ref="AL270">IF(AM270="","",INDEX(Podcasts!$J$10:'Podcasts'!$J$2535,MATCH(AM270&amp;$B270,Podcasts!$E$10:'Podcasts'!$E$2535&amp;Podcasts!$D$10:'Podcasts'!$D$2535,0)))</f>
        <v/>
      </c>
      <c r="AM270" s="400" t="str">
        <f t="array" ref="AM270">IF(COUNTIF(Podcasts!$D$10:'Podcasts'!$D$2535,$B270)&lt;COLUMN(L233),"",SMALL(IF(Podcasts!$D$10:'Podcasts'!$D$2535=$B270,Podcasts!$E$10:'Podcasts'!$E$2535),COLUMN(L233)))</f>
        <v/>
      </c>
      <c r="AN270" s="401" t="str">
        <f t="array" ref="AN270">IF(AM270="","",INDEX(Podcasts!$F$10:'Podcasts'!$F$2535,MATCH(AM270&amp;$B270,Podcasts!$E$10:'Podcasts'!$E$2535&amp;Podcasts!$D$10:'Podcasts'!$D$2535,0)))</f>
        <v/>
      </c>
      <c r="AO270" s="402"/>
      <c r="AP270" s="119"/>
      <c r="AQ270" s="117"/>
      <c r="AR270" s="117"/>
      <c r="AS270" s="117"/>
      <c r="AT270" s="117"/>
      <c r="AU270" s="117"/>
      <c r="AV270" s="117"/>
      <c r="AW270" s="117"/>
      <c r="AX270" s="117"/>
      <c r="AY270" s="117"/>
      <c r="AZ270" s="445"/>
      <c r="BA270" s="117"/>
      <c r="BB270" s="117"/>
      <c r="BC270" s="117"/>
      <c r="BD270" s="117"/>
      <c r="BE270" s="117"/>
      <c r="BF270" s="117" t="str">
        <f t="array" aca="1" ref="BF270" ca="1">IFERROR(SMALL(IF(COUNTIF(Podcasts!$D$1362:'Podcasts'!$D$1364,ROW(INDIRECT("1:"&amp;K$2)))=0,ROW(INDIRECT("1:"&amp;K$2))),ROW($A227)),"")</f>
        <v/>
      </c>
      <c r="BG270" s="202"/>
      <c r="BH270" s="202"/>
      <c r="BI270" s="202"/>
      <c r="BJ270" s="202"/>
      <c r="BK270" s="202"/>
      <c r="BL270" s="202"/>
      <c r="BM270" s="567"/>
      <c r="BN270" s="567"/>
      <c r="BO270" s="567"/>
      <c r="BP270" s="202"/>
      <c r="BQ270" s="741"/>
      <c r="BR270" s="744" t="str">
        <f t="array" aca="1" ref="BR270" ca="1">IFERROR(SMALL(IF(COUNTIF(Podcasts!$D$2120:'Podcasts'!$D$2124,ROW(INDIRECT("1:"&amp;K$2)))=0,ROW(INDIRECT("1:"&amp;K$2))),ROW($A227)),"")</f>
        <v/>
      </c>
      <c r="BS270" s="28"/>
    </row>
    <row r="271" spans="1:71" outlineLevel="1">
      <c r="A271" s="28"/>
      <c r="B271" s="161">
        <v>228</v>
      </c>
      <c r="C271" s="161">
        <f>COUNTIF(Podcasts!$D$10:'Podcasts'!$D$2535,B271)</f>
        <v>0</v>
      </c>
      <c r="D271" s="407" t="s">
        <v>3702</v>
      </c>
      <c r="E271" s="156" t="str">
        <f t="array" ref="E271">IF(F271="","",INDEX(Podcasts!$J$10:'Podcasts'!$J$2535,MATCH(F271&amp;$B271,Podcasts!$E$10:'Podcasts'!$E$2535&amp;Podcasts!$D$10:'Podcasts'!$D$2535,0)))</f>
        <v/>
      </c>
      <c r="F271" s="131" t="str">
        <f t="array" ref="F271">IF(COUNTIF(Podcasts!$D$10:'Podcasts'!$D$2535,$B271)&lt;COLUMN(A234),"",SMALL(IF(Podcasts!$D$10:'Podcasts'!$D$2535=$B271,Podcasts!$E$10:'Podcasts'!$E$2535),COLUMN(A234)))</f>
        <v/>
      </c>
      <c r="G271" s="132" t="str">
        <f t="array" ref="G271">IF(F271="","",INDEX(Podcasts!$F$10:'Podcasts'!$F$2535,MATCH(F271&amp;$B271,Podcasts!$E$10:'Podcasts'!$E$2535&amp;Podcasts!$D$10:'Podcasts'!$D$2535,0)))</f>
        <v/>
      </c>
      <c r="H271" s="136" t="str">
        <f t="array" ref="H271">IF(I271="","",INDEX(Podcasts!$J$10:'Podcasts'!$J$2535,MATCH(I271&amp;$B271,Podcasts!$E$10:'Podcasts'!$E$2535&amp;Podcasts!$D$10:'Podcasts'!$D$2535,0)))</f>
        <v/>
      </c>
      <c r="I271" s="133" t="str">
        <f t="array" ref="I271">IF(COUNTIF(Podcasts!$D$10:'Podcasts'!$D$2535,$B271)&lt;COLUMN(B234),"",SMALL(IF(Podcasts!$D$10:'Podcasts'!$D$2535=$B271,Podcasts!$E$10:'Podcasts'!$E$2535),COLUMN(B234)))</f>
        <v/>
      </c>
      <c r="J271" s="132" t="str">
        <f t="array" ref="J271">IF(I271="","",INDEX(Podcasts!$F$10:'Podcasts'!$F$2535,MATCH(I271&amp;$B271,Podcasts!$E$10:'Podcasts'!$E$2535&amp;Podcasts!$D$10:'Podcasts'!$D$2535,0)))</f>
        <v/>
      </c>
      <c r="K271" s="136" t="str">
        <f t="array" ref="K271">IF(L271="","",INDEX(Podcasts!$J$10:'Podcasts'!$J$2535,MATCH(L271&amp;$B271,Podcasts!$E$10:'Podcasts'!$E$2535&amp;Podcasts!$D$10:'Podcasts'!$D$2535,0)))</f>
        <v/>
      </c>
      <c r="L271" s="133" t="str">
        <f t="array" ref="L271">IF(COUNTIF(Podcasts!$D$10:'Podcasts'!$D$2535,$B271)&lt;COLUMN(C234),"",SMALL(IF(Podcasts!$D$10:'Podcasts'!$D$2535=$B271,Podcasts!$E$10:'Podcasts'!$E$2535),COLUMN(C234)))</f>
        <v/>
      </c>
      <c r="M271" s="132" t="str">
        <f t="array" ref="M271">IF(L271="","",INDEX(Podcasts!$F$10:'Podcasts'!$F$2535,MATCH(L271&amp;$B271,Podcasts!$E$10:'Podcasts'!$E$2535&amp;Podcasts!$D$10:'Podcasts'!$D$2535,0)))</f>
        <v/>
      </c>
      <c r="N271" s="136" t="str">
        <f t="array" ref="N271">IF(O271="","",INDEX(Podcasts!$J$10:'Podcasts'!$J$2535,MATCH(O271&amp;$B271,Podcasts!$E$10:'Podcasts'!$E$2535&amp;Podcasts!$D$10:'Podcasts'!$D$2535,0)))</f>
        <v/>
      </c>
      <c r="O271" s="133" t="str">
        <f t="array" ref="O271">IF(COUNTIF(Podcasts!$D$10:'Podcasts'!$D$2535,$B271)&lt;COLUMN(D234),"",SMALL(IF(Podcasts!$D$10:'Podcasts'!$D$2535=$B271,Podcasts!$E$10:'Podcasts'!$E$2535),COLUMN(D234)))</f>
        <v/>
      </c>
      <c r="P271" s="132" t="str">
        <f t="array" ref="P271">IF(O271="","",INDEX(Podcasts!$F$10:'Podcasts'!$F$2535,MATCH(O271&amp;$B271,Podcasts!$E$10:'Podcasts'!$E$2535&amp;Podcasts!$D$10:'Podcasts'!$D$2535,0)))</f>
        <v/>
      </c>
      <c r="Q271" s="136" t="str">
        <f t="array" ref="Q271">IF(R271="","",INDEX(Podcasts!$J$10:'Podcasts'!$J$2535,MATCH(R271&amp;$B271,Podcasts!$E$10:'Podcasts'!$E$2535&amp;Podcasts!$D$10:'Podcasts'!$D$2535,0)))</f>
        <v/>
      </c>
      <c r="R271" s="133" t="str">
        <f t="array" ref="R271">IF(COUNTIF(Podcasts!$D$10:'Podcasts'!$D$2535,$B271)&lt;COLUMN(E234),"",SMALL(IF(Podcasts!$D$10:'Podcasts'!$D$2535=$B271,Podcasts!$E$10:'Podcasts'!$E$2535),COLUMN(E234)))</f>
        <v/>
      </c>
      <c r="S271" s="132" t="str">
        <f t="array" ref="S271">IF(R271="","",INDEX(Podcasts!$F$10:'Podcasts'!$F$2535,MATCH(R271&amp;$B271,Podcasts!$E$10:'Podcasts'!$E$2535&amp;Podcasts!$D$10:'Podcasts'!$D$2535,0)))</f>
        <v/>
      </c>
      <c r="T271" s="136" t="str">
        <f t="array" ref="T271">IF(U271="","",INDEX(Podcasts!$J$10:'Podcasts'!$J$2535,MATCH(U271&amp;$B271,Podcasts!$E$10:'Podcasts'!$E$2535&amp;Podcasts!$D$10:'Podcasts'!$D$2535,0)))</f>
        <v/>
      </c>
      <c r="U271" s="133" t="str">
        <f t="array" ref="U271">IF(COUNTIF(Podcasts!$D$10:'Podcasts'!$D$2535,$B271)&lt;COLUMN(F234),"",SMALL(IF(Podcasts!$D$10:'Podcasts'!$D$2535=$B271,Podcasts!$E$10:'Podcasts'!$E$2535),COLUMN(F234)))</f>
        <v/>
      </c>
      <c r="V271" s="132" t="str">
        <f t="array" ref="V271">IF(U271="","",INDEX(Podcasts!$F$10:'Podcasts'!$F$2535,MATCH(U271&amp;$B271,Podcasts!$E$10:'Podcasts'!$E$2535&amp;Podcasts!$D$10:'Podcasts'!$D$2535,0)))</f>
        <v/>
      </c>
      <c r="W271" s="136" t="str">
        <f t="array" ref="W271">IF(X271="","",INDEX(Podcasts!$J$10:'Podcasts'!$J$2535,MATCH(X271&amp;$B271,Podcasts!$E$10:'Podcasts'!$E$2535&amp;Podcasts!$D$10:'Podcasts'!$D$2535,0)))</f>
        <v/>
      </c>
      <c r="X271" s="133" t="str">
        <f t="array" ref="X271">IF(COUNTIF(Podcasts!$D$10:'Podcasts'!$D$2535,$B271)&lt;COLUMN(G234),"",SMALL(IF(Podcasts!$D$10:'Podcasts'!$D$2535=$B271,Podcasts!$E$10:'Podcasts'!$E$2535),COLUMN(G234)))</f>
        <v/>
      </c>
      <c r="Y271" s="132" t="str">
        <f t="array" ref="Y271">IF(X271="","",INDEX(Podcasts!$F$10:'Podcasts'!$F$2535,MATCH(X271&amp;$B271,Podcasts!$E$10:'Podcasts'!$E$2535&amp;Podcasts!$D$10:'Podcasts'!$D$2535,0)))</f>
        <v/>
      </c>
      <c r="Z271" s="136" t="str">
        <f t="array" ref="Z271">IF(AA271="","",INDEX(Podcasts!$J$10:'Podcasts'!$J$2535,MATCH(AA271&amp;$B271,Podcasts!$E$10:'Podcasts'!$E$2535&amp;Podcasts!$D$10:'Podcasts'!$D$2535,0)))</f>
        <v/>
      </c>
      <c r="AA271" s="134" t="str">
        <f t="array" ref="AA271">IF(COUNTIF(Podcasts!$D$10:'Podcasts'!$D$2535,$B271)&lt;COLUMN(H234),"",SMALL(IF(Podcasts!$D$10:'Podcasts'!$D$2535=$B271,Podcasts!$E$10:'Podcasts'!$E$2535),COLUMN(H234)))</f>
        <v/>
      </c>
      <c r="AB271" s="404" t="str">
        <f t="array" ref="AB271">IF(AA271="","",INDEX(Podcasts!$F$10:'Podcasts'!$F$2535,MATCH(AA271&amp;$B271,Podcasts!$E$10:'Podcasts'!$E$2535&amp;Podcasts!$D$10:'Podcasts'!$D$2535,0)))</f>
        <v/>
      </c>
      <c r="AC271" s="406" t="str">
        <f t="array" ref="AC271">IF(AD271="","",INDEX(Podcasts!$J$10:'Podcasts'!$J$2535,MATCH(AD271&amp;$B271,Podcasts!$E$10:'Podcasts'!$E$2535&amp;Podcasts!$D$10:'Podcasts'!$D$2535,0)))</f>
        <v/>
      </c>
      <c r="AD271" s="400" t="str">
        <f t="array" ref="AD271">IF(COUNTIF(Podcasts!$D$10:'Podcasts'!$D$2535,$B271)&lt;COLUMN(I234),"",SMALL(IF(Podcasts!$D$10:'Podcasts'!$D$2535=$B271,Podcasts!$E$10:'Podcasts'!$E$2535),COLUMN(I234)))</f>
        <v/>
      </c>
      <c r="AE271" s="401" t="str">
        <f t="array" ref="AE271">IF(AD271="","",INDEX(Podcasts!$F$10:'Podcasts'!$F$2535,MATCH(AD271&amp;$B271,Podcasts!$E$10:'Podcasts'!$E$2535&amp;Podcasts!$D$10:'Podcasts'!$D$2535,0)))</f>
        <v/>
      </c>
      <c r="AF271" s="406" t="str">
        <f t="array" ref="AF271">IF(AG271="","",INDEX(Podcasts!$J$10:'Podcasts'!$J$2535,MATCH(AG271&amp;$B271,Podcasts!$E$10:'Podcasts'!$E$2535&amp;Podcasts!$D$10:'Podcasts'!$D$2535,0)))</f>
        <v/>
      </c>
      <c r="AG271" s="400" t="str">
        <f t="array" ref="AG271">IF(COUNTIF(Podcasts!$D$10:'Podcasts'!$D$2535,$B271)&lt;COLUMN(J234),"",SMALL(IF(Podcasts!$D$10:'Podcasts'!$D$2535=$B271,Podcasts!$E$10:'Podcasts'!$E$2535),COLUMN(J234)))</f>
        <v/>
      </c>
      <c r="AH271" s="401" t="str">
        <f t="array" ref="AH271">IF(AG271="","",INDEX(Podcasts!$F$10:'Podcasts'!$F$2535,MATCH(AG271&amp;$B271,Podcasts!$E$10:'Podcasts'!$E$2535&amp;Podcasts!$D$10:'Podcasts'!$D$2535,0)))</f>
        <v/>
      </c>
      <c r="AI271" s="406" t="str">
        <f t="array" ref="AI271">IF(AJ271="","",INDEX(Podcasts!$J$10:'Podcasts'!$J$2535,MATCH(AJ271&amp;$B271,Podcasts!$E$10:'Podcasts'!$E$2535&amp;Podcasts!$D$10:'Podcasts'!$D$2535,0)))</f>
        <v/>
      </c>
      <c r="AJ271" s="400" t="str">
        <f t="array" ref="AJ271">IF(COUNTIF(Podcasts!$D$10:'Podcasts'!$D$2535,$B271)&lt;COLUMN(K234),"",SMALL(IF(Podcasts!$D$10:'Podcasts'!$D$2535=$B271,Podcasts!$E$10:'Podcasts'!$E$2535),COLUMN(K234)))</f>
        <v/>
      </c>
      <c r="AK271" s="401" t="str">
        <f t="array" ref="AK271">IF(AJ271="","",INDEX(Podcasts!$F$10:'Podcasts'!$F$2535,MATCH(AJ271&amp;$B271,Podcasts!$E$10:'Podcasts'!$E$2535&amp;Podcasts!$D$10:'Podcasts'!$D$2535,0)))</f>
        <v/>
      </c>
      <c r="AL271" s="406" t="str">
        <f t="array" ref="AL271">IF(AM271="","",INDEX(Podcasts!$J$10:'Podcasts'!$J$2535,MATCH(AM271&amp;$B271,Podcasts!$E$10:'Podcasts'!$E$2535&amp;Podcasts!$D$10:'Podcasts'!$D$2535,0)))</f>
        <v/>
      </c>
      <c r="AM271" s="400" t="str">
        <f t="array" ref="AM271">IF(COUNTIF(Podcasts!$D$10:'Podcasts'!$D$2535,$B271)&lt;COLUMN(L234),"",SMALL(IF(Podcasts!$D$10:'Podcasts'!$D$2535=$B271,Podcasts!$E$10:'Podcasts'!$E$2535),COLUMN(L234)))</f>
        <v/>
      </c>
      <c r="AN271" s="401" t="str">
        <f t="array" ref="AN271">IF(AM271="","",INDEX(Podcasts!$F$10:'Podcasts'!$F$2535,MATCH(AM271&amp;$B271,Podcasts!$E$10:'Podcasts'!$E$2535&amp;Podcasts!$D$10:'Podcasts'!$D$2535,0)))</f>
        <v/>
      </c>
      <c r="AO271" s="402"/>
      <c r="AP271" s="119"/>
      <c r="AQ271" s="117"/>
      <c r="AR271" s="117"/>
      <c r="AS271" s="117"/>
      <c r="AT271" s="117"/>
      <c r="AU271" s="117"/>
      <c r="AV271" s="117"/>
      <c r="AW271" s="117"/>
      <c r="AX271" s="117"/>
      <c r="AY271" s="117"/>
      <c r="AZ271" s="445"/>
      <c r="BA271" s="117"/>
      <c r="BB271" s="117"/>
      <c r="BC271" s="117"/>
      <c r="BD271" s="117"/>
      <c r="BE271" s="117"/>
      <c r="BF271" s="117"/>
      <c r="BG271" s="202"/>
      <c r="BH271" s="202"/>
      <c r="BI271" s="202"/>
      <c r="BJ271" s="202"/>
      <c r="BK271" s="202"/>
      <c r="BL271" s="202"/>
      <c r="BM271" s="567"/>
      <c r="BN271" s="567"/>
      <c r="BO271" s="567"/>
      <c r="BP271" s="202"/>
      <c r="BQ271" s="741"/>
      <c r="BR271" s="744"/>
      <c r="BS271" s="28"/>
    </row>
    <row r="272" spans="1:71" outlineLevel="1">
      <c r="A272" s="28"/>
      <c r="B272" s="161">
        <v>229</v>
      </c>
      <c r="C272" s="161">
        <f>COUNTIF(Podcasts!$D$10:'Podcasts'!$D$2535,B272)</f>
        <v>0</v>
      </c>
      <c r="D272" s="407" t="s">
        <v>3700</v>
      </c>
      <c r="E272" s="156" t="str">
        <f t="array" ref="E272">IF(F272="","",INDEX(Podcasts!$J$10:'Podcasts'!$J$2535,MATCH(F272&amp;$B272,Podcasts!$E$10:'Podcasts'!$E$2535&amp;Podcasts!$D$10:'Podcasts'!$D$2535,0)))</f>
        <v/>
      </c>
      <c r="F272" s="131" t="str">
        <f t="array" ref="F272">IF(COUNTIF(Podcasts!$D$10:'Podcasts'!$D$2535,$B272)&lt;COLUMN(A235),"",SMALL(IF(Podcasts!$D$10:'Podcasts'!$D$2535=$B272,Podcasts!$E$10:'Podcasts'!$E$2535),COLUMN(A235)))</f>
        <v/>
      </c>
      <c r="G272" s="132" t="str">
        <f t="array" ref="G272">IF(F272="","",INDEX(Podcasts!$F$10:'Podcasts'!$F$2535,MATCH(F272&amp;$B272,Podcasts!$E$10:'Podcasts'!$E$2535&amp;Podcasts!$D$10:'Podcasts'!$D$2535,0)))</f>
        <v/>
      </c>
      <c r="H272" s="136" t="str">
        <f t="array" ref="H272">IF(I272="","",INDEX(Podcasts!$J$10:'Podcasts'!$J$2535,MATCH(I272&amp;$B272,Podcasts!$E$10:'Podcasts'!$E$2535&amp;Podcasts!$D$10:'Podcasts'!$D$2535,0)))</f>
        <v/>
      </c>
      <c r="I272" s="133" t="str">
        <f t="array" ref="I272">IF(COUNTIF(Podcasts!$D$10:'Podcasts'!$D$2535,$B272)&lt;COLUMN(B235),"",SMALL(IF(Podcasts!$D$10:'Podcasts'!$D$2535=$B272,Podcasts!$E$10:'Podcasts'!$E$2535),COLUMN(B235)))</f>
        <v/>
      </c>
      <c r="J272" s="132" t="str">
        <f t="array" ref="J272">IF(I272="","",INDEX(Podcasts!$F$10:'Podcasts'!$F$2535,MATCH(I272&amp;$B272,Podcasts!$E$10:'Podcasts'!$E$2535&amp;Podcasts!$D$10:'Podcasts'!$D$2535,0)))</f>
        <v/>
      </c>
      <c r="K272" s="136" t="str">
        <f t="array" ref="K272">IF(L272="","",INDEX(Podcasts!$J$10:'Podcasts'!$J$2535,MATCH(L272&amp;$B272,Podcasts!$E$10:'Podcasts'!$E$2535&amp;Podcasts!$D$10:'Podcasts'!$D$2535,0)))</f>
        <v/>
      </c>
      <c r="L272" s="133" t="str">
        <f t="array" ref="L272">IF(COUNTIF(Podcasts!$D$10:'Podcasts'!$D$2535,$B272)&lt;COLUMN(C235),"",SMALL(IF(Podcasts!$D$10:'Podcasts'!$D$2535=$B272,Podcasts!$E$10:'Podcasts'!$E$2535),COLUMN(C235)))</f>
        <v/>
      </c>
      <c r="M272" s="132" t="str">
        <f t="array" ref="M272">IF(L272="","",INDEX(Podcasts!$F$10:'Podcasts'!$F$2535,MATCH(L272&amp;$B272,Podcasts!$E$10:'Podcasts'!$E$2535&amp;Podcasts!$D$10:'Podcasts'!$D$2535,0)))</f>
        <v/>
      </c>
      <c r="N272" s="136" t="str">
        <f t="array" ref="N272">IF(O272="","",INDEX(Podcasts!$J$10:'Podcasts'!$J$2535,MATCH(O272&amp;$B272,Podcasts!$E$10:'Podcasts'!$E$2535&amp;Podcasts!$D$10:'Podcasts'!$D$2535,0)))</f>
        <v/>
      </c>
      <c r="O272" s="133" t="str">
        <f t="array" ref="O272">IF(COUNTIF(Podcasts!$D$10:'Podcasts'!$D$2535,$B272)&lt;COLUMN(D235),"",SMALL(IF(Podcasts!$D$10:'Podcasts'!$D$2535=$B272,Podcasts!$E$10:'Podcasts'!$E$2535),COLUMN(D235)))</f>
        <v/>
      </c>
      <c r="P272" s="132" t="str">
        <f t="array" ref="P272">IF(O272="","",INDEX(Podcasts!$F$10:'Podcasts'!$F$2535,MATCH(O272&amp;$B272,Podcasts!$E$10:'Podcasts'!$E$2535&amp;Podcasts!$D$10:'Podcasts'!$D$2535,0)))</f>
        <v/>
      </c>
      <c r="Q272" s="136" t="str">
        <f t="array" ref="Q272">IF(R272="","",INDEX(Podcasts!$J$10:'Podcasts'!$J$2535,MATCH(R272&amp;$B272,Podcasts!$E$10:'Podcasts'!$E$2535&amp;Podcasts!$D$10:'Podcasts'!$D$2535,0)))</f>
        <v/>
      </c>
      <c r="R272" s="133" t="str">
        <f t="array" ref="R272">IF(COUNTIF(Podcasts!$D$10:'Podcasts'!$D$2535,$B272)&lt;COLUMN(E235),"",SMALL(IF(Podcasts!$D$10:'Podcasts'!$D$2535=$B272,Podcasts!$E$10:'Podcasts'!$E$2535),COLUMN(E235)))</f>
        <v/>
      </c>
      <c r="S272" s="132" t="str">
        <f t="array" ref="S272">IF(R272="","",INDEX(Podcasts!$F$10:'Podcasts'!$F$2535,MATCH(R272&amp;$B272,Podcasts!$E$10:'Podcasts'!$E$2535&amp;Podcasts!$D$10:'Podcasts'!$D$2535,0)))</f>
        <v/>
      </c>
      <c r="T272" s="136" t="str">
        <f t="array" ref="T272">IF(U272="","",INDEX(Podcasts!$J$10:'Podcasts'!$J$2535,MATCH(U272&amp;$B272,Podcasts!$E$10:'Podcasts'!$E$2535&amp;Podcasts!$D$10:'Podcasts'!$D$2535,0)))</f>
        <v/>
      </c>
      <c r="U272" s="133" t="str">
        <f t="array" ref="U272">IF(COUNTIF(Podcasts!$D$10:'Podcasts'!$D$2535,$B272)&lt;COLUMN(F235),"",SMALL(IF(Podcasts!$D$10:'Podcasts'!$D$2535=$B272,Podcasts!$E$10:'Podcasts'!$E$2535),COLUMN(F235)))</f>
        <v/>
      </c>
      <c r="V272" s="132" t="str">
        <f t="array" ref="V272">IF(U272="","",INDEX(Podcasts!$F$10:'Podcasts'!$F$2535,MATCH(U272&amp;$B272,Podcasts!$E$10:'Podcasts'!$E$2535&amp;Podcasts!$D$10:'Podcasts'!$D$2535,0)))</f>
        <v/>
      </c>
      <c r="W272" s="136" t="str">
        <f t="array" ref="W272">IF(X272="","",INDEX(Podcasts!$J$10:'Podcasts'!$J$2535,MATCH(X272&amp;$B272,Podcasts!$E$10:'Podcasts'!$E$2535&amp;Podcasts!$D$10:'Podcasts'!$D$2535,0)))</f>
        <v/>
      </c>
      <c r="X272" s="133" t="str">
        <f t="array" ref="X272">IF(COUNTIF(Podcasts!$D$10:'Podcasts'!$D$2535,$B272)&lt;COLUMN(G235),"",SMALL(IF(Podcasts!$D$10:'Podcasts'!$D$2535=$B272,Podcasts!$E$10:'Podcasts'!$E$2535),COLUMN(G235)))</f>
        <v/>
      </c>
      <c r="Y272" s="132" t="str">
        <f t="array" ref="Y272">IF(X272="","",INDEX(Podcasts!$F$10:'Podcasts'!$F$2535,MATCH(X272&amp;$B272,Podcasts!$E$10:'Podcasts'!$E$2535&amp;Podcasts!$D$10:'Podcasts'!$D$2535,0)))</f>
        <v/>
      </c>
      <c r="Z272" s="136" t="str">
        <f t="array" ref="Z272">IF(AA272="","",INDEX(Podcasts!$J$10:'Podcasts'!$J$2535,MATCH(AA272&amp;$B272,Podcasts!$E$10:'Podcasts'!$E$2535&amp;Podcasts!$D$10:'Podcasts'!$D$2535,0)))</f>
        <v/>
      </c>
      <c r="AA272" s="134" t="str">
        <f t="array" ref="AA272">IF(COUNTIF(Podcasts!$D$10:'Podcasts'!$D$2535,$B272)&lt;COLUMN(H235),"",SMALL(IF(Podcasts!$D$10:'Podcasts'!$D$2535=$B272,Podcasts!$E$10:'Podcasts'!$E$2535),COLUMN(H235)))</f>
        <v/>
      </c>
      <c r="AB272" s="404" t="str">
        <f t="array" ref="AB272">IF(AA272="","",INDEX(Podcasts!$F$10:'Podcasts'!$F$2535,MATCH(AA272&amp;$B272,Podcasts!$E$10:'Podcasts'!$E$2535&amp;Podcasts!$D$10:'Podcasts'!$D$2535,0)))</f>
        <v/>
      </c>
      <c r="AC272" s="406" t="str">
        <f t="array" ref="AC272">IF(AD272="","",INDEX(Podcasts!$J$10:'Podcasts'!$J$2535,MATCH(AD272&amp;$B272,Podcasts!$E$10:'Podcasts'!$E$2535&amp;Podcasts!$D$10:'Podcasts'!$D$2535,0)))</f>
        <v/>
      </c>
      <c r="AD272" s="400" t="str">
        <f t="array" ref="AD272">IF(COUNTIF(Podcasts!$D$10:'Podcasts'!$D$2535,$B272)&lt;COLUMN(I235),"",SMALL(IF(Podcasts!$D$10:'Podcasts'!$D$2535=$B272,Podcasts!$E$10:'Podcasts'!$E$2535),COLUMN(I235)))</f>
        <v/>
      </c>
      <c r="AE272" s="401" t="str">
        <f t="array" ref="AE272">IF(AD272="","",INDEX(Podcasts!$F$10:'Podcasts'!$F$2535,MATCH(AD272&amp;$B272,Podcasts!$E$10:'Podcasts'!$E$2535&amp;Podcasts!$D$10:'Podcasts'!$D$2535,0)))</f>
        <v/>
      </c>
      <c r="AF272" s="406" t="str">
        <f t="array" ref="AF272">IF(AG272="","",INDEX(Podcasts!$J$10:'Podcasts'!$J$2535,MATCH(AG272&amp;$B272,Podcasts!$E$10:'Podcasts'!$E$2535&amp;Podcasts!$D$10:'Podcasts'!$D$2535,0)))</f>
        <v/>
      </c>
      <c r="AG272" s="400" t="str">
        <f t="array" ref="AG272">IF(COUNTIF(Podcasts!$D$10:'Podcasts'!$D$2535,$B272)&lt;COLUMN(J235),"",SMALL(IF(Podcasts!$D$10:'Podcasts'!$D$2535=$B272,Podcasts!$E$10:'Podcasts'!$E$2535),COLUMN(J235)))</f>
        <v/>
      </c>
      <c r="AH272" s="401" t="str">
        <f t="array" ref="AH272">IF(AG272="","",INDEX(Podcasts!$F$10:'Podcasts'!$F$2535,MATCH(AG272&amp;$B272,Podcasts!$E$10:'Podcasts'!$E$2535&amp;Podcasts!$D$10:'Podcasts'!$D$2535,0)))</f>
        <v/>
      </c>
      <c r="AI272" s="406" t="str">
        <f t="array" ref="AI272">IF(AJ272="","",INDEX(Podcasts!$J$10:'Podcasts'!$J$2535,MATCH(AJ272&amp;$B272,Podcasts!$E$10:'Podcasts'!$E$2535&amp;Podcasts!$D$10:'Podcasts'!$D$2535,0)))</f>
        <v/>
      </c>
      <c r="AJ272" s="400" t="str">
        <f t="array" ref="AJ272">IF(COUNTIF(Podcasts!$D$10:'Podcasts'!$D$2535,$B272)&lt;COLUMN(K235),"",SMALL(IF(Podcasts!$D$10:'Podcasts'!$D$2535=$B272,Podcasts!$E$10:'Podcasts'!$E$2535),COLUMN(K235)))</f>
        <v/>
      </c>
      <c r="AK272" s="401" t="str">
        <f t="array" ref="AK272">IF(AJ272="","",INDEX(Podcasts!$F$10:'Podcasts'!$F$2535,MATCH(AJ272&amp;$B272,Podcasts!$E$10:'Podcasts'!$E$2535&amp;Podcasts!$D$10:'Podcasts'!$D$2535,0)))</f>
        <v/>
      </c>
      <c r="AL272" s="406" t="str">
        <f t="array" ref="AL272">IF(AM272="","",INDEX(Podcasts!$J$10:'Podcasts'!$J$2535,MATCH(AM272&amp;$B272,Podcasts!$E$10:'Podcasts'!$E$2535&amp;Podcasts!$D$10:'Podcasts'!$D$2535,0)))</f>
        <v/>
      </c>
      <c r="AM272" s="400" t="str">
        <f t="array" ref="AM272">IF(COUNTIF(Podcasts!$D$10:'Podcasts'!$D$2535,$B272)&lt;COLUMN(L235),"",SMALL(IF(Podcasts!$D$10:'Podcasts'!$D$2535=$B272,Podcasts!$E$10:'Podcasts'!$E$2535),COLUMN(L235)))</f>
        <v/>
      </c>
      <c r="AN272" s="401" t="str">
        <f t="array" ref="AN272">IF(AM272="","",INDEX(Podcasts!$F$10:'Podcasts'!$F$2535,MATCH(AM272&amp;$B272,Podcasts!$E$10:'Podcasts'!$E$2535&amp;Podcasts!$D$10:'Podcasts'!$D$2535,0)))</f>
        <v/>
      </c>
      <c r="AO272" s="402"/>
      <c r="AP272" s="119"/>
      <c r="AQ272" s="117"/>
      <c r="AR272" s="117"/>
      <c r="AS272" s="117"/>
      <c r="AT272" s="117"/>
      <c r="AU272" s="117"/>
      <c r="AV272" s="117"/>
      <c r="AW272" s="117"/>
      <c r="AX272" s="117"/>
      <c r="AY272" s="117"/>
      <c r="AZ272" s="445"/>
      <c r="BA272" s="117"/>
      <c r="BB272" s="117"/>
      <c r="BC272" s="117"/>
      <c r="BD272" s="117"/>
      <c r="BE272" s="117"/>
      <c r="BF272" s="117"/>
      <c r="BG272" s="202"/>
      <c r="BH272" s="202"/>
      <c r="BI272" s="202"/>
      <c r="BJ272" s="202"/>
      <c r="BK272" s="202"/>
      <c r="BL272" s="202"/>
      <c r="BM272" s="567"/>
      <c r="BN272" s="567"/>
      <c r="BO272" s="567"/>
      <c r="BP272" s="202"/>
      <c r="BQ272" s="741"/>
      <c r="BR272" s="744"/>
      <c r="BS272" s="28"/>
    </row>
    <row r="273" spans="1:71" outlineLevel="1">
      <c r="A273" s="28"/>
      <c r="B273" s="162">
        <v>230</v>
      </c>
      <c r="C273" s="161">
        <f>COUNTIF(Podcasts!$D$10:'Podcasts'!$D$2535,B273)</f>
        <v>0</v>
      </c>
      <c r="D273" s="408" t="s">
        <v>3701</v>
      </c>
      <c r="E273" s="156" t="str">
        <f t="array" ref="E273">IF(F273="","",INDEX(Podcasts!$J$10:'Podcasts'!$J$2535,MATCH(F273&amp;$B273,Podcasts!$E$10:'Podcasts'!$E$2535&amp;Podcasts!$D$10:'Podcasts'!$D$2535,0)))</f>
        <v/>
      </c>
      <c r="F273" s="131" t="str">
        <f t="array" ref="F273">IF(COUNTIF(Podcasts!$D$10:'Podcasts'!$D$2535,$B273)&lt;COLUMN(A236),"",SMALL(IF(Podcasts!$D$10:'Podcasts'!$D$2535=$B273,Podcasts!$E$10:'Podcasts'!$E$2535),COLUMN(A236)))</f>
        <v/>
      </c>
      <c r="G273" s="132" t="str">
        <f t="array" ref="G273">IF(F273="","",INDEX(Podcasts!$F$10:'Podcasts'!$F$2535,MATCH(F273&amp;$B273,Podcasts!$E$10:'Podcasts'!$E$2535&amp;Podcasts!$D$10:'Podcasts'!$D$2535,0)))</f>
        <v/>
      </c>
      <c r="H273" s="136" t="str">
        <f t="array" ref="H273">IF(I273="","",INDEX(Podcasts!$J$10:'Podcasts'!$J$2535,MATCH(I273&amp;$B273,Podcasts!$E$10:'Podcasts'!$E$2535&amp;Podcasts!$D$10:'Podcasts'!$D$2535,0)))</f>
        <v/>
      </c>
      <c r="I273" s="133" t="str">
        <f t="array" ref="I273">IF(COUNTIF(Podcasts!$D$10:'Podcasts'!$D$2535,$B273)&lt;COLUMN(B236),"",SMALL(IF(Podcasts!$D$10:'Podcasts'!$D$2535=$B273,Podcasts!$E$10:'Podcasts'!$E$2535),COLUMN(B236)))</f>
        <v/>
      </c>
      <c r="J273" s="132" t="str">
        <f t="array" ref="J273">IF(I273="","",INDEX(Podcasts!$F$10:'Podcasts'!$F$2535,MATCH(I273&amp;$B273,Podcasts!$E$10:'Podcasts'!$E$2535&amp;Podcasts!$D$10:'Podcasts'!$D$2535,0)))</f>
        <v/>
      </c>
      <c r="K273" s="136" t="str">
        <f t="array" ref="K273">IF(L273="","",INDEX(Podcasts!$J$10:'Podcasts'!$J$2535,MATCH(L273&amp;$B273,Podcasts!$E$10:'Podcasts'!$E$2535&amp;Podcasts!$D$10:'Podcasts'!$D$2535,0)))</f>
        <v/>
      </c>
      <c r="L273" s="133" t="str">
        <f t="array" ref="L273">IF(COUNTIF(Podcasts!$D$10:'Podcasts'!$D$2535,$B273)&lt;COLUMN(C236),"",SMALL(IF(Podcasts!$D$10:'Podcasts'!$D$2535=$B273,Podcasts!$E$10:'Podcasts'!$E$2535),COLUMN(C236)))</f>
        <v/>
      </c>
      <c r="M273" s="132" t="str">
        <f t="array" ref="M273">IF(L273="","",INDEX(Podcasts!$F$10:'Podcasts'!$F$2535,MATCH(L273&amp;$B273,Podcasts!$E$10:'Podcasts'!$E$2535&amp;Podcasts!$D$10:'Podcasts'!$D$2535,0)))</f>
        <v/>
      </c>
      <c r="N273" s="136" t="str">
        <f t="array" ref="N273">IF(O273="","",INDEX(Podcasts!$J$10:'Podcasts'!$J$2535,MATCH(O273&amp;$B273,Podcasts!$E$10:'Podcasts'!$E$2535&amp;Podcasts!$D$10:'Podcasts'!$D$2535,0)))</f>
        <v/>
      </c>
      <c r="O273" s="133" t="str">
        <f t="array" ref="O273">IF(COUNTIF(Podcasts!$D$10:'Podcasts'!$D$2535,$B273)&lt;COLUMN(D236),"",SMALL(IF(Podcasts!$D$10:'Podcasts'!$D$2535=$B273,Podcasts!$E$10:'Podcasts'!$E$2535),COLUMN(D236)))</f>
        <v/>
      </c>
      <c r="P273" s="132" t="str">
        <f t="array" ref="P273">IF(O273="","",INDEX(Podcasts!$F$10:'Podcasts'!$F$2535,MATCH(O273&amp;$B273,Podcasts!$E$10:'Podcasts'!$E$2535&amp;Podcasts!$D$10:'Podcasts'!$D$2535,0)))</f>
        <v/>
      </c>
      <c r="Q273" s="136" t="str">
        <f t="array" ref="Q273">IF(R273="","",INDEX(Podcasts!$J$10:'Podcasts'!$J$2535,MATCH(R273&amp;$B273,Podcasts!$E$10:'Podcasts'!$E$2535&amp;Podcasts!$D$10:'Podcasts'!$D$2535,0)))</f>
        <v/>
      </c>
      <c r="R273" s="133" t="str">
        <f t="array" ref="R273">IF(COUNTIF(Podcasts!$D$10:'Podcasts'!$D$2535,$B273)&lt;COLUMN(E236),"",SMALL(IF(Podcasts!$D$10:'Podcasts'!$D$2535=$B273,Podcasts!$E$10:'Podcasts'!$E$2535),COLUMN(E236)))</f>
        <v/>
      </c>
      <c r="S273" s="132" t="str">
        <f t="array" ref="S273">IF(R273="","",INDEX(Podcasts!$F$10:'Podcasts'!$F$2535,MATCH(R273&amp;$B273,Podcasts!$E$10:'Podcasts'!$E$2535&amp;Podcasts!$D$10:'Podcasts'!$D$2535,0)))</f>
        <v/>
      </c>
      <c r="T273" s="136" t="str">
        <f t="array" ref="T273">IF(U273="","",INDEX(Podcasts!$J$10:'Podcasts'!$J$2535,MATCH(U273&amp;$B273,Podcasts!$E$10:'Podcasts'!$E$2535&amp;Podcasts!$D$10:'Podcasts'!$D$2535,0)))</f>
        <v/>
      </c>
      <c r="U273" s="133" t="str">
        <f t="array" ref="U273">IF(COUNTIF(Podcasts!$D$10:'Podcasts'!$D$2535,$B273)&lt;COLUMN(F236),"",SMALL(IF(Podcasts!$D$10:'Podcasts'!$D$2535=$B273,Podcasts!$E$10:'Podcasts'!$E$2535),COLUMN(F236)))</f>
        <v/>
      </c>
      <c r="V273" s="132" t="str">
        <f t="array" ref="V273">IF(U273="","",INDEX(Podcasts!$F$10:'Podcasts'!$F$2535,MATCH(U273&amp;$B273,Podcasts!$E$10:'Podcasts'!$E$2535&amp;Podcasts!$D$10:'Podcasts'!$D$2535,0)))</f>
        <v/>
      </c>
      <c r="W273" s="136" t="str">
        <f t="array" ref="W273">IF(X273="","",INDEX(Podcasts!$J$10:'Podcasts'!$J$2535,MATCH(X273&amp;$B273,Podcasts!$E$10:'Podcasts'!$E$2535&amp;Podcasts!$D$10:'Podcasts'!$D$2535,0)))</f>
        <v/>
      </c>
      <c r="X273" s="133" t="str">
        <f t="array" ref="X273">IF(COUNTIF(Podcasts!$D$10:'Podcasts'!$D$2535,$B273)&lt;COLUMN(G236),"",SMALL(IF(Podcasts!$D$10:'Podcasts'!$D$2535=$B273,Podcasts!$E$10:'Podcasts'!$E$2535),COLUMN(G236)))</f>
        <v/>
      </c>
      <c r="Y273" s="132" t="str">
        <f t="array" ref="Y273">IF(X273="","",INDEX(Podcasts!$F$10:'Podcasts'!$F$2535,MATCH(X273&amp;$B273,Podcasts!$E$10:'Podcasts'!$E$2535&amp;Podcasts!$D$10:'Podcasts'!$D$2535,0)))</f>
        <v/>
      </c>
      <c r="Z273" s="136" t="str">
        <f t="array" ref="Z273">IF(AA273="","",INDEX(Podcasts!$J$10:'Podcasts'!$J$2535,MATCH(AA273&amp;$B273,Podcasts!$E$10:'Podcasts'!$E$2535&amp;Podcasts!$D$10:'Podcasts'!$D$2535,0)))</f>
        <v/>
      </c>
      <c r="AA273" s="134" t="str">
        <f t="array" ref="AA273">IF(COUNTIF(Podcasts!$D$10:'Podcasts'!$D$2535,$B273)&lt;COLUMN(H236),"",SMALL(IF(Podcasts!$D$10:'Podcasts'!$D$2535=$B273,Podcasts!$E$10:'Podcasts'!$E$2535),COLUMN(H236)))</f>
        <v/>
      </c>
      <c r="AB273" s="404" t="str">
        <f t="array" ref="AB273">IF(AA273="","",INDEX(Podcasts!$F$10:'Podcasts'!$F$2535,MATCH(AA273&amp;$B273,Podcasts!$E$10:'Podcasts'!$E$2535&amp;Podcasts!$D$10:'Podcasts'!$D$2535,0)))</f>
        <v/>
      </c>
      <c r="AC273" s="406" t="str">
        <f t="array" ref="AC273">IF(AD273="","",INDEX(Podcasts!$J$10:'Podcasts'!$J$2535,MATCH(AD273&amp;$B273,Podcasts!$E$10:'Podcasts'!$E$2535&amp;Podcasts!$D$10:'Podcasts'!$D$2535,0)))</f>
        <v/>
      </c>
      <c r="AD273" s="400" t="str">
        <f t="array" ref="AD273">IF(COUNTIF(Podcasts!$D$10:'Podcasts'!$D$2535,$B273)&lt;COLUMN(I236),"",SMALL(IF(Podcasts!$D$10:'Podcasts'!$D$2535=$B273,Podcasts!$E$10:'Podcasts'!$E$2535),COLUMN(I236)))</f>
        <v/>
      </c>
      <c r="AE273" s="401" t="str">
        <f t="array" ref="AE273">IF(AD273="","",INDEX(Podcasts!$F$10:'Podcasts'!$F$2535,MATCH(AD273&amp;$B273,Podcasts!$E$10:'Podcasts'!$E$2535&amp;Podcasts!$D$10:'Podcasts'!$D$2535,0)))</f>
        <v/>
      </c>
      <c r="AF273" s="406" t="str">
        <f t="array" ref="AF273">IF(AG273="","",INDEX(Podcasts!$J$10:'Podcasts'!$J$2535,MATCH(AG273&amp;$B273,Podcasts!$E$10:'Podcasts'!$E$2535&amp;Podcasts!$D$10:'Podcasts'!$D$2535,0)))</f>
        <v/>
      </c>
      <c r="AG273" s="400" t="str">
        <f t="array" ref="AG273">IF(COUNTIF(Podcasts!$D$10:'Podcasts'!$D$2535,$B273)&lt;COLUMN(J236),"",SMALL(IF(Podcasts!$D$10:'Podcasts'!$D$2535=$B273,Podcasts!$E$10:'Podcasts'!$E$2535),COLUMN(J236)))</f>
        <v/>
      </c>
      <c r="AH273" s="401" t="str">
        <f t="array" ref="AH273">IF(AG273="","",INDEX(Podcasts!$F$10:'Podcasts'!$F$2535,MATCH(AG273&amp;$B273,Podcasts!$E$10:'Podcasts'!$E$2535&amp;Podcasts!$D$10:'Podcasts'!$D$2535,0)))</f>
        <v/>
      </c>
      <c r="AI273" s="406" t="str">
        <f t="array" ref="AI273">IF(AJ273="","",INDEX(Podcasts!$J$10:'Podcasts'!$J$2535,MATCH(AJ273&amp;$B273,Podcasts!$E$10:'Podcasts'!$E$2535&amp;Podcasts!$D$10:'Podcasts'!$D$2535,0)))</f>
        <v/>
      </c>
      <c r="AJ273" s="400" t="str">
        <f t="array" ref="AJ273">IF(COUNTIF(Podcasts!$D$10:'Podcasts'!$D$2535,$B273)&lt;COLUMN(K236),"",SMALL(IF(Podcasts!$D$10:'Podcasts'!$D$2535=$B273,Podcasts!$E$10:'Podcasts'!$E$2535),COLUMN(K236)))</f>
        <v/>
      </c>
      <c r="AK273" s="401" t="str">
        <f t="array" ref="AK273">IF(AJ273="","",INDEX(Podcasts!$F$10:'Podcasts'!$F$2535,MATCH(AJ273&amp;$B273,Podcasts!$E$10:'Podcasts'!$E$2535&amp;Podcasts!$D$10:'Podcasts'!$D$2535,0)))</f>
        <v/>
      </c>
      <c r="AL273" s="406" t="str">
        <f t="array" ref="AL273">IF(AM273="","",INDEX(Podcasts!$J$10:'Podcasts'!$J$2535,MATCH(AM273&amp;$B273,Podcasts!$E$10:'Podcasts'!$E$2535&amp;Podcasts!$D$10:'Podcasts'!$D$2535,0)))</f>
        <v/>
      </c>
      <c r="AM273" s="400" t="str">
        <f t="array" ref="AM273">IF(COUNTIF(Podcasts!$D$10:'Podcasts'!$D$2535,$B273)&lt;COLUMN(L236),"",SMALL(IF(Podcasts!$D$10:'Podcasts'!$D$2535=$B273,Podcasts!$E$10:'Podcasts'!$E$2535),COLUMN(L236)))</f>
        <v/>
      </c>
      <c r="AN273" s="401" t="str">
        <f t="array" ref="AN273">IF(AM273="","",INDEX(Podcasts!$F$10:'Podcasts'!$F$2535,MATCH(AM273&amp;$B273,Podcasts!$E$10:'Podcasts'!$E$2535&amp;Podcasts!$D$10:'Podcasts'!$D$2535,0)))</f>
        <v/>
      </c>
      <c r="AO273" s="402"/>
      <c r="AP273" s="398"/>
      <c r="AQ273" s="203"/>
      <c r="AR273" s="203"/>
      <c r="AS273" s="203"/>
      <c r="AT273" s="203"/>
      <c r="AU273" s="203"/>
      <c r="AV273" s="203"/>
      <c r="AW273" s="203"/>
      <c r="AX273" s="203"/>
      <c r="AY273" s="203"/>
      <c r="AZ273" s="446"/>
      <c r="BA273" s="227"/>
      <c r="BB273" s="204"/>
      <c r="BC273" s="228"/>
      <c r="BD273" s="228"/>
      <c r="BE273" s="228"/>
      <c r="BF273" s="228"/>
      <c r="BG273" s="228"/>
      <c r="BH273" s="228"/>
      <c r="BI273" s="228"/>
      <c r="BJ273" s="228"/>
      <c r="BK273" s="228"/>
      <c r="BL273" s="228"/>
      <c r="BM273" s="228"/>
      <c r="BN273" s="228"/>
      <c r="BO273" s="228"/>
      <c r="BP273" s="228"/>
      <c r="BQ273" s="742"/>
      <c r="BR273" s="216"/>
      <c r="BS273" s="28"/>
    </row>
    <row r="274" spans="1:71" outlineLevel="1">
      <c r="A274" s="28"/>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row>
    <row r="275" spans="1:71" outlineLevel="1">
      <c r="A275" s="28"/>
      <c r="B275" s="613" t="s">
        <v>202</v>
      </c>
      <c r="C275" s="607" t="s">
        <v>380</v>
      </c>
      <c r="D275" s="616" t="s">
        <v>4</v>
      </c>
      <c r="E275" s="605" t="s">
        <v>3808</v>
      </c>
      <c r="F275" s="606" t="s">
        <v>3809</v>
      </c>
      <c r="G275" s="621" t="s">
        <v>7</v>
      </c>
      <c r="H275" s="605" t="s">
        <v>3810</v>
      </c>
      <c r="I275" s="607" t="s">
        <v>3811</v>
      </c>
      <c r="J275" s="625" t="s">
        <v>7</v>
      </c>
      <c r="K275" s="605" t="s">
        <v>3812</v>
      </c>
      <c r="L275" s="607" t="s">
        <v>3813</v>
      </c>
      <c r="M275" s="625" t="s">
        <v>7</v>
      </c>
      <c r="N275" s="605" t="s">
        <v>3814</v>
      </c>
      <c r="O275" s="607" t="s">
        <v>3815</v>
      </c>
      <c r="P275" s="625" t="s">
        <v>7</v>
      </c>
      <c r="Q275" s="605" t="s">
        <v>3816</v>
      </c>
      <c r="R275" s="607" t="s">
        <v>3817</v>
      </c>
      <c r="S275" s="625" t="s">
        <v>7</v>
      </c>
      <c r="T275" s="605" t="s">
        <v>3818</v>
      </c>
      <c r="U275" s="607" t="s">
        <v>3819</v>
      </c>
      <c r="V275" s="608" t="s">
        <v>7</v>
      </c>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row>
    <row r="276" spans="1:71" outlineLevel="1">
      <c r="A276" s="28"/>
      <c r="B276" s="614" t="s">
        <v>15</v>
      </c>
      <c r="C276" s="611">
        <v>2</v>
      </c>
      <c r="D276" s="617" t="s">
        <v>3820</v>
      </c>
      <c r="E276" s="627" t="s">
        <v>109</v>
      </c>
      <c r="F276" s="601">
        <v>43437</v>
      </c>
      <c r="G276" s="132">
        <v>6.9409722222222234E-2</v>
      </c>
      <c r="H276" s="627" t="s">
        <v>1229</v>
      </c>
      <c r="I276" s="602">
        <v>43450</v>
      </c>
      <c r="J276" s="623">
        <v>6.6145833333333334E-2</v>
      </c>
      <c r="K276" s="629" t="s">
        <v>1878</v>
      </c>
      <c r="L276" s="603">
        <v>45499</v>
      </c>
      <c r="M276" s="623" t="s">
        <v>3821</v>
      </c>
      <c r="N276" s="627" t="s">
        <v>3821</v>
      </c>
      <c r="O276" s="602" t="s">
        <v>3821</v>
      </c>
      <c r="P276" s="623" t="s">
        <v>3821</v>
      </c>
      <c r="Q276" s="627" t="s">
        <v>3821</v>
      </c>
      <c r="R276" s="602" t="s">
        <v>3821</v>
      </c>
      <c r="S276" s="623" t="s">
        <v>3821</v>
      </c>
      <c r="T276" s="627" t="s">
        <v>3821</v>
      </c>
      <c r="U276" s="602" t="s">
        <v>3821</v>
      </c>
      <c r="V276" s="609" t="s">
        <v>3821</v>
      </c>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row>
    <row r="277" spans="1:71" outlineLevel="1">
      <c r="A277" s="28"/>
      <c r="B277" s="614" t="s">
        <v>16</v>
      </c>
      <c r="C277" s="611">
        <v>3</v>
      </c>
      <c r="D277" s="617" t="s">
        <v>3822</v>
      </c>
      <c r="E277" s="627" t="s">
        <v>1229</v>
      </c>
      <c r="F277" s="601">
        <v>43439</v>
      </c>
      <c r="G277" s="132">
        <v>5.873842592592593E-2</v>
      </c>
      <c r="H277" s="627" t="s">
        <v>109</v>
      </c>
      <c r="I277" s="602">
        <v>43802</v>
      </c>
      <c r="J277" s="623">
        <v>5.5509259259259258E-2</v>
      </c>
      <c r="K277" s="627" t="s">
        <v>1878</v>
      </c>
      <c r="L277" s="602">
        <v>45212</v>
      </c>
      <c r="M277" s="623">
        <v>8.458333333333333E-2</v>
      </c>
      <c r="N277" s="627" t="s">
        <v>3821</v>
      </c>
      <c r="O277" s="602" t="s">
        <v>3821</v>
      </c>
      <c r="P277" s="623" t="s">
        <v>3821</v>
      </c>
      <c r="Q277" s="627" t="s">
        <v>3821</v>
      </c>
      <c r="R277" s="602" t="s">
        <v>3821</v>
      </c>
      <c r="S277" s="623" t="s">
        <v>3821</v>
      </c>
      <c r="T277" s="627" t="s">
        <v>3821</v>
      </c>
      <c r="U277" s="602" t="s">
        <v>3821</v>
      </c>
      <c r="V277" s="609" t="s">
        <v>3821</v>
      </c>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row>
    <row r="278" spans="1:71" outlineLevel="1">
      <c r="A278" s="28"/>
      <c r="B278" s="614" t="s">
        <v>17</v>
      </c>
      <c r="C278" s="611">
        <v>3</v>
      </c>
      <c r="D278" s="617" t="s">
        <v>3823</v>
      </c>
      <c r="E278" s="627" t="s">
        <v>1229</v>
      </c>
      <c r="F278" s="601">
        <v>43433</v>
      </c>
      <c r="G278" s="132">
        <v>5.9027777777777783E-2</v>
      </c>
      <c r="H278" s="627" t="s">
        <v>109</v>
      </c>
      <c r="I278" s="602">
        <v>44168</v>
      </c>
      <c r="J278" s="623">
        <v>6.1273148148148153E-2</v>
      </c>
      <c r="K278" s="627" t="s">
        <v>1878</v>
      </c>
      <c r="L278" s="602">
        <v>44420</v>
      </c>
      <c r="M278" s="623">
        <v>5.3449074074074072E-2</v>
      </c>
      <c r="N278" s="627" t="s">
        <v>3821</v>
      </c>
      <c r="O278" s="602" t="s">
        <v>3821</v>
      </c>
      <c r="P278" s="623" t="s">
        <v>3821</v>
      </c>
      <c r="Q278" s="627" t="s">
        <v>3821</v>
      </c>
      <c r="R278" s="602" t="s">
        <v>3821</v>
      </c>
      <c r="S278" s="623" t="s">
        <v>3821</v>
      </c>
      <c r="T278" s="627" t="s">
        <v>3821</v>
      </c>
      <c r="U278" s="602" t="s">
        <v>3821</v>
      </c>
      <c r="V278" s="609" t="s">
        <v>3821</v>
      </c>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row>
    <row r="279" spans="1:71" outlineLevel="1">
      <c r="A279" s="28"/>
      <c r="B279" s="614" t="s">
        <v>18</v>
      </c>
      <c r="C279" s="611">
        <v>3</v>
      </c>
      <c r="D279" s="617" t="s">
        <v>3824</v>
      </c>
      <c r="E279" s="627" t="s">
        <v>1229</v>
      </c>
      <c r="F279" s="601">
        <v>43471</v>
      </c>
      <c r="G279" s="132">
        <v>5.8564814814814813E-2</v>
      </c>
      <c r="H279" s="627" t="s">
        <v>109</v>
      </c>
      <c r="I279" s="602">
        <v>44533</v>
      </c>
      <c r="J279" s="623">
        <v>7.4745370370370365E-2</v>
      </c>
      <c r="K279" s="627" t="s">
        <v>1878</v>
      </c>
      <c r="L279" s="602">
        <v>45401</v>
      </c>
      <c r="M279" s="623">
        <v>9.2719907407407404E-2</v>
      </c>
      <c r="N279" s="627" t="s">
        <v>3821</v>
      </c>
      <c r="O279" s="602" t="s">
        <v>3821</v>
      </c>
      <c r="P279" s="623" t="s">
        <v>3821</v>
      </c>
      <c r="Q279" s="627" t="s">
        <v>3821</v>
      </c>
      <c r="R279" s="602" t="s">
        <v>3821</v>
      </c>
      <c r="S279" s="623" t="s">
        <v>3821</v>
      </c>
      <c r="T279" s="627" t="s">
        <v>3821</v>
      </c>
      <c r="U279" s="602" t="s">
        <v>3821</v>
      </c>
      <c r="V279" s="609" t="s">
        <v>3821</v>
      </c>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row>
    <row r="280" spans="1:71" outlineLevel="1">
      <c r="A280" s="28"/>
      <c r="B280" s="614" t="s">
        <v>19</v>
      </c>
      <c r="C280" s="611">
        <v>2</v>
      </c>
      <c r="D280" s="617" t="s">
        <v>3825</v>
      </c>
      <c r="E280" s="627" t="s">
        <v>1229</v>
      </c>
      <c r="F280" s="601">
        <v>43443</v>
      </c>
      <c r="G280" s="132">
        <v>6.9386574074074073E-2</v>
      </c>
      <c r="H280" s="627" t="s">
        <v>109</v>
      </c>
      <c r="I280" s="602">
        <v>44898</v>
      </c>
      <c r="J280" s="623">
        <v>5.1203703703703703E-2</v>
      </c>
      <c r="K280" s="629" t="s">
        <v>1878</v>
      </c>
      <c r="L280" s="603">
        <v>45485</v>
      </c>
      <c r="M280" s="623" t="s">
        <v>3821</v>
      </c>
      <c r="N280" s="627" t="s">
        <v>3821</v>
      </c>
      <c r="O280" s="602" t="s">
        <v>3821</v>
      </c>
      <c r="P280" s="623" t="s">
        <v>3821</v>
      </c>
      <c r="Q280" s="627" t="s">
        <v>3821</v>
      </c>
      <c r="R280" s="602" t="s">
        <v>3821</v>
      </c>
      <c r="S280" s="623" t="s">
        <v>3821</v>
      </c>
      <c r="T280" s="627" t="s">
        <v>3821</v>
      </c>
      <c r="U280" s="602" t="s">
        <v>3821</v>
      </c>
      <c r="V280" s="609" t="s">
        <v>3821</v>
      </c>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row>
    <row r="281" spans="1:71" outlineLevel="1">
      <c r="A281" s="28"/>
      <c r="B281" s="614" t="s">
        <v>20</v>
      </c>
      <c r="C281" s="611">
        <v>3</v>
      </c>
      <c r="D281" s="617" t="s">
        <v>3826</v>
      </c>
      <c r="E281" s="627" t="s">
        <v>1229</v>
      </c>
      <c r="F281" s="601">
        <v>43433</v>
      </c>
      <c r="G281" s="132">
        <v>7.1678240740740737E-2</v>
      </c>
      <c r="H281" s="627" t="s">
        <v>1878</v>
      </c>
      <c r="I281" s="602">
        <v>44988</v>
      </c>
      <c r="J281" s="623">
        <v>0.16214120370370369</v>
      </c>
      <c r="K281" s="627" t="s">
        <v>109</v>
      </c>
      <c r="L281" s="602">
        <v>45263</v>
      </c>
      <c r="M281" s="623">
        <v>8.6956018518518516E-2</v>
      </c>
      <c r="N281" s="627" t="s">
        <v>3821</v>
      </c>
      <c r="O281" s="602" t="s">
        <v>3821</v>
      </c>
      <c r="P281" s="623" t="s">
        <v>3821</v>
      </c>
      <c r="Q281" s="627" t="s">
        <v>3821</v>
      </c>
      <c r="R281" s="602" t="s">
        <v>3821</v>
      </c>
      <c r="S281" s="623" t="s">
        <v>3821</v>
      </c>
      <c r="T281" s="627" t="s">
        <v>3821</v>
      </c>
      <c r="U281" s="602" t="s">
        <v>3821</v>
      </c>
      <c r="V281" s="609" t="s">
        <v>3821</v>
      </c>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row>
    <row r="282" spans="1:71" outlineLevel="1">
      <c r="A282" s="28"/>
      <c r="B282" s="614" t="s">
        <v>21</v>
      </c>
      <c r="C282" s="611">
        <v>3</v>
      </c>
      <c r="D282" s="617" t="s">
        <v>3827</v>
      </c>
      <c r="E282" s="627" t="s">
        <v>396</v>
      </c>
      <c r="F282" s="601">
        <v>42622</v>
      </c>
      <c r="G282" s="132">
        <v>4.854166666666667E-2</v>
      </c>
      <c r="H282" s="627" t="s">
        <v>1229</v>
      </c>
      <c r="I282" s="602">
        <v>43434</v>
      </c>
      <c r="J282" s="623">
        <v>7.2962962962962966E-2</v>
      </c>
      <c r="K282" s="627" t="s">
        <v>1878</v>
      </c>
      <c r="L282" s="602">
        <v>44631</v>
      </c>
      <c r="M282" s="623">
        <v>6.6840277777777776E-2</v>
      </c>
      <c r="N282" s="629" t="s">
        <v>109</v>
      </c>
      <c r="O282" s="603">
        <v>45629</v>
      </c>
      <c r="P282" s="623" t="s">
        <v>3821</v>
      </c>
      <c r="Q282" s="627" t="s">
        <v>3821</v>
      </c>
      <c r="R282" s="602" t="s">
        <v>3821</v>
      </c>
      <c r="S282" s="623" t="s">
        <v>3821</v>
      </c>
      <c r="T282" s="627" t="s">
        <v>3821</v>
      </c>
      <c r="U282" s="602" t="s">
        <v>3821</v>
      </c>
      <c r="V282" s="609" t="s">
        <v>3821</v>
      </c>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row>
    <row r="283" spans="1:71" outlineLevel="1">
      <c r="A283" s="28"/>
      <c r="B283" s="614" t="s">
        <v>22</v>
      </c>
      <c r="C283" s="611">
        <v>2</v>
      </c>
      <c r="D283" s="617" t="s">
        <v>3828</v>
      </c>
      <c r="E283" s="627" t="s">
        <v>1229</v>
      </c>
      <c r="F283" s="601">
        <v>43552</v>
      </c>
      <c r="G283" s="132">
        <v>6.5277777777777782E-2</v>
      </c>
      <c r="H283" s="627" t="s">
        <v>1878</v>
      </c>
      <c r="I283" s="602">
        <v>44820</v>
      </c>
      <c r="J283" s="623">
        <v>7.318287037037037E-2</v>
      </c>
      <c r="K283" s="629" t="s">
        <v>109</v>
      </c>
      <c r="L283" s="603">
        <v>45994</v>
      </c>
      <c r="M283" s="623" t="s">
        <v>3821</v>
      </c>
      <c r="N283" s="627" t="s">
        <v>3821</v>
      </c>
      <c r="O283" s="602" t="s">
        <v>3821</v>
      </c>
      <c r="P283" s="623" t="s">
        <v>3821</v>
      </c>
      <c r="Q283" s="627" t="s">
        <v>3821</v>
      </c>
      <c r="R283" s="602" t="s">
        <v>3821</v>
      </c>
      <c r="S283" s="623" t="s">
        <v>3821</v>
      </c>
      <c r="T283" s="627" t="s">
        <v>3821</v>
      </c>
      <c r="U283" s="602" t="s">
        <v>3821</v>
      </c>
      <c r="V283" s="609" t="s">
        <v>3821</v>
      </c>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row>
    <row r="284" spans="1:71" outlineLevel="1">
      <c r="A284" s="28"/>
      <c r="B284" s="614" t="s">
        <v>3001</v>
      </c>
      <c r="C284" s="611">
        <v>1</v>
      </c>
      <c r="D284" s="617" t="s">
        <v>3829</v>
      </c>
      <c r="E284" s="627" t="s">
        <v>199</v>
      </c>
      <c r="F284" s="601">
        <v>44513</v>
      </c>
      <c r="G284" s="132">
        <v>9.9421296296296299E-2</v>
      </c>
      <c r="H284" s="627" t="s">
        <v>3821</v>
      </c>
      <c r="I284" s="602" t="s">
        <v>3821</v>
      </c>
      <c r="J284" s="623" t="s">
        <v>3821</v>
      </c>
      <c r="K284" s="627" t="s">
        <v>3821</v>
      </c>
      <c r="L284" s="602" t="s">
        <v>3821</v>
      </c>
      <c r="M284" s="623" t="s">
        <v>3821</v>
      </c>
      <c r="N284" s="627" t="s">
        <v>3821</v>
      </c>
      <c r="O284" s="602" t="s">
        <v>3821</v>
      </c>
      <c r="P284" s="623" t="s">
        <v>3821</v>
      </c>
      <c r="Q284" s="627" t="s">
        <v>3821</v>
      </c>
      <c r="R284" s="602" t="s">
        <v>3821</v>
      </c>
      <c r="S284" s="623" t="s">
        <v>3821</v>
      </c>
      <c r="T284" s="627" t="s">
        <v>3821</v>
      </c>
      <c r="U284" s="602" t="s">
        <v>3821</v>
      </c>
      <c r="V284" s="609" t="s">
        <v>3821</v>
      </c>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row>
    <row r="285" spans="1:71" outlineLevel="1">
      <c r="A285" s="28"/>
      <c r="B285" s="652" t="s">
        <v>3637</v>
      </c>
      <c r="C285" s="653">
        <v>1</v>
      </c>
      <c r="D285" s="654" t="s">
        <v>3830</v>
      </c>
      <c r="E285" s="655" t="s">
        <v>396</v>
      </c>
      <c r="F285" s="656">
        <v>44938</v>
      </c>
      <c r="G285" s="657">
        <v>4.8379629629629627E-2</v>
      </c>
      <c r="H285" s="655" t="s">
        <v>3821</v>
      </c>
      <c r="I285" s="658" t="s">
        <v>3821</v>
      </c>
      <c r="J285" s="659" t="s">
        <v>3821</v>
      </c>
      <c r="K285" s="655" t="s">
        <v>3821</v>
      </c>
      <c r="L285" s="658" t="s">
        <v>3821</v>
      </c>
      <c r="M285" s="659" t="s">
        <v>3821</v>
      </c>
      <c r="N285" s="655" t="s">
        <v>3821</v>
      </c>
      <c r="O285" s="658" t="s">
        <v>3821</v>
      </c>
      <c r="P285" s="659" t="s">
        <v>3821</v>
      </c>
      <c r="Q285" s="655" t="s">
        <v>3821</v>
      </c>
      <c r="R285" s="660" t="s">
        <v>3821</v>
      </c>
      <c r="S285" s="659" t="s">
        <v>3821</v>
      </c>
      <c r="T285" s="655" t="s">
        <v>3821</v>
      </c>
      <c r="U285" s="660" t="s">
        <v>3821</v>
      </c>
      <c r="V285" s="661" t="s">
        <v>3821</v>
      </c>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row>
    <row r="286" spans="1:71" outlineLevel="1">
      <c r="A286" s="28"/>
      <c r="B286" s="678" t="s">
        <v>4202</v>
      </c>
      <c r="C286" s="679">
        <v>0</v>
      </c>
      <c r="D286" s="680" t="s">
        <v>4203</v>
      </c>
      <c r="E286" s="707" t="s">
        <v>109</v>
      </c>
      <c r="F286" s="708">
        <v>46359</v>
      </c>
      <c r="G286" s="683"/>
      <c r="H286" s="681"/>
      <c r="I286" s="684"/>
      <c r="J286" s="685"/>
      <c r="K286" s="681"/>
      <c r="L286" s="684"/>
      <c r="M286" s="685"/>
      <c r="N286" s="681"/>
      <c r="O286" s="684"/>
      <c r="P286" s="685"/>
      <c r="Q286" s="681"/>
      <c r="R286" s="686"/>
      <c r="S286" s="685"/>
      <c r="T286" s="681"/>
      <c r="U286" s="686"/>
      <c r="V286" s="687"/>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row>
    <row r="287" spans="1:71" outlineLevel="1">
      <c r="A287" s="28"/>
      <c r="B287" s="662" t="s">
        <v>374</v>
      </c>
      <c r="C287" s="663">
        <v>3</v>
      </c>
      <c r="D287" s="664" t="s">
        <v>4116</v>
      </c>
      <c r="E287" s="665" t="s">
        <v>198</v>
      </c>
      <c r="F287" s="666">
        <v>41745</v>
      </c>
      <c r="G287" s="667">
        <v>8.7384259259259255E-3</v>
      </c>
      <c r="H287" s="665" t="s">
        <v>109</v>
      </c>
      <c r="I287" s="668">
        <v>43823</v>
      </c>
      <c r="J287" s="669">
        <v>6.9467592592592595E-2</v>
      </c>
      <c r="K287" s="665" t="s">
        <v>1878</v>
      </c>
      <c r="L287" s="668">
        <v>45102</v>
      </c>
      <c r="M287" s="669">
        <v>0.20435185185185187</v>
      </c>
      <c r="N287" s="688"/>
      <c r="O287" s="668"/>
      <c r="P287" s="669" t="s">
        <v>3821</v>
      </c>
      <c r="Q287" s="665" t="s">
        <v>3821</v>
      </c>
      <c r="R287" s="672"/>
      <c r="S287" s="669"/>
      <c r="T287" s="665"/>
      <c r="U287" s="672"/>
      <c r="V287" s="673"/>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row>
    <row r="288" spans="1:71" outlineLevel="1">
      <c r="A288" s="28"/>
      <c r="B288" s="614" t="s">
        <v>1549</v>
      </c>
      <c r="C288" s="611">
        <v>3</v>
      </c>
      <c r="D288" s="618" t="s">
        <v>4117</v>
      </c>
      <c r="E288" s="627" t="s">
        <v>1385</v>
      </c>
      <c r="F288" s="602">
        <v>44148</v>
      </c>
      <c r="G288" s="623">
        <v>2.4606481481481479E-2</v>
      </c>
      <c r="H288" s="627" t="s">
        <v>636</v>
      </c>
      <c r="I288" s="601">
        <v>44175</v>
      </c>
      <c r="J288" s="622">
        <v>3.472222222222222E-3</v>
      </c>
      <c r="K288" s="627" t="s">
        <v>1878</v>
      </c>
      <c r="L288" s="602">
        <v>44737</v>
      </c>
      <c r="M288" s="623">
        <v>0.1461226851851852</v>
      </c>
      <c r="N288" s="689"/>
      <c r="O288" s="451"/>
      <c r="P288" s="623" t="s">
        <v>3821</v>
      </c>
      <c r="Q288" s="627" t="s">
        <v>3821</v>
      </c>
      <c r="R288" s="604"/>
      <c r="S288" s="623"/>
      <c r="T288" s="627"/>
      <c r="U288" s="604"/>
      <c r="V288" s="609"/>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row>
    <row r="289" spans="1:71" outlineLevel="1">
      <c r="A289" s="28"/>
      <c r="B289" s="678" t="s">
        <v>155</v>
      </c>
      <c r="C289" s="679">
        <v>2</v>
      </c>
      <c r="D289" s="680" t="s">
        <v>4118</v>
      </c>
      <c r="E289" s="681" t="s">
        <v>636</v>
      </c>
      <c r="F289" s="682">
        <v>41945</v>
      </c>
      <c r="G289" s="683">
        <v>4.8854166666666664E-2</v>
      </c>
      <c r="H289" s="681" t="s">
        <v>197</v>
      </c>
      <c r="I289" s="684">
        <v>41725</v>
      </c>
      <c r="J289" s="685">
        <v>2.3715277777777776E-2</v>
      </c>
      <c r="K289" s="681"/>
      <c r="L289" s="684"/>
      <c r="M289" s="685"/>
      <c r="N289" s="690"/>
      <c r="O289" s="684"/>
      <c r="P289" s="685"/>
      <c r="Q289" s="681"/>
      <c r="R289" s="686"/>
      <c r="S289" s="685"/>
      <c r="T289" s="681"/>
      <c r="U289" s="686"/>
      <c r="V289" s="687"/>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row>
    <row r="290" spans="1:71" outlineLevel="1">
      <c r="A290" s="28"/>
      <c r="B290" s="662" t="s">
        <v>3965</v>
      </c>
      <c r="C290" s="663">
        <v>2</v>
      </c>
      <c r="D290" s="664" t="s">
        <v>4113</v>
      </c>
      <c r="E290" s="665" t="s">
        <v>198</v>
      </c>
      <c r="F290" s="666">
        <v>41917</v>
      </c>
      <c r="G290" s="667">
        <v>2.9513888888888888E-3</v>
      </c>
      <c r="H290" s="665" t="s">
        <v>199</v>
      </c>
      <c r="I290" s="668">
        <v>45128</v>
      </c>
      <c r="J290" s="669">
        <v>0.1112962962962963</v>
      </c>
      <c r="K290" s="665"/>
      <c r="L290" s="668"/>
      <c r="M290" s="669"/>
      <c r="N290" s="665"/>
      <c r="O290" s="668"/>
      <c r="P290" s="669"/>
      <c r="Q290" s="665"/>
      <c r="R290" s="672"/>
      <c r="S290" s="669"/>
      <c r="T290" s="665"/>
      <c r="U290" s="672"/>
      <c r="V290" s="673"/>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row>
    <row r="291" spans="1:71" outlineLevel="1">
      <c r="A291" s="28"/>
      <c r="B291" s="614" t="s">
        <v>1729</v>
      </c>
      <c r="C291" s="611">
        <v>2</v>
      </c>
      <c r="D291" s="618" t="s">
        <v>4114</v>
      </c>
      <c r="E291" s="627" t="s">
        <v>198</v>
      </c>
      <c r="F291" s="601">
        <v>41917</v>
      </c>
      <c r="G291" s="622">
        <v>2.9513888888888888E-3</v>
      </c>
      <c r="H291" s="627" t="s">
        <v>199</v>
      </c>
      <c r="I291" s="602">
        <v>44323</v>
      </c>
      <c r="J291" s="623">
        <v>0.12121527777777778</v>
      </c>
      <c r="K291" s="627"/>
      <c r="L291" s="602"/>
      <c r="M291" s="623"/>
      <c r="N291" s="627"/>
      <c r="O291" s="602"/>
      <c r="P291" s="623"/>
      <c r="Q291" s="627"/>
      <c r="R291" s="604"/>
      <c r="S291" s="623"/>
      <c r="T291" s="627"/>
      <c r="U291" s="604"/>
      <c r="V291" s="609"/>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row>
    <row r="292" spans="1:71" outlineLevel="1">
      <c r="A292" s="28"/>
      <c r="B292" s="678" t="s">
        <v>560</v>
      </c>
      <c r="C292" s="679">
        <v>2</v>
      </c>
      <c r="D292" s="680" t="s">
        <v>4115</v>
      </c>
      <c r="E292" s="681" t="s">
        <v>198</v>
      </c>
      <c r="F292" s="682">
        <v>41917</v>
      </c>
      <c r="G292" s="683">
        <v>2.9513888888888888E-3</v>
      </c>
      <c r="H292" s="681" t="s">
        <v>199</v>
      </c>
      <c r="I292" s="684">
        <v>43820</v>
      </c>
      <c r="J292" s="685">
        <v>9.9212962962962961E-2</v>
      </c>
      <c r="K292" s="681"/>
      <c r="L292" s="684"/>
      <c r="M292" s="685"/>
      <c r="N292" s="681"/>
      <c r="O292" s="684"/>
      <c r="P292" s="685"/>
      <c r="Q292" s="681"/>
      <c r="R292" s="686"/>
      <c r="S292" s="685"/>
      <c r="T292" s="681"/>
      <c r="U292" s="686"/>
      <c r="V292" s="687"/>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row>
    <row r="293" spans="1:71" outlineLevel="1">
      <c r="A293" s="28"/>
      <c r="B293" s="662" t="s">
        <v>741</v>
      </c>
      <c r="C293" s="663">
        <v>2</v>
      </c>
      <c r="D293" s="664" t="s">
        <v>4110</v>
      </c>
      <c r="E293" s="665" t="s">
        <v>636</v>
      </c>
      <c r="F293" s="666">
        <v>42846</v>
      </c>
      <c r="G293" s="667">
        <v>2.0717592592592593E-3</v>
      </c>
      <c r="H293" s="665" t="s">
        <v>109</v>
      </c>
      <c r="I293" s="668">
        <v>44547</v>
      </c>
      <c r="J293" s="669">
        <v>5.1550925925925924E-2</v>
      </c>
      <c r="K293" s="665"/>
      <c r="L293" s="668"/>
      <c r="M293" s="669"/>
      <c r="N293" s="665"/>
      <c r="O293" s="668"/>
      <c r="P293" s="669"/>
      <c r="Q293" s="665"/>
      <c r="R293" s="672"/>
      <c r="S293" s="669"/>
      <c r="T293" s="665"/>
      <c r="U293" s="672"/>
      <c r="V293" s="673"/>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row>
    <row r="294" spans="1:71" outlineLevel="1">
      <c r="A294" s="28"/>
      <c r="B294" s="614" t="s">
        <v>635</v>
      </c>
      <c r="C294" s="611">
        <v>1</v>
      </c>
      <c r="D294" s="618" t="s">
        <v>4111</v>
      </c>
      <c r="E294" s="627" t="s">
        <v>636</v>
      </c>
      <c r="F294" s="601">
        <v>42972</v>
      </c>
      <c r="G294" s="622">
        <v>3.3449074074074071E-3</v>
      </c>
      <c r="H294" s="627"/>
      <c r="I294" s="602"/>
      <c r="J294" s="623"/>
      <c r="K294" s="627"/>
      <c r="L294" s="602"/>
      <c r="M294" s="623"/>
      <c r="N294" s="627"/>
      <c r="O294" s="602"/>
      <c r="P294" s="623"/>
      <c r="Q294" s="627"/>
      <c r="R294" s="604"/>
      <c r="S294" s="623"/>
      <c r="T294" s="627"/>
      <c r="U294" s="604"/>
      <c r="V294" s="609"/>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row>
    <row r="295" spans="1:71" outlineLevel="1">
      <c r="A295" s="28"/>
      <c r="B295" s="678" t="s">
        <v>742</v>
      </c>
      <c r="C295" s="679">
        <v>1</v>
      </c>
      <c r="D295" s="680" t="s">
        <v>4112</v>
      </c>
      <c r="E295" s="681" t="s">
        <v>636</v>
      </c>
      <c r="F295" s="682">
        <v>42999</v>
      </c>
      <c r="G295" s="683">
        <v>3.1944444444444442E-3</v>
      </c>
      <c r="H295" s="681"/>
      <c r="I295" s="684"/>
      <c r="J295" s="685"/>
      <c r="K295" s="681"/>
      <c r="L295" s="684"/>
      <c r="M295" s="685"/>
      <c r="N295" s="681"/>
      <c r="O295" s="684"/>
      <c r="P295" s="685"/>
      <c r="Q295" s="681"/>
      <c r="R295" s="686"/>
      <c r="S295" s="685"/>
      <c r="T295" s="681"/>
      <c r="U295" s="686"/>
      <c r="V295" s="687"/>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row>
    <row r="296" spans="1:71" outlineLevel="1">
      <c r="A296" s="28"/>
      <c r="B296" s="662" t="s">
        <v>4100</v>
      </c>
      <c r="C296" s="663">
        <v>4</v>
      </c>
      <c r="D296" s="664" t="s">
        <v>4104</v>
      </c>
      <c r="E296" s="665" t="s">
        <v>198</v>
      </c>
      <c r="F296" s="666">
        <v>42050</v>
      </c>
      <c r="G296" s="667">
        <v>2.193287037037037E-2</v>
      </c>
      <c r="H296" s="665" t="s">
        <v>44</v>
      </c>
      <c r="I296" s="668">
        <v>44530</v>
      </c>
      <c r="J296" s="669">
        <v>9.3425925925925926E-2</v>
      </c>
      <c r="K296" s="665" t="s">
        <v>109</v>
      </c>
      <c r="L296" s="668">
        <v>44767</v>
      </c>
      <c r="M296" s="669">
        <v>0.12409722222222223</v>
      </c>
      <c r="N296" s="665" t="s">
        <v>1684</v>
      </c>
      <c r="O296" s="668">
        <v>45141</v>
      </c>
      <c r="P296" s="669">
        <v>2.2858796296296294E-2</v>
      </c>
      <c r="Q296" s="665"/>
      <c r="R296" s="672"/>
      <c r="S296" s="669"/>
      <c r="T296" s="665"/>
      <c r="U296" s="672"/>
      <c r="V296" s="673"/>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row>
    <row r="297" spans="1:71" outlineLevel="1">
      <c r="A297" s="28"/>
      <c r="B297" s="614" t="s">
        <v>4101</v>
      </c>
      <c r="C297" s="611">
        <v>2</v>
      </c>
      <c r="D297" s="618" t="s">
        <v>4105</v>
      </c>
      <c r="E297" s="627" t="s">
        <v>198</v>
      </c>
      <c r="F297" s="601">
        <v>41745</v>
      </c>
      <c r="G297" s="622">
        <v>9.0856481481481483E-3</v>
      </c>
      <c r="H297" s="627" t="s">
        <v>199</v>
      </c>
      <c r="I297" s="602">
        <v>43726</v>
      </c>
      <c r="J297" s="623">
        <v>0.13680555555555554</v>
      </c>
      <c r="K297" s="627"/>
      <c r="L297" s="602"/>
      <c r="M297" s="623"/>
      <c r="N297" s="627"/>
      <c r="O297" s="602"/>
      <c r="P297" s="623"/>
      <c r="Q297" s="627"/>
      <c r="R297" s="604"/>
      <c r="S297" s="623"/>
      <c r="T297" s="627"/>
      <c r="U297" s="604"/>
      <c r="V297" s="609"/>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row>
    <row r="298" spans="1:71" outlineLevel="1">
      <c r="A298" s="28"/>
      <c r="B298" s="614" t="s">
        <v>751</v>
      </c>
      <c r="C298" s="611">
        <v>3</v>
      </c>
      <c r="D298" s="618" t="s">
        <v>4106</v>
      </c>
      <c r="E298" s="627" t="s">
        <v>636</v>
      </c>
      <c r="F298" s="601">
        <v>40881</v>
      </c>
      <c r="G298" s="622">
        <v>9.0277777777777784E-4</v>
      </c>
      <c r="H298" s="627" t="s">
        <v>198</v>
      </c>
      <c r="I298" s="602">
        <v>41811</v>
      </c>
      <c r="J298" s="623">
        <v>6.0185185185185177E-3</v>
      </c>
      <c r="K298" s="627" t="s">
        <v>1617</v>
      </c>
      <c r="L298" s="602">
        <v>44268</v>
      </c>
      <c r="M298" s="623">
        <v>6.1875000000000006E-2</v>
      </c>
      <c r="N298" s="627"/>
      <c r="O298" s="602"/>
      <c r="P298" s="623"/>
      <c r="Q298" s="627"/>
      <c r="R298" s="604"/>
      <c r="S298" s="623"/>
      <c r="T298" s="627"/>
      <c r="U298" s="604"/>
      <c r="V298" s="609"/>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row>
    <row r="299" spans="1:71" outlineLevel="1">
      <c r="A299" s="28"/>
      <c r="B299" s="614" t="s">
        <v>4102</v>
      </c>
      <c r="C299" s="611">
        <v>1</v>
      </c>
      <c r="D299" s="618" t="s">
        <v>4107</v>
      </c>
      <c r="E299" s="627" t="s">
        <v>199</v>
      </c>
      <c r="F299" s="601">
        <v>43733</v>
      </c>
      <c r="G299" s="622">
        <v>7.9409722222222215E-2</v>
      </c>
      <c r="H299" s="627"/>
      <c r="I299" s="602"/>
      <c r="J299" s="623"/>
      <c r="K299" s="627"/>
      <c r="L299" s="602"/>
      <c r="M299" s="623"/>
      <c r="N299" s="627"/>
      <c r="O299" s="602"/>
      <c r="P299" s="623"/>
      <c r="Q299" s="627"/>
      <c r="R299" s="604"/>
      <c r="S299" s="623"/>
      <c r="T299" s="627"/>
      <c r="U299" s="604"/>
      <c r="V299" s="609"/>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row>
    <row r="300" spans="1:71" outlineLevel="1">
      <c r="A300" s="28"/>
      <c r="B300" s="614" t="s">
        <v>4103</v>
      </c>
      <c r="C300" s="611">
        <v>1</v>
      </c>
      <c r="D300" s="618" t="s">
        <v>4108</v>
      </c>
      <c r="E300" s="627" t="s">
        <v>199</v>
      </c>
      <c r="F300" s="601">
        <v>44995</v>
      </c>
      <c r="G300" s="622">
        <v>0.19392361111111112</v>
      </c>
      <c r="H300" s="627"/>
      <c r="I300" s="602"/>
      <c r="J300" s="623"/>
      <c r="K300" s="627"/>
      <c r="L300" s="602"/>
      <c r="M300" s="623"/>
      <c r="N300" s="627"/>
      <c r="O300" s="602"/>
      <c r="P300" s="623"/>
      <c r="Q300" s="627"/>
      <c r="R300" s="604"/>
      <c r="S300" s="623"/>
      <c r="T300" s="627"/>
      <c r="U300" s="604"/>
      <c r="V300" s="609"/>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row>
    <row r="301" spans="1:71" outlineLevel="1">
      <c r="A301" s="28"/>
      <c r="B301" s="678" t="s">
        <v>752</v>
      </c>
      <c r="C301" s="679">
        <v>2</v>
      </c>
      <c r="D301" s="680" t="s">
        <v>4109</v>
      </c>
      <c r="E301" s="681" t="s">
        <v>416</v>
      </c>
      <c r="F301" s="682">
        <v>43002</v>
      </c>
      <c r="G301" s="683">
        <v>1.5231481481481483E-2</v>
      </c>
      <c r="H301" s="681" t="s">
        <v>636</v>
      </c>
      <c r="I301" s="684">
        <v>43797</v>
      </c>
      <c r="J301" s="685">
        <v>3.4953703703703705E-3</v>
      </c>
      <c r="K301" s="681"/>
      <c r="L301" s="684"/>
      <c r="M301" s="685"/>
      <c r="N301" s="681"/>
      <c r="O301" s="684"/>
      <c r="P301" s="685"/>
      <c r="Q301" s="681"/>
      <c r="R301" s="686"/>
      <c r="S301" s="685"/>
      <c r="T301" s="681"/>
      <c r="U301" s="686"/>
      <c r="V301" s="687"/>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row>
    <row r="302" spans="1:71" outlineLevel="1">
      <c r="A302" s="28"/>
      <c r="B302" s="662" t="s">
        <v>157</v>
      </c>
      <c r="C302" s="663">
        <v>4</v>
      </c>
      <c r="D302" s="664" t="s">
        <v>4095</v>
      </c>
      <c r="E302" s="665" t="s">
        <v>197</v>
      </c>
      <c r="F302" s="666">
        <v>42362</v>
      </c>
      <c r="G302" s="667">
        <v>3.184027777777778E-2</v>
      </c>
      <c r="H302" s="665" t="s">
        <v>636</v>
      </c>
      <c r="I302" s="668">
        <v>43901</v>
      </c>
      <c r="J302" s="669">
        <v>6.5162037037037037E-3</v>
      </c>
      <c r="K302" s="665" t="s">
        <v>1684</v>
      </c>
      <c r="L302" s="668">
        <v>44411</v>
      </c>
      <c r="M302" s="669">
        <v>2.164351851851852E-2</v>
      </c>
      <c r="N302" s="665" t="s">
        <v>109</v>
      </c>
      <c r="O302" s="668">
        <v>44867</v>
      </c>
      <c r="P302" s="669">
        <v>8.2395833333333335E-2</v>
      </c>
      <c r="Q302" s="665"/>
      <c r="R302" s="672"/>
      <c r="S302" s="669"/>
      <c r="T302" s="665"/>
      <c r="U302" s="672"/>
      <c r="V302" s="673"/>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row>
    <row r="303" spans="1:71" outlineLevel="1">
      <c r="A303" s="28"/>
      <c r="B303" s="614" t="s">
        <v>1879</v>
      </c>
      <c r="C303" s="611">
        <v>2</v>
      </c>
      <c r="D303" s="618" t="s">
        <v>4096</v>
      </c>
      <c r="E303" s="627" t="s">
        <v>1878</v>
      </c>
      <c r="F303" s="601">
        <v>44385</v>
      </c>
      <c r="G303" s="622">
        <v>2.6712962962962966E-2</v>
      </c>
      <c r="H303" s="627" t="s">
        <v>1385</v>
      </c>
      <c r="I303" s="602">
        <v>44512</v>
      </c>
      <c r="J303" s="623">
        <v>1.1574074074074075E-2</v>
      </c>
      <c r="K303" s="627"/>
      <c r="L303" s="602"/>
      <c r="M303" s="623"/>
      <c r="N303" s="627"/>
      <c r="O303" s="602"/>
      <c r="P303" s="623"/>
      <c r="Q303" s="627"/>
      <c r="R303" s="604"/>
      <c r="S303" s="623"/>
      <c r="T303" s="627"/>
      <c r="U303" s="604"/>
      <c r="V303" s="609"/>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row>
    <row r="304" spans="1:71" outlineLevel="1">
      <c r="A304" s="28"/>
      <c r="B304" s="614" t="s">
        <v>4094</v>
      </c>
      <c r="C304" s="611">
        <v>1</v>
      </c>
      <c r="D304" s="618" t="s">
        <v>4097</v>
      </c>
      <c r="E304" s="627" t="s">
        <v>109</v>
      </c>
      <c r="F304" s="601">
        <v>43751</v>
      </c>
      <c r="G304" s="622">
        <v>2.6655092592592591E-2</v>
      </c>
      <c r="H304" s="627"/>
      <c r="I304" s="602"/>
      <c r="J304" s="623"/>
      <c r="K304" s="627"/>
      <c r="L304" s="602"/>
      <c r="M304" s="623"/>
      <c r="N304" s="627"/>
      <c r="O304" s="602"/>
      <c r="P304" s="623"/>
      <c r="Q304" s="627"/>
      <c r="R304" s="604"/>
      <c r="S304" s="623"/>
      <c r="T304" s="627"/>
      <c r="U304" s="604"/>
      <c r="V304" s="609"/>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row>
    <row r="305" spans="1:71" outlineLevel="1">
      <c r="A305" s="28"/>
      <c r="B305" s="614" t="s">
        <v>2616</v>
      </c>
      <c r="C305" s="611">
        <v>1</v>
      </c>
      <c r="D305" s="618" t="s">
        <v>4099</v>
      </c>
      <c r="E305" s="627" t="s">
        <v>1607</v>
      </c>
      <c r="F305" s="601">
        <v>44185</v>
      </c>
      <c r="G305" s="622">
        <v>5.2546296296296292E-2</v>
      </c>
      <c r="H305" s="627"/>
      <c r="I305" s="602"/>
      <c r="J305" s="623"/>
      <c r="K305" s="627"/>
      <c r="L305" s="602"/>
      <c r="M305" s="623"/>
      <c r="N305" s="627"/>
      <c r="O305" s="602"/>
      <c r="P305" s="623"/>
      <c r="Q305" s="627"/>
      <c r="R305" s="604"/>
      <c r="S305" s="623"/>
      <c r="T305" s="627"/>
      <c r="U305" s="604"/>
      <c r="V305" s="609"/>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row>
    <row r="306" spans="1:71" outlineLevel="1">
      <c r="A306" s="28"/>
      <c r="B306" s="678" t="s">
        <v>4093</v>
      </c>
      <c r="C306" s="679">
        <v>1</v>
      </c>
      <c r="D306" s="680" t="s">
        <v>4098</v>
      </c>
      <c r="E306" s="681" t="s">
        <v>109</v>
      </c>
      <c r="F306" s="682">
        <v>44537</v>
      </c>
      <c r="G306" s="683">
        <v>5.7442129629629628E-2</v>
      </c>
      <c r="H306" s="681"/>
      <c r="I306" s="684"/>
      <c r="J306" s="685"/>
      <c r="K306" s="681"/>
      <c r="L306" s="684"/>
      <c r="M306" s="685"/>
      <c r="N306" s="681"/>
      <c r="O306" s="684"/>
      <c r="P306" s="685"/>
      <c r="Q306" s="681"/>
      <c r="R306" s="686"/>
      <c r="S306" s="685"/>
      <c r="T306" s="681"/>
      <c r="U306" s="686"/>
      <c r="V306" s="687"/>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row>
    <row r="307" spans="1:71" outlineLevel="1">
      <c r="A307" s="28"/>
      <c r="B307" s="662" t="s">
        <v>218</v>
      </c>
      <c r="C307" s="663">
        <v>6</v>
      </c>
      <c r="D307" s="664" t="s">
        <v>4089</v>
      </c>
      <c r="E307" s="665" t="s">
        <v>636</v>
      </c>
      <c r="F307" s="666">
        <v>41209</v>
      </c>
      <c r="G307" s="667">
        <v>1.6550925925925926E-3</v>
      </c>
      <c r="H307" s="665" t="s">
        <v>416</v>
      </c>
      <c r="I307" s="668">
        <v>41210</v>
      </c>
      <c r="J307" s="669">
        <v>4.9837962962962966E-2</v>
      </c>
      <c r="K307" s="665" t="s">
        <v>197</v>
      </c>
      <c r="L307" s="668">
        <v>41267</v>
      </c>
      <c r="M307" s="669">
        <v>0.16355324074074074</v>
      </c>
      <c r="N307" s="665" t="s">
        <v>396</v>
      </c>
      <c r="O307" s="670">
        <v>43850</v>
      </c>
      <c r="P307" s="671">
        <v>6.1041666666666661E-2</v>
      </c>
      <c r="Q307" s="665" t="s">
        <v>199</v>
      </c>
      <c r="R307" s="670">
        <v>44768</v>
      </c>
      <c r="S307" s="671">
        <v>0.1665972222222222</v>
      </c>
      <c r="T307" s="665" t="s">
        <v>109</v>
      </c>
      <c r="U307" s="670">
        <v>45266</v>
      </c>
      <c r="V307" s="715">
        <v>9.7175925925925929E-2</v>
      </c>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row>
    <row r="308" spans="1:71" outlineLevel="1">
      <c r="A308" s="28"/>
      <c r="B308" s="614" t="s">
        <v>691</v>
      </c>
      <c r="C308" s="611">
        <v>2</v>
      </c>
      <c r="D308" s="618" t="s">
        <v>4090</v>
      </c>
      <c r="E308" s="627" t="s">
        <v>636</v>
      </c>
      <c r="F308" s="601">
        <v>41729</v>
      </c>
      <c r="G308" s="622">
        <v>2.0949074074074073E-3</v>
      </c>
      <c r="H308" s="627" t="s">
        <v>199</v>
      </c>
      <c r="I308" s="650">
        <v>45079</v>
      </c>
      <c r="J308" s="651">
        <v>0.20521990740740739</v>
      </c>
      <c r="K308" s="627"/>
      <c r="L308" s="602"/>
      <c r="M308" s="623"/>
      <c r="N308" s="627"/>
      <c r="O308" s="602"/>
      <c r="P308" s="623"/>
      <c r="Q308" s="627"/>
      <c r="R308" s="604"/>
      <c r="S308" s="623"/>
      <c r="T308" s="627"/>
      <c r="U308" s="604"/>
      <c r="V308" s="609"/>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row>
    <row r="309" spans="1:71" outlineLevel="1">
      <c r="A309" s="28"/>
      <c r="B309" s="614" t="s">
        <v>734</v>
      </c>
      <c r="C309" s="611">
        <v>3</v>
      </c>
      <c r="D309" s="618" t="s">
        <v>4091</v>
      </c>
      <c r="E309" s="627" t="s">
        <v>636</v>
      </c>
      <c r="F309" s="601">
        <v>42471</v>
      </c>
      <c r="G309" s="622">
        <v>1.7013888888888892E-3</v>
      </c>
      <c r="H309" s="627" t="s">
        <v>396</v>
      </c>
      <c r="I309" s="650">
        <v>43457</v>
      </c>
      <c r="J309" s="651">
        <v>3.3587962962962965E-2</v>
      </c>
      <c r="K309" s="627" t="s">
        <v>199</v>
      </c>
      <c r="L309" s="650">
        <v>44428</v>
      </c>
      <c r="M309" s="651">
        <v>5.5543981481481486E-2</v>
      </c>
      <c r="N309" s="627"/>
      <c r="O309" s="602"/>
      <c r="P309" s="623"/>
      <c r="Q309" s="627"/>
      <c r="R309" s="604"/>
      <c r="S309" s="623"/>
      <c r="T309" s="627"/>
      <c r="U309" s="604"/>
      <c r="V309" s="609"/>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row>
    <row r="310" spans="1:71" outlineLevel="1">
      <c r="A310" s="28"/>
      <c r="B310" s="652" t="s">
        <v>627</v>
      </c>
      <c r="C310" s="653">
        <v>2</v>
      </c>
      <c r="D310" s="654" t="s">
        <v>4092</v>
      </c>
      <c r="E310" s="655" t="s">
        <v>636</v>
      </c>
      <c r="F310" s="656">
        <v>43446</v>
      </c>
      <c r="G310" s="657">
        <v>4.6412037037037038E-3</v>
      </c>
      <c r="H310" s="655" t="s">
        <v>109</v>
      </c>
      <c r="I310" s="674">
        <v>43922</v>
      </c>
      <c r="J310" s="675">
        <v>4.4155092592592593E-2</v>
      </c>
      <c r="K310" s="655"/>
      <c r="L310" s="658"/>
      <c r="M310" s="659"/>
      <c r="N310" s="655"/>
      <c r="O310" s="658"/>
      <c r="P310" s="659"/>
      <c r="Q310" s="655"/>
      <c r="R310" s="660"/>
      <c r="S310" s="659"/>
      <c r="T310" s="655"/>
      <c r="U310" s="660"/>
      <c r="V310" s="661"/>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row>
    <row r="311" spans="1:71" outlineLevel="1">
      <c r="A311" s="28"/>
      <c r="B311" s="662" t="s">
        <v>110</v>
      </c>
      <c r="C311" s="663">
        <v>7</v>
      </c>
      <c r="D311" s="676" t="s">
        <v>3831</v>
      </c>
      <c r="E311" s="665" t="s">
        <v>636</v>
      </c>
      <c r="F311" s="666">
        <v>41578</v>
      </c>
      <c r="G311" s="677">
        <v>1.2268518518518518E-3</v>
      </c>
      <c r="H311" s="665" t="s">
        <v>197</v>
      </c>
      <c r="I311" s="668">
        <v>41624</v>
      </c>
      <c r="J311" s="669">
        <v>9.6400462962962966E-2</v>
      </c>
      <c r="K311" s="665" t="s">
        <v>198</v>
      </c>
      <c r="L311" s="668">
        <v>41811</v>
      </c>
      <c r="M311" s="669">
        <v>4.2824074074074075E-3</v>
      </c>
      <c r="N311" s="665" t="s">
        <v>109</v>
      </c>
      <c r="O311" s="668">
        <v>43093</v>
      </c>
      <c r="P311" s="669">
        <v>6.6180555555555562E-2</v>
      </c>
      <c r="Q311" s="665" t="s">
        <v>199</v>
      </c>
      <c r="R311" s="668">
        <v>44554</v>
      </c>
      <c r="S311" s="669">
        <v>0.31256944444444446</v>
      </c>
      <c r="T311" s="665" t="s">
        <v>1684</v>
      </c>
      <c r="U311" s="668">
        <v>44554</v>
      </c>
      <c r="V311" s="701">
        <v>3.7199074074074072E-2</v>
      </c>
      <c r="W311" s="704" t="s">
        <v>3694</v>
      </c>
      <c r="X311" s="695">
        <v>45266</v>
      </c>
      <c r="Y311" s="696">
        <v>3.5543981481481475E-2</v>
      </c>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row>
    <row r="312" spans="1:71" outlineLevel="1">
      <c r="A312" s="28"/>
      <c r="B312" s="614" t="s">
        <v>746</v>
      </c>
      <c r="C312" s="611">
        <v>1</v>
      </c>
      <c r="D312" s="619" t="s">
        <v>3832</v>
      </c>
      <c r="E312" s="627" t="s">
        <v>636</v>
      </c>
      <c r="F312" s="602">
        <v>42722</v>
      </c>
      <c r="G312" s="623">
        <v>3.1481481481481482E-3</v>
      </c>
      <c r="H312" s="629"/>
      <c r="I312" s="603"/>
      <c r="J312" s="623" t="s">
        <v>3821</v>
      </c>
      <c r="K312" s="627"/>
      <c r="L312" s="602" t="s">
        <v>3821</v>
      </c>
      <c r="M312" s="623" t="s">
        <v>3821</v>
      </c>
      <c r="N312" s="627" t="s">
        <v>3821</v>
      </c>
      <c r="O312" s="602" t="s">
        <v>3821</v>
      </c>
      <c r="P312" s="623" t="s">
        <v>3821</v>
      </c>
      <c r="Q312" s="627" t="s">
        <v>3821</v>
      </c>
      <c r="R312" s="602" t="s">
        <v>3821</v>
      </c>
      <c r="S312" s="623" t="s">
        <v>3821</v>
      </c>
      <c r="T312" s="627" t="s">
        <v>3821</v>
      </c>
      <c r="U312" s="602" t="s">
        <v>3821</v>
      </c>
      <c r="V312" s="702" t="s">
        <v>3821</v>
      </c>
      <c r="W312" s="705"/>
      <c r="X312" s="697"/>
      <c r="Y312" s="69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row>
    <row r="313" spans="1:71" outlineLevel="1">
      <c r="A313" s="28"/>
      <c r="B313" s="614" t="s">
        <v>1391</v>
      </c>
      <c r="C313" s="611">
        <v>5</v>
      </c>
      <c r="D313" s="617" t="s">
        <v>3833</v>
      </c>
      <c r="E313" s="627" t="s">
        <v>636</v>
      </c>
      <c r="F313" s="601">
        <v>44156</v>
      </c>
      <c r="G313" s="132">
        <v>2.2106481481481478E-3</v>
      </c>
      <c r="H313" s="627" t="s">
        <v>1385</v>
      </c>
      <c r="I313" s="602">
        <v>44165</v>
      </c>
      <c r="J313" s="623">
        <v>2.960648148148148E-2</v>
      </c>
      <c r="K313" s="627" t="s">
        <v>199</v>
      </c>
      <c r="L313" s="602">
        <v>44189</v>
      </c>
      <c r="M313" s="623">
        <v>0.32042824074074078</v>
      </c>
      <c r="N313" s="627" t="s">
        <v>1878</v>
      </c>
      <c r="O313" s="602">
        <v>44547</v>
      </c>
      <c r="P313" s="623">
        <v>8.6249999999999993E-2</v>
      </c>
      <c r="Q313" s="627" t="s">
        <v>1617</v>
      </c>
      <c r="R313" s="602">
        <v>44556</v>
      </c>
      <c r="S313" s="623">
        <v>3.0821759259259257E-2</v>
      </c>
      <c r="T313" s="627" t="s">
        <v>3821</v>
      </c>
      <c r="U313" s="602" t="s">
        <v>3821</v>
      </c>
      <c r="V313" s="702" t="s">
        <v>3821</v>
      </c>
      <c r="W313" s="705"/>
      <c r="X313" s="697"/>
      <c r="Y313" s="69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row>
    <row r="314" spans="1:71" outlineLevel="1">
      <c r="A314" s="28"/>
      <c r="B314" s="652" t="s">
        <v>3134</v>
      </c>
      <c r="C314" s="653">
        <v>5</v>
      </c>
      <c r="D314" s="709" t="s">
        <v>3834</v>
      </c>
      <c r="E314" s="655" t="s">
        <v>636</v>
      </c>
      <c r="F314" s="656">
        <v>44879</v>
      </c>
      <c r="G314" s="710">
        <v>2.8240740740740739E-3</v>
      </c>
      <c r="H314" s="655" t="s">
        <v>1385</v>
      </c>
      <c r="I314" s="658">
        <v>44896</v>
      </c>
      <c r="J314" s="659">
        <v>1.8981481481481481E-2</v>
      </c>
      <c r="K314" s="655" t="s">
        <v>1878</v>
      </c>
      <c r="L314" s="658">
        <v>44918</v>
      </c>
      <c r="M314" s="659">
        <v>0.12052083333333334</v>
      </c>
      <c r="N314" s="655" t="s">
        <v>109</v>
      </c>
      <c r="O314" s="658">
        <v>44919</v>
      </c>
      <c r="P314" s="659">
        <v>0.11469907407407408</v>
      </c>
      <c r="Q314" s="655" t="s">
        <v>199</v>
      </c>
      <c r="R314" s="658">
        <v>44919</v>
      </c>
      <c r="S314" s="659">
        <v>0.38405092592592593</v>
      </c>
      <c r="T314" s="655" t="s">
        <v>3821</v>
      </c>
      <c r="U314" s="658" t="s">
        <v>3821</v>
      </c>
      <c r="V314" s="711" t="s">
        <v>3821</v>
      </c>
      <c r="W314" s="712"/>
      <c r="X314" s="713"/>
      <c r="Y314" s="714"/>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row>
    <row r="315" spans="1:71" outlineLevel="1">
      <c r="A315" s="28"/>
      <c r="B315" s="615" t="s">
        <v>4204</v>
      </c>
      <c r="C315" s="612">
        <v>4</v>
      </c>
      <c r="D315" s="620" t="s">
        <v>4205</v>
      </c>
      <c r="E315" s="628" t="s">
        <v>1385</v>
      </c>
      <c r="F315" s="716">
        <v>45261</v>
      </c>
      <c r="G315" s="624">
        <v>3.3750000000000002E-2</v>
      </c>
      <c r="H315" s="628" t="s">
        <v>636</v>
      </c>
      <c r="I315" s="716">
        <v>45274</v>
      </c>
      <c r="J315" s="624">
        <v>2.6041666666666665E-3</v>
      </c>
      <c r="K315" s="628" t="s">
        <v>1878</v>
      </c>
      <c r="L315" s="716">
        <v>45282</v>
      </c>
      <c r="M315" s="624">
        <v>0.11752314814814814</v>
      </c>
      <c r="N315" s="628" t="s">
        <v>199</v>
      </c>
      <c r="O315" s="610">
        <v>45284</v>
      </c>
      <c r="P315" s="626">
        <v>0.39956018518518516</v>
      </c>
      <c r="Q315" s="628"/>
      <c r="R315" s="610"/>
      <c r="S315" s="626"/>
      <c r="T315" s="628" t="s">
        <v>3821</v>
      </c>
      <c r="U315" s="610" t="s">
        <v>3821</v>
      </c>
      <c r="V315" s="703" t="s">
        <v>3821</v>
      </c>
      <c r="W315" s="706"/>
      <c r="X315" s="699"/>
      <c r="Y315" s="700"/>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row>
    <row r="316" spans="1:71" outlineLevel="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row>
    <row r="317" spans="1:7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row>
    <row r="318" spans="1:71">
      <c r="A318" s="28"/>
      <c r="B318" s="764" t="s">
        <v>1244</v>
      </c>
      <c r="C318" s="765"/>
      <c r="D318" s="765"/>
      <c r="E318" s="765"/>
      <c r="F318" s="765"/>
      <c r="G318" s="765"/>
      <c r="H318" s="765"/>
      <c r="I318" s="766"/>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row>
    <row r="319" spans="1:71">
      <c r="A319" s="28"/>
      <c r="B319" s="45"/>
      <c r="C319" s="123"/>
      <c r="D319" s="45"/>
      <c r="E319" s="45"/>
      <c r="F319" s="45"/>
      <c r="G319" s="45"/>
      <c r="H319" s="45"/>
      <c r="I319" s="45"/>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row>
    <row r="320" spans="1:71">
      <c r="A320" s="28"/>
      <c r="B320" s="784" t="s">
        <v>573</v>
      </c>
      <c r="C320" s="784"/>
      <c r="D320" s="178" t="s">
        <v>1257</v>
      </c>
      <c r="E320" s="174" t="s">
        <v>197</v>
      </c>
      <c r="F320" s="175" t="s">
        <v>636</v>
      </c>
      <c r="G320" s="176" t="s">
        <v>416</v>
      </c>
      <c r="H320" s="175" t="s">
        <v>198</v>
      </c>
      <c r="I320" s="175" t="s">
        <v>396</v>
      </c>
      <c r="J320" s="176" t="s">
        <v>114</v>
      </c>
      <c r="K320" s="438" t="s">
        <v>2762</v>
      </c>
      <c r="L320" s="175" t="s">
        <v>109</v>
      </c>
      <c r="M320" s="175" t="s">
        <v>44</v>
      </c>
      <c r="N320" s="438" t="s">
        <v>34</v>
      </c>
      <c r="O320" s="175" t="s">
        <v>199</v>
      </c>
      <c r="P320" s="175" t="s">
        <v>572</v>
      </c>
      <c r="Q320" s="438" t="s">
        <v>201</v>
      </c>
      <c r="R320" s="177" t="s">
        <v>235</v>
      </c>
      <c r="S320" s="175" t="s">
        <v>3639</v>
      </c>
      <c r="T320" s="438" t="s">
        <v>1329</v>
      </c>
      <c r="U320" s="177" t="s">
        <v>1326</v>
      </c>
      <c r="V320" s="177" t="s">
        <v>1504</v>
      </c>
      <c r="W320" s="440" t="s">
        <v>1662</v>
      </c>
      <c r="X320" s="177" t="s">
        <v>1617</v>
      </c>
      <c r="Y320" s="177" t="s">
        <v>1684</v>
      </c>
      <c r="Z320" s="440" t="s">
        <v>1686</v>
      </c>
      <c r="AA320" s="177" t="s">
        <v>1864</v>
      </c>
      <c r="AB320" s="177" t="s">
        <v>3981</v>
      </c>
      <c r="AC320" s="440" t="s">
        <v>3887</v>
      </c>
      <c r="AD320" s="177" t="s">
        <v>3694</v>
      </c>
      <c r="AE320" s="177" t="s">
        <v>3695</v>
      </c>
      <c r="AF320" s="440" t="s">
        <v>1332</v>
      </c>
      <c r="AH320" s="263" t="s">
        <v>1921</v>
      </c>
      <c r="AI320" s="264" t="s">
        <v>197</v>
      </c>
      <c r="AJ320" s="264" t="s">
        <v>636</v>
      </c>
      <c r="AK320" s="264" t="s">
        <v>416</v>
      </c>
      <c r="AL320" s="264" t="s">
        <v>198</v>
      </c>
      <c r="AM320" s="264" t="s">
        <v>396</v>
      </c>
      <c r="AN320" s="264" t="s">
        <v>114</v>
      </c>
      <c r="AO320" s="264" t="s">
        <v>2762</v>
      </c>
      <c r="AP320" s="264" t="s">
        <v>109</v>
      </c>
      <c r="AQ320" s="264" t="s">
        <v>44</v>
      </c>
      <c r="AR320" s="264" t="s">
        <v>34</v>
      </c>
      <c r="AS320" s="264" t="s">
        <v>199</v>
      </c>
      <c r="AT320" s="264" t="s">
        <v>572</v>
      </c>
      <c r="AU320" s="264" t="s">
        <v>201</v>
      </c>
      <c r="AV320" s="263" t="s">
        <v>235</v>
      </c>
      <c r="AW320" s="264" t="s">
        <v>3639</v>
      </c>
      <c r="AX320" s="264" t="s">
        <v>1329</v>
      </c>
      <c r="AY320" s="263" t="s">
        <v>1326</v>
      </c>
      <c r="AZ320" s="263" t="s">
        <v>1504</v>
      </c>
      <c r="BA320" s="263" t="s">
        <v>1662</v>
      </c>
      <c r="BB320" s="263" t="s">
        <v>1617</v>
      </c>
      <c r="BC320" s="263" t="s">
        <v>1684</v>
      </c>
      <c r="BD320" s="263" t="s">
        <v>1686</v>
      </c>
      <c r="BE320" s="263" t="s">
        <v>1864</v>
      </c>
      <c r="BF320" s="263" t="s">
        <v>3981</v>
      </c>
      <c r="BG320" s="263" t="s">
        <v>3887</v>
      </c>
      <c r="BH320" s="263" t="s">
        <v>1332</v>
      </c>
    </row>
    <row r="321" spans="1:60" ht="0.5" customHeight="1" outlineLevel="1">
      <c r="A321" s="28"/>
      <c r="B321" s="169"/>
      <c r="C321" s="72">
        <v>40724</v>
      </c>
      <c r="D321" s="169"/>
      <c r="E321" s="170"/>
      <c r="F321" s="171"/>
      <c r="G321" s="172"/>
      <c r="H321" s="171"/>
      <c r="I321" s="171"/>
      <c r="J321" s="172"/>
      <c r="K321" s="425"/>
      <c r="L321" s="171"/>
      <c r="M321" s="171"/>
      <c r="N321" s="439"/>
      <c r="O321" s="171"/>
      <c r="P321" s="171"/>
      <c r="Q321" s="439"/>
      <c r="R321" s="173"/>
      <c r="T321" s="425"/>
      <c r="U321" s="173"/>
      <c r="V321" s="173"/>
      <c r="W321" s="425"/>
      <c r="Z321" s="425"/>
      <c r="AC321" s="425"/>
      <c r="AF321" s="425"/>
      <c r="AH321" s="243"/>
      <c r="AI321" s="243"/>
      <c r="AJ321" s="243"/>
      <c r="AK321" s="243"/>
      <c r="AL321" s="243"/>
      <c r="AM321" s="243"/>
      <c r="AN321" s="243"/>
      <c r="AP321" s="243"/>
      <c r="AQ321" s="243"/>
      <c r="AR321" s="243"/>
      <c r="AS321" s="243"/>
      <c r="AT321" s="243"/>
      <c r="AU321" s="243"/>
      <c r="AV321" s="243"/>
      <c r="AX321" s="243"/>
      <c r="AY321" s="243"/>
      <c r="AZ321" s="243"/>
      <c r="BA321" s="243"/>
      <c r="BB321" s="243"/>
      <c r="BC321" s="243"/>
      <c r="BE321" s="243"/>
      <c r="BH321" s="243"/>
    </row>
    <row r="322" spans="1:60" outlineLevel="1">
      <c r="A322" s="163">
        <f>SUM(E322:M322,O322:AE322)</f>
        <v>0</v>
      </c>
      <c r="B322" s="164">
        <f>A322-A320</f>
        <v>0</v>
      </c>
      <c r="C322" s="72">
        <v>40816</v>
      </c>
      <c r="D322" s="165" t="str">
        <f>A322&amp;"   (+"&amp;B322&amp;")"</f>
        <v>0   (+0)</v>
      </c>
      <c r="E322" s="106">
        <f>COUNTIFS(Podcasts!$D$10:'Podcasts'!$D$107,"&gt;0",Podcasts!$E$10:'Podcasts'!$E$107,"&lt;="&amp;$C322)</f>
        <v>0</v>
      </c>
      <c r="F322" s="467">
        <f>COUNTIFS(Podcasts!$D$113:'Podcasts'!$D$238,"&gt;0",Podcasts!$E$113:'Podcasts'!$E$238,"&lt;="&amp;$C322)</f>
        <v>0</v>
      </c>
      <c r="G322" s="468"/>
      <c r="H322" s="467"/>
      <c r="I322" s="467"/>
      <c r="J322" s="468"/>
      <c r="K322" s="469"/>
      <c r="L322" s="467"/>
      <c r="M322" s="467"/>
      <c r="N322" s="469"/>
      <c r="O322" s="467"/>
      <c r="P322" s="467"/>
      <c r="Q322" s="469"/>
      <c r="R322" s="467"/>
      <c r="T322" s="469"/>
      <c r="U322" s="467"/>
      <c r="V322" s="467"/>
      <c r="W322" s="469"/>
      <c r="X322" s="467"/>
      <c r="Y322" s="467"/>
      <c r="Z322" s="469"/>
      <c r="AA322" s="467"/>
      <c r="AC322" s="425"/>
      <c r="AF322" s="469">
        <f>COUNTIFS(Podcasts!$E$2131:'Podcasts'!$E$2367,"&lt;="&amp;$C322)</f>
        <v>13</v>
      </c>
      <c r="AH322" s="243">
        <f t="shared" ref="AH322:AH367" si="5">SUM(AI322:BG322)</f>
        <v>0</v>
      </c>
      <c r="AI322" s="243">
        <f>SUMIFS(Podcasts!$F$10:'Podcasts'!$F$107,Podcasts!$D$10:'Podcasts'!$D$107,"&gt;0",Podcasts!$E$10:'Podcasts'!$E$107,"&gt;"&amp;$C321,Podcasts!$E$10:'Podcasts'!$E$107,"&lt;="&amp;$C322)*24*60</f>
        <v>0</v>
      </c>
      <c r="AJ322" s="243">
        <f>SUMIFS(Podcasts!$F$113:'Podcasts'!$F$238,Podcasts!$D$113:'Podcasts'!$D$238,"&gt;0",Podcasts!$E$113:'Podcasts'!$E$238,"&gt;"&amp;$C321,Podcasts!$E$113:'Podcasts'!$E$238,"&lt;="&amp;$C322)*24*60</f>
        <v>0</v>
      </c>
      <c r="AK322" s="243">
        <f>SUMIFS(Podcasts!$F$244:'Podcasts'!$F$299,Podcasts!$D$244:'Podcasts'!$D$299,"&gt;0",Podcasts!$E$244:'Podcasts'!$E$299,"&gt;"&amp;$C321,Podcasts!$E$244:'Podcasts'!$E$299,"&lt;="&amp;$C322)*24*60</f>
        <v>0</v>
      </c>
      <c r="AL322" s="243">
        <f>SUMIFS(Podcasts!$F$305:'Podcasts'!$F$473,Podcasts!$D$305:'Podcasts'!$D$473,"&gt;0",Podcasts!$E$305:'Podcasts'!$E$473,"&gt;"&amp;$C321,Podcasts!$E$305:'Podcasts'!$E$473,"&lt;="&amp;$C322)*24*60</f>
        <v>0</v>
      </c>
      <c r="AM322" s="243">
        <f>SUMIFS(Podcasts!$F$479:'Podcasts'!$F$488,Podcasts!$D$479:'Podcasts'!$D$488,"&gt;0",Podcasts!$E$479:'Podcasts'!$E$488,"&gt;"&amp;$C321,Podcasts!$E$479:'Podcasts'!$E$488,"&lt;="&amp;$C322)*24*60</f>
        <v>0</v>
      </c>
      <c r="AN322" s="243">
        <f>SUMIFS(Podcasts!$F$494:'Podcasts'!$F$518,Podcasts!$D$494:'Podcasts'!$D$518,"&gt;0",Podcasts!$E$494:'Podcasts'!$E$518,"&gt;"&amp;$C321,Podcasts!$E$494:'Podcasts'!$E$518,"&lt;="&amp;$C322)*24*60</f>
        <v>0</v>
      </c>
      <c r="AO322" s="243">
        <f>SUMIFS(Podcasts!$F$524:'Podcasts'!$F$532,Podcasts!$D$524:'Podcasts'!$D$532,"&gt;0",Podcasts!$E$524:'Podcasts'!$E$532,"&gt;"&amp;$C321,Podcasts!$E$524:'Podcasts'!$E$532,"&lt;="&amp;$C322)*24*60</f>
        <v>0</v>
      </c>
      <c r="AP322" s="243">
        <f>SUMIFS(Podcasts!$F$538:'Podcasts'!$F$909,Podcasts!$D$538:'Podcasts'!$D$909,"&gt;0",Podcasts!$E$538:'Podcasts'!$E$909,"&gt;"&amp;$C321,Podcasts!$E$538:'Podcasts'!$E$909,"&lt;="&amp;$C322)*24*60</f>
        <v>0</v>
      </c>
      <c r="AQ322" s="243">
        <f>SUMIFS(Podcasts!$F$915:'Podcasts'!$F$981,Podcasts!$D$915:'Podcasts'!$D$981,"&gt;0",Podcasts!$E$915:'Podcasts'!$E$981,"&gt;"&amp;$C321,Podcasts!$E$915:'Podcasts'!$E$981,"&lt;="&amp;$C322)*24*60</f>
        <v>0</v>
      </c>
      <c r="AR322" s="243">
        <f>SUMIFS(Podcasts!$F$987:'Podcasts'!$F$995,Podcasts!$D$987:'Podcasts'!$D$995,"&gt;0",Podcasts!$E$987:'Podcasts'!$E$995,"&gt;"&amp;$C321,Podcasts!$E$987:'Podcasts'!$E$995,"&lt;="&amp;$C322)*24*60</f>
        <v>0</v>
      </c>
      <c r="AS322" s="243">
        <f>SUMIFS(Podcasts!$F$1001:'Podcasts'!$F$1251,Podcasts!$D$1001:'Podcasts'!$D$1251,"&gt;0",Podcasts!$E$1001:'Podcasts'!$E$1251,"&gt;"&amp;$C321,Podcasts!$E$1001:'Podcasts'!$E$1251,"&lt;="&amp;$C322)*24*60</f>
        <v>0</v>
      </c>
      <c r="AT322" s="243">
        <f>SUMIFS(Podcasts!$F$1257:'Podcasts'!$F$1267,Podcasts!$D$1257:'Podcasts'!$D$1267,"&gt;0",Podcasts!$E$1257:'Podcasts'!$E$1267,"&gt;"&amp;$C321,Podcasts!$E$1257:'Podcasts'!$E$1267,"&lt;="&amp;$C322)*24*60</f>
        <v>0</v>
      </c>
      <c r="AU322" s="243">
        <f>SUMIFS(Podcasts!$F$1273:'Podcasts'!$F$1283,Podcasts!$D$1273:'Podcasts'!$D$1283,"&gt;0",Podcasts!$E$1273:'Podcasts'!$E$1283,"&gt;"&amp;$C321,Podcasts!$E$1273:'Podcasts'!$E$1283,"&lt;="&amp;$C322)*24*60</f>
        <v>0</v>
      </c>
      <c r="AV322" s="243">
        <f>SUMIFS(Podcasts!$F$1289:'Podcasts'!$F$1295,Podcasts!$D$1289:'Podcasts'!$D$1295,"&gt;0",Podcasts!$E$1289:'Podcasts'!$E$1295,"&gt;"&amp;$C321,Podcasts!$E$1289:'Podcasts'!$E$1295,"&lt;="&amp;$C322)*24*60</f>
        <v>0</v>
      </c>
      <c r="AW322" s="243">
        <f>SUMIFS(Podcasts!$F$1301:'Podcasts'!$F$1356,Podcasts!$D$1301:'Podcasts'!$D$1356,"&gt;0",Podcasts!$E$1301:'Podcasts'!$E$1356,"&gt;"&amp;$C321,Podcasts!$E$1301:'Podcasts'!$E$1356,"&lt;="&amp;$C322)*24*60</f>
        <v>0</v>
      </c>
      <c r="AX322" s="243">
        <f>SUMIFS(Podcasts!$F$1362:'Podcasts'!$F$1364,Podcasts!$D$1362:'Podcasts'!$D$1364,"&gt;0",Podcasts!$E$1362:'Podcasts'!$E$1364,"&gt;"&amp;$C321,Podcasts!$E$1362:'Podcasts'!$E$1364,"&lt;="&amp;$C322)*24*60</f>
        <v>0</v>
      </c>
      <c r="AY322" s="243">
        <f>SUMIFS(Podcasts!$F$1370:'Podcasts'!$F$1419,Podcasts!$D$1370:'Podcasts'!$D$1419,"&gt;0",Podcasts!$E$1370:'Podcasts'!$E$1419,"&gt;"&amp;$C321,Podcasts!$E$1370:'Podcasts'!$E$1419,"&lt;="&amp;$C322)*24*60</f>
        <v>0</v>
      </c>
      <c r="AZ322" s="243">
        <f>SUMIFS(Podcasts!$F$1425:'Podcasts'!$F$1446,Podcasts!$D$1425:'Podcasts'!$D$1446,"&gt;0",Podcasts!$E$1425:'Podcasts'!$E$1446,"&gt;"&amp;$C321,Podcasts!$E$1425:'Podcasts'!$E$1446,"&lt;="&amp;$C322)*24*60</f>
        <v>0</v>
      </c>
      <c r="BA322" s="243">
        <f>SUMIFS(Podcasts!$F$1452:'Podcasts'!$F$1574,Podcasts!$D$1452:'Podcasts'!$D$1574,"&gt;0",Podcasts!$E$1452:'Podcasts'!$E$1574,"&gt;"&amp;$C321,Podcasts!$E$1452:'Podcasts'!$E$1574,"&lt;="&amp;$C322)*24*60</f>
        <v>0</v>
      </c>
      <c r="BB322" s="243">
        <f>SUMIFS(Podcasts!$F$1580:'Podcasts'!$F$1705,Podcasts!$D$1580:'Podcasts'!$D$1705,"&gt;0",Podcasts!$E$1580:'Podcasts'!$E$1705,"&gt;"&amp;$C321,Podcasts!$E$1580:'Podcasts'!$E$1705,"&lt;="&amp;$C322)*24*60</f>
        <v>0</v>
      </c>
      <c r="BC322" s="243">
        <f>SUMIFS(Podcasts!$F$1711:'Podcasts'!$F$1833,Podcasts!$D$1711:'Podcasts'!$D$1833,"&gt;0",Podcasts!$E$1711:'Podcasts'!$E$1833,"&gt;"&amp;$C321,Podcasts!$E$1711:'Podcasts'!$E$1833,"&lt;="&amp;$C322)*24*60</f>
        <v>0</v>
      </c>
      <c r="BD322" s="243">
        <f>SUMIFS(Podcasts!$F$1839:'Podcasts'!$F$1855,Podcasts!$D$1839:'Podcasts'!$D$1855,"&gt;0",Podcasts!$E$1839:'Podcasts'!$E$1855,"&gt;"&amp;$C321,Podcasts!$E$1839:'Podcasts'!$E$1855,"&lt;="&amp;$C322)*24*60</f>
        <v>0</v>
      </c>
      <c r="BE322" s="243">
        <f>SUMIFS(Podcasts!$F$1861:'Podcasts'!$F$1994,Podcasts!$D$1861:'Podcasts'!$D$1994,"&gt;0",Podcasts!$E$1861:'Podcasts'!$E$1994,"&gt;"&amp;$C321,Podcasts!$E$1861:'Podcasts'!$E$1994,"&lt;="&amp;$C322)*24*60</f>
        <v>0</v>
      </c>
      <c r="BF322" s="243">
        <f>SUMIFS(Podcasts!$F$2000:'Podcasts'!$F$2057,Podcasts!$D$2000:'Podcasts'!$D$2057,"&gt;0",Podcasts!$E$2000:'Podcasts'!$E$2057,"&gt;"&amp;$C321,Podcasts!$E$2000:'Podcasts'!$E$2057,"&lt;="&amp;$C322)*24*60</f>
        <v>0</v>
      </c>
      <c r="BG322" s="243">
        <f>SUMIFS(Podcasts!$F$2063:'Podcasts'!$F$2071,Podcasts!$D$2063:'Podcasts'!$D$2071,"&gt;0",Podcasts!$E$2063:'Podcasts'!$E$2071,"&gt;"&amp;$C321,Podcasts!$E$2063:'Podcasts'!$E$2071,"&lt;="&amp;$C322)*24*60</f>
        <v>0</v>
      </c>
      <c r="BH322" s="243">
        <f>SUMIFS(Podcasts!$F$2131:'Podcasts'!$F$2367,Podcasts!$D$2131:'Podcasts'!$D$2367,"&gt;0",Podcasts!$E$2131:'Podcasts'!$E$2367,"&gt;"&amp;$C321,Podcasts!$E$2131:'Podcasts'!$E$2367,"&lt;="&amp;$C322)*24*60</f>
        <v>0</v>
      </c>
    </row>
    <row r="323" spans="1:60" outlineLevel="1">
      <c r="A323" s="163">
        <f>SUM(E323:M323,O323:AE323)</f>
        <v>4</v>
      </c>
      <c r="B323" s="164">
        <f t="shared" ref="B323" si="6">A323-A322</f>
        <v>4</v>
      </c>
      <c r="C323" s="72">
        <v>40908</v>
      </c>
      <c r="D323" s="166" t="str">
        <f>A323&amp;"   (+"&amp;B323&amp;")"</f>
        <v>4   (+4)</v>
      </c>
      <c r="E323" s="106">
        <f>COUNTIFS(Podcasts!$D$10:'Podcasts'!$D$107,"&gt;0",Podcasts!$E$10:'Podcasts'!$E$107,"&lt;="&amp;$C323)</f>
        <v>3</v>
      </c>
      <c r="F323" s="467">
        <f>COUNTIFS(Podcasts!$D$113:'Podcasts'!$D$238,"&gt;0",Podcasts!$E$113:'Podcasts'!$E$238,"&lt;="&amp;$C323)</f>
        <v>1</v>
      </c>
      <c r="G323" s="468">
        <f>COUNTIFS(Podcasts!$D$244:'Podcasts'!$D$299,"&gt;0",Podcasts!$E$244:'Podcasts'!$E$299,"&lt;="&amp;$C323)</f>
        <v>0</v>
      </c>
      <c r="H323" s="467"/>
      <c r="I323" s="467"/>
      <c r="J323" s="468"/>
      <c r="K323" s="469"/>
      <c r="L323" s="467"/>
      <c r="M323" s="467"/>
      <c r="N323" s="469"/>
      <c r="O323" s="467"/>
      <c r="P323" s="467"/>
      <c r="Q323" s="469"/>
      <c r="R323" s="467"/>
      <c r="T323" s="469"/>
      <c r="U323" s="467"/>
      <c r="V323" s="467"/>
      <c r="W323" s="469"/>
      <c r="X323" s="467"/>
      <c r="Y323" s="467"/>
      <c r="Z323" s="469"/>
      <c r="AA323" s="467"/>
      <c r="AC323" s="469"/>
      <c r="AF323" s="469">
        <f>COUNTIFS(Podcasts!$E$2131:'Podcasts'!$E$2367,"&lt;="&amp;$C323)</f>
        <v>13</v>
      </c>
      <c r="AH323" s="243">
        <f t="shared" si="5"/>
        <v>135.65</v>
      </c>
      <c r="AI323" s="243">
        <f>SUMIFS(Podcasts!$F$10:'Podcasts'!$F$107,Podcasts!$D$10:'Podcasts'!$D$107,"&gt;0",Podcasts!$E$10:'Podcasts'!$E$107,"&gt;"&amp;$C322,Podcasts!$E$10:'Podcasts'!$E$107,"&lt;="&amp;$C323)*24*60</f>
        <v>134.35</v>
      </c>
      <c r="AJ323" s="243">
        <f>SUMIFS(Podcasts!$F$113:'Podcasts'!$F$238,Podcasts!$D$113:'Podcasts'!$D$238,"&gt;0",Podcasts!$E$113:'Podcasts'!$E$238,"&gt;"&amp;$C322,Podcasts!$E$113:'Podcasts'!$E$238,"&lt;="&amp;$C323)*24*60</f>
        <v>1.3</v>
      </c>
      <c r="AK323" s="243">
        <f>SUMIFS(Podcasts!$F$244:'Podcasts'!$F$299,Podcasts!$D$244:'Podcasts'!$D$299,"&gt;0",Podcasts!$E$244:'Podcasts'!$E$299,"&gt;"&amp;$C322,Podcasts!$E$244:'Podcasts'!$E$299,"&lt;="&amp;$C323)*24*60</f>
        <v>0</v>
      </c>
      <c r="AL323" s="243">
        <f>SUMIFS(Podcasts!$F$305:'Podcasts'!$F$473,Podcasts!$D$305:'Podcasts'!$D$473,"&gt;0",Podcasts!$E$305:'Podcasts'!$E$473,"&gt;"&amp;$C322,Podcasts!$E$305:'Podcasts'!$E$473,"&lt;="&amp;$C323)*24*60</f>
        <v>0</v>
      </c>
      <c r="AM323" s="243">
        <f>SUMIFS(Podcasts!$F$479:'Podcasts'!$F$488,Podcasts!$D$479:'Podcasts'!$D$488,"&gt;0",Podcasts!$E$479:'Podcasts'!$E$488,"&gt;"&amp;$C322,Podcasts!$E$479:'Podcasts'!$E$488,"&lt;="&amp;$C323)*24*60</f>
        <v>0</v>
      </c>
      <c r="AN323" s="243">
        <f>SUMIFS(Podcasts!$F$494:'Podcasts'!$F$518,Podcasts!$D$494:'Podcasts'!$D$518,"&gt;0",Podcasts!$E$494:'Podcasts'!$E$518,"&gt;"&amp;$C322,Podcasts!$E$494:'Podcasts'!$E$518,"&lt;="&amp;$C323)*24*60</f>
        <v>0</v>
      </c>
      <c r="AO323" s="243">
        <f>SUMIFS(Podcasts!$F$524:'Podcasts'!$F$532,Podcasts!$D$524:'Podcasts'!$D$532,"&gt;0",Podcasts!$E$524:'Podcasts'!$E$532,"&gt;"&amp;$C322,Podcasts!$E$524:'Podcasts'!$E$532,"&lt;="&amp;$C323)*24*60</f>
        <v>0</v>
      </c>
      <c r="AP323" s="243">
        <f>SUMIFS(Podcasts!$F$538:'Podcasts'!$F$909,Podcasts!$D$538:'Podcasts'!$D$909,"&gt;0",Podcasts!$E$538:'Podcasts'!$E$909,"&gt;"&amp;$C322,Podcasts!$E$538:'Podcasts'!$E$909,"&lt;="&amp;$C323)*24*60</f>
        <v>0</v>
      </c>
      <c r="AQ323" s="243">
        <f>SUMIFS(Podcasts!$F$915:'Podcasts'!$F$981,Podcasts!$D$915:'Podcasts'!$D$981,"&gt;0",Podcasts!$E$915:'Podcasts'!$E$981,"&gt;"&amp;$C322,Podcasts!$E$915:'Podcasts'!$E$981,"&lt;="&amp;$C323)*24*60</f>
        <v>0</v>
      </c>
      <c r="AR323" s="243">
        <f>SUMIFS(Podcasts!$F$987:'Podcasts'!$F$995,Podcasts!$D$987:'Podcasts'!$D$995,"&gt;0",Podcasts!$E$987:'Podcasts'!$E$995,"&gt;"&amp;$C322,Podcasts!$E$987:'Podcasts'!$E$995,"&lt;="&amp;$C323)*24*60</f>
        <v>0</v>
      </c>
      <c r="AS323" s="243">
        <f>SUMIFS(Podcasts!$F$1001:'Podcasts'!$F$1251,Podcasts!$D$1001:'Podcasts'!$D$1251,"&gt;0",Podcasts!$E$1001:'Podcasts'!$E$1251,"&gt;"&amp;$C322,Podcasts!$E$1001:'Podcasts'!$E$1251,"&lt;="&amp;$C323)*24*60</f>
        <v>0</v>
      </c>
      <c r="AT323" s="243">
        <f>SUMIFS(Podcasts!$F$1257:'Podcasts'!$F$1267,Podcasts!$D$1257:'Podcasts'!$D$1267,"&gt;0",Podcasts!$E$1257:'Podcasts'!$E$1267,"&gt;"&amp;$C322,Podcasts!$E$1257:'Podcasts'!$E$1267,"&lt;="&amp;$C323)*24*60</f>
        <v>0</v>
      </c>
      <c r="AU323" s="243">
        <f>SUMIFS(Podcasts!$F$1273:'Podcasts'!$F$1283,Podcasts!$D$1273:'Podcasts'!$D$1283,"&gt;0",Podcasts!$E$1273:'Podcasts'!$E$1283,"&gt;"&amp;$C322,Podcasts!$E$1273:'Podcasts'!$E$1283,"&lt;="&amp;$C323)*24*60</f>
        <v>0</v>
      </c>
      <c r="AV323" s="243">
        <f>SUMIFS(Podcasts!$F$1289:'Podcasts'!$F$1295,Podcasts!$D$1289:'Podcasts'!$D$1295,"&gt;0",Podcasts!$E$1289:'Podcasts'!$E$1295,"&gt;"&amp;$C322,Podcasts!$E$1289:'Podcasts'!$E$1295,"&lt;="&amp;$C323)*24*60</f>
        <v>0</v>
      </c>
      <c r="AW323" s="243">
        <f>SUMIFS(Podcasts!$F$1301:'Podcasts'!$F$1356,Podcasts!$D$1301:'Podcasts'!$D$1356,"&gt;0",Podcasts!$E$1301:'Podcasts'!$E$1356,"&gt;"&amp;$C322,Podcasts!$E$1301:'Podcasts'!$E$1356,"&lt;="&amp;$C323)*24*60</f>
        <v>0</v>
      </c>
      <c r="AX323" s="243">
        <f>SUMIFS(Podcasts!$F$1362:'Podcasts'!$F$1364,Podcasts!$D$1362:'Podcasts'!$D$1364,"&gt;0",Podcasts!$E$1362:'Podcasts'!$E$1364,"&gt;"&amp;$C322,Podcasts!$E$1362:'Podcasts'!$E$1364,"&lt;="&amp;$C323)*24*60</f>
        <v>0</v>
      </c>
      <c r="AY323" s="243">
        <f>SUMIFS(Podcasts!$F$1370:'Podcasts'!$F$1419,Podcasts!$D$1370:'Podcasts'!$D$1419,"&gt;0",Podcasts!$E$1370:'Podcasts'!$E$1419,"&gt;"&amp;$C322,Podcasts!$E$1370:'Podcasts'!$E$1419,"&lt;="&amp;$C323)*24*60</f>
        <v>0</v>
      </c>
      <c r="AZ323" s="243">
        <f>SUMIFS(Podcasts!$F$1425:'Podcasts'!$F$1446,Podcasts!$D$1425:'Podcasts'!$D$1446,"&gt;0",Podcasts!$E$1425:'Podcasts'!$E$1446,"&gt;"&amp;$C322,Podcasts!$E$1425:'Podcasts'!$E$1446,"&lt;="&amp;$C323)*24*60</f>
        <v>0</v>
      </c>
      <c r="BA323" s="243">
        <f>SUMIFS(Podcasts!$F$1452:'Podcasts'!$F$1574,Podcasts!$D$1452:'Podcasts'!$D$1574,"&gt;0",Podcasts!$E$1452:'Podcasts'!$E$1574,"&gt;"&amp;$C322,Podcasts!$E$1452:'Podcasts'!$E$1574,"&lt;="&amp;$C323)*24*60</f>
        <v>0</v>
      </c>
      <c r="BB323" s="243">
        <f>SUMIFS(Podcasts!$F$1580:'Podcasts'!$F$1705,Podcasts!$D$1580:'Podcasts'!$D$1705,"&gt;0",Podcasts!$E$1580:'Podcasts'!$E$1705,"&gt;"&amp;$C322,Podcasts!$E$1580:'Podcasts'!$E$1705,"&lt;="&amp;$C323)*24*60</f>
        <v>0</v>
      </c>
      <c r="BC323" s="243">
        <f>SUMIFS(Podcasts!$F$1711:'Podcasts'!$F$1833,Podcasts!$D$1711:'Podcasts'!$D$1833,"&gt;0",Podcasts!$E$1711:'Podcasts'!$E$1833,"&gt;"&amp;$C322,Podcasts!$E$1711:'Podcasts'!$E$1833,"&lt;="&amp;$C323)*24*60</f>
        <v>0</v>
      </c>
      <c r="BD323" s="243">
        <f>SUMIFS(Podcasts!$F$1839:'Podcasts'!$F$1855,Podcasts!$D$1839:'Podcasts'!$D$1855,"&gt;0",Podcasts!$E$1839:'Podcasts'!$E$1855,"&gt;"&amp;$C322,Podcasts!$E$1839:'Podcasts'!$E$1855,"&lt;="&amp;$C323)*24*60</f>
        <v>0</v>
      </c>
      <c r="BE323" s="243">
        <f>SUMIFS(Podcasts!$F$1861:'Podcasts'!$F$1994,Podcasts!$D$1861:'Podcasts'!$D$1994,"&gt;0",Podcasts!$E$1861:'Podcasts'!$E$1994,"&gt;"&amp;$C322,Podcasts!$E$1861:'Podcasts'!$E$1994,"&lt;="&amp;$C323)*24*60</f>
        <v>0</v>
      </c>
      <c r="BF323" s="243">
        <f>SUMIFS(Podcasts!$F$2000:'Podcasts'!$F$2057,Podcasts!$D$2000:'Podcasts'!$D$2057,"&gt;0",Podcasts!$E$2000:'Podcasts'!$E$2057,"&gt;"&amp;$C322,Podcasts!$E$2000:'Podcasts'!$E$2057,"&lt;="&amp;$C323)*24*60</f>
        <v>0</v>
      </c>
      <c r="BG323" s="243">
        <f>SUMIFS(Podcasts!$F$2063:'Podcasts'!$F$2071,Podcasts!$D$2063:'Podcasts'!$D$2071,"&gt;0",Podcasts!$E$2063:'Podcasts'!$E$2071,"&gt;"&amp;$C322,Podcasts!$E$2063:'Podcasts'!$E$2071,"&lt;="&amp;$C323)*24*60</f>
        <v>0</v>
      </c>
      <c r="BH323" s="243">
        <f>SUMIFS(Podcasts!$F$2131:'Podcasts'!$F$2367,Podcasts!$D$2131:'Podcasts'!$D$2367,"&gt;0",Podcasts!$E$2131:'Podcasts'!$E$2367,"&gt;"&amp;$C322,Podcasts!$E$2131:'Podcasts'!$E$2367,"&lt;="&amp;$C323)*24*60</f>
        <v>0</v>
      </c>
    </row>
    <row r="324" spans="1:60" outlineLevel="1">
      <c r="A324" s="163">
        <f t="shared" ref="A324:A367" si="7">SUM(E324:M324,O324:AE324)</f>
        <v>13</v>
      </c>
      <c r="B324" s="164">
        <f>A324-A323</f>
        <v>9</v>
      </c>
      <c r="C324" s="73">
        <v>40999</v>
      </c>
      <c r="D324" s="167" t="str">
        <f>A324&amp;"   (+"&amp;B324&amp;")"</f>
        <v>13   (+9)</v>
      </c>
      <c r="E324" s="470">
        <f>COUNTIFS(Podcasts!$D$10:'Podcasts'!$D$107,"&gt;0",Podcasts!$E$10:'Podcasts'!$E$107,"&lt;="&amp;$C324)</f>
        <v>7</v>
      </c>
      <c r="F324" s="471">
        <f>COUNTIFS(Podcasts!$D$113:'Podcasts'!$D$238,"&gt;0",Podcasts!$E$113:'Podcasts'!$E$238,"&lt;="&amp;$C324)</f>
        <v>3</v>
      </c>
      <c r="G324" s="472">
        <f>COUNTIFS(Podcasts!$D$244:'Podcasts'!$D$299,"&gt;0",Podcasts!$E$244:'Podcasts'!$E$299,"&lt;="&amp;$C324)</f>
        <v>3</v>
      </c>
      <c r="H324" s="471"/>
      <c r="I324" s="471"/>
      <c r="J324" s="472"/>
      <c r="K324" s="473"/>
      <c r="L324" s="471"/>
      <c r="M324" s="471"/>
      <c r="N324" s="473"/>
      <c r="O324" s="471"/>
      <c r="P324" s="471"/>
      <c r="Q324" s="473"/>
      <c r="R324" s="471"/>
      <c r="S324" s="19"/>
      <c r="T324" s="473"/>
      <c r="U324" s="471"/>
      <c r="V324" s="471"/>
      <c r="W324" s="473"/>
      <c r="X324" s="471"/>
      <c r="Y324" s="471"/>
      <c r="Z324" s="473"/>
      <c r="AA324" s="471"/>
      <c r="AB324" s="471"/>
      <c r="AC324" s="473"/>
      <c r="AD324" s="471"/>
      <c r="AE324" s="471"/>
      <c r="AF324" s="473">
        <f>COUNTIFS(Podcasts!$E$2131:'Podcasts'!$E$2367,"&lt;="&amp;$C324)</f>
        <v>13</v>
      </c>
      <c r="AH324" s="243">
        <f t="shared" si="5"/>
        <v>287.5333333333333</v>
      </c>
      <c r="AI324" s="243">
        <f>SUMIFS(Podcasts!$F$10:'Podcasts'!$F$107,Podcasts!$D$10:'Podcasts'!$D$107,"&gt;0",Podcasts!$E$10:'Podcasts'!$E$107,"&gt;"&amp;$C323,Podcasts!$E$10:'Podcasts'!$E$107,"&lt;="&amp;$C324)*24*60</f>
        <v>140.26666666666668</v>
      </c>
      <c r="AJ324" s="243">
        <f>SUMIFS(Podcasts!$F$113:'Podcasts'!$F$238,Podcasts!$D$113:'Podcasts'!$D$238,"&gt;0",Podcasts!$E$113:'Podcasts'!$E$238,"&gt;"&amp;$C323,Podcasts!$E$113:'Podcasts'!$E$238,"&lt;="&amp;$C324)*24*60</f>
        <v>3.1166666666666671</v>
      </c>
      <c r="AK324" s="243">
        <f>SUMIFS(Podcasts!$F$244:'Podcasts'!$F$299,Podcasts!$D$244:'Podcasts'!$D$299,"&gt;0",Podcasts!$E$244:'Podcasts'!$E$299,"&gt;"&amp;$C323,Podcasts!$E$244:'Podcasts'!$E$299,"&lt;="&amp;$C324)*24*60</f>
        <v>144.14999999999998</v>
      </c>
      <c r="AL324" s="243">
        <f>SUMIFS(Podcasts!$F$305:'Podcasts'!$F$473,Podcasts!$D$305:'Podcasts'!$D$473,"&gt;0",Podcasts!$E$305:'Podcasts'!$E$473,"&gt;"&amp;$C323,Podcasts!$E$305:'Podcasts'!$E$473,"&lt;="&amp;$C324)*24*60</f>
        <v>0</v>
      </c>
      <c r="AM324" s="243">
        <f>SUMIFS(Podcasts!$F$479:'Podcasts'!$F$488,Podcasts!$D$479:'Podcasts'!$D$488,"&gt;0",Podcasts!$E$479:'Podcasts'!$E$488,"&gt;"&amp;$C323,Podcasts!$E$479:'Podcasts'!$E$488,"&lt;="&amp;$C324)*24*60</f>
        <v>0</v>
      </c>
      <c r="AN324" s="243">
        <f>SUMIFS(Podcasts!$F$494:'Podcasts'!$F$518,Podcasts!$D$494:'Podcasts'!$D$518,"&gt;0",Podcasts!$E$494:'Podcasts'!$E$518,"&gt;"&amp;$C323,Podcasts!$E$494:'Podcasts'!$E$518,"&lt;="&amp;$C324)*24*60</f>
        <v>0</v>
      </c>
      <c r="AO324" s="243">
        <f>SUMIFS(Podcasts!$F$524:'Podcasts'!$F$532,Podcasts!$D$524:'Podcasts'!$D$532,"&gt;0",Podcasts!$E$524:'Podcasts'!$E$532,"&gt;"&amp;$C323,Podcasts!$E$524:'Podcasts'!$E$532,"&lt;="&amp;$C324)*24*60</f>
        <v>0</v>
      </c>
      <c r="AP324" s="243">
        <f>SUMIFS(Podcasts!$F$538:'Podcasts'!$F$909,Podcasts!$D$538:'Podcasts'!$D$909,"&gt;0",Podcasts!$E$538:'Podcasts'!$E$909,"&gt;"&amp;$C323,Podcasts!$E$538:'Podcasts'!$E$909,"&lt;="&amp;$C324)*24*60</f>
        <v>0</v>
      </c>
      <c r="AQ324" s="243">
        <f>SUMIFS(Podcasts!$F$915:'Podcasts'!$F$981,Podcasts!$D$915:'Podcasts'!$D$981,"&gt;0",Podcasts!$E$915:'Podcasts'!$E$981,"&gt;"&amp;$C323,Podcasts!$E$915:'Podcasts'!$E$981,"&lt;="&amp;$C324)*24*60</f>
        <v>0</v>
      </c>
      <c r="AR324" s="243">
        <f>SUMIFS(Podcasts!$F$987:'Podcasts'!$F$995,Podcasts!$D$987:'Podcasts'!$D$995,"&gt;0",Podcasts!$E$987:'Podcasts'!$E$995,"&gt;"&amp;$C323,Podcasts!$E$987:'Podcasts'!$E$995,"&lt;="&amp;$C324)*24*60</f>
        <v>0</v>
      </c>
      <c r="AS324" s="243">
        <f>SUMIFS(Podcasts!$F$1001:'Podcasts'!$F$1251,Podcasts!$D$1001:'Podcasts'!$D$1251,"&gt;0",Podcasts!$E$1001:'Podcasts'!$E$1251,"&gt;"&amp;$C323,Podcasts!$E$1001:'Podcasts'!$E$1251,"&lt;="&amp;$C324)*24*60</f>
        <v>0</v>
      </c>
      <c r="AT324" s="243">
        <f>SUMIFS(Podcasts!$F$1257:'Podcasts'!$F$1267,Podcasts!$D$1257:'Podcasts'!$D$1267,"&gt;0",Podcasts!$E$1257:'Podcasts'!$E$1267,"&gt;"&amp;$C323,Podcasts!$E$1257:'Podcasts'!$E$1267,"&lt;="&amp;$C324)*24*60</f>
        <v>0</v>
      </c>
      <c r="AU324" s="243">
        <f>SUMIFS(Podcasts!$F$1273:'Podcasts'!$F$1283,Podcasts!$D$1273:'Podcasts'!$D$1283,"&gt;0",Podcasts!$E$1273:'Podcasts'!$E$1283,"&gt;"&amp;$C323,Podcasts!$E$1273:'Podcasts'!$E$1283,"&lt;="&amp;$C324)*24*60</f>
        <v>0</v>
      </c>
      <c r="AV324" s="243">
        <f>SUMIFS(Podcasts!$F$1289:'Podcasts'!$F$1295,Podcasts!$D$1289:'Podcasts'!$D$1295,"&gt;0",Podcasts!$E$1289:'Podcasts'!$E$1295,"&gt;"&amp;$C323,Podcasts!$E$1289:'Podcasts'!$E$1295,"&lt;="&amp;$C324)*24*60</f>
        <v>0</v>
      </c>
      <c r="AW324" s="243">
        <f>SUMIFS(Podcasts!$F$1301:'Podcasts'!$F$1356,Podcasts!$D$1301:'Podcasts'!$D$1356,"&gt;0",Podcasts!$E$1301:'Podcasts'!$E$1356,"&gt;"&amp;$C323,Podcasts!$E$1301:'Podcasts'!$E$1356,"&lt;="&amp;$C324)*24*60</f>
        <v>0</v>
      </c>
      <c r="AX324" s="243">
        <f>SUMIFS(Podcasts!$F$1362:'Podcasts'!$F$1364,Podcasts!$D$1362:'Podcasts'!$D$1364,"&gt;0",Podcasts!$E$1362:'Podcasts'!$E$1364,"&gt;"&amp;$C323,Podcasts!$E$1362:'Podcasts'!$E$1364,"&lt;="&amp;$C324)*24*60</f>
        <v>0</v>
      </c>
      <c r="AY324" s="243">
        <f>SUMIFS(Podcasts!$F$1370:'Podcasts'!$F$1419,Podcasts!$D$1370:'Podcasts'!$D$1419,"&gt;0",Podcasts!$E$1370:'Podcasts'!$E$1419,"&gt;"&amp;$C323,Podcasts!$E$1370:'Podcasts'!$E$1419,"&lt;="&amp;$C324)*24*60</f>
        <v>0</v>
      </c>
      <c r="AZ324" s="243">
        <f>SUMIFS(Podcasts!$F$1425:'Podcasts'!$F$1446,Podcasts!$D$1425:'Podcasts'!$D$1446,"&gt;0",Podcasts!$E$1425:'Podcasts'!$E$1446,"&gt;"&amp;$C323,Podcasts!$E$1425:'Podcasts'!$E$1446,"&lt;="&amp;$C324)*24*60</f>
        <v>0</v>
      </c>
      <c r="BA324" s="243">
        <f>SUMIFS(Podcasts!$F$1452:'Podcasts'!$F$1574,Podcasts!$D$1452:'Podcasts'!$D$1574,"&gt;0",Podcasts!$E$1452:'Podcasts'!$E$1574,"&gt;"&amp;$C323,Podcasts!$E$1452:'Podcasts'!$E$1574,"&lt;="&amp;$C324)*24*60</f>
        <v>0</v>
      </c>
      <c r="BB324" s="243">
        <f>SUMIFS(Podcasts!$F$1580:'Podcasts'!$F$1705,Podcasts!$D$1580:'Podcasts'!$D$1705,"&gt;0",Podcasts!$E$1580:'Podcasts'!$E$1705,"&gt;"&amp;$C323,Podcasts!$E$1580:'Podcasts'!$E$1705,"&lt;="&amp;$C324)*24*60</f>
        <v>0</v>
      </c>
      <c r="BC324" s="243">
        <f>SUMIFS(Podcasts!$F$1711:'Podcasts'!$F$1833,Podcasts!$D$1711:'Podcasts'!$D$1833,"&gt;0",Podcasts!$E$1711:'Podcasts'!$E$1833,"&gt;"&amp;$C323,Podcasts!$E$1711:'Podcasts'!$E$1833,"&lt;="&amp;$C324)*24*60</f>
        <v>0</v>
      </c>
      <c r="BD324" s="243">
        <f>SUMIFS(Podcasts!$F$1839:'Podcasts'!$F$1855,Podcasts!$D$1839:'Podcasts'!$D$1855,"&gt;0",Podcasts!$E$1839:'Podcasts'!$E$1855,"&gt;"&amp;$C323,Podcasts!$E$1839:'Podcasts'!$E$1855,"&lt;="&amp;$C324)*24*60</f>
        <v>0</v>
      </c>
      <c r="BE324" s="243">
        <f>SUMIFS(Podcasts!$F$1861:'Podcasts'!$F$1994,Podcasts!$D$1861:'Podcasts'!$D$1994,"&gt;0",Podcasts!$E$1861:'Podcasts'!$E$1994,"&gt;"&amp;$C323,Podcasts!$E$1861:'Podcasts'!$E$1994,"&lt;="&amp;$C324)*24*60</f>
        <v>0</v>
      </c>
      <c r="BF324" s="243">
        <f>SUMIFS(Podcasts!$F$2000:'Podcasts'!$F$2057,Podcasts!$D$2000:'Podcasts'!$D$2057,"&gt;0",Podcasts!$E$2000:'Podcasts'!$E$2057,"&gt;"&amp;$C323,Podcasts!$E$2000:'Podcasts'!$E$2057,"&lt;="&amp;$C324)*24*60</f>
        <v>0</v>
      </c>
      <c r="BG324" s="243">
        <f>SUMIFS(Podcasts!$F$2063:'Podcasts'!$F$2071,Podcasts!$D$2063:'Podcasts'!$D$2071,"&gt;0",Podcasts!$E$2063:'Podcasts'!$E$2071,"&gt;"&amp;$C323,Podcasts!$E$2063:'Podcasts'!$E$2071,"&lt;="&amp;$C324)*24*60</f>
        <v>0</v>
      </c>
      <c r="BH324" s="243">
        <f>SUMIFS(Podcasts!$F$2131:'Podcasts'!$F$2367,Podcasts!$D$2131:'Podcasts'!$D$2367,"&gt;0",Podcasts!$E$2131:'Podcasts'!$E$2367,"&gt;"&amp;$C323,Podcasts!$E$2131:'Podcasts'!$E$2367,"&lt;="&amp;$C324)*24*60</f>
        <v>0</v>
      </c>
    </row>
    <row r="325" spans="1:60" outlineLevel="1">
      <c r="A325" s="163">
        <f t="shared" si="7"/>
        <v>23</v>
      </c>
      <c r="B325" s="164">
        <f t="shared" ref="B325:B360" si="8">A325-A324</f>
        <v>10</v>
      </c>
      <c r="C325" s="72">
        <v>41090</v>
      </c>
      <c r="D325" s="165" t="str">
        <f>A325&amp;" (+"&amp;B325&amp;")"</f>
        <v>23 (+10)</v>
      </c>
      <c r="E325" s="106">
        <f>COUNTIFS(Podcasts!$D$10:'Podcasts'!$D$107,"&gt;0",Podcasts!$E$10:'Podcasts'!$E$107,"&lt;="&amp;$C325)</f>
        <v>12</v>
      </c>
      <c r="F325" s="467">
        <f>COUNTIFS(Podcasts!$D$113:'Podcasts'!$D$238,"&gt;0",Podcasts!$E$113:'Podcasts'!$E$238,"&lt;="&amp;$C325)</f>
        <v>5</v>
      </c>
      <c r="G325" s="468">
        <f>COUNTIFS(Podcasts!$D$244:'Podcasts'!$D$299,"&gt;0",Podcasts!$E$244:'Podcasts'!$E$299,"&lt;="&amp;$C325)</f>
        <v>6</v>
      </c>
      <c r="H325" s="467"/>
      <c r="I325" s="467"/>
      <c r="J325" s="468"/>
      <c r="K325" s="469"/>
      <c r="L325" s="467"/>
      <c r="M325" s="467"/>
      <c r="N325" s="469"/>
      <c r="O325" s="467"/>
      <c r="P325" s="467"/>
      <c r="Q325" s="469"/>
      <c r="R325" s="467"/>
      <c r="T325" s="469"/>
      <c r="U325" s="467"/>
      <c r="V325" s="467"/>
      <c r="W325" s="469"/>
      <c r="X325" s="467"/>
      <c r="Y325" s="467"/>
      <c r="Z325" s="469"/>
      <c r="AA325" s="467"/>
      <c r="AC325" s="425"/>
      <c r="AF325" s="469">
        <f>COUNTIFS(Podcasts!$E$2131:'Podcasts'!$E$2367,"&lt;="&amp;$C325)</f>
        <v>14</v>
      </c>
      <c r="AH325" s="243">
        <f t="shared" si="5"/>
        <v>422.73333333333335</v>
      </c>
      <c r="AI325" s="243">
        <f>SUMIFS(Podcasts!$F$10:'Podcasts'!$F$107,Podcasts!$D$10:'Podcasts'!$D$107,"&gt;0",Podcasts!$E$10:'Podcasts'!$E$107,"&gt;"&amp;$C324,Podcasts!$E$10:'Podcasts'!$E$107,"&lt;="&amp;$C325)*24*60</f>
        <v>299.09999999999997</v>
      </c>
      <c r="AJ325" s="243">
        <f>SUMIFS(Podcasts!$F$113:'Podcasts'!$F$238,Podcasts!$D$113:'Podcasts'!$D$238,"&gt;0",Podcasts!$E$113:'Podcasts'!$E$238,"&gt;"&amp;$C324,Podcasts!$E$113:'Podcasts'!$E$238,"&lt;="&amp;$C325)*24*60</f>
        <v>4.666666666666667</v>
      </c>
      <c r="AK325" s="243">
        <f>SUMIFS(Podcasts!$F$244:'Podcasts'!$F$299,Podcasts!$D$244:'Podcasts'!$D$299,"&gt;0",Podcasts!$E$244:'Podcasts'!$E$299,"&gt;"&amp;$C324,Podcasts!$E$244:'Podcasts'!$E$299,"&lt;="&amp;$C325)*24*60</f>
        <v>118.96666666666667</v>
      </c>
      <c r="AL325" s="243">
        <f>SUMIFS(Podcasts!$F$305:'Podcasts'!$F$473,Podcasts!$D$305:'Podcasts'!$D$473,"&gt;0",Podcasts!$E$305:'Podcasts'!$E$473,"&gt;"&amp;$C324,Podcasts!$E$305:'Podcasts'!$E$473,"&lt;="&amp;$C325)*24*60</f>
        <v>0</v>
      </c>
      <c r="AM325" s="243">
        <f>SUMIFS(Podcasts!$F$479:'Podcasts'!$F$488,Podcasts!$D$479:'Podcasts'!$D$488,"&gt;0",Podcasts!$E$479:'Podcasts'!$E$488,"&gt;"&amp;$C324,Podcasts!$E$479:'Podcasts'!$E$488,"&lt;="&amp;$C325)*24*60</f>
        <v>0</v>
      </c>
      <c r="AN325" s="243">
        <f>SUMIFS(Podcasts!$F$494:'Podcasts'!$F$518,Podcasts!$D$494:'Podcasts'!$D$518,"&gt;0",Podcasts!$E$494:'Podcasts'!$E$518,"&gt;"&amp;$C324,Podcasts!$E$494:'Podcasts'!$E$518,"&lt;="&amp;$C325)*24*60</f>
        <v>0</v>
      </c>
      <c r="AO325" s="243">
        <f>SUMIFS(Podcasts!$F$524:'Podcasts'!$F$532,Podcasts!$D$524:'Podcasts'!$D$532,"&gt;0",Podcasts!$E$524:'Podcasts'!$E$532,"&gt;"&amp;$C324,Podcasts!$E$524:'Podcasts'!$E$532,"&lt;="&amp;$C325)*24*60</f>
        <v>0</v>
      </c>
      <c r="AP325" s="243">
        <f>SUMIFS(Podcasts!$F$538:'Podcasts'!$F$909,Podcasts!$D$538:'Podcasts'!$D$909,"&gt;0",Podcasts!$E$538:'Podcasts'!$E$909,"&gt;"&amp;$C324,Podcasts!$E$538:'Podcasts'!$E$909,"&lt;="&amp;$C325)*24*60</f>
        <v>0</v>
      </c>
      <c r="AQ325" s="243">
        <f>SUMIFS(Podcasts!$F$915:'Podcasts'!$F$981,Podcasts!$D$915:'Podcasts'!$D$981,"&gt;0",Podcasts!$E$915:'Podcasts'!$E$981,"&gt;"&amp;$C324,Podcasts!$E$915:'Podcasts'!$E$981,"&lt;="&amp;$C325)*24*60</f>
        <v>0</v>
      </c>
      <c r="AR325" s="243">
        <f>SUMIFS(Podcasts!$F$987:'Podcasts'!$F$995,Podcasts!$D$987:'Podcasts'!$D$995,"&gt;0",Podcasts!$E$987:'Podcasts'!$E$995,"&gt;"&amp;$C324,Podcasts!$E$987:'Podcasts'!$E$995,"&lt;="&amp;$C325)*24*60</f>
        <v>0</v>
      </c>
      <c r="AS325" s="243">
        <f>SUMIFS(Podcasts!$F$1001:'Podcasts'!$F$1251,Podcasts!$D$1001:'Podcasts'!$D$1251,"&gt;0",Podcasts!$E$1001:'Podcasts'!$E$1251,"&gt;"&amp;$C324,Podcasts!$E$1001:'Podcasts'!$E$1251,"&lt;="&amp;$C325)*24*60</f>
        <v>0</v>
      </c>
      <c r="AT325" s="243">
        <f>SUMIFS(Podcasts!$F$1257:'Podcasts'!$F$1267,Podcasts!$D$1257:'Podcasts'!$D$1267,"&gt;0",Podcasts!$E$1257:'Podcasts'!$E$1267,"&gt;"&amp;$C324,Podcasts!$E$1257:'Podcasts'!$E$1267,"&lt;="&amp;$C325)*24*60</f>
        <v>0</v>
      </c>
      <c r="AU325" s="243">
        <f>SUMIFS(Podcasts!$F$1273:'Podcasts'!$F$1283,Podcasts!$D$1273:'Podcasts'!$D$1283,"&gt;0",Podcasts!$E$1273:'Podcasts'!$E$1283,"&gt;"&amp;$C324,Podcasts!$E$1273:'Podcasts'!$E$1283,"&lt;="&amp;$C325)*24*60</f>
        <v>0</v>
      </c>
      <c r="AV325" s="243">
        <f>SUMIFS(Podcasts!$F$1289:'Podcasts'!$F$1295,Podcasts!$D$1289:'Podcasts'!$D$1295,"&gt;0",Podcasts!$E$1289:'Podcasts'!$E$1295,"&gt;"&amp;$C324,Podcasts!$E$1289:'Podcasts'!$E$1295,"&lt;="&amp;$C325)*24*60</f>
        <v>0</v>
      </c>
      <c r="AW325" s="243">
        <f>SUMIFS(Podcasts!$F$1301:'Podcasts'!$F$1356,Podcasts!$D$1301:'Podcasts'!$D$1356,"&gt;0",Podcasts!$E$1301:'Podcasts'!$E$1356,"&gt;"&amp;$C324,Podcasts!$E$1301:'Podcasts'!$E$1356,"&lt;="&amp;$C325)*24*60</f>
        <v>0</v>
      </c>
      <c r="AX325" s="243">
        <f>SUMIFS(Podcasts!$F$1362:'Podcasts'!$F$1364,Podcasts!$D$1362:'Podcasts'!$D$1364,"&gt;0",Podcasts!$E$1362:'Podcasts'!$E$1364,"&gt;"&amp;$C324,Podcasts!$E$1362:'Podcasts'!$E$1364,"&lt;="&amp;$C325)*24*60</f>
        <v>0</v>
      </c>
      <c r="AY325" s="243">
        <f>SUMIFS(Podcasts!$F$1370:'Podcasts'!$F$1419,Podcasts!$D$1370:'Podcasts'!$D$1419,"&gt;0",Podcasts!$E$1370:'Podcasts'!$E$1419,"&gt;"&amp;$C324,Podcasts!$E$1370:'Podcasts'!$E$1419,"&lt;="&amp;$C325)*24*60</f>
        <v>0</v>
      </c>
      <c r="AZ325" s="243">
        <f>SUMIFS(Podcasts!$F$1425:'Podcasts'!$F$1446,Podcasts!$D$1425:'Podcasts'!$D$1446,"&gt;0",Podcasts!$E$1425:'Podcasts'!$E$1446,"&gt;"&amp;$C324,Podcasts!$E$1425:'Podcasts'!$E$1446,"&lt;="&amp;$C325)*24*60</f>
        <v>0</v>
      </c>
      <c r="BA325" s="243">
        <f>SUMIFS(Podcasts!$F$1452:'Podcasts'!$F$1574,Podcasts!$D$1452:'Podcasts'!$D$1574,"&gt;0",Podcasts!$E$1452:'Podcasts'!$E$1574,"&gt;"&amp;$C324,Podcasts!$E$1452:'Podcasts'!$E$1574,"&lt;="&amp;$C325)*24*60</f>
        <v>0</v>
      </c>
      <c r="BB325" s="243">
        <f>SUMIFS(Podcasts!$F$1580:'Podcasts'!$F$1705,Podcasts!$D$1580:'Podcasts'!$D$1705,"&gt;0",Podcasts!$E$1580:'Podcasts'!$E$1705,"&gt;"&amp;$C324,Podcasts!$E$1580:'Podcasts'!$E$1705,"&lt;="&amp;$C325)*24*60</f>
        <v>0</v>
      </c>
      <c r="BC325" s="243">
        <f>SUMIFS(Podcasts!$F$1711:'Podcasts'!$F$1833,Podcasts!$D$1711:'Podcasts'!$D$1833,"&gt;0",Podcasts!$E$1711:'Podcasts'!$E$1833,"&gt;"&amp;$C324,Podcasts!$E$1711:'Podcasts'!$E$1833,"&lt;="&amp;$C325)*24*60</f>
        <v>0</v>
      </c>
      <c r="BD325" s="243">
        <f>SUMIFS(Podcasts!$F$1839:'Podcasts'!$F$1855,Podcasts!$D$1839:'Podcasts'!$D$1855,"&gt;0",Podcasts!$E$1839:'Podcasts'!$E$1855,"&gt;"&amp;$C324,Podcasts!$E$1839:'Podcasts'!$E$1855,"&lt;="&amp;$C325)*24*60</f>
        <v>0</v>
      </c>
      <c r="BE325" s="243">
        <f>SUMIFS(Podcasts!$F$1861:'Podcasts'!$F$1994,Podcasts!$D$1861:'Podcasts'!$D$1994,"&gt;0",Podcasts!$E$1861:'Podcasts'!$E$1994,"&gt;"&amp;$C324,Podcasts!$E$1861:'Podcasts'!$E$1994,"&lt;="&amp;$C325)*24*60</f>
        <v>0</v>
      </c>
      <c r="BF325" s="243">
        <f>SUMIFS(Podcasts!$F$2000:'Podcasts'!$F$2057,Podcasts!$D$2000:'Podcasts'!$D$2057,"&gt;0",Podcasts!$E$2000:'Podcasts'!$E$2057,"&gt;"&amp;$C324,Podcasts!$E$2000:'Podcasts'!$E$2057,"&lt;="&amp;$C325)*24*60</f>
        <v>0</v>
      </c>
      <c r="BG325" s="243">
        <f>SUMIFS(Podcasts!$F$2063:'Podcasts'!$F$2071,Podcasts!$D$2063:'Podcasts'!$D$2071,"&gt;0",Podcasts!$E$2063:'Podcasts'!$E$2071,"&gt;"&amp;$C324,Podcasts!$E$2063:'Podcasts'!$E$2071,"&lt;="&amp;$C325)*24*60</f>
        <v>0</v>
      </c>
      <c r="BH325" s="243">
        <f>SUMIFS(Podcasts!$F$2131:'Podcasts'!$F$2367,Podcasts!$D$2131:'Podcasts'!$D$2367,"&gt;0",Podcasts!$E$2131:'Podcasts'!$E$2367,"&gt;"&amp;$C324,Podcasts!$E$2131:'Podcasts'!$E$2367,"&lt;="&amp;$C325)*24*60</f>
        <v>0</v>
      </c>
    </row>
    <row r="326" spans="1:60" outlineLevel="1">
      <c r="A326" s="163">
        <f t="shared" si="7"/>
        <v>29</v>
      </c>
      <c r="B326" s="164">
        <f t="shared" si="8"/>
        <v>6</v>
      </c>
      <c r="C326" s="72">
        <v>41182</v>
      </c>
      <c r="D326" s="165" t="str">
        <f t="shared" ref="D326:D332" si="9">A326&amp;"   (+"&amp;B326&amp;")"</f>
        <v>29   (+6)</v>
      </c>
      <c r="E326" s="106">
        <f>COUNTIFS(Podcasts!$D$10:'Podcasts'!$D$107,"&gt;0",Podcasts!$E$10:'Podcasts'!$E$107,"&lt;="&amp;$C326)</f>
        <v>13</v>
      </c>
      <c r="F326" s="467">
        <f>COUNTIFS(Podcasts!$D$113:'Podcasts'!$D$238,"&gt;0",Podcasts!$E$113:'Podcasts'!$E$238,"&lt;="&amp;$C326)</f>
        <v>7</v>
      </c>
      <c r="G326" s="468">
        <f>COUNTIFS(Podcasts!$D$244:'Podcasts'!$D$299,"&gt;0",Podcasts!$E$244:'Podcasts'!$E$299,"&lt;="&amp;$C326)</f>
        <v>9</v>
      </c>
      <c r="H326" s="467"/>
      <c r="I326" s="467"/>
      <c r="J326" s="468"/>
      <c r="K326" s="469"/>
      <c r="L326" s="467"/>
      <c r="M326" s="467"/>
      <c r="N326" s="469"/>
      <c r="O326" s="467"/>
      <c r="P326" s="467"/>
      <c r="Q326" s="469"/>
      <c r="R326" s="467"/>
      <c r="T326" s="469"/>
      <c r="U326" s="467"/>
      <c r="V326" s="467"/>
      <c r="W326" s="469"/>
      <c r="X326" s="467"/>
      <c r="Y326" s="467"/>
      <c r="Z326" s="469"/>
      <c r="AA326" s="467"/>
      <c r="AC326" s="425"/>
      <c r="AF326" s="469">
        <f>COUNTIFS(Podcasts!$E$2131:'Podcasts'!$E$2367,"&lt;="&amp;$C326)</f>
        <v>14</v>
      </c>
      <c r="AH326" s="243">
        <f t="shared" si="5"/>
        <v>172.11666666666667</v>
      </c>
      <c r="AI326" s="243">
        <f>SUMIFS(Podcasts!$F$10:'Podcasts'!$F$107,Podcasts!$D$10:'Podcasts'!$D$107,"&gt;0",Podcasts!$E$10:'Podcasts'!$E$107,"&gt;"&amp;$C325,Podcasts!$E$10:'Podcasts'!$E$107,"&lt;="&amp;$C326)*24*60</f>
        <v>60</v>
      </c>
      <c r="AJ326" s="243">
        <f>SUMIFS(Podcasts!$F$113:'Podcasts'!$F$238,Podcasts!$D$113:'Podcasts'!$D$238,"&gt;0",Podcasts!$E$113:'Podcasts'!$E$238,"&gt;"&amp;$C325,Podcasts!$E$113:'Podcasts'!$E$238,"&lt;="&amp;$C326)*24*60</f>
        <v>2.4166666666666665</v>
      </c>
      <c r="AK326" s="243">
        <f>SUMIFS(Podcasts!$F$244:'Podcasts'!$F$299,Podcasts!$D$244:'Podcasts'!$D$299,"&gt;0",Podcasts!$E$244:'Podcasts'!$E$299,"&gt;"&amp;$C325,Podcasts!$E$244:'Podcasts'!$E$299,"&lt;="&amp;$C326)*24*60</f>
        <v>109.7</v>
      </c>
      <c r="AL326" s="243">
        <f>SUMIFS(Podcasts!$F$305:'Podcasts'!$F$473,Podcasts!$D$305:'Podcasts'!$D$473,"&gt;0",Podcasts!$E$305:'Podcasts'!$E$473,"&gt;"&amp;$C325,Podcasts!$E$305:'Podcasts'!$E$473,"&lt;="&amp;$C326)*24*60</f>
        <v>0</v>
      </c>
      <c r="AM326" s="243">
        <f>SUMIFS(Podcasts!$F$479:'Podcasts'!$F$488,Podcasts!$D$479:'Podcasts'!$D$488,"&gt;0",Podcasts!$E$479:'Podcasts'!$E$488,"&gt;"&amp;$C325,Podcasts!$E$479:'Podcasts'!$E$488,"&lt;="&amp;$C326)*24*60</f>
        <v>0</v>
      </c>
      <c r="AN326" s="243">
        <f>SUMIFS(Podcasts!$F$494:'Podcasts'!$F$518,Podcasts!$D$494:'Podcasts'!$D$518,"&gt;0",Podcasts!$E$494:'Podcasts'!$E$518,"&gt;"&amp;$C325,Podcasts!$E$494:'Podcasts'!$E$518,"&lt;="&amp;$C326)*24*60</f>
        <v>0</v>
      </c>
      <c r="AO326" s="243">
        <f>SUMIFS(Podcasts!$F$524:'Podcasts'!$F$532,Podcasts!$D$524:'Podcasts'!$D$532,"&gt;0",Podcasts!$E$524:'Podcasts'!$E$532,"&gt;"&amp;$C325,Podcasts!$E$524:'Podcasts'!$E$532,"&lt;="&amp;$C326)*24*60</f>
        <v>0</v>
      </c>
      <c r="AP326" s="243">
        <f>SUMIFS(Podcasts!$F$538:'Podcasts'!$F$909,Podcasts!$D$538:'Podcasts'!$D$909,"&gt;0",Podcasts!$E$538:'Podcasts'!$E$909,"&gt;"&amp;$C325,Podcasts!$E$538:'Podcasts'!$E$909,"&lt;="&amp;$C326)*24*60</f>
        <v>0</v>
      </c>
      <c r="AQ326" s="243">
        <f>SUMIFS(Podcasts!$F$915:'Podcasts'!$F$981,Podcasts!$D$915:'Podcasts'!$D$981,"&gt;0",Podcasts!$E$915:'Podcasts'!$E$981,"&gt;"&amp;$C325,Podcasts!$E$915:'Podcasts'!$E$981,"&lt;="&amp;$C326)*24*60</f>
        <v>0</v>
      </c>
      <c r="AR326" s="243">
        <f>SUMIFS(Podcasts!$F$987:'Podcasts'!$F$995,Podcasts!$D$987:'Podcasts'!$D$995,"&gt;0",Podcasts!$E$987:'Podcasts'!$E$995,"&gt;"&amp;$C325,Podcasts!$E$987:'Podcasts'!$E$995,"&lt;="&amp;$C326)*24*60</f>
        <v>0</v>
      </c>
      <c r="AS326" s="243">
        <f>SUMIFS(Podcasts!$F$1001:'Podcasts'!$F$1251,Podcasts!$D$1001:'Podcasts'!$D$1251,"&gt;0",Podcasts!$E$1001:'Podcasts'!$E$1251,"&gt;"&amp;$C325,Podcasts!$E$1001:'Podcasts'!$E$1251,"&lt;="&amp;$C326)*24*60</f>
        <v>0</v>
      </c>
      <c r="AT326" s="243">
        <f>SUMIFS(Podcasts!$F$1257:'Podcasts'!$F$1267,Podcasts!$D$1257:'Podcasts'!$D$1267,"&gt;0",Podcasts!$E$1257:'Podcasts'!$E$1267,"&gt;"&amp;$C325,Podcasts!$E$1257:'Podcasts'!$E$1267,"&lt;="&amp;$C326)*24*60</f>
        <v>0</v>
      </c>
      <c r="AU326" s="243">
        <f>SUMIFS(Podcasts!$F$1273:'Podcasts'!$F$1283,Podcasts!$D$1273:'Podcasts'!$D$1283,"&gt;0",Podcasts!$E$1273:'Podcasts'!$E$1283,"&gt;"&amp;$C325,Podcasts!$E$1273:'Podcasts'!$E$1283,"&lt;="&amp;$C326)*24*60</f>
        <v>0</v>
      </c>
      <c r="AV326" s="243">
        <f>SUMIFS(Podcasts!$F$1289:'Podcasts'!$F$1295,Podcasts!$D$1289:'Podcasts'!$D$1295,"&gt;0",Podcasts!$E$1289:'Podcasts'!$E$1295,"&gt;"&amp;$C325,Podcasts!$E$1289:'Podcasts'!$E$1295,"&lt;="&amp;$C326)*24*60</f>
        <v>0</v>
      </c>
      <c r="AW326" s="243">
        <f>SUMIFS(Podcasts!$F$1301:'Podcasts'!$F$1356,Podcasts!$D$1301:'Podcasts'!$D$1356,"&gt;0",Podcasts!$E$1301:'Podcasts'!$E$1356,"&gt;"&amp;$C325,Podcasts!$E$1301:'Podcasts'!$E$1356,"&lt;="&amp;$C326)*24*60</f>
        <v>0</v>
      </c>
      <c r="AX326" s="243">
        <f>SUMIFS(Podcasts!$F$1362:'Podcasts'!$F$1364,Podcasts!$D$1362:'Podcasts'!$D$1364,"&gt;0",Podcasts!$E$1362:'Podcasts'!$E$1364,"&gt;"&amp;$C325,Podcasts!$E$1362:'Podcasts'!$E$1364,"&lt;="&amp;$C326)*24*60</f>
        <v>0</v>
      </c>
      <c r="AY326" s="243">
        <f>SUMIFS(Podcasts!$F$1370:'Podcasts'!$F$1419,Podcasts!$D$1370:'Podcasts'!$D$1419,"&gt;0",Podcasts!$E$1370:'Podcasts'!$E$1419,"&gt;"&amp;$C325,Podcasts!$E$1370:'Podcasts'!$E$1419,"&lt;="&amp;$C326)*24*60</f>
        <v>0</v>
      </c>
      <c r="AZ326" s="243">
        <f>SUMIFS(Podcasts!$F$1425:'Podcasts'!$F$1446,Podcasts!$D$1425:'Podcasts'!$D$1446,"&gt;0",Podcasts!$E$1425:'Podcasts'!$E$1446,"&gt;"&amp;$C325,Podcasts!$E$1425:'Podcasts'!$E$1446,"&lt;="&amp;$C326)*24*60</f>
        <v>0</v>
      </c>
      <c r="BA326" s="243">
        <f>SUMIFS(Podcasts!$F$1452:'Podcasts'!$F$1574,Podcasts!$D$1452:'Podcasts'!$D$1574,"&gt;0",Podcasts!$E$1452:'Podcasts'!$E$1574,"&gt;"&amp;$C325,Podcasts!$E$1452:'Podcasts'!$E$1574,"&lt;="&amp;$C326)*24*60</f>
        <v>0</v>
      </c>
      <c r="BB326" s="243">
        <f>SUMIFS(Podcasts!$F$1580:'Podcasts'!$F$1705,Podcasts!$D$1580:'Podcasts'!$D$1705,"&gt;0",Podcasts!$E$1580:'Podcasts'!$E$1705,"&gt;"&amp;$C325,Podcasts!$E$1580:'Podcasts'!$E$1705,"&lt;="&amp;$C326)*24*60</f>
        <v>0</v>
      </c>
      <c r="BC326" s="243">
        <f>SUMIFS(Podcasts!$F$1711:'Podcasts'!$F$1833,Podcasts!$D$1711:'Podcasts'!$D$1833,"&gt;0",Podcasts!$E$1711:'Podcasts'!$E$1833,"&gt;"&amp;$C325,Podcasts!$E$1711:'Podcasts'!$E$1833,"&lt;="&amp;$C326)*24*60</f>
        <v>0</v>
      </c>
      <c r="BD326" s="243">
        <f>SUMIFS(Podcasts!$F$1839:'Podcasts'!$F$1855,Podcasts!$D$1839:'Podcasts'!$D$1855,"&gt;0",Podcasts!$E$1839:'Podcasts'!$E$1855,"&gt;"&amp;$C325,Podcasts!$E$1839:'Podcasts'!$E$1855,"&lt;="&amp;$C326)*24*60</f>
        <v>0</v>
      </c>
      <c r="BE326" s="243">
        <f>SUMIFS(Podcasts!$F$1861:'Podcasts'!$F$1994,Podcasts!$D$1861:'Podcasts'!$D$1994,"&gt;0",Podcasts!$E$1861:'Podcasts'!$E$1994,"&gt;"&amp;$C325,Podcasts!$E$1861:'Podcasts'!$E$1994,"&lt;="&amp;$C326)*24*60</f>
        <v>0</v>
      </c>
      <c r="BF326" s="243">
        <f>SUMIFS(Podcasts!$F$2000:'Podcasts'!$F$2057,Podcasts!$D$2000:'Podcasts'!$D$2057,"&gt;0",Podcasts!$E$2000:'Podcasts'!$E$2057,"&gt;"&amp;$C325,Podcasts!$E$2000:'Podcasts'!$E$2057,"&lt;="&amp;$C326)*24*60</f>
        <v>0</v>
      </c>
      <c r="BG326" s="243">
        <f>SUMIFS(Podcasts!$F$2063:'Podcasts'!$F$2071,Podcasts!$D$2063:'Podcasts'!$D$2071,"&gt;0",Podcasts!$E$2063:'Podcasts'!$E$2071,"&gt;"&amp;$C325,Podcasts!$E$2063:'Podcasts'!$E$2071,"&lt;="&amp;$C326)*24*60</f>
        <v>0</v>
      </c>
      <c r="BH326" s="243">
        <f>SUMIFS(Podcasts!$F$2131:'Podcasts'!$F$2367,Podcasts!$D$2131:'Podcasts'!$D$2367,"&gt;0",Podcasts!$E$2131:'Podcasts'!$E$2367,"&gt;"&amp;$C325,Podcasts!$E$2131:'Podcasts'!$E$2367,"&lt;="&amp;$C326)*24*60</f>
        <v>0</v>
      </c>
    </row>
    <row r="327" spans="1:60" outlineLevel="1">
      <c r="A327" s="163">
        <f t="shared" si="7"/>
        <v>36</v>
      </c>
      <c r="B327" s="164">
        <f t="shared" si="8"/>
        <v>7</v>
      </c>
      <c r="C327" s="72">
        <v>41274</v>
      </c>
      <c r="D327" s="166" t="str">
        <f t="shared" si="9"/>
        <v>36   (+7)</v>
      </c>
      <c r="E327" s="106">
        <f>COUNTIFS(Podcasts!$D$10:'Podcasts'!$D$107,"&gt;0",Podcasts!$E$10:'Podcasts'!$E$107,"&lt;="&amp;$C327)</f>
        <v>14</v>
      </c>
      <c r="F327" s="467">
        <f>COUNTIFS(Podcasts!$D$113:'Podcasts'!$D$238,"&gt;0",Podcasts!$E$113:'Podcasts'!$E$238,"&lt;="&amp;$C327)</f>
        <v>8</v>
      </c>
      <c r="G327" s="468">
        <f>COUNTIFS(Podcasts!$D$244:'Podcasts'!$D$299,"&gt;0",Podcasts!$E$244:'Podcasts'!$E$299,"&lt;="&amp;$C327)</f>
        <v>14</v>
      </c>
      <c r="H327" s="467"/>
      <c r="I327" s="467"/>
      <c r="J327" s="468"/>
      <c r="K327" s="469"/>
      <c r="L327" s="467"/>
      <c r="M327" s="467"/>
      <c r="N327" s="469"/>
      <c r="O327" s="467"/>
      <c r="P327" s="467"/>
      <c r="Q327" s="469"/>
      <c r="R327" s="467"/>
      <c r="T327" s="469"/>
      <c r="U327" s="467"/>
      <c r="V327" s="467"/>
      <c r="W327" s="469"/>
      <c r="X327" s="474"/>
      <c r="Y327" s="474"/>
      <c r="Z327" s="475"/>
      <c r="AA327" s="467"/>
      <c r="AC327" s="475"/>
      <c r="AF327" s="475">
        <f>COUNTIFS(Podcasts!$E$2131:'Podcasts'!$E$2367,"&lt;="&amp;$C327)</f>
        <v>14</v>
      </c>
      <c r="AH327" s="243">
        <f t="shared" si="5"/>
        <v>198.33333333333331</v>
      </c>
      <c r="AI327" s="243">
        <f>SUMIFS(Podcasts!$F$10:'Podcasts'!$F$107,Podcasts!$D$10:'Podcasts'!$D$107,"&gt;0",Podcasts!$E$10:'Podcasts'!$E$107,"&gt;"&amp;$C326,Podcasts!$E$10:'Podcasts'!$E$107,"&lt;="&amp;$C327)*24*60</f>
        <v>63</v>
      </c>
      <c r="AJ327" s="243">
        <f>SUMIFS(Podcasts!$F$113:'Podcasts'!$F$238,Podcasts!$D$113:'Podcasts'!$D$238,"&gt;0",Podcasts!$E$113:'Podcasts'!$E$238,"&gt;"&amp;$C326,Podcasts!$E$113:'Podcasts'!$E$238,"&lt;="&amp;$C327)*24*60</f>
        <v>4.1333333333333337</v>
      </c>
      <c r="AK327" s="243">
        <f>SUMIFS(Podcasts!$F$244:'Podcasts'!$F$299,Podcasts!$D$244:'Podcasts'!$D$299,"&gt;0",Podcasts!$E$244:'Podcasts'!$E$299,"&gt;"&amp;$C326,Podcasts!$E$244:'Podcasts'!$E$299,"&lt;="&amp;$C327)*24*60</f>
        <v>131.19999999999999</v>
      </c>
      <c r="AL327" s="243">
        <f>SUMIFS(Podcasts!$F$305:'Podcasts'!$F$473,Podcasts!$D$305:'Podcasts'!$D$473,"&gt;0",Podcasts!$E$305:'Podcasts'!$E$473,"&gt;"&amp;$C326,Podcasts!$E$305:'Podcasts'!$E$473,"&lt;="&amp;$C327)*24*60</f>
        <v>0</v>
      </c>
      <c r="AM327" s="243">
        <f>SUMIFS(Podcasts!$F$479:'Podcasts'!$F$488,Podcasts!$D$479:'Podcasts'!$D$488,"&gt;0",Podcasts!$E$479:'Podcasts'!$E$488,"&gt;"&amp;$C326,Podcasts!$E$479:'Podcasts'!$E$488,"&lt;="&amp;$C327)*24*60</f>
        <v>0</v>
      </c>
      <c r="AN327" s="243">
        <f>SUMIFS(Podcasts!$F$494:'Podcasts'!$F$518,Podcasts!$D$494:'Podcasts'!$D$518,"&gt;0",Podcasts!$E$494:'Podcasts'!$E$518,"&gt;"&amp;$C326,Podcasts!$E$494:'Podcasts'!$E$518,"&lt;="&amp;$C327)*24*60</f>
        <v>0</v>
      </c>
      <c r="AO327" s="243">
        <f>SUMIFS(Podcasts!$F$524:'Podcasts'!$F$532,Podcasts!$D$524:'Podcasts'!$D$532,"&gt;0",Podcasts!$E$524:'Podcasts'!$E$532,"&gt;"&amp;$C326,Podcasts!$E$524:'Podcasts'!$E$532,"&lt;="&amp;$C327)*24*60</f>
        <v>0</v>
      </c>
      <c r="AP327" s="243">
        <f>SUMIFS(Podcasts!$F$538:'Podcasts'!$F$909,Podcasts!$D$538:'Podcasts'!$D$909,"&gt;0",Podcasts!$E$538:'Podcasts'!$E$909,"&gt;"&amp;$C326,Podcasts!$E$538:'Podcasts'!$E$909,"&lt;="&amp;$C327)*24*60</f>
        <v>0</v>
      </c>
      <c r="AQ327" s="243">
        <f>SUMIFS(Podcasts!$F$915:'Podcasts'!$F$981,Podcasts!$D$915:'Podcasts'!$D$981,"&gt;0",Podcasts!$E$915:'Podcasts'!$E$981,"&gt;"&amp;$C326,Podcasts!$E$915:'Podcasts'!$E$981,"&lt;="&amp;$C327)*24*60</f>
        <v>0</v>
      </c>
      <c r="AR327" s="243">
        <f>SUMIFS(Podcasts!$F$987:'Podcasts'!$F$995,Podcasts!$D$987:'Podcasts'!$D$995,"&gt;0",Podcasts!$E$987:'Podcasts'!$E$995,"&gt;"&amp;$C326,Podcasts!$E$987:'Podcasts'!$E$995,"&lt;="&amp;$C327)*24*60</f>
        <v>0</v>
      </c>
      <c r="AS327" s="243">
        <f>SUMIFS(Podcasts!$F$1001:'Podcasts'!$F$1251,Podcasts!$D$1001:'Podcasts'!$D$1251,"&gt;0",Podcasts!$E$1001:'Podcasts'!$E$1251,"&gt;"&amp;$C326,Podcasts!$E$1001:'Podcasts'!$E$1251,"&lt;="&amp;$C327)*24*60</f>
        <v>0</v>
      </c>
      <c r="AT327" s="243">
        <f>SUMIFS(Podcasts!$F$1257:'Podcasts'!$F$1267,Podcasts!$D$1257:'Podcasts'!$D$1267,"&gt;0",Podcasts!$E$1257:'Podcasts'!$E$1267,"&gt;"&amp;$C326,Podcasts!$E$1257:'Podcasts'!$E$1267,"&lt;="&amp;$C327)*24*60</f>
        <v>0</v>
      </c>
      <c r="AU327" s="243">
        <f>SUMIFS(Podcasts!$F$1273:'Podcasts'!$F$1283,Podcasts!$D$1273:'Podcasts'!$D$1283,"&gt;0",Podcasts!$E$1273:'Podcasts'!$E$1283,"&gt;"&amp;$C326,Podcasts!$E$1273:'Podcasts'!$E$1283,"&lt;="&amp;$C327)*24*60</f>
        <v>0</v>
      </c>
      <c r="AV327" s="243">
        <f>SUMIFS(Podcasts!$F$1289:'Podcasts'!$F$1295,Podcasts!$D$1289:'Podcasts'!$D$1295,"&gt;0",Podcasts!$E$1289:'Podcasts'!$E$1295,"&gt;"&amp;$C326,Podcasts!$E$1289:'Podcasts'!$E$1295,"&lt;="&amp;$C327)*24*60</f>
        <v>0</v>
      </c>
      <c r="AW327" s="243">
        <f>SUMIFS(Podcasts!$F$1301:'Podcasts'!$F$1356,Podcasts!$D$1301:'Podcasts'!$D$1356,"&gt;0",Podcasts!$E$1301:'Podcasts'!$E$1356,"&gt;"&amp;$C326,Podcasts!$E$1301:'Podcasts'!$E$1356,"&lt;="&amp;$C327)*24*60</f>
        <v>0</v>
      </c>
      <c r="AX327" s="243">
        <f>SUMIFS(Podcasts!$F$1362:'Podcasts'!$F$1364,Podcasts!$D$1362:'Podcasts'!$D$1364,"&gt;0",Podcasts!$E$1362:'Podcasts'!$E$1364,"&gt;"&amp;$C326,Podcasts!$E$1362:'Podcasts'!$E$1364,"&lt;="&amp;$C327)*24*60</f>
        <v>0</v>
      </c>
      <c r="AY327" s="243">
        <f>SUMIFS(Podcasts!$F$1370:'Podcasts'!$F$1419,Podcasts!$D$1370:'Podcasts'!$D$1419,"&gt;0",Podcasts!$E$1370:'Podcasts'!$E$1419,"&gt;"&amp;$C326,Podcasts!$E$1370:'Podcasts'!$E$1419,"&lt;="&amp;$C327)*24*60</f>
        <v>0</v>
      </c>
      <c r="AZ327" s="243">
        <f>SUMIFS(Podcasts!$F$1425:'Podcasts'!$F$1446,Podcasts!$D$1425:'Podcasts'!$D$1446,"&gt;0",Podcasts!$E$1425:'Podcasts'!$E$1446,"&gt;"&amp;$C326,Podcasts!$E$1425:'Podcasts'!$E$1446,"&lt;="&amp;$C327)*24*60</f>
        <v>0</v>
      </c>
      <c r="BA327" s="243">
        <f>SUMIFS(Podcasts!$F$1452:'Podcasts'!$F$1574,Podcasts!$D$1452:'Podcasts'!$D$1574,"&gt;0",Podcasts!$E$1452:'Podcasts'!$E$1574,"&gt;"&amp;$C326,Podcasts!$E$1452:'Podcasts'!$E$1574,"&lt;="&amp;$C327)*24*60</f>
        <v>0</v>
      </c>
      <c r="BB327" s="243">
        <f>SUMIFS(Podcasts!$F$1580:'Podcasts'!$F$1705,Podcasts!$D$1580:'Podcasts'!$D$1705,"&gt;0",Podcasts!$E$1580:'Podcasts'!$E$1705,"&gt;"&amp;$C326,Podcasts!$E$1580:'Podcasts'!$E$1705,"&lt;="&amp;$C327)*24*60</f>
        <v>0</v>
      </c>
      <c r="BC327" s="243">
        <f>SUMIFS(Podcasts!$F$1711:'Podcasts'!$F$1833,Podcasts!$D$1711:'Podcasts'!$D$1833,"&gt;0",Podcasts!$E$1711:'Podcasts'!$E$1833,"&gt;"&amp;$C326,Podcasts!$E$1711:'Podcasts'!$E$1833,"&lt;="&amp;$C327)*24*60</f>
        <v>0</v>
      </c>
      <c r="BD327" s="243">
        <f>SUMIFS(Podcasts!$F$1839:'Podcasts'!$F$1855,Podcasts!$D$1839:'Podcasts'!$D$1855,"&gt;0",Podcasts!$E$1839:'Podcasts'!$E$1855,"&gt;"&amp;$C326,Podcasts!$E$1839:'Podcasts'!$E$1855,"&lt;="&amp;$C327)*24*60</f>
        <v>0</v>
      </c>
      <c r="BE327" s="243">
        <f>SUMIFS(Podcasts!$F$1861:'Podcasts'!$F$1994,Podcasts!$D$1861:'Podcasts'!$D$1994,"&gt;0",Podcasts!$E$1861:'Podcasts'!$E$1994,"&gt;"&amp;$C326,Podcasts!$E$1861:'Podcasts'!$E$1994,"&lt;="&amp;$C327)*24*60</f>
        <v>0</v>
      </c>
      <c r="BF327" s="243">
        <f>SUMIFS(Podcasts!$F$2000:'Podcasts'!$F$2057,Podcasts!$D$2000:'Podcasts'!$D$2057,"&gt;0",Podcasts!$E$2000:'Podcasts'!$E$2057,"&gt;"&amp;$C326,Podcasts!$E$2000:'Podcasts'!$E$2057,"&lt;="&amp;$C327)*24*60</f>
        <v>0</v>
      </c>
      <c r="BG327" s="243">
        <f>SUMIFS(Podcasts!$F$2063:'Podcasts'!$F$2071,Podcasts!$D$2063:'Podcasts'!$D$2071,"&gt;0",Podcasts!$E$2063:'Podcasts'!$E$2071,"&gt;"&amp;$C326,Podcasts!$E$2063:'Podcasts'!$E$2071,"&lt;="&amp;$C327)*24*60</f>
        <v>0</v>
      </c>
      <c r="BH327" s="243">
        <f>SUMIFS(Podcasts!$F$2131:'Podcasts'!$F$2367,Podcasts!$D$2131:'Podcasts'!$D$2367,"&gt;0",Podcasts!$E$2131:'Podcasts'!$E$2367,"&gt;"&amp;$C326,Podcasts!$E$2131:'Podcasts'!$E$2367,"&lt;="&amp;$C327)*24*60</f>
        <v>0</v>
      </c>
    </row>
    <row r="328" spans="1:60" outlineLevel="1">
      <c r="A328" s="163">
        <f t="shared" si="7"/>
        <v>40</v>
      </c>
      <c r="B328" s="164">
        <f t="shared" si="8"/>
        <v>4</v>
      </c>
      <c r="C328" s="73">
        <v>41364</v>
      </c>
      <c r="D328" s="167" t="str">
        <f t="shared" si="9"/>
        <v>40   (+4)</v>
      </c>
      <c r="E328" s="470">
        <f>COUNTIFS(Podcasts!$D$10:'Podcasts'!$D$107,"&gt;0",Podcasts!$E$10:'Podcasts'!$E$107,"&lt;="&amp;$C328)</f>
        <v>16</v>
      </c>
      <c r="F328" s="471">
        <f>COUNTIFS(Podcasts!$D$113:'Podcasts'!$D$238,"&gt;0",Podcasts!$E$113:'Podcasts'!$E$238,"&lt;="&amp;$C328)</f>
        <v>10</v>
      </c>
      <c r="G328" s="472">
        <f>COUNTIFS(Podcasts!$D$244:'Podcasts'!$D$299,"&gt;0",Podcasts!$E$244:'Podcasts'!$E$299,"&lt;="&amp;$C328)</f>
        <v>14</v>
      </c>
      <c r="H328" s="471"/>
      <c r="I328" s="471"/>
      <c r="J328" s="472"/>
      <c r="K328" s="473"/>
      <c r="L328" s="471"/>
      <c r="M328" s="471"/>
      <c r="N328" s="473"/>
      <c r="O328" s="471"/>
      <c r="P328" s="471"/>
      <c r="Q328" s="473"/>
      <c r="R328" s="471"/>
      <c r="S328" s="19"/>
      <c r="T328" s="473"/>
      <c r="U328" s="471"/>
      <c r="V328" s="471"/>
      <c r="W328" s="473"/>
      <c r="X328" s="467"/>
      <c r="Y328" s="467"/>
      <c r="Z328" s="469"/>
      <c r="AA328" s="471"/>
      <c r="AB328" s="471"/>
      <c r="AC328" s="473"/>
      <c r="AD328" s="471"/>
      <c r="AE328" s="471"/>
      <c r="AF328" s="469">
        <f>COUNTIFS(Podcasts!$E$2131:'Podcasts'!$E$2367,"&lt;="&amp;$C328)</f>
        <v>14</v>
      </c>
      <c r="AH328" s="243">
        <f t="shared" si="5"/>
        <v>115.44999999999999</v>
      </c>
      <c r="AI328" s="243">
        <f>SUMIFS(Podcasts!$F$10:'Podcasts'!$F$107,Podcasts!$D$10:'Podcasts'!$D$107,"&gt;0",Podcasts!$E$10:'Podcasts'!$E$107,"&gt;"&amp;$C327,Podcasts!$E$10:'Podcasts'!$E$107,"&lt;="&amp;$C328)*24*60</f>
        <v>109.71666666666665</v>
      </c>
      <c r="AJ328" s="243">
        <f>SUMIFS(Podcasts!$F$113:'Podcasts'!$F$238,Podcasts!$D$113:'Podcasts'!$D$238,"&gt;0",Podcasts!$E$113:'Podcasts'!$E$238,"&gt;"&amp;$C327,Podcasts!$E$113:'Podcasts'!$E$238,"&lt;="&amp;$C328)*24*60</f>
        <v>5.7333333333333334</v>
      </c>
      <c r="AK328" s="243">
        <f>SUMIFS(Podcasts!$F$244:'Podcasts'!$F$299,Podcasts!$D$244:'Podcasts'!$D$299,"&gt;0",Podcasts!$E$244:'Podcasts'!$E$299,"&gt;"&amp;$C327,Podcasts!$E$244:'Podcasts'!$E$299,"&lt;="&amp;$C328)*24*60</f>
        <v>0</v>
      </c>
      <c r="AL328" s="243">
        <f>SUMIFS(Podcasts!$F$305:'Podcasts'!$F$473,Podcasts!$D$305:'Podcasts'!$D$473,"&gt;0",Podcasts!$E$305:'Podcasts'!$E$473,"&gt;"&amp;$C327,Podcasts!$E$305:'Podcasts'!$E$473,"&lt;="&amp;$C328)*24*60</f>
        <v>0</v>
      </c>
      <c r="AM328" s="243">
        <f>SUMIFS(Podcasts!$F$479:'Podcasts'!$F$488,Podcasts!$D$479:'Podcasts'!$D$488,"&gt;0",Podcasts!$E$479:'Podcasts'!$E$488,"&gt;"&amp;$C327,Podcasts!$E$479:'Podcasts'!$E$488,"&lt;="&amp;$C328)*24*60</f>
        <v>0</v>
      </c>
      <c r="AN328" s="243">
        <f>SUMIFS(Podcasts!$F$494:'Podcasts'!$F$518,Podcasts!$D$494:'Podcasts'!$D$518,"&gt;0",Podcasts!$E$494:'Podcasts'!$E$518,"&gt;"&amp;$C327,Podcasts!$E$494:'Podcasts'!$E$518,"&lt;="&amp;$C328)*24*60</f>
        <v>0</v>
      </c>
      <c r="AO328" s="243">
        <f>SUMIFS(Podcasts!$F$524:'Podcasts'!$F$532,Podcasts!$D$524:'Podcasts'!$D$532,"&gt;0",Podcasts!$E$524:'Podcasts'!$E$532,"&gt;"&amp;$C327,Podcasts!$E$524:'Podcasts'!$E$532,"&lt;="&amp;$C328)*24*60</f>
        <v>0</v>
      </c>
      <c r="AP328" s="243">
        <f>SUMIFS(Podcasts!$F$538:'Podcasts'!$F$909,Podcasts!$D$538:'Podcasts'!$D$909,"&gt;0",Podcasts!$E$538:'Podcasts'!$E$909,"&gt;"&amp;$C327,Podcasts!$E$538:'Podcasts'!$E$909,"&lt;="&amp;$C328)*24*60</f>
        <v>0</v>
      </c>
      <c r="AQ328" s="243">
        <f>SUMIFS(Podcasts!$F$915:'Podcasts'!$F$981,Podcasts!$D$915:'Podcasts'!$D$981,"&gt;0",Podcasts!$E$915:'Podcasts'!$E$981,"&gt;"&amp;$C327,Podcasts!$E$915:'Podcasts'!$E$981,"&lt;="&amp;$C328)*24*60</f>
        <v>0</v>
      </c>
      <c r="AR328" s="243">
        <f>SUMIFS(Podcasts!$F$987:'Podcasts'!$F$995,Podcasts!$D$987:'Podcasts'!$D$995,"&gt;0",Podcasts!$E$987:'Podcasts'!$E$995,"&gt;"&amp;$C327,Podcasts!$E$987:'Podcasts'!$E$995,"&lt;="&amp;$C328)*24*60</f>
        <v>0</v>
      </c>
      <c r="AS328" s="243">
        <f>SUMIFS(Podcasts!$F$1001:'Podcasts'!$F$1251,Podcasts!$D$1001:'Podcasts'!$D$1251,"&gt;0",Podcasts!$E$1001:'Podcasts'!$E$1251,"&gt;"&amp;$C327,Podcasts!$E$1001:'Podcasts'!$E$1251,"&lt;="&amp;$C328)*24*60</f>
        <v>0</v>
      </c>
      <c r="AT328" s="243">
        <f>SUMIFS(Podcasts!$F$1257:'Podcasts'!$F$1267,Podcasts!$D$1257:'Podcasts'!$D$1267,"&gt;0",Podcasts!$E$1257:'Podcasts'!$E$1267,"&gt;"&amp;$C327,Podcasts!$E$1257:'Podcasts'!$E$1267,"&lt;="&amp;$C328)*24*60</f>
        <v>0</v>
      </c>
      <c r="AU328" s="243">
        <f>SUMIFS(Podcasts!$F$1273:'Podcasts'!$F$1283,Podcasts!$D$1273:'Podcasts'!$D$1283,"&gt;0",Podcasts!$E$1273:'Podcasts'!$E$1283,"&gt;"&amp;$C327,Podcasts!$E$1273:'Podcasts'!$E$1283,"&lt;="&amp;$C328)*24*60</f>
        <v>0</v>
      </c>
      <c r="AV328" s="243">
        <f>SUMIFS(Podcasts!$F$1289:'Podcasts'!$F$1295,Podcasts!$D$1289:'Podcasts'!$D$1295,"&gt;0",Podcasts!$E$1289:'Podcasts'!$E$1295,"&gt;"&amp;$C327,Podcasts!$E$1289:'Podcasts'!$E$1295,"&lt;="&amp;$C328)*24*60</f>
        <v>0</v>
      </c>
      <c r="AW328" s="243">
        <f>SUMIFS(Podcasts!$F$1301:'Podcasts'!$F$1356,Podcasts!$D$1301:'Podcasts'!$D$1356,"&gt;0",Podcasts!$E$1301:'Podcasts'!$E$1356,"&gt;"&amp;$C327,Podcasts!$E$1301:'Podcasts'!$E$1356,"&lt;="&amp;$C328)*24*60</f>
        <v>0</v>
      </c>
      <c r="AX328" s="243">
        <f>SUMIFS(Podcasts!$F$1362:'Podcasts'!$F$1364,Podcasts!$D$1362:'Podcasts'!$D$1364,"&gt;0",Podcasts!$E$1362:'Podcasts'!$E$1364,"&gt;"&amp;$C327,Podcasts!$E$1362:'Podcasts'!$E$1364,"&lt;="&amp;$C328)*24*60</f>
        <v>0</v>
      </c>
      <c r="AY328" s="243">
        <f>SUMIFS(Podcasts!$F$1370:'Podcasts'!$F$1419,Podcasts!$D$1370:'Podcasts'!$D$1419,"&gt;0",Podcasts!$E$1370:'Podcasts'!$E$1419,"&gt;"&amp;$C327,Podcasts!$E$1370:'Podcasts'!$E$1419,"&lt;="&amp;$C328)*24*60</f>
        <v>0</v>
      </c>
      <c r="AZ328" s="243">
        <f>SUMIFS(Podcasts!$F$1425:'Podcasts'!$F$1446,Podcasts!$D$1425:'Podcasts'!$D$1446,"&gt;0",Podcasts!$E$1425:'Podcasts'!$E$1446,"&gt;"&amp;$C327,Podcasts!$E$1425:'Podcasts'!$E$1446,"&lt;="&amp;$C328)*24*60</f>
        <v>0</v>
      </c>
      <c r="BA328" s="243">
        <f>SUMIFS(Podcasts!$F$1452:'Podcasts'!$F$1574,Podcasts!$D$1452:'Podcasts'!$D$1574,"&gt;0",Podcasts!$E$1452:'Podcasts'!$E$1574,"&gt;"&amp;$C327,Podcasts!$E$1452:'Podcasts'!$E$1574,"&lt;="&amp;$C328)*24*60</f>
        <v>0</v>
      </c>
      <c r="BB328" s="243">
        <f>SUMIFS(Podcasts!$F$1580:'Podcasts'!$F$1705,Podcasts!$D$1580:'Podcasts'!$D$1705,"&gt;0",Podcasts!$E$1580:'Podcasts'!$E$1705,"&gt;"&amp;$C327,Podcasts!$E$1580:'Podcasts'!$E$1705,"&lt;="&amp;$C328)*24*60</f>
        <v>0</v>
      </c>
      <c r="BC328" s="243">
        <f>SUMIFS(Podcasts!$F$1711:'Podcasts'!$F$1833,Podcasts!$D$1711:'Podcasts'!$D$1833,"&gt;0",Podcasts!$E$1711:'Podcasts'!$E$1833,"&gt;"&amp;$C327,Podcasts!$E$1711:'Podcasts'!$E$1833,"&lt;="&amp;$C328)*24*60</f>
        <v>0</v>
      </c>
      <c r="BD328" s="243">
        <f>SUMIFS(Podcasts!$F$1839:'Podcasts'!$F$1855,Podcasts!$D$1839:'Podcasts'!$D$1855,"&gt;0",Podcasts!$E$1839:'Podcasts'!$E$1855,"&gt;"&amp;$C327,Podcasts!$E$1839:'Podcasts'!$E$1855,"&lt;="&amp;$C328)*24*60</f>
        <v>0</v>
      </c>
      <c r="BE328" s="243">
        <f>SUMIFS(Podcasts!$F$1861:'Podcasts'!$F$1994,Podcasts!$D$1861:'Podcasts'!$D$1994,"&gt;0",Podcasts!$E$1861:'Podcasts'!$E$1994,"&gt;"&amp;$C327,Podcasts!$E$1861:'Podcasts'!$E$1994,"&lt;="&amp;$C328)*24*60</f>
        <v>0</v>
      </c>
      <c r="BF328" s="243">
        <f>SUMIFS(Podcasts!$F$2000:'Podcasts'!$F$2057,Podcasts!$D$2000:'Podcasts'!$D$2057,"&gt;0",Podcasts!$E$2000:'Podcasts'!$E$2057,"&gt;"&amp;$C327,Podcasts!$E$2000:'Podcasts'!$E$2057,"&lt;="&amp;$C328)*24*60</f>
        <v>0</v>
      </c>
      <c r="BG328" s="243">
        <f>SUMIFS(Podcasts!$F$2063:'Podcasts'!$F$2071,Podcasts!$D$2063:'Podcasts'!$D$2071,"&gt;0",Podcasts!$E$2063:'Podcasts'!$E$2071,"&gt;"&amp;$C327,Podcasts!$E$2063:'Podcasts'!$E$2071,"&lt;="&amp;$C328)*24*60</f>
        <v>0</v>
      </c>
      <c r="BH328" s="243">
        <f>SUMIFS(Podcasts!$F$2131:'Podcasts'!$F$2367,Podcasts!$D$2131:'Podcasts'!$D$2367,"&gt;0",Podcasts!$E$2131:'Podcasts'!$E$2367,"&gt;"&amp;$C327,Podcasts!$E$2131:'Podcasts'!$E$2367,"&lt;="&amp;$C328)*24*60</f>
        <v>0</v>
      </c>
    </row>
    <row r="329" spans="1:60" outlineLevel="1">
      <c r="A329" s="163">
        <f t="shared" si="7"/>
        <v>43</v>
      </c>
      <c r="B329" s="164">
        <f t="shared" si="8"/>
        <v>3</v>
      </c>
      <c r="C329" s="72">
        <v>41455</v>
      </c>
      <c r="D329" s="165" t="str">
        <f t="shared" si="9"/>
        <v>43   (+3)</v>
      </c>
      <c r="E329" s="106">
        <f>COUNTIFS(Podcasts!$D$10:'Podcasts'!$D$107,"&gt;0",Podcasts!$E$10:'Podcasts'!$E$107,"&lt;="&amp;$C329)</f>
        <v>18</v>
      </c>
      <c r="F329" s="467">
        <f>COUNTIFS(Podcasts!$D$113:'Podcasts'!$D$238,"&gt;0",Podcasts!$E$113:'Podcasts'!$E$238,"&lt;="&amp;$C329)</f>
        <v>11</v>
      </c>
      <c r="G329" s="468">
        <f>COUNTIFS(Podcasts!$D$244:'Podcasts'!$D$299,"&gt;0",Podcasts!$E$244:'Podcasts'!$E$299,"&lt;="&amp;$C329)</f>
        <v>14</v>
      </c>
      <c r="H329" s="467"/>
      <c r="I329" s="467"/>
      <c r="J329" s="468"/>
      <c r="K329" s="469"/>
      <c r="L329" s="467"/>
      <c r="M329" s="467"/>
      <c r="N329" s="469"/>
      <c r="O329" s="467"/>
      <c r="P329" s="467"/>
      <c r="Q329" s="469"/>
      <c r="R329" s="467"/>
      <c r="T329" s="469"/>
      <c r="U329" s="467"/>
      <c r="V329" s="467"/>
      <c r="W329" s="469"/>
      <c r="X329" s="467"/>
      <c r="Y329" s="467"/>
      <c r="Z329" s="469"/>
      <c r="AA329" s="467"/>
      <c r="AC329" s="425"/>
      <c r="AF329" s="469">
        <f>COUNTIFS(Podcasts!$E$2131:'Podcasts'!$E$2367,"&lt;="&amp;$C329)</f>
        <v>15</v>
      </c>
      <c r="AH329" s="243">
        <f t="shared" si="5"/>
        <v>119.51666666666667</v>
      </c>
      <c r="AI329" s="243">
        <f>SUMIFS(Podcasts!$F$10:'Podcasts'!$F$107,Podcasts!$D$10:'Podcasts'!$D$107,"&gt;0",Podcasts!$E$10:'Podcasts'!$E$107,"&gt;"&amp;$C328,Podcasts!$E$10:'Podcasts'!$E$107,"&lt;="&amp;$C329)*24*60</f>
        <v>118.21666666666667</v>
      </c>
      <c r="AJ329" s="243">
        <f>SUMIFS(Podcasts!$F$113:'Podcasts'!$F$238,Podcasts!$D$113:'Podcasts'!$D$238,"&gt;0",Podcasts!$E$113:'Podcasts'!$E$238,"&gt;"&amp;$C328,Podcasts!$E$113:'Podcasts'!$E$238,"&lt;="&amp;$C329)*24*60</f>
        <v>1.3</v>
      </c>
      <c r="AK329" s="243">
        <f>SUMIFS(Podcasts!$F$244:'Podcasts'!$F$299,Podcasts!$D$244:'Podcasts'!$D$299,"&gt;0",Podcasts!$E$244:'Podcasts'!$E$299,"&gt;"&amp;$C328,Podcasts!$E$244:'Podcasts'!$E$299,"&lt;="&amp;$C329)*24*60</f>
        <v>0</v>
      </c>
      <c r="AL329" s="243">
        <f>SUMIFS(Podcasts!$F$305:'Podcasts'!$F$473,Podcasts!$D$305:'Podcasts'!$D$473,"&gt;0",Podcasts!$E$305:'Podcasts'!$E$473,"&gt;"&amp;$C328,Podcasts!$E$305:'Podcasts'!$E$473,"&lt;="&amp;$C329)*24*60</f>
        <v>0</v>
      </c>
      <c r="AM329" s="243">
        <f>SUMIFS(Podcasts!$F$479:'Podcasts'!$F$488,Podcasts!$D$479:'Podcasts'!$D$488,"&gt;0",Podcasts!$E$479:'Podcasts'!$E$488,"&gt;"&amp;$C328,Podcasts!$E$479:'Podcasts'!$E$488,"&lt;="&amp;$C329)*24*60</f>
        <v>0</v>
      </c>
      <c r="AN329" s="243">
        <f>SUMIFS(Podcasts!$F$494:'Podcasts'!$F$518,Podcasts!$D$494:'Podcasts'!$D$518,"&gt;0",Podcasts!$E$494:'Podcasts'!$E$518,"&gt;"&amp;$C328,Podcasts!$E$494:'Podcasts'!$E$518,"&lt;="&amp;$C329)*24*60</f>
        <v>0</v>
      </c>
      <c r="AO329" s="243">
        <f>SUMIFS(Podcasts!$F$524:'Podcasts'!$F$532,Podcasts!$D$524:'Podcasts'!$D$532,"&gt;0",Podcasts!$E$524:'Podcasts'!$E$532,"&gt;"&amp;$C328,Podcasts!$E$524:'Podcasts'!$E$532,"&lt;="&amp;$C329)*24*60</f>
        <v>0</v>
      </c>
      <c r="AP329" s="243">
        <f>SUMIFS(Podcasts!$F$538:'Podcasts'!$F$909,Podcasts!$D$538:'Podcasts'!$D$909,"&gt;0",Podcasts!$E$538:'Podcasts'!$E$909,"&gt;"&amp;$C328,Podcasts!$E$538:'Podcasts'!$E$909,"&lt;="&amp;$C329)*24*60</f>
        <v>0</v>
      </c>
      <c r="AQ329" s="243">
        <f>SUMIFS(Podcasts!$F$915:'Podcasts'!$F$981,Podcasts!$D$915:'Podcasts'!$D$981,"&gt;0",Podcasts!$E$915:'Podcasts'!$E$981,"&gt;"&amp;$C328,Podcasts!$E$915:'Podcasts'!$E$981,"&lt;="&amp;$C329)*24*60</f>
        <v>0</v>
      </c>
      <c r="AR329" s="243">
        <f>SUMIFS(Podcasts!$F$987:'Podcasts'!$F$995,Podcasts!$D$987:'Podcasts'!$D$995,"&gt;0",Podcasts!$E$987:'Podcasts'!$E$995,"&gt;"&amp;$C328,Podcasts!$E$987:'Podcasts'!$E$995,"&lt;="&amp;$C329)*24*60</f>
        <v>0</v>
      </c>
      <c r="AS329" s="243">
        <f>SUMIFS(Podcasts!$F$1001:'Podcasts'!$F$1251,Podcasts!$D$1001:'Podcasts'!$D$1251,"&gt;0",Podcasts!$E$1001:'Podcasts'!$E$1251,"&gt;"&amp;$C328,Podcasts!$E$1001:'Podcasts'!$E$1251,"&lt;="&amp;$C329)*24*60</f>
        <v>0</v>
      </c>
      <c r="AT329" s="243">
        <f>SUMIFS(Podcasts!$F$1257:'Podcasts'!$F$1267,Podcasts!$D$1257:'Podcasts'!$D$1267,"&gt;0",Podcasts!$E$1257:'Podcasts'!$E$1267,"&gt;"&amp;$C328,Podcasts!$E$1257:'Podcasts'!$E$1267,"&lt;="&amp;$C329)*24*60</f>
        <v>0</v>
      </c>
      <c r="AU329" s="243">
        <f>SUMIFS(Podcasts!$F$1273:'Podcasts'!$F$1283,Podcasts!$D$1273:'Podcasts'!$D$1283,"&gt;0",Podcasts!$E$1273:'Podcasts'!$E$1283,"&gt;"&amp;$C328,Podcasts!$E$1273:'Podcasts'!$E$1283,"&lt;="&amp;$C329)*24*60</f>
        <v>0</v>
      </c>
      <c r="AV329" s="243">
        <f>SUMIFS(Podcasts!$F$1289:'Podcasts'!$F$1295,Podcasts!$D$1289:'Podcasts'!$D$1295,"&gt;0",Podcasts!$E$1289:'Podcasts'!$E$1295,"&gt;"&amp;$C328,Podcasts!$E$1289:'Podcasts'!$E$1295,"&lt;="&amp;$C329)*24*60</f>
        <v>0</v>
      </c>
      <c r="AW329" s="243">
        <f>SUMIFS(Podcasts!$F$1301:'Podcasts'!$F$1356,Podcasts!$D$1301:'Podcasts'!$D$1356,"&gt;0",Podcasts!$E$1301:'Podcasts'!$E$1356,"&gt;"&amp;$C328,Podcasts!$E$1301:'Podcasts'!$E$1356,"&lt;="&amp;$C329)*24*60</f>
        <v>0</v>
      </c>
      <c r="AX329" s="243">
        <f>SUMIFS(Podcasts!$F$1362:'Podcasts'!$F$1364,Podcasts!$D$1362:'Podcasts'!$D$1364,"&gt;0",Podcasts!$E$1362:'Podcasts'!$E$1364,"&gt;"&amp;$C328,Podcasts!$E$1362:'Podcasts'!$E$1364,"&lt;="&amp;$C329)*24*60</f>
        <v>0</v>
      </c>
      <c r="AY329" s="243">
        <f>SUMIFS(Podcasts!$F$1370:'Podcasts'!$F$1419,Podcasts!$D$1370:'Podcasts'!$D$1419,"&gt;0",Podcasts!$E$1370:'Podcasts'!$E$1419,"&gt;"&amp;$C328,Podcasts!$E$1370:'Podcasts'!$E$1419,"&lt;="&amp;$C329)*24*60</f>
        <v>0</v>
      </c>
      <c r="AZ329" s="243">
        <f>SUMIFS(Podcasts!$F$1425:'Podcasts'!$F$1446,Podcasts!$D$1425:'Podcasts'!$D$1446,"&gt;0",Podcasts!$E$1425:'Podcasts'!$E$1446,"&gt;"&amp;$C328,Podcasts!$E$1425:'Podcasts'!$E$1446,"&lt;="&amp;$C329)*24*60</f>
        <v>0</v>
      </c>
      <c r="BA329" s="243">
        <f>SUMIFS(Podcasts!$F$1452:'Podcasts'!$F$1574,Podcasts!$D$1452:'Podcasts'!$D$1574,"&gt;0",Podcasts!$E$1452:'Podcasts'!$E$1574,"&gt;"&amp;$C328,Podcasts!$E$1452:'Podcasts'!$E$1574,"&lt;="&amp;$C329)*24*60</f>
        <v>0</v>
      </c>
      <c r="BB329" s="243">
        <f>SUMIFS(Podcasts!$F$1580:'Podcasts'!$F$1705,Podcasts!$D$1580:'Podcasts'!$D$1705,"&gt;0",Podcasts!$E$1580:'Podcasts'!$E$1705,"&gt;"&amp;$C328,Podcasts!$E$1580:'Podcasts'!$E$1705,"&lt;="&amp;$C329)*24*60</f>
        <v>0</v>
      </c>
      <c r="BC329" s="243">
        <f>SUMIFS(Podcasts!$F$1711:'Podcasts'!$F$1833,Podcasts!$D$1711:'Podcasts'!$D$1833,"&gt;0",Podcasts!$E$1711:'Podcasts'!$E$1833,"&gt;"&amp;$C328,Podcasts!$E$1711:'Podcasts'!$E$1833,"&lt;="&amp;$C329)*24*60</f>
        <v>0</v>
      </c>
      <c r="BD329" s="243">
        <f>SUMIFS(Podcasts!$F$1839:'Podcasts'!$F$1855,Podcasts!$D$1839:'Podcasts'!$D$1855,"&gt;0",Podcasts!$E$1839:'Podcasts'!$E$1855,"&gt;"&amp;$C328,Podcasts!$E$1839:'Podcasts'!$E$1855,"&lt;="&amp;$C329)*24*60</f>
        <v>0</v>
      </c>
      <c r="BE329" s="243">
        <f>SUMIFS(Podcasts!$F$1861:'Podcasts'!$F$1994,Podcasts!$D$1861:'Podcasts'!$D$1994,"&gt;0",Podcasts!$E$1861:'Podcasts'!$E$1994,"&gt;"&amp;$C328,Podcasts!$E$1861:'Podcasts'!$E$1994,"&lt;="&amp;$C329)*24*60</f>
        <v>0</v>
      </c>
      <c r="BF329" s="243">
        <f>SUMIFS(Podcasts!$F$2000:'Podcasts'!$F$2057,Podcasts!$D$2000:'Podcasts'!$D$2057,"&gt;0",Podcasts!$E$2000:'Podcasts'!$E$2057,"&gt;"&amp;$C328,Podcasts!$E$2000:'Podcasts'!$E$2057,"&lt;="&amp;$C329)*24*60</f>
        <v>0</v>
      </c>
      <c r="BG329" s="243">
        <f>SUMIFS(Podcasts!$F$2063:'Podcasts'!$F$2071,Podcasts!$D$2063:'Podcasts'!$D$2071,"&gt;0",Podcasts!$E$2063:'Podcasts'!$E$2071,"&gt;"&amp;$C328,Podcasts!$E$2063:'Podcasts'!$E$2071,"&lt;="&amp;$C329)*24*60</f>
        <v>0</v>
      </c>
      <c r="BH329" s="243">
        <f>SUMIFS(Podcasts!$F$2131:'Podcasts'!$F$2367,Podcasts!$D$2131:'Podcasts'!$D$2367,"&gt;0",Podcasts!$E$2131:'Podcasts'!$E$2367,"&gt;"&amp;$C328,Podcasts!$E$2131:'Podcasts'!$E$2367,"&lt;="&amp;$C329)*24*60</f>
        <v>0</v>
      </c>
    </row>
    <row r="330" spans="1:60" outlineLevel="1">
      <c r="A330" s="163">
        <f t="shared" si="7"/>
        <v>50</v>
      </c>
      <c r="B330" s="164">
        <f t="shared" si="8"/>
        <v>7</v>
      </c>
      <c r="C330" s="72">
        <v>41547</v>
      </c>
      <c r="D330" s="165" t="str">
        <f t="shared" si="9"/>
        <v>50   (+7)</v>
      </c>
      <c r="E330" s="106">
        <f>COUNTIFS(Podcasts!$D$10:'Podcasts'!$D$107,"&gt;0",Podcasts!$E$10:'Podcasts'!$E$107,"&lt;="&amp;$C330)</f>
        <v>22</v>
      </c>
      <c r="F330" s="467">
        <f>COUNTIFS(Podcasts!$D$113:'Podcasts'!$D$238,"&gt;0",Podcasts!$E$113:'Podcasts'!$E$238,"&lt;="&amp;$C330)</f>
        <v>13</v>
      </c>
      <c r="G330" s="468">
        <f>COUNTIFS(Podcasts!$D$244:'Podcasts'!$D$299,"&gt;0",Podcasts!$E$244:'Podcasts'!$E$299,"&lt;="&amp;$C330)</f>
        <v>15</v>
      </c>
      <c r="H330" s="467"/>
      <c r="I330" s="467"/>
      <c r="J330" s="468"/>
      <c r="K330" s="469"/>
      <c r="L330" s="467"/>
      <c r="M330" s="467"/>
      <c r="N330" s="469"/>
      <c r="O330" s="467"/>
      <c r="P330" s="467"/>
      <c r="Q330" s="469"/>
      <c r="R330" s="467"/>
      <c r="T330" s="469"/>
      <c r="U330" s="467"/>
      <c r="V330" s="467"/>
      <c r="W330" s="469"/>
      <c r="X330" s="467"/>
      <c r="Y330" s="467"/>
      <c r="Z330" s="469"/>
      <c r="AA330" s="467"/>
      <c r="AC330" s="425"/>
      <c r="AF330" s="469">
        <f>COUNTIFS(Podcasts!$E$2131:'Podcasts'!$E$2367,"&lt;="&amp;$C330)</f>
        <v>15</v>
      </c>
      <c r="AH330" s="243">
        <f t="shared" si="5"/>
        <v>276.10000000000002</v>
      </c>
      <c r="AI330" s="243">
        <f>SUMIFS(Podcasts!$F$10:'Podcasts'!$F$107,Podcasts!$D$10:'Podcasts'!$D$107,"&gt;0",Podcasts!$E$10:'Podcasts'!$E$107,"&gt;"&amp;$C329,Podcasts!$E$10:'Podcasts'!$E$107,"&lt;="&amp;$C330)*24*60</f>
        <v>247.00000000000003</v>
      </c>
      <c r="AJ330" s="243">
        <f>SUMIFS(Podcasts!$F$113:'Podcasts'!$F$238,Podcasts!$D$113:'Podcasts'!$D$238,"&gt;0",Podcasts!$E$113:'Podcasts'!$E$238,"&gt;"&amp;$C329,Podcasts!$E$113:'Podcasts'!$E$238,"&lt;="&amp;$C330)*24*60</f>
        <v>5.2666666666666657</v>
      </c>
      <c r="AK330" s="243">
        <f>SUMIFS(Podcasts!$F$244:'Podcasts'!$F$299,Podcasts!$D$244:'Podcasts'!$D$299,"&gt;0",Podcasts!$E$244:'Podcasts'!$E$299,"&gt;"&amp;$C329,Podcasts!$E$244:'Podcasts'!$E$299,"&lt;="&amp;$C330)*24*60</f>
        <v>23.833333333333329</v>
      </c>
      <c r="AL330" s="243">
        <f>SUMIFS(Podcasts!$F$305:'Podcasts'!$F$473,Podcasts!$D$305:'Podcasts'!$D$473,"&gt;0",Podcasts!$E$305:'Podcasts'!$E$473,"&gt;"&amp;$C329,Podcasts!$E$305:'Podcasts'!$E$473,"&lt;="&amp;$C330)*24*60</f>
        <v>0</v>
      </c>
      <c r="AM330" s="243">
        <f>SUMIFS(Podcasts!$F$479:'Podcasts'!$F$488,Podcasts!$D$479:'Podcasts'!$D$488,"&gt;0",Podcasts!$E$479:'Podcasts'!$E$488,"&gt;"&amp;$C329,Podcasts!$E$479:'Podcasts'!$E$488,"&lt;="&amp;$C330)*24*60</f>
        <v>0</v>
      </c>
      <c r="AN330" s="243">
        <f>SUMIFS(Podcasts!$F$494:'Podcasts'!$F$518,Podcasts!$D$494:'Podcasts'!$D$518,"&gt;0",Podcasts!$E$494:'Podcasts'!$E$518,"&gt;"&amp;$C329,Podcasts!$E$494:'Podcasts'!$E$518,"&lt;="&amp;$C330)*24*60</f>
        <v>0</v>
      </c>
      <c r="AO330" s="243">
        <f>SUMIFS(Podcasts!$F$524:'Podcasts'!$F$532,Podcasts!$D$524:'Podcasts'!$D$532,"&gt;0",Podcasts!$E$524:'Podcasts'!$E$532,"&gt;"&amp;$C329,Podcasts!$E$524:'Podcasts'!$E$532,"&lt;="&amp;$C330)*24*60</f>
        <v>0</v>
      </c>
      <c r="AP330" s="243">
        <f>SUMIFS(Podcasts!$F$538:'Podcasts'!$F$909,Podcasts!$D$538:'Podcasts'!$D$909,"&gt;0",Podcasts!$E$538:'Podcasts'!$E$909,"&gt;"&amp;$C329,Podcasts!$E$538:'Podcasts'!$E$909,"&lt;="&amp;$C330)*24*60</f>
        <v>0</v>
      </c>
      <c r="AQ330" s="243">
        <f>SUMIFS(Podcasts!$F$915:'Podcasts'!$F$981,Podcasts!$D$915:'Podcasts'!$D$981,"&gt;0",Podcasts!$E$915:'Podcasts'!$E$981,"&gt;"&amp;$C329,Podcasts!$E$915:'Podcasts'!$E$981,"&lt;="&amp;$C330)*24*60</f>
        <v>0</v>
      </c>
      <c r="AR330" s="243">
        <f>SUMIFS(Podcasts!$F$987:'Podcasts'!$F$995,Podcasts!$D$987:'Podcasts'!$D$995,"&gt;0",Podcasts!$E$987:'Podcasts'!$E$995,"&gt;"&amp;$C329,Podcasts!$E$987:'Podcasts'!$E$995,"&lt;="&amp;$C330)*24*60</f>
        <v>0</v>
      </c>
      <c r="AS330" s="243">
        <f>SUMIFS(Podcasts!$F$1001:'Podcasts'!$F$1251,Podcasts!$D$1001:'Podcasts'!$D$1251,"&gt;0",Podcasts!$E$1001:'Podcasts'!$E$1251,"&gt;"&amp;$C329,Podcasts!$E$1001:'Podcasts'!$E$1251,"&lt;="&amp;$C330)*24*60</f>
        <v>0</v>
      </c>
      <c r="AT330" s="243">
        <f>SUMIFS(Podcasts!$F$1257:'Podcasts'!$F$1267,Podcasts!$D$1257:'Podcasts'!$D$1267,"&gt;0",Podcasts!$E$1257:'Podcasts'!$E$1267,"&gt;"&amp;$C329,Podcasts!$E$1257:'Podcasts'!$E$1267,"&lt;="&amp;$C330)*24*60</f>
        <v>0</v>
      </c>
      <c r="AU330" s="243">
        <f>SUMIFS(Podcasts!$F$1273:'Podcasts'!$F$1283,Podcasts!$D$1273:'Podcasts'!$D$1283,"&gt;0",Podcasts!$E$1273:'Podcasts'!$E$1283,"&gt;"&amp;$C329,Podcasts!$E$1273:'Podcasts'!$E$1283,"&lt;="&amp;$C330)*24*60</f>
        <v>0</v>
      </c>
      <c r="AV330" s="243">
        <f>SUMIFS(Podcasts!$F$1289:'Podcasts'!$F$1295,Podcasts!$D$1289:'Podcasts'!$D$1295,"&gt;0",Podcasts!$E$1289:'Podcasts'!$E$1295,"&gt;"&amp;$C329,Podcasts!$E$1289:'Podcasts'!$E$1295,"&lt;="&amp;$C330)*24*60</f>
        <v>0</v>
      </c>
      <c r="AW330" s="243">
        <f>SUMIFS(Podcasts!$F$1301:'Podcasts'!$F$1356,Podcasts!$D$1301:'Podcasts'!$D$1356,"&gt;0",Podcasts!$E$1301:'Podcasts'!$E$1356,"&gt;"&amp;$C329,Podcasts!$E$1301:'Podcasts'!$E$1356,"&lt;="&amp;$C330)*24*60</f>
        <v>0</v>
      </c>
      <c r="AX330" s="243">
        <f>SUMIFS(Podcasts!$F$1362:'Podcasts'!$F$1364,Podcasts!$D$1362:'Podcasts'!$D$1364,"&gt;0",Podcasts!$E$1362:'Podcasts'!$E$1364,"&gt;"&amp;$C329,Podcasts!$E$1362:'Podcasts'!$E$1364,"&lt;="&amp;$C330)*24*60</f>
        <v>0</v>
      </c>
      <c r="AY330" s="243">
        <f>SUMIFS(Podcasts!$F$1370:'Podcasts'!$F$1419,Podcasts!$D$1370:'Podcasts'!$D$1419,"&gt;0",Podcasts!$E$1370:'Podcasts'!$E$1419,"&gt;"&amp;$C329,Podcasts!$E$1370:'Podcasts'!$E$1419,"&lt;="&amp;$C330)*24*60</f>
        <v>0</v>
      </c>
      <c r="AZ330" s="243">
        <f>SUMIFS(Podcasts!$F$1425:'Podcasts'!$F$1446,Podcasts!$D$1425:'Podcasts'!$D$1446,"&gt;0",Podcasts!$E$1425:'Podcasts'!$E$1446,"&gt;"&amp;$C329,Podcasts!$E$1425:'Podcasts'!$E$1446,"&lt;="&amp;$C330)*24*60</f>
        <v>0</v>
      </c>
      <c r="BA330" s="243">
        <f>SUMIFS(Podcasts!$F$1452:'Podcasts'!$F$1574,Podcasts!$D$1452:'Podcasts'!$D$1574,"&gt;0",Podcasts!$E$1452:'Podcasts'!$E$1574,"&gt;"&amp;$C329,Podcasts!$E$1452:'Podcasts'!$E$1574,"&lt;="&amp;$C330)*24*60</f>
        <v>0</v>
      </c>
      <c r="BB330" s="243">
        <f>SUMIFS(Podcasts!$F$1580:'Podcasts'!$F$1705,Podcasts!$D$1580:'Podcasts'!$D$1705,"&gt;0",Podcasts!$E$1580:'Podcasts'!$E$1705,"&gt;"&amp;$C329,Podcasts!$E$1580:'Podcasts'!$E$1705,"&lt;="&amp;$C330)*24*60</f>
        <v>0</v>
      </c>
      <c r="BC330" s="243">
        <f>SUMIFS(Podcasts!$F$1711:'Podcasts'!$F$1833,Podcasts!$D$1711:'Podcasts'!$D$1833,"&gt;0",Podcasts!$E$1711:'Podcasts'!$E$1833,"&gt;"&amp;$C329,Podcasts!$E$1711:'Podcasts'!$E$1833,"&lt;="&amp;$C330)*24*60</f>
        <v>0</v>
      </c>
      <c r="BD330" s="243">
        <f>SUMIFS(Podcasts!$F$1839:'Podcasts'!$F$1855,Podcasts!$D$1839:'Podcasts'!$D$1855,"&gt;0",Podcasts!$E$1839:'Podcasts'!$E$1855,"&gt;"&amp;$C329,Podcasts!$E$1839:'Podcasts'!$E$1855,"&lt;="&amp;$C330)*24*60</f>
        <v>0</v>
      </c>
      <c r="BE330" s="243">
        <f>SUMIFS(Podcasts!$F$1861:'Podcasts'!$F$1994,Podcasts!$D$1861:'Podcasts'!$D$1994,"&gt;0",Podcasts!$E$1861:'Podcasts'!$E$1994,"&gt;"&amp;$C329,Podcasts!$E$1861:'Podcasts'!$E$1994,"&lt;="&amp;$C330)*24*60</f>
        <v>0</v>
      </c>
      <c r="BF330" s="243">
        <f>SUMIFS(Podcasts!$F$2000:'Podcasts'!$F$2057,Podcasts!$D$2000:'Podcasts'!$D$2057,"&gt;0",Podcasts!$E$2000:'Podcasts'!$E$2057,"&gt;"&amp;$C329,Podcasts!$E$2000:'Podcasts'!$E$2057,"&lt;="&amp;$C330)*24*60</f>
        <v>0</v>
      </c>
      <c r="BG330" s="243">
        <f>SUMIFS(Podcasts!$F$2063:'Podcasts'!$F$2071,Podcasts!$D$2063:'Podcasts'!$D$2071,"&gt;0",Podcasts!$E$2063:'Podcasts'!$E$2071,"&gt;"&amp;$C329,Podcasts!$E$2063:'Podcasts'!$E$2071,"&lt;="&amp;$C330)*24*60</f>
        <v>0</v>
      </c>
      <c r="BH330" s="243">
        <f>SUMIFS(Podcasts!$F$2131:'Podcasts'!$F$2367,Podcasts!$D$2131:'Podcasts'!$D$2367,"&gt;0",Podcasts!$E$2131:'Podcasts'!$E$2367,"&gt;"&amp;$C329,Podcasts!$E$2131:'Podcasts'!$E$2367,"&lt;="&amp;$C330)*24*60</f>
        <v>0</v>
      </c>
    </row>
    <row r="331" spans="1:60" outlineLevel="1">
      <c r="A331" s="163">
        <f t="shared" si="7"/>
        <v>57</v>
      </c>
      <c r="B331" s="164">
        <f t="shared" si="8"/>
        <v>7</v>
      </c>
      <c r="C331" s="72">
        <v>41639</v>
      </c>
      <c r="D331" s="166" t="str">
        <f t="shared" si="9"/>
        <v>57   (+7)</v>
      </c>
      <c r="E331" s="106">
        <f>COUNTIFS(Podcasts!$D$10:'Podcasts'!$D$107,"&gt;0",Podcasts!$E$10:'Podcasts'!$E$107,"&lt;="&amp;$C331)</f>
        <v>25</v>
      </c>
      <c r="F331" s="467">
        <f>COUNTIFS(Podcasts!$D$113:'Podcasts'!$D$238,"&gt;0",Podcasts!$E$113:'Podcasts'!$E$238,"&lt;="&amp;$C331)</f>
        <v>16</v>
      </c>
      <c r="G331" s="468">
        <f>COUNTIFS(Podcasts!$D$244:'Podcasts'!$D$299,"&gt;0",Podcasts!$E$244:'Podcasts'!$E$299,"&lt;="&amp;$C331)</f>
        <v>16</v>
      </c>
      <c r="H331" s="467"/>
      <c r="I331" s="467"/>
      <c r="J331" s="468"/>
      <c r="K331" s="469"/>
      <c r="L331" s="467"/>
      <c r="M331" s="467"/>
      <c r="N331" s="469"/>
      <c r="O331" s="467"/>
      <c r="P331" s="467"/>
      <c r="Q331" s="469"/>
      <c r="R331" s="467"/>
      <c r="T331" s="469"/>
      <c r="U331" s="467"/>
      <c r="V331" s="467"/>
      <c r="W331" s="469"/>
      <c r="X331" s="474"/>
      <c r="Y331" s="474"/>
      <c r="Z331" s="475"/>
      <c r="AA331" s="467"/>
      <c r="AC331" s="475"/>
      <c r="AF331" s="475">
        <f>COUNTIFS(Podcasts!$E$2131:'Podcasts'!$E$2367,"&lt;="&amp;$C331)</f>
        <v>15</v>
      </c>
      <c r="AH331" s="243">
        <f t="shared" si="5"/>
        <v>206.00000000000003</v>
      </c>
      <c r="AI331" s="243">
        <f>SUMIFS(Podcasts!$F$10:'Podcasts'!$F$107,Podcasts!$D$10:'Podcasts'!$D$107,"&gt;0",Podcasts!$E$10:'Podcasts'!$E$107,"&gt;"&amp;$C330,Podcasts!$E$10:'Podcasts'!$E$107,"&lt;="&amp;$C331)*24*60</f>
        <v>172.28333333333336</v>
      </c>
      <c r="AJ331" s="243">
        <f>SUMIFS(Podcasts!$F$113:'Podcasts'!$F$238,Podcasts!$D$113:'Podcasts'!$D$238,"&gt;0",Podcasts!$E$113:'Podcasts'!$E$238,"&gt;"&amp;$C330,Podcasts!$E$113:'Podcasts'!$E$238,"&lt;="&amp;$C331)*24*60</f>
        <v>8.4166666666666661</v>
      </c>
      <c r="AK331" s="243">
        <f>SUMIFS(Podcasts!$F$244:'Podcasts'!$F$299,Podcasts!$D$244:'Podcasts'!$D$299,"&gt;0",Podcasts!$E$244:'Podcasts'!$E$299,"&gt;"&amp;$C330,Podcasts!$E$244:'Podcasts'!$E$299,"&lt;="&amp;$C331)*24*60</f>
        <v>25.300000000000004</v>
      </c>
      <c r="AL331" s="243">
        <f>SUMIFS(Podcasts!$F$305:'Podcasts'!$F$473,Podcasts!$D$305:'Podcasts'!$D$473,"&gt;0",Podcasts!$E$305:'Podcasts'!$E$473,"&gt;"&amp;$C330,Podcasts!$E$305:'Podcasts'!$E$473,"&lt;="&amp;$C331)*24*60</f>
        <v>0</v>
      </c>
      <c r="AM331" s="243">
        <f>SUMIFS(Podcasts!$F$479:'Podcasts'!$F$488,Podcasts!$D$479:'Podcasts'!$D$488,"&gt;0",Podcasts!$E$479:'Podcasts'!$E$488,"&gt;"&amp;$C330,Podcasts!$E$479:'Podcasts'!$E$488,"&lt;="&amp;$C331)*24*60</f>
        <v>0</v>
      </c>
      <c r="AN331" s="243">
        <f>SUMIFS(Podcasts!$F$494:'Podcasts'!$F$518,Podcasts!$D$494:'Podcasts'!$D$518,"&gt;0",Podcasts!$E$494:'Podcasts'!$E$518,"&gt;"&amp;$C330,Podcasts!$E$494:'Podcasts'!$E$518,"&lt;="&amp;$C331)*24*60</f>
        <v>0</v>
      </c>
      <c r="AO331" s="243">
        <f>SUMIFS(Podcasts!$F$524:'Podcasts'!$F$532,Podcasts!$D$524:'Podcasts'!$D$532,"&gt;0",Podcasts!$E$524:'Podcasts'!$E$532,"&gt;"&amp;$C330,Podcasts!$E$524:'Podcasts'!$E$532,"&lt;="&amp;$C331)*24*60</f>
        <v>0</v>
      </c>
      <c r="AP331" s="243">
        <f>SUMIFS(Podcasts!$F$538:'Podcasts'!$F$909,Podcasts!$D$538:'Podcasts'!$D$909,"&gt;0",Podcasts!$E$538:'Podcasts'!$E$909,"&gt;"&amp;$C330,Podcasts!$E$538:'Podcasts'!$E$909,"&lt;="&amp;$C331)*24*60</f>
        <v>0</v>
      </c>
      <c r="AQ331" s="243">
        <f>SUMIFS(Podcasts!$F$915:'Podcasts'!$F$981,Podcasts!$D$915:'Podcasts'!$D$981,"&gt;0",Podcasts!$E$915:'Podcasts'!$E$981,"&gt;"&amp;$C330,Podcasts!$E$915:'Podcasts'!$E$981,"&lt;="&amp;$C331)*24*60</f>
        <v>0</v>
      </c>
      <c r="AR331" s="243">
        <f>SUMIFS(Podcasts!$F$987:'Podcasts'!$F$995,Podcasts!$D$987:'Podcasts'!$D$995,"&gt;0",Podcasts!$E$987:'Podcasts'!$E$995,"&gt;"&amp;$C330,Podcasts!$E$987:'Podcasts'!$E$995,"&lt;="&amp;$C331)*24*60</f>
        <v>0</v>
      </c>
      <c r="AS331" s="243">
        <f>SUMIFS(Podcasts!$F$1001:'Podcasts'!$F$1251,Podcasts!$D$1001:'Podcasts'!$D$1251,"&gt;0",Podcasts!$E$1001:'Podcasts'!$E$1251,"&gt;"&amp;$C330,Podcasts!$E$1001:'Podcasts'!$E$1251,"&lt;="&amp;$C331)*24*60</f>
        <v>0</v>
      </c>
      <c r="AT331" s="243">
        <f>SUMIFS(Podcasts!$F$1257:'Podcasts'!$F$1267,Podcasts!$D$1257:'Podcasts'!$D$1267,"&gt;0",Podcasts!$E$1257:'Podcasts'!$E$1267,"&gt;"&amp;$C330,Podcasts!$E$1257:'Podcasts'!$E$1267,"&lt;="&amp;$C331)*24*60</f>
        <v>0</v>
      </c>
      <c r="AU331" s="243">
        <f>SUMIFS(Podcasts!$F$1273:'Podcasts'!$F$1283,Podcasts!$D$1273:'Podcasts'!$D$1283,"&gt;0",Podcasts!$E$1273:'Podcasts'!$E$1283,"&gt;"&amp;$C330,Podcasts!$E$1273:'Podcasts'!$E$1283,"&lt;="&amp;$C331)*24*60</f>
        <v>0</v>
      </c>
      <c r="AV331" s="243">
        <f>SUMIFS(Podcasts!$F$1289:'Podcasts'!$F$1295,Podcasts!$D$1289:'Podcasts'!$D$1295,"&gt;0",Podcasts!$E$1289:'Podcasts'!$E$1295,"&gt;"&amp;$C330,Podcasts!$E$1289:'Podcasts'!$E$1295,"&lt;="&amp;$C331)*24*60</f>
        <v>0</v>
      </c>
      <c r="AW331" s="243">
        <f>SUMIFS(Podcasts!$F$1301:'Podcasts'!$F$1356,Podcasts!$D$1301:'Podcasts'!$D$1356,"&gt;0",Podcasts!$E$1301:'Podcasts'!$E$1356,"&gt;"&amp;$C330,Podcasts!$E$1301:'Podcasts'!$E$1356,"&lt;="&amp;$C331)*24*60</f>
        <v>0</v>
      </c>
      <c r="AX331" s="243">
        <f>SUMIFS(Podcasts!$F$1362:'Podcasts'!$F$1364,Podcasts!$D$1362:'Podcasts'!$D$1364,"&gt;0",Podcasts!$E$1362:'Podcasts'!$E$1364,"&gt;"&amp;$C330,Podcasts!$E$1362:'Podcasts'!$E$1364,"&lt;="&amp;$C331)*24*60</f>
        <v>0</v>
      </c>
      <c r="AY331" s="243">
        <f>SUMIFS(Podcasts!$F$1370:'Podcasts'!$F$1419,Podcasts!$D$1370:'Podcasts'!$D$1419,"&gt;0",Podcasts!$E$1370:'Podcasts'!$E$1419,"&gt;"&amp;$C330,Podcasts!$E$1370:'Podcasts'!$E$1419,"&lt;="&amp;$C331)*24*60</f>
        <v>0</v>
      </c>
      <c r="AZ331" s="243">
        <f>SUMIFS(Podcasts!$F$1425:'Podcasts'!$F$1446,Podcasts!$D$1425:'Podcasts'!$D$1446,"&gt;0",Podcasts!$E$1425:'Podcasts'!$E$1446,"&gt;"&amp;$C330,Podcasts!$E$1425:'Podcasts'!$E$1446,"&lt;="&amp;$C331)*24*60</f>
        <v>0</v>
      </c>
      <c r="BA331" s="243">
        <f>SUMIFS(Podcasts!$F$1452:'Podcasts'!$F$1574,Podcasts!$D$1452:'Podcasts'!$D$1574,"&gt;0",Podcasts!$E$1452:'Podcasts'!$E$1574,"&gt;"&amp;$C330,Podcasts!$E$1452:'Podcasts'!$E$1574,"&lt;="&amp;$C331)*24*60</f>
        <v>0</v>
      </c>
      <c r="BB331" s="243">
        <f>SUMIFS(Podcasts!$F$1580:'Podcasts'!$F$1705,Podcasts!$D$1580:'Podcasts'!$D$1705,"&gt;0",Podcasts!$E$1580:'Podcasts'!$E$1705,"&gt;"&amp;$C330,Podcasts!$E$1580:'Podcasts'!$E$1705,"&lt;="&amp;$C331)*24*60</f>
        <v>0</v>
      </c>
      <c r="BC331" s="243">
        <f>SUMIFS(Podcasts!$F$1711:'Podcasts'!$F$1833,Podcasts!$D$1711:'Podcasts'!$D$1833,"&gt;0",Podcasts!$E$1711:'Podcasts'!$E$1833,"&gt;"&amp;$C330,Podcasts!$E$1711:'Podcasts'!$E$1833,"&lt;="&amp;$C331)*24*60</f>
        <v>0</v>
      </c>
      <c r="BD331" s="243">
        <f>SUMIFS(Podcasts!$F$1839:'Podcasts'!$F$1855,Podcasts!$D$1839:'Podcasts'!$D$1855,"&gt;0",Podcasts!$E$1839:'Podcasts'!$E$1855,"&gt;"&amp;$C330,Podcasts!$E$1839:'Podcasts'!$E$1855,"&lt;="&amp;$C331)*24*60</f>
        <v>0</v>
      </c>
      <c r="BE331" s="243">
        <f>SUMIFS(Podcasts!$F$1861:'Podcasts'!$F$1994,Podcasts!$D$1861:'Podcasts'!$D$1994,"&gt;0",Podcasts!$E$1861:'Podcasts'!$E$1994,"&gt;"&amp;$C330,Podcasts!$E$1861:'Podcasts'!$E$1994,"&lt;="&amp;$C331)*24*60</f>
        <v>0</v>
      </c>
      <c r="BF331" s="243">
        <f>SUMIFS(Podcasts!$F$2000:'Podcasts'!$F$2057,Podcasts!$D$2000:'Podcasts'!$D$2057,"&gt;0",Podcasts!$E$2000:'Podcasts'!$E$2057,"&gt;"&amp;$C330,Podcasts!$E$2000:'Podcasts'!$E$2057,"&lt;="&amp;$C331)*24*60</f>
        <v>0</v>
      </c>
      <c r="BG331" s="243">
        <f>SUMIFS(Podcasts!$F$2063:'Podcasts'!$F$2071,Podcasts!$D$2063:'Podcasts'!$D$2071,"&gt;0",Podcasts!$E$2063:'Podcasts'!$E$2071,"&gt;"&amp;$C330,Podcasts!$E$2063:'Podcasts'!$E$2071,"&lt;="&amp;$C331)*24*60</f>
        <v>0</v>
      </c>
      <c r="BH331" s="243">
        <f>SUMIFS(Podcasts!$F$2131:'Podcasts'!$F$2367,Podcasts!$D$2131:'Podcasts'!$D$2367,"&gt;0",Podcasts!$E$2131:'Podcasts'!$E$2367,"&gt;"&amp;$C330,Podcasts!$E$2131:'Podcasts'!$E$2367,"&lt;="&amp;$C331)*24*60</f>
        <v>0</v>
      </c>
    </row>
    <row r="332" spans="1:60" outlineLevel="1">
      <c r="A332" s="163">
        <f t="shared" si="7"/>
        <v>62</v>
      </c>
      <c r="B332" s="164">
        <f t="shared" si="8"/>
        <v>5</v>
      </c>
      <c r="C332" s="73">
        <v>41729</v>
      </c>
      <c r="D332" s="167" t="str">
        <f t="shared" si="9"/>
        <v>62   (+5)</v>
      </c>
      <c r="E332" s="470">
        <f>COUNTIFS(Podcasts!$D$10:'Podcasts'!$D$107,"&gt;0",Podcasts!$E$10:'Podcasts'!$E$107,"&lt;="&amp;$C332)</f>
        <v>26</v>
      </c>
      <c r="F332" s="471">
        <f>COUNTIFS(Podcasts!$D$113:'Podcasts'!$D$238,"&gt;0",Podcasts!$E$113:'Podcasts'!$E$238,"&lt;="&amp;$C332)</f>
        <v>18</v>
      </c>
      <c r="G332" s="472">
        <f>COUNTIFS(Podcasts!$D$244:'Podcasts'!$D$299,"&gt;0",Podcasts!$E$244:'Podcasts'!$E$299,"&lt;="&amp;$C332)</f>
        <v>18</v>
      </c>
      <c r="H332" s="471">
        <f>COUNTIFS(Podcasts!$D$305:'Podcasts'!$D$473,"&gt;0",Podcasts!$E$305:'Podcasts'!$E$473,"&lt;="&amp;$C332)</f>
        <v>0</v>
      </c>
      <c r="I332" s="471"/>
      <c r="J332" s="472"/>
      <c r="K332" s="473"/>
      <c r="L332" s="471"/>
      <c r="M332" s="471"/>
      <c r="N332" s="473"/>
      <c r="O332" s="471"/>
      <c r="P332" s="471"/>
      <c r="Q332" s="473"/>
      <c r="R332" s="471"/>
      <c r="S332" s="19"/>
      <c r="T332" s="473"/>
      <c r="U332" s="471"/>
      <c r="V332" s="471"/>
      <c r="W332" s="473"/>
      <c r="X332" s="467"/>
      <c r="Y332" s="467"/>
      <c r="Z332" s="469"/>
      <c r="AA332" s="471"/>
      <c r="AB332" s="471"/>
      <c r="AC332" s="473"/>
      <c r="AD332" s="471"/>
      <c r="AE332" s="471"/>
      <c r="AF332" s="469">
        <f>COUNTIFS(Podcasts!$E$2131:'Podcasts'!$E$2367,"&lt;="&amp;$C332)</f>
        <v>15</v>
      </c>
      <c r="AH332" s="243">
        <f t="shared" si="5"/>
        <v>114.93333333333332</v>
      </c>
      <c r="AI332" s="243">
        <f>SUMIFS(Podcasts!$F$10:'Podcasts'!$F$107,Podcasts!$D$10:'Podcasts'!$D$107,"&gt;0",Podcasts!$E$10:'Podcasts'!$E$107,"&gt;"&amp;$C331,Podcasts!$E$10:'Podcasts'!$E$107,"&lt;="&amp;$C332)*24*60</f>
        <v>61.599999999999994</v>
      </c>
      <c r="AJ332" s="243">
        <f>SUMIFS(Podcasts!$F$113:'Podcasts'!$F$238,Podcasts!$D$113:'Podcasts'!$D$238,"&gt;0",Podcasts!$E$113:'Podcasts'!$E$238,"&gt;"&amp;$C331,Podcasts!$E$113:'Podcasts'!$E$238,"&lt;="&amp;$C332)*24*60</f>
        <v>6.6</v>
      </c>
      <c r="AK332" s="243">
        <f>SUMIFS(Podcasts!$F$244:'Podcasts'!$F$299,Podcasts!$D$244:'Podcasts'!$D$299,"&gt;0",Podcasts!$E$244:'Podcasts'!$E$299,"&gt;"&amp;$C331,Podcasts!$E$244:'Podcasts'!$E$299,"&lt;="&amp;$C332)*24*60</f>
        <v>46.733333333333334</v>
      </c>
      <c r="AL332" s="243">
        <f>SUMIFS(Podcasts!$F$305:'Podcasts'!$F$473,Podcasts!$D$305:'Podcasts'!$D$473,"&gt;0",Podcasts!$E$305:'Podcasts'!$E$473,"&gt;"&amp;$C331,Podcasts!$E$305:'Podcasts'!$E$473,"&lt;="&amp;$C332)*24*60</f>
        <v>0</v>
      </c>
      <c r="AM332" s="243">
        <f>SUMIFS(Podcasts!$F$479:'Podcasts'!$F$488,Podcasts!$D$479:'Podcasts'!$D$488,"&gt;0",Podcasts!$E$479:'Podcasts'!$E$488,"&gt;"&amp;$C331,Podcasts!$E$479:'Podcasts'!$E$488,"&lt;="&amp;$C332)*24*60</f>
        <v>0</v>
      </c>
      <c r="AN332" s="243">
        <f>SUMIFS(Podcasts!$F$494:'Podcasts'!$F$518,Podcasts!$D$494:'Podcasts'!$D$518,"&gt;0",Podcasts!$E$494:'Podcasts'!$E$518,"&gt;"&amp;$C331,Podcasts!$E$494:'Podcasts'!$E$518,"&lt;="&amp;$C332)*24*60</f>
        <v>0</v>
      </c>
      <c r="AO332" s="243">
        <f>SUMIFS(Podcasts!$F$524:'Podcasts'!$F$532,Podcasts!$D$524:'Podcasts'!$D$532,"&gt;0",Podcasts!$E$524:'Podcasts'!$E$532,"&gt;"&amp;$C331,Podcasts!$E$524:'Podcasts'!$E$532,"&lt;="&amp;$C332)*24*60</f>
        <v>0</v>
      </c>
      <c r="AP332" s="243">
        <f>SUMIFS(Podcasts!$F$538:'Podcasts'!$F$909,Podcasts!$D$538:'Podcasts'!$D$909,"&gt;0",Podcasts!$E$538:'Podcasts'!$E$909,"&gt;"&amp;$C331,Podcasts!$E$538:'Podcasts'!$E$909,"&lt;="&amp;$C332)*24*60</f>
        <v>0</v>
      </c>
      <c r="AQ332" s="243">
        <f>SUMIFS(Podcasts!$F$915:'Podcasts'!$F$981,Podcasts!$D$915:'Podcasts'!$D$981,"&gt;0",Podcasts!$E$915:'Podcasts'!$E$981,"&gt;"&amp;$C331,Podcasts!$E$915:'Podcasts'!$E$981,"&lt;="&amp;$C332)*24*60</f>
        <v>0</v>
      </c>
      <c r="AR332" s="243">
        <f>SUMIFS(Podcasts!$F$987:'Podcasts'!$F$995,Podcasts!$D$987:'Podcasts'!$D$995,"&gt;0",Podcasts!$E$987:'Podcasts'!$E$995,"&gt;"&amp;$C331,Podcasts!$E$987:'Podcasts'!$E$995,"&lt;="&amp;$C332)*24*60</f>
        <v>0</v>
      </c>
      <c r="AS332" s="243">
        <f>SUMIFS(Podcasts!$F$1001:'Podcasts'!$F$1251,Podcasts!$D$1001:'Podcasts'!$D$1251,"&gt;0",Podcasts!$E$1001:'Podcasts'!$E$1251,"&gt;"&amp;$C331,Podcasts!$E$1001:'Podcasts'!$E$1251,"&lt;="&amp;$C332)*24*60</f>
        <v>0</v>
      </c>
      <c r="AT332" s="243">
        <f>SUMIFS(Podcasts!$F$1257:'Podcasts'!$F$1267,Podcasts!$D$1257:'Podcasts'!$D$1267,"&gt;0",Podcasts!$E$1257:'Podcasts'!$E$1267,"&gt;"&amp;$C331,Podcasts!$E$1257:'Podcasts'!$E$1267,"&lt;="&amp;$C332)*24*60</f>
        <v>0</v>
      </c>
      <c r="AU332" s="243">
        <f>SUMIFS(Podcasts!$F$1273:'Podcasts'!$F$1283,Podcasts!$D$1273:'Podcasts'!$D$1283,"&gt;0",Podcasts!$E$1273:'Podcasts'!$E$1283,"&gt;"&amp;$C331,Podcasts!$E$1273:'Podcasts'!$E$1283,"&lt;="&amp;$C332)*24*60</f>
        <v>0</v>
      </c>
      <c r="AV332" s="243">
        <f>SUMIFS(Podcasts!$F$1289:'Podcasts'!$F$1295,Podcasts!$D$1289:'Podcasts'!$D$1295,"&gt;0",Podcasts!$E$1289:'Podcasts'!$E$1295,"&gt;"&amp;$C331,Podcasts!$E$1289:'Podcasts'!$E$1295,"&lt;="&amp;$C332)*24*60</f>
        <v>0</v>
      </c>
      <c r="AW332" s="243">
        <f>SUMIFS(Podcasts!$F$1301:'Podcasts'!$F$1356,Podcasts!$D$1301:'Podcasts'!$D$1356,"&gt;0",Podcasts!$E$1301:'Podcasts'!$E$1356,"&gt;"&amp;$C331,Podcasts!$E$1301:'Podcasts'!$E$1356,"&lt;="&amp;$C332)*24*60</f>
        <v>0</v>
      </c>
      <c r="AX332" s="243">
        <f>SUMIFS(Podcasts!$F$1362:'Podcasts'!$F$1364,Podcasts!$D$1362:'Podcasts'!$D$1364,"&gt;0",Podcasts!$E$1362:'Podcasts'!$E$1364,"&gt;"&amp;$C331,Podcasts!$E$1362:'Podcasts'!$E$1364,"&lt;="&amp;$C332)*24*60</f>
        <v>0</v>
      </c>
      <c r="AY332" s="243">
        <f>SUMIFS(Podcasts!$F$1370:'Podcasts'!$F$1419,Podcasts!$D$1370:'Podcasts'!$D$1419,"&gt;0",Podcasts!$E$1370:'Podcasts'!$E$1419,"&gt;"&amp;$C331,Podcasts!$E$1370:'Podcasts'!$E$1419,"&lt;="&amp;$C332)*24*60</f>
        <v>0</v>
      </c>
      <c r="AZ332" s="243">
        <f>SUMIFS(Podcasts!$F$1425:'Podcasts'!$F$1446,Podcasts!$D$1425:'Podcasts'!$D$1446,"&gt;0",Podcasts!$E$1425:'Podcasts'!$E$1446,"&gt;"&amp;$C331,Podcasts!$E$1425:'Podcasts'!$E$1446,"&lt;="&amp;$C332)*24*60</f>
        <v>0</v>
      </c>
      <c r="BA332" s="243">
        <f>SUMIFS(Podcasts!$F$1452:'Podcasts'!$F$1574,Podcasts!$D$1452:'Podcasts'!$D$1574,"&gt;0",Podcasts!$E$1452:'Podcasts'!$E$1574,"&gt;"&amp;$C331,Podcasts!$E$1452:'Podcasts'!$E$1574,"&lt;="&amp;$C332)*24*60</f>
        <v>0</v>
      </c>
      <c r="BB332" s="243">
        <f>SUMIFS(Podcasts!$F$1580:'Podcasts'!$F$1705,Podcasts!$D$1580:'Podcasts'!$D$1705,"&gt;0",Podcasts!$E$1580:'Podcasts'!$E$1705,"&gt;"&amp;$C331,Podcasts!$E$1580:'Podcasts'!$E$1705,"&lt;="&amp;$C332)*24*60</f>
        <v>0</v>
      </c>
      <c r="BC332" s="243">
        <f>SUMIFS(Podcasts!$F$1711:'Podcasts'!$F$1833,Podcasts!$D$1711:'Podcasts'!$D$1833,"&gt;0",Podcasts!$E$1711:'Podcasts'!$E$1833,"&gt;"&amp;$C331,Podcasts!$E$1711:'Podcasts'!$E$1833,"&lt;="&amp;$C332)*24*60</f>
        <v>0</v>
      </c>
      <c r="BD332" s="243">
        <f>SUMIFS(Podcasts!$F$1839:'Podcasts'!$F$1855,Podcasts!$D$1839:'Podcasts'!$D$1855,"&gt;0",Podcasts!$E$1839:'Podcasts'!$E$1855,"&gt;"&amp;$C331,Podcasts!$E$1839:'Podcasts'!$E$1855,"&lt;="&amp;$C332)*24*60</f>
        <v>0</v>
      </c>
      <c r="BE332" s="243">
        <f>SUMIFS(Podcasts!$F$1861:'Podcasts'!$F$1994,Podcasts!$D$1861:'Podcasts'!$D$1994,"&gt;0",Podcasts!$E$1861:'Podcasts'!$E$1994,"&gt;"&amp;$C331,Podcasts!$E$1861:'Podcasts'!$E$1994,"&lt;="&amp;$C332)*24*60</f>
        <v>0</v>
      </c>
      <c r="BF332" s="243">
        <f>SUMIFS(Podcasts!$F$2000:'Podcasts'!$F$2057,Podcasts!$D$2000:'Podcasts'!$D$2057,"&gt;0",Podcasts!$E$2000:'Podcasts'!$E$2057,"&gt;"&amp;$C331,Podcasts!$E$2000:'Podcasts'!$E$2057,"&lt;="&amp;$C332)*24*60</f>
        <v>0</v>
      </c>
      <c r="BG332" s="243">
        <f>SUMIFS(Podcasts!$F$2063:'Podcasts'!$F$2071,Podcasts!$D$2063:'Podcasts'!$D$2071,"&gt;0",Podcasts!$E$2063:'Podcasts'!$E$2071,"&gt;"&amp;$C331,Podcasts!$E$2063:'Podcasts'!$E$2071,"&lt;="&amp;$C332)*24*60</f>
        <v>0</v>
      </c>
      <c r="BH332" s="243">
        <f>SUMIFS(Podcasts!$F$2131:'Podcasts'!$F$2367,Podcasts!$D$2131:'Podcasts'!$D$2367,"&gt;0",Podcasts!$E$2131:'Podcasts'!$E$2367,"&gt;"&amp;$C331,Podcasts!$E$2131:'Podcasts'!$E$2367,"&lt;="&amp;$C332)*24*60</f>
        <v>0</v>
      </c>
    </row>
    <row r="333" spans="1:60" outlineLevel="1">
      <c r="A333" s="163">
        <f t="shared" si="7"/>
        <v>104</v>
      </c>
      <c r="B333" s="164">
        <f t="shared" si="8"/>
        <v>42</v>
      </c>
      <c r="C333" s="72">
        <v>41820</v>
      </c>
      <c r="D333" s="165" t="str">
        <f t="shared" ref="D333:D359" si="10">A333&amp;" (+"&amp;B333&amp;")"</f>
        <v>104 (+42)</v>
      </c>
      <c r="E333" s="106">
        <f>COUNTIFS(Podcasts!$D$10:'Podcasts'!$D$107,"&gt;0",Podcasts!$E$10:'Podcasts'!$E$107,"&lt;="&amp;$C333)</f>
        <v>26</v>
      </c>
      <c r="F333" s="467">
        <f>COUNTIFS(Podcasts!$D$113:'Podcasts'!$D$238,"&gt;0",Podcasts!$E$113:'Podcasts'!$E$238,"&lt;="&amp;$C333)</f>
        <v>19</v>
      </c>
      <c r="G333" s="468">
        <f>COUNTIFS(Podcasts!$D$244:'Podcasts'!$D$299,"&gt;0",Podcasts!$E$244:'Podcasts'!$E$299,"&lt;="&amp;$C333)</f>
        <v>18</v>
      </c>
      <c r="H333" s="467">
        <f>COUNTIFS(Podcasts!$D$305:'Podcasts'!$D$473,"&gt;0",Podcasts!$E$305:'Podcasts'!$E$473,"&lt;="&amp;$C333)</f>
        <v>41</v>
      </c>
      <c r="I333" s="467"/>
      <c r="J333" s="468"/>
      <c r="K333" s="469"/>
      <c r="L333" s="467"/>
      <c r="M333" s="467"/>
      <c r="N333" s="469"/>
      <c r="O333" s="467"/>
      <c r="P333" s="467"/>
      <c r="Q333" s="469"/>
      <c r="R333" s="467"/>
      <c r="T333" s="469"/>
      <c r="U333" s="467"/>
      <c r="V333" s="467"/>
      <c r="W333" s="469"/>
      <c r="X333" s="467"/>
      <c r="Y333" s="467"/>
      <c r="Z333" s="469"/>
      <c r="AA333" s="467"/>
      <c r="AC333" s="425"/>
      <c r="AF333" s="469">
        <f>COUNTIFS(Podcasts!$E$2131:'Podcasts'!$E$2367,"&lt;="&amp;$C333)</f>
        <v>15</v>
      </c>
      <c r="AH333" s="243">
        <f t="shared" si="5"/>
        <v>280.99999999999989</v>
      </c>
      <c r="AI333" s="243">
        <f>SUMIFS(Podcasts!$F$10:'Podcasts'!$F$107,Podcasts!$D$10:'Podcasts'!$D$107,"&gt;0",Podcasts!$E$10:'Podcasts'!$E$107,"&gt;"&amp;$C332,Podcasts!$E$10:'Podcasts'!$E$107,"&lt;="&amp;$C333)*24*60</f>
        <v>0</v>
      </c>
      <c r="AJ333" s="243">
        <f>SUMIFS(Podcasts!$F$113:'Podcasts'!$F$238,Podcasts!$D$113:'Podcasts'!$D$238,"&gt;0",Podcasts!$E$113:'Podcasts'!$E$238,"&gt;"&amp;$C332,Podcasts!$E$113:'Podcasts'!$E$238,"&lt;="&amp;$C333)*24*60</f>
        <v>5.7500000000000009</v>
      </c>
      <c r="AK333" s="243">
        <f>SUMIFS(Podcasts!$F$244:'Podcasts'!$F$299,Podcasts!$D$244:'Podcasts'!$D$299,"&gt;0",Podcasts!$E$244:'Podcasts'!$E$299,"&gt;"&amp;$C332,Podcasts!$E$244:'Podcasts'!$E$299,"&lt;="&amp;$C333)*24*60</f>
        <v>0</v>
      </c>
      <c r="AL333" s="243">
        <f>SUMIFS(Podcasts!$F$305:'Podcasts'!$F$473,Podcasts!$D$305:'Podcasts'!$D$473,"&gt;0",Podcasts!$E$305:'Podcasts'!$E$473,"&gt;"&amp;$C332,Podcasts!$E$305:'Podcasts'!$E$473,"&lt;="&amp;$C333)*24*60</f>
        <v>275.24999999999989</v>
      </c>
      <c r="AM333" s="243">
        <f>SUMIFS(Podcasts!$F$479:'Podcasts'!$F$488,Podcasts!$D$479:'Podcasts'!$D$488,"&gt;0",Podcasts!$E$479:'Podcasts'!$E$488,"&gt;"&amp;$C332,Podcasts!$E$479:'Podcasts'!$E$488,"&lt;="&amp;$C333)*24*60</f>
        <v>0</v>
      </c>
      <c r="AN333" s="243">
        <f>SUMIFS(Podcasts!$F$494:'Podcasts'!$F$518,Podcasts!$D$494:'Podcasts'!$D$518,"&gt;0",Podcasts!$E$494:'Podcasts'!$E$518,"&gt;"&amp;$C332,Podcasts!$E$494:'Podcasts'!$E$518,"&lt;="&amp;$C333)*24*60</f>
        <v>0</v>
      </c>
      <c r="AO333" s="243">
        <f>SUMIFS(Podcasts!$F$524:'Podcasts'!$F$532,Podcasts!$D$524:'Podcasts'!$D$532,"&gt;0",Podcasts!$E$524:'Podcasts'!$E$532,"&gt;"&amp;$C332,Podcasts!$E$524:'Podcasts'!$E$532,"&lt;="&amp;$C333)*24*60</f>
        <v>0</v>
      </c>
      <c r="AP333" s="243">
        <f>SUMIFS(Podcasts!$F$538:'Podcasts'!$F$909,Podcasts!$D$538:'Podcasts'!$D$909,"&gt;0",Podcasts!$E$538:'Podcasts'!$E$909,"&gt;"&amp;$C332,Podcasts!$E$538:'Podcasts'!$E$909,"&lt;="&amp;$C333)*24*60</f>
        <v>0</v>
      </c>
      <c r="AQ333" s="243">
        <f>SUMIFS(Podcasts!$F$915:'Podcasts'!$F$981,Podcasts!$D$915:'Podcasts'!$D$981,"&gt;0",Podcasts!$E$915:'Podcasts'!$E$981,"&gt;"&amp;$C332,Podcasts!$E$915:'Podcasts'!$E$981,"&lt;="&amp;$C333)*24*60</f>
        <v>0</v>
      </c>
      <c r="AR333" s="243">
        <f>SUMIFS(Podcasts!$F$987:'Podcasts'!$F$995,Podcasts!$D$987:'Podcasts'!$D$995,"&gt;0",Podcasts!$E$987:'Podcasts'!$E$995,"&gt;"&amp;$C332,Podcasts!$E$987:'Podcasts'!$E$995,"&lt;="&amp;$C333)*24*60</f>
        <v>0</v>
      </c>
      <c r="AS333" s="243">
        <f>SUMIFS(Podcasts!$F$1001:'Podcasts'!$F$1251,Podcasts!$D$1001:'Podcasts'!$D$1251,"&gt;0",Podcasts!$E$1001:'Podcasts'!$E$1251,"&gt;"&amp;$C332,Podcasts!$E$1001:'Podcasts'!$E$1251,"&lt;="&amp;$C333)*24*60</f>
        <v>0</v>
      </c>
      <c r="AT333" s="243">
        <f>SUMIFS(Podcasts!$F$1257:'Podcasts'!$F$1267,Podcasts!$D$1257:'Podcasts'!$D$1267,"&gt;0",Podcasts!$E$1257:'Podcasts'!$E$1267,"&gt;"&amp;$C332,Podcasts!$E$1257:'Podcasts'!$E$1267,"&lt;="&amp;$C333)*24*60</f>
        <v>0</v>
      </c>
      <c r="AU333" s="243">
        <f>SUMIFS(Podcasts!$F$1273:'Podcasts'!$F$1283,Podcasts!$D$1273:'Podcasts'!$D$1283,"&gt;0",Podcasts!$E$1273:'Podcasts'!$E$1283,"&gt;"&amp;$C332,Podcasts!$E$1273:'Podcasts'!$E$1283,"&lt;="&amp;$C333)*24*60</f>
        <v>0</v>
      </c>
      <c r="AV333" s="243">
        <f>SUMIFS(Podcasts!$F$1289:'Podcasts'!$F$1295,Podcasts!$D$1289:'Podcasts'!$D$1295,"&gt;0",Podcasts!$E$1289:'Podcasts'!$E$1295,"&gt;"&amp;$C332,Podcasts!$E$1289:'Podcasts'!$E$1295,"&lt;="&amp;$C333)*24*60</f>
        <v>0</v>
      </c>
      <c r="AW333" s="243">
        <f>SUMIFS(Podcasts!$F$1301:'Podcasts'!$F$1356,Podcasts!$D$1301:'Podcasts'!$D$1356,"&gt;0",Podcasts!$E$1301:'Podcasts'!$E$1356,"&gt;"&amp;$C332,Podcasts!$E$1301:'Podcasts'!$E$1356,"&lt;="&amp;$C333)*24*60</f>
        <v>0</v>
      </c>
      <c r="AX333" s="243">
        <f>SUMIFS(Podcasts!$F$1362:'Podcasts'!$F$1364,Podcasts!$D$1362:'Podcasts'!$D$1364,"&gt;0",Podcasts!$E$1362:'Podcasts'!$E$1364,"&gt;"&amp;$C332,Podcasts!$E$1362:'Podcasts'!$E$1364,"&lt;="&amp;$C333)*24*60</f>
        <v>0</v>
      </c>
      <c r="AY333" s="243">
        <f>SUMIFS(Podcasts!$F$1370:'Podcasts'!$F$1419,Podcasts!$D$1370:'Podcasts'!$D$1419,"&gt;0",Podcasts!$E$1370:'Podcasts'!$E$1419,"&gt;"&amp;$C332,Podcasts!$E$1370:'Podcasts'!$E$1419,"&lt;="&amp;$C333)*24*60</f>
        <v>0</v>
      </c>
      <c r="AZ333" s="243">
        <f>SUMIFS(Podcasts!$F$1425:'Podcasts'!$F$1446,Podcasts!$D$1425:'Podcasts'!$D$1446,"&gt;0",Podcasts!$E$1425:'Podcasts'!$E$1446,"&gt;"&amp;$C332,Podcasts!$E$1425:'Podcasts'!$E$1446,"&lt;="&amp;$C333)*24*60</f>
        <v>0</v>
      </c>
      <c r="BA333" s="243">
        <f>SUMIFS(Podcasts!$F$1452:'Podcasts'!$F$1574,Podcasts!$D$1452:'Podcasts'!$D$1574,"&gt;0",Podcasts!$E$1452:'Podcasts'!$E$1574,"&gt;"&amp;$C332,Podcasts!$E$1452:'Podcasts'!$E$1574,"&lt;="&amp;$C333)*24*60</f>
        <v>0</v>
      </c>
      <c r="BB333" s="243">
        <f>SUMIFS(Podcasts!$F$1580:'Podcasts'!$F$1705,Podcasts!$D$1580:'Podcasts'!$D$1705,"&gt;0",Podcasts!$E$1580:'Podcasts'!$E$1705,"&gt;"&amp;$C332,Podcasts!$E$1580:'Podcasts'!$E$1705,"&lt;="&amp;$C333)*24*60</f>
        <v>0</v>
      </c>
      <c r="BC333" s="243">
        <f>SUMIFS(Podcasts!$F$1711:'Podcasts'!$F$1833,Podcasts!$D$1711:'Podcasts'!$D$1833,"&gt;0",Podcasts!$E$1711:'Podcasts'!$E$1833,"&gt;"&amp;$C332,Podcasts!$E$1711:'Podcasts'!$E$1833,"&lt;="&amp;$C333)*24*60</f>
        <v>0</v>
      </c>
      <c r="BD333" s="243">
        <f>SUMIFS(Podcasts!$F$1839:'Podcasts'!$F$1855,Podcasts!$D$1839:'Podcasts'!$D$1855,"&gt;0",Podcasts!$E$1839:'Podcasts'!$E$1855,"&gt;"&amp;$C332,Podcasts!$E$1839:'Podcasts'!$E$1855,"&lt;="&amp;$C333)*24*60</f>
        <v>0</v>
      </c>
      <c r="BE333" s="243">
        <f>SUMIFS(Podcasts!$F$1861:'Podcasts'!$F$1994,Podcasts!$D$1861:'Podcasts'!$D$1994,"&gt;0",Podcasts!$E$1861:'Podcasts'!$E$1994,"&gt;"&amp;$C332,Podcasts!$E$1861:'Podcasts'!$E$1994,"&lt;="&amp;$C333)*24*60</f>
        <v>0</v>
      </c>
      <c r="BF333" s="243">
        <f>SUMIFS(Podcasts!$F$2000:'Podcasts'!$F$2057,Podcasts!$D$2000:'Podcasts'!$D$2057,"&gt;0",Podcasts!$E$2000:'Podcasts'!$E$2057,"&gt;"&amp;$C332,Podcasts!$E$2000:'Podcasts'!$E$2057,"&lt;="&amp;$C333)*24*60</f>
        <v>0</v>
      </c>
      <c r="BG333" s="243">
        <f>SUMIFS(Podcasts!$F$2063:'Podcasts'!$F$2071,Podcasts!$D$2063:'Podcasts'!$D$2071,"&gt;0",Podcasts!$E$2063:'Podcasts'!$E$2071,"&gt;"&amp;$C332,Podcasts!$E$2063:'Podcasts'!$E$2071,"&lt;="&amp;$C333)*24*60</f>
        <v>0</v>
      </c>
      <c r="BH333" s="243">
        <f>SUMIFS(Podcasts!$F$2131:'Podcasts'!$F$2367,Podcasts!$D$2131:'Podcasts'!$D$2367,"&gt;0",Podcasts!$E$2131:'Podcasts'!$E$2367,"&gt;"&amp;$C332,Podcasts!$E$2131:'Podcasts'!$E$2367,"&lt;="&amp;$C333)*24*60</f>
        <v>0</v>
      </c>
    </row>
    <row r="334" spans="1:60" outlineLevel="1">
      <c r="A334" s="163">
        <f t="shared" si="7"/>
        <v>130</v>
      </c>
      <c r="B334" s="164">
        <f t="shared" si="8"/>
        <v>26</v>
      </c>
      <c r="C334" s="72">
        <v>41912</v>
      </c>
      <c r="D334" s="165" t="str">
        <f t="shared" si="10"/>
        <v>130 (+26)</v>
      </c>
      <c r="E334" s="106">
        <f>COUNTIFS(Podcasts!$D$10:'Podcasts'!$D$107,"&gt;0",Podcasts!$E$10:'Podcasts'!$E$107,"&lt;="&amp;$C334)-1</f>
        <v>26</v>
      </c>
      <c r="F334" s="467">
        <f>COUNTIFS(Podcasts!$D$113:'Podcasts'!$D$238,"&gt;0",Podcasts!$E$113:'Podcasts'!$E$238,"&lt;="&amp;$C334)</f>
        <v>20</v>
      </c>
      <c r="G334" s="468">
        <f>COUNTIFS(Podcasts!$D$244:'Podcasts'!$D$299,"&gt;0",Podcasts!$E$244:'Podcasts'!$E$299,"&lt;="&amp;$C334)</f>
        <v>19</v>
      </c>
      <c r="H334" s="467">
        <f>COUNTIFS(Podcasts!$D$305:'Podcasts'!$D$473,"&gt;0",Podcasts!$E$305:'Podcasts'!$E$473,"&lt;="&amp;$C334)</f>
        <v>65</v>
      </c>
      <c r="I334" s="467"/>
      <c r="J334" s="468"/>
      <c r="K334" s="469"/>
      <c r="L334" s="467"/>
      <c r="M334" s="467"/>
      <c r="N334" s="469"/>
      <c r="O334" s="467"/>
      <c r="P334" s="467"/>
      <c r="Q334" s="469"/>
      <c r="R334" s="467"/>
      <c r="T334" s="469"/>
      <c r="U334" s="467"/>
      <c r="V334" s="467"/>
      <c r="W334" s="469"/>
      <c r="X334" s="467"/>
      <c r="Y334" s="467"/>
      <c r="Z334" s="469"/>
      <c r="AA334" s="467"/>
      <c r="AC334" s="425"/>
      <c r="AF334" s="469">
        <f>COUNTIFS(Podcasts!$E$2131:'Podcasts'!$E$2367,"&lt;="&amp;$C334)</f>
        <v>15</v>
      </c>
      <c r="AH334" s="243">
        <f t="shared" si="5"/>
        <v>261.91666666666663</v>
      </c>
      <c r="AI334" s="243">
        <f>SUMIFS(Podcasts!$F$10:'Podcasts'!$F$107,Podcasts!$D$10:'Podcasts'!$D$107,"&gt;0",Podcasts!$E$10:'Podcasts'!$E$107,"&gt;"&amp;$C333,Podcasts!$E$10:'Podcasts'!$E$107,"&lt;="&amp;$C334)*24*60</f>
        <v>50.866666666666667</v>
      </c>
      <c r="AJ334" s="243">
        <f>SUMIFS(Podcasts!$F$113:'Podcasts'!$F$238,Podcasts!$D$113:'Podcasts'!$D$238,"&gt;0",Podcasts!$E$113:'Podcasts'!$E$238,"&gt;"&amp;$C333,Podcasts!$E$113:'Podcasts'!$E$238,"&lt;="&amp;$C334)*24*60</f>
        <v>1.4</v>
      </c>
      <c r="AK334" s="243">
        <f>SUMIFS(Podcasts!$F$244:'Podcasts'!$F$299,Podcasts!$D$244:'Podcasts'!$D$299,"&gt;0",Podcasts!$E$244:'Podcasts'!$E$299,"&gt;"&amp;$C333,Podcasts!$E$244:'Podcasts'!$E$299,"&lt;="&amp;$C334)*24*60</f>
        <v>26.9</v>
      </c>
      <c r="AL334" s="243">
        <f>SUMIFS(Podcasts!$F$305:'Podcasts'!$F$473,Podcasts!$D$305:'Podcasts'!$D$473,"&gt;0",Podcasts!$E$305:'Podcasts'!$E$473,"&gt;"&amp;$C333,Podcasts!$E$305:'Podcasts'!$E$473,"&lt;="&amp;$C334)*24*60</f>
        <v>182.75</v>
      </c>
      <c r="AM334" s="243">
        <f>SUMIFS(Podcasts!$F$479:'Podcasts'!$F$488,Podcasts!$D$479:'Podcasts'!$D$488,"&gt;0",Podcasts!$E$479:'Podcasts'!$E$488,"&gt;"&amp;$C333,Podcasts!$E$479:'Podcasts'!$E$488,"&lt;="&amp;$C334)*24*60</f>
        <v>0</v>
      </c>
      <c r="AN334" s="243">
        <f>SUMIFS(Podcasts!$F$494:'Podcasts'!$F$518,Podcasts!$D$494:'Podcasts'!$D$518,"&gt;0",Podcasts!$E$494:'Podcasts'!$E$518,"&gt;"&amp;$C333,Podcasts!$E$494:'Podcasts'!$E$518,"&lt;="&amp;$C334)*24*60</f>
        <v>0</v>
      </c>
      <c r="AO334" s="243">
        <f>SUMIFS(Podcasts!$F$524:'Podcasts'!$F$532,Podcasts!$D$524:'Podcasts'!$D$532,"&gt;0",Podcasts!$E$524:'Podcasts'!$E$532,"&gt;"&amp;$C333,Podcasts!$E$524:'Podcasts'!$E$532,"&lt;="&amp;$C334)*24*60</f>
        <v>0</v>
      </c>
      <c r="AP334" s="243">
        <f>SUMIFS(Podcasts!$F$538:'Podcasts'!$F$909,Podcasts!$D$538:'Podcasts'!$D$909,"&gt;0",Podcasts!$E$538:'Podcasts'!$E$909,"&gt;"&amp;$C333,Podcasts!$E$538:'Podcasts'!$E$909,"&lt;="&amp;$C334)*24*60</f>
        <v>0</v>
      </c>
      <c r="AQ334" s="243">
        <f>SUMIFS(Podcasts!$F$915:'Podcasts'!$F$981,Podcasts!$D$915:'Podcasts'!$D$981,"&gt;0",Podcasts!$E$915:'Podcasts'!$E$981,"&gt;"&amp;$C333,Podcasts!$E$915:'Podcasts'!$E$981,"&lt;="&amp;$C334)*24*60</f>
        <v>0</v>
      </c>
      <c r="AR334" s="243">
        <f>SUMIFS(Podcasts!$F$987:'Podcasts'!$F$995,Podcasts!$D$987:'Podcasts'!$D$995,"&gt;0",Podcasts!$E$987:'Podcasts'!$E$995,"&gt;"&amp;$C333,Podcasts!$E$987:'Podcasts'!$E$995,"&lt;="&amp;$C334)*24*60</f>
        <v>0</v>
      </c>
      <c r="AS334" s="243">
        <f>SUMIFS(Podcasts!$F$1001:'Podcasts'!$F$1251,Podcasts!$D$1001:'Podcasts'!$D$1251,"&gt;0",Podcasts!$E$1001:'Podcasts'!$E$1251,"&gt;"&amp;$C333,Podcasts!$E$1001:'Podcasts'!$E$1251,"&lt;="&amp;$C334)*24*60</f>
        <v>0</v>
      </c>
      <c r="AT334" s="243">
        <f>SUMIFS(Podcasts!$F$1257:'Podcasts'!$F$1267,Podcasts!$D$1257:'Podcasts'!$D$1267,"&gt;0",Podcasts!$E$1257:'Podcasts'!$E$1267,"&gt;"&amp;$C333,Podcasts!$E$1257:'Podcasts'!$E$1267,"&lt;="&amp;$C334)*24*60</f>
        <v>0</v>
      </c>
      <c r="AU334" s="243">
        <f>SUMIFS(Podcasts!$F$1273:'Podcasts'!$F$1283,Podcasts!$D$1273:'Podcasts'!$D$1283,"&gt;0",Podcasts!$E$1273:'Podcasts'!$E$1283,"&gt;"&amp;$C333,Podcasts!$E$1273:'Podcasts'!$E$1283,"&lt;="&amp;$C334)*24*60</f>
        <v>0</v>
      </c>
      <c r="AV334" s="243">
        <f>SUMIFS(Podcasts!$F$1289:'Podcasts'!$F$1295,Podcasts!$D$1289:'Podcasts'!$D$1295,"&gt;0",Podcasts!$E$1289:'Podcasts'!$E$1295,"&gt;"&amp;$C333,Podcasts!$E$1289:'Podcasts'!$E$1295,"&lt;="&amp;$C334)*24*60</f>
        <v>0</v>
      </c>
      <c r="AW334" s="243">
        <f>SUMIFS(Podcasts!$F$1301:'Podcasts'!$F$1356,Podcasts!$D$1301:'Podcasts'!$D$1356,"&gt;0",Podcasts!$E$1301:'Podcasts'!$E$1356,"&gt;"&amp;$C333,Podcasts!$E$1301:'Podcasts'!$E$1356,"&lt;="&amp;$C334)*24*60</f>
        <v>0</v>
      </c>
      <c r="AX334" s="243">
        <f>SUMIFS(Podcasts!$F$1362:'Podcasts'!$F$1364,Podcasts!$D$1362:'Podcasts'!$D$1364,"&gt;0",Podcasts!$E$1362:'Podcasts'!$E$1364,"&gt;"&amp;$C333,Podcasts!$E$1362:'Podcasts'!$E$1364,"&lt;="&amp;$C334)*24*60</f>
        <v>0</v>
      </c>
      <c r="AY334" s="243">
        <f>SUMIFS(Podcasts!$F$1370:'Podcasts'!$F$1419,Podcasts!$D$1370:'Podcasts'!$D$1419,"&gt;0",Podcasts!$E$1370:'Podcasts'!$E$1419,"&gt;"&amp;$C333,Podcasts!$E$1370:'Podcasts'!$E$1419,"&lt;="&amp;$C334)*24*60</f>
        <v>0</v>
      </c>
      <c r="AZ334" s="243">
        <f>SUMIFS(Podcasts!$F$1425:'Podcasts'!$F$1446,Podcasts!$D$1425:'Podcasts'!$D$1446,"&gt;0",Podcasts!$E$1425:'Podcasts'!$E$1446,"&gt;"&amp;$C333,Podcasts!$E$1425:'Podcasts'!$E$1446,"&lt;="&amp;$C334)*24*60</f>
        <v>0</v>
      </c>
      <c r="BA334" s="243">
        <f>SUMIFS(Podcasts!$F$1452:'Podcasts'!$F$1574,Podcasts!$D$1452:'Podcasts'!$D$1574,"&gt;0",Podcasts!$E$1452:'Podcasts'!$E$1574,"&gt;"&amp;$C333,Podcasts!$E$1452:'Podcasts'!$E$1574,"&lt;="&amp;$C334)*24*60</f>
        <v>0</v>
      </c>
      <c r="BB334" s="243">
        <f>SUMIFS(Podcasts!$F$1580:'Podcasts'!$F$1705,Podcasts!$D$1580:'Podcasts'!$D$1705,"&gt;0",Podcasts!$E$1580:'Podcasts'!$E$1705,"&gt;"&amp;$C333,Podcasts!$E$1580:'Podcasts'!$E$1705,"&lt;="&amp;$C334)*24*60</f>
        <v>0</v>
      </c>
      <c r="BC334" s="243">
        <f>SUMIFS(Podcasts!$F$1711:'Podcasts'!$F$1833,Podcasts!$D$1711:'Podcasts'!$D$1833,"&gt;0",Podcasts!$E$1711:'Podcasts'!$E$1833,"&gt;"&amp;$C333,Podcasts!$E$1711:'Podcasts'!$E$1833,"&lt;="&amp;$C334)*24*60</f>
        <v>0</v>
      </c>
      <c r="BD334" s="243">
        <f>SUMIFS(Podcasts!$F$1839:'Podcasts'!$F$1855,Podcasts!$D$1839:'Podcasts'!$D$1855,"&gt;0",Podcasts!$E$1839:'Podcasts'!$E$1855,"&gt;"&amp;$C333,Podcasts!$E$1839:'Podcasts'!$E$1855,"&lt;="&amp;$C334)*24*60</f>
        <v>0</v>
      </c>
      <c r="BE334" s="243">
        <f>SUMIFS(Podcasts!$F$1861:'Podcasts'!$F$1994,Podcasts!$D$1861:'Podcasts'!$D$1994,"&gt;0",Podcasts!$E$1861:'Podcasts'!$E$1994,"&gt;"&amp;$C333,Podcasts!$E$1861:'Podcasts'!$E$1994,"&lt;="&amp;$C334)*24*60</f>
        <v>0</v>
      </c>
      <c r="BF334" s="243">
        <f>SUMIFS(Podcasts!$F$2000:'Podcasts'!$F$2057,Podcasts!$D$2000:'Podcasts'!$D$2057,"&gt;0",Podcasts!$E$2000:'Podcasts'!$E$2057,"&gt;"&amp;$C333,Podcasts!$E$2000:'Podcasts'!$E$2057,"&lt;="&amp;$C334)*24*60</f>
        <v>0</v>
      </c>
      <c r="BG334" s="243">
        <f>SUMIFS(Podcasts!$F$2063:'Podcasts'!$F$2071,Podcasts!$D$2063:'Podcasts'!$D$2071,"&gt;0",Podcasts!$E$2063:'Podcasts'!$E$2071,"&gt;"&amp;$C333,Podcasts!$E$2063:'Podcasts'!$E$2071,"&lt;="&amp;$C334)*24*60</f>
        <v>0</v>
      </c>
      <c r="BH334" s="243">
        <f>SUMIFS(Podcasts!$F$2131:'Podcasts'!$F$2367,Podcasts!$D$2131:'Podcasts'!$D$2367,"&gt;0",Podcasts!$E$2131:'Podcasts'!$E$2367,"&gt;"&amp;$C333,Podcasts!$E$2131:'Podcasts'!$E$2367,"&lt;="&amp;$C334)*24*60</f>
        <v>0</v>
      </c>
    </row>
    <row r="335" spans="1:60" outlineLevel="1">
      <c r="A335" s="163">
        <f t="shared" si="7"/>
        <v>172</v>
      </c>
      <c r="B335" s="164">
        <f t="shared" si="8"/>
        <v>42</v>
      </c>
      <c r="C335" s="72">
        <v>42004</v>
      </c>
      <c r="D335" s="166" t="str">
        <f t="shared" si="10"/>
        <v>172 (+42)</v>
      </c>
      <c r="E335" s="106">
        <f>COUNTIFS(Podcasts!$D$10:'Podcasts'!$D$107,"&gt;0",Podcasts!$E$10:'Podcasts'!$E$107,"&lt;="&amp;$C335)-1</f>
        <v>26</v>
      </c>
      <c r="F335" s="467">
        <f>COUNTIFS(Podcasts!$D$113:'Podcasts'!$D$238,"&gt;0",Podcasts!$E$113:'Podcasts'!$E$238,"&lt;="&amp;$C335)</f>
        <v>23</v>
      </c>
      <c r="G335" s="468">
        <f>COUNTIFS(Podcasts!$D$244:'Podcasts'!$D$299,"&gt;0",Podcasts!$E$244:'Podcasts'!$E$299,"&lt;="&amp;$C335)</f>
        <v>20</v>
      </c>
      <c r="H335" s="474">
        <f>COUNTIFS(Podcasts!$D$305:'Podcasts'!$D$473,"&gt;0",Podcasts!$E$305:'Podcasts'!$E$473,"&lt;="&amp;$C335)-1</f>
        <v>103</v>
      </c>
      <c r="I335" s="467"/>
      <c r="J335" s="468"/>
      <c r="K335" s="469"/>
      <c r="L335" s="467"/>
      <c r="M335" s="467"/>
      <c r="N335" s="469"/>
      <c r="O335" s="467"/>
      <c r="P335" s="467"/>
      <c r="Q335" s="469"/>
      <c r="R335" s="467"/>
      <c r="T335" s="469"/>
      <c r="U335" s="467"/>
      <c r="V335" s="467"/>
      <c r="W335" s="469"/>
      <c r="X335" s="474"/>
      <c r="Y335" s="474"/>
      <c r="Z335" s="475"/>
      <c r="AA335" s="467"/>
      <c r="AC335" s="475"/>
      <c r="AF335" s="475">
        <f>COUNTIFS(Podcasts!$E$2131:'Podcasts'!$E$2367,"&lt;="&amp;$C335)</f>
        <v>15</v>
      </c>
      <c r="AH335" s="243">
        <f t="shared" si="5"/>
        <v>406.58333333333326</v>
      </c>
      <c r="AI335" s="243">
        <f>SUMIFS(Podcasts!$F$10:'Podcasts'!$F$107,Podcasts!$D$10:'Podcasts'!$D$107,"&gt;0",Podcasts!$E$10:'Podcasts'!$E$107,"&gt;"&amp;$C334,Podcasts!$E$10:'Podcasts'!$E$107,"&lt;="&amp;$C335)*24*60</f>
        <v>0</v>
      </c>
      <c r="AJ335" s="243">
        <f>SUMIFS(Podcasts!$F$113:'Podcasts'!$F$238,Podcasts!$D$113:'Podcasts'!$D$238,"&gt;0",Podcasts!$E$113:'Podcasts'!$E$238,"&gt;"&amp;$C334,Podcasts!$E$113:'Podcasts'!$E$238,"&lt;="&amp;$C335)*24*60</f>
        <v>7.5166666666666657</v>
      </c>
      <c r="AK335" s="243">
        <f>SUMIFS(Podcasts!$F$244:'Podcasts'!$F$299,Podcasts!$D$244:'Podcasts'!$D$299,"&gt;0",Podcasts!$E$244:'Podcasts'!$E$299,"&gt;"&amp;$C334,Podcasts!$E$244:'Podcasts'!$E$299,"&lt;="&amp;$C335)*24*60</f>
        <v>20.066666666666666</v>
      </c>
      <c r="AL335" s="243">
        <f>SUMIFS(Podcasts!$F$305:'Podcasts'!$F$473,Podcasts!$D$305:'Podcasts'!$D$473,"&gt;0",Podcasts!$E$305:'Podcasts'!$E$473,"&gt;"&amp;$C334,Podcasts!$E$305:'Podcasts'!$E$473,"&lt;="&amp;$C335)*24*60</f>
        <v>378.99999999999994</v>
      </c>
      <c r="AM335" s="243">
        <f>SUMIFS(Podcasts!$F$479:'Podcasts'!$F$488,Podcasts!$D$479:'Podcasts'!$D$488,"&gt;0",Podcasts!$E$479:'Podcasts'!$E$488,"&gt;"&amp;$C334,Podcasts!$E$479:'Podcasts'!$E$488,"&lt;="&amp;$C335)*24*60</f>
        <v>0</v>
      </c>
      <c r="AN335" s="243">
        <f>SUMIFS(Podcasts!$F$494:'Podcasts'!$F$518,Podcasts!$D$494:'Podcasts'!$D$518,"&gt;0",Podcasts!$E$494:'Podcasts'!$E$518,"&gt;"&amp;$C334,Podcasts!$E$494:'Podcasts'!$E$518,"&lt;="&amp;$C335)*24*60</f>
        <v>0</v>
      </c>
      <c r="AO335" s="243">
        <f>SUMIFS(Podcasts!$F$524:'Podcasts'!$F$532,Podcasts!$D$524:'Podcasts'!$D$532,"&gt;0",Podcasts!$E$524:'Podcasts'!$E$532,"&gt;"&amp;$C334,Podcasts!$E$524:'Podcasts'!$E$532,"&lt;="&amp;$C335)*24*60</f>
        <v>0</v>
      </c>
      <c r="AP335" s="243">
        <f>SUMIFS(Podcasts!$F$538:'Podcasts'!$F$909,Podcasts!$D$538:'Podcasts'!$D$909,"&gt;0",Podcasts!$E$538:'Podcasts'!$E$909,"&gt;"&amp;$C334,Podcasts!$E$538:'Podcasts'!$E$909,"&lt;="&amp;$C335)*24*60</f>
        <v>0</v>
      </c>
      <c r="AQ335" s="243">
        <f>SUMIFS(Podcasts!$F$915:'Podcasts'!$F$981,Podcasts!$D$915:'Podcasts'!$D$981,"&gt;0",Podcasts!$E$915:'Podcasts'!$E$981,"&gt;"&amp;$C334,Podcasts!$E$915:'Podcasts'!$E$981,"&lt;="&amp;$C335)*24*60</f>
        <v>0</v>
      </c>
      <c r="AR335" s="243">
        <f>SUMIFS(Podcasts!$F$987:'Podcasts'!$F$995,Podcasts!$D$987:'Podcasts'!$D$995,"&gt;0",Podcasts!$E$987:'Podcasts'!$E$995,"&gt;"&amp;$C334,Podcasts!$E$987:'Podcasts'!$E$995,"&lt;="&amp;$C335)*24*60</f>
        <v>0</v>
      </c>
      <c r="AS335" s="243">
        <f>SUMIFS(Podcasts!$F$1001:'Podcasts'!$F$1251,Podcasts!$D$1001:'Podcasts'!$D$1251,"&gt;0",Podcasts!$E$1001:'Podcasts'!$E$1251,"&gt;"&amp;$C334,Podcasts!$E$1001:'Podcasts'!$E$1251,"&lt;="&amp;$C335)*24*60</f>
        <v>0</v>
      </c>
      <c r="AT335" s="243">
        <f>SUMIFS(Podcasts!$F$1257:'Podcasts'!$F$1267,Podcasts!$D$1257:'Podcasts'!$D$1267,"&gt;0",Podcasts!$E$1257:'Podcasts'!$E$1267,"&gt;"&amp;$C334,Podcasts!$E$1257:'Podcasts'!$E$1267,"&lt;="&amp;$C335)*24*60</f>
        <v>0</v>
      </c>
      <c r="AU335" s="243">
        <f>SUMIFS(Podcasts!$F$1273:'Podcasts'!$F$1283,Podcasts!$D$1273:'Podcasts'!$D$1283,"&gt;0",Podcasts!$E$1273:'Podcasts'!$E$1283,"&gt;"&amp;$C334,Podcasts!$E$1273:'Podcasts'!$E$1283,"&lt;="&amp;$C335)*24*60</f>
        <v>0</v>
      </c>
      <c r="AV335" s="243">
        <f>SUMIFS(Podcasts!$F$1289:'Podcasts'!$F$1295,Podcasts!$D$1289:'Podcasts'!$D$1295,"&gt;0",Podcasts!$E$1289:'Podcasts'!$E$1295,"&gt;"&amp;$C334,Podcasts!$E$1289:'Podcasts'!$E$1295,"&lt;="&amp;$C335)*24*60</f>
        <v>0</v>
      </c>
      <c r="AW335" s="243">
        <f>SUMIFS(Podcasts!$F$1301:'Podcasts'!$F$1356,Podcasts!$D$1301:'Podcasts'!$D$1356,"&gt;0",Podcasts!$E$1301:'Podcasts'!$E$1356,"&gt;"&amp;$C334,Podcasts!$E$1301:'Podcasts'!$E$1356,"&lt;="&amp;$C335)*24*60</f>
        <v>0</v>
      </c>
      <c r="AX335" s="243">
        <f>SUMIFS(Podcasts!$F$1362:'Podcasts'!$F$1364,Podcasts!$D$1362:'Podcasts'!$D$1364,"&gt;0",Podcasts!$E$1362:'Podcasts'!$E$1364,"&gt;"&amp;$C334,Podcasts!$E$1362:'Podcasts'!$E$1364,"&lt;="&amp;$C335)*24*60</f>
        <v>0</v>
      </c>
      <c r="AY335" s="243">
        <f>SUMIFS(Podcasts!$F$1370:'Podcasts'!$F$1419,Podcasts!$D$1370:'Podcasts'!$D$1419,"&gt;0",Podcasts!$E$1370:'Podcasts'!$E$1419,"&gt;"&amp;$C334,Podcasts!$E$1370:'Podcasts'!$E$1419,"&lt;="&amp;$C335)*24*60</f>
        <v>0</v>
      </c>
      <c r="AZ335" s="243">
        <f>SUMIFS(Podcasts!$F$1425:'Podcasts'!$F$1446,Podcasts!$D$1425:'Podcasts'!$D$1446,"&gt;0",Podcasts!$E$1425:'Podcasts'!$E$1446,"&gt;"&amp;$C334,Podcasts!$E$1425:'Podcasts'!$E$1446,"&lt;="&amp;$C335)*24*60</f>
        <v>0</v>
      </c>
      <c r="BA335" s="243">
        <f>SUMIFS(Podcasts!$F$1452:'Podcasts'!$F$1574,Podcasts!$D$1452:'Podcasts'!$D$1574,"&gt;0",Podcasts!$E$1452:'Podcasts'!$E$1574,"&gt;"&amp;$C334,Podcasts!$E$1452:'Podcasts'!$E$1574,"&lt;="&amp;$C335)*24*60</f>
        <v>0</v>
      </c>
      <c r="BB335" s="243">
        <f>SUMIFS(Podcasts!$F$1580:'Podcasts'!$F$1705,Podcasts!$D$1580:'Podcasts'!$D$1705,"&gt;0",Podcasts!$E$1580:'Podcasts'!$E$1705,"&gt;"&amp;$C334,Podcasts!$E$1580:'Podcasts'!$E$1705,"&lt;="&amp;$C335)*24*60</f>
        <v>0</v>
      </c>
      <c r="BC335" s="243">
        <f>SUMIFS(Podcasts!$F$1711:'Podcasts'!$F$1833,Podcasts!$D$1711:'Podcasts'!$D$1833,"&gt;0",Podcasts!$E$1711:'Podcasts'!$E$1833,"&gt;"&amp;$C334,Podcasts!$E$1711:'Podcasts'!$E$1833,"&lt;="&amp;$C335)*24*60</f>
        <v>0</v>
      </c>
      <c r="BD335" s="243">
        <f>SUMIFS(Podcasts!$F$1839:'Podcasts'!$F$1855,Podcasts!$D$1839:'Podcasts'!$D$1855,"&gt;0",Podcasts!$E$1839:'Podcasts'!$E$1855,"&gt;"&amp;$C334,Podcasts!$E$1839:'Podcasts'!$E$1855,"&lt;="&amp;$C335)*24*60</f>
        <v>0</v>
      </c>
      <c r="BE335" s="243">
        <f>SUMIFS(Podcasts!$F$1861:'Podcasts'!$F$1994,Podcasts!$D$1861:'Podcasts'!$D$1994,"&gt;0",Podcasts!$E$1861:'Podcasts'!$E$1994,"&gt;"&amp;$C334,Podcasts!$E$1861:'Podcasts'!$E$1994,"&lt;="&amp;$C335)*24*60</f>
        <v>0</v>
      </c>
      <c r="BF335" s="243">
        <f>SUMIFS(Podcasts!$F$2000:'Podcasts'!$F$2057,Podcasts!$D$2000:'Podcasts'!$D$2057,"&gt;0",Podcasts!$E$2000:'Podcasts'!$E$2057,"&gt;"&amp;$C334,Podcasts!$E$2000:'Podcasts'!$E$2057,"&lt;="&amp;$C335)*24*60</f>
        <v>0</v>
      </c>
      <c r="BG335" s="243">
        <f>SUMIFS(Podcasts!$F$2063:'Podcasts'!$F$2071,Podcasts!$D$2063:'Podcasts'!$D$2071,"&gt;0",Podcasts!$E$2063:'Podcasts'!$E$2071,"&gt;"&amp;$C334,Podcasts!$E$2063:'Podcasts'!$E$2071,"&lt;="&amp;$C335)*24*60</f>
        <v>0</v>
      </c>
      <c r="BH335" s="243">
        <f>SUMIFS(Podcasts!$F$2131:'Podcasts'!$F$2367,Podcasts!$D$2131:'Podcasts'!$D$2367,"&gt;0",Podcasts!$E$2131:'Podcasts'!$E$2367,"&gt;"&amp;$C334,Podcasts!$E$2131:'Podcasts'!$E$2367,"&lt;="&amp;$C335)*24*60</f>
        <v>0</v>
      </c>
    </row>
    <row r="336" spans="1:60" outlineLevel="1">
      <c r="A336" s="163">
        <f t="shared" si="7"/>
        <v>199</v>
      </c>
      <c r="B336" s="164">
        <f t="shared" si="8"/>
        <v>27</v>
      </c>
      <c r="C336" s="73">
        <v>42094</v>
      </c>
      <c r="D336" s="167" t="str">
        <f t="shared" si="10"/>
        <v>199 (+27)</v>
      </c>
      <c r="E336" s="470">
        <f>COUNTIFS(Podcasts!$D$10:'Podcasts'!$D$107,"&gt;0",Podcasts!$E$10:'Podcasts'!$E$107,"&lt;="&amp;$C336)-1</f>
        <v>26</v>
      </c>
      <c r="F336" s="471">
        <f>COUNTIFS(Podcasts!$D$113:'Podcasts'!$D$238,"&gt;0",Podcasts!$E$113:'Podcasts'!$E$238,"&lt;="&amp;$C336)</f>
        <v>24</v>
      </c>
      <c r="G336" s="472">
        <f>COUNTIFS(Podcasts!$D$244:'Podcasts'!$D$299,"&gt;0",Podcasts!$E$244:'Podcasts'!$E$299,"&lt;="&amp;$C336)</f>
        <v>21</v>
      </c>
      <c r="H336" s="471">
        <f>COUNTIFS(Podcasts!$D$305:'Podcasts'!$D$473,"&gt;0",Podcasts!$E$305:'Podcasts'!$E$473,"&lt;="&amp;$C336)-1</f>
        <v>128</v>
      </c>
      <c r="I336" s="471"/>
      <c r="J336" s="472"/>
      <c r="K336" s="473"/>
      <c r="L336" s="471"/>
      <c r="M336" s="471"/>
      <c r="N336" s="473"/>
      <c r="O336" s="471"/>
      <c r="P336" s="471"/>
      <c r="Q336" s="473"/>
      <c r="R336" s="471"/>
      <c r="S336" s="19"/>
      <c r="T336" s="473"/>
      <c r="U336" s="471"/>
      <c r="V336" s="471"/>
      <c r="W336" s="473"/>
      <c r="X336" s="467"/>
      <c r="Y336" s="467"/>
      <c r="Z336" s="469"/>
      <c r="AA336" s="471"/>
      <c r="AB336" s="471"/>
      <c r="AC336" s="473"/>
      <c r="AD336" s="471"/>
      <c r="AE336" s="471"/>
      <c r="AF336" s="469">
        <f>COUNTIFS(Podcasts!$E$2131:'Podcasts'!$E$2367,"&lt;="&amp;$C336)</f>
        <v>15</v>
      </c>
      <c r="AH336" s="243">
        <f t="shared" si="5"/>
        <v>491.01666666666677</v>
      </c>
      <c r="AI336" s="243">
        <f>SUMIFS(Podcasts!$F$10:'Podcasts'!$F$107,Podcasts!$D$10:'Podcasts'!$D$107,"&gt;0",Podcasts!$E$10:'Podcasts'!$E$107,"&gt;"&amp;$C335,Podcasts!$E$10:'Podcasts'!$E$107,"&lt;="&amp;$C336)*24*60</f>
        <v>0</v>
      </c>
      <c r="AJ336" s="243">
        <f>SUMIFS(Podcasts!$F$113:'Podcasts'!$F$238,Podcasts!$D$113:'Podcasts'!$D$238,"&gt;0",Podcasts!$E$113:'Podcasts'!$E$238,"&gt;"&amp;$C335,Podcasts!$E$113:'Podcasts'!$E$238,"&lt;="&amp;$C336)*24*60</f>
        <v>2.25</v>
      </c>
      <c r="AK336" s="243">
        <f>SUMIFS(Podcasts!$F$244:'Podcasts'!$F$299,Podcasts!$D$244:'Podcasts'!$D$299,"&gt;0",Podcasts!$E$244:'Podcasts'!$E$299,"&gt;"&amp;$C335,Podcasts!$E$244:'Podcasts'!$E$299,"&lt;="&amp;$C336)*24*60</f>
        <v>25.183333333333334</v>
      </c>
      <c r="AL336" s="243">
        <f>SUMIFS(Podcasts!$F$305:'Podcasts'!$F$473,Podcasts!$D$305:'Podcasts'!$D$473,"&gt;0",Podcasts!$E$305:'Podcasts'!$E$473,"&gt;"&amp;$C335,Podcasts!$E$305:'Podcasts'!$E$473,"&lt;="&amp;$C336)*24*60</f>
        <v>463.58333333333343</v>
      </c>
      <c r="AM336" s="243">
        <f>SUMIFS(Podcasts!$F$479:'Podcasts'!$F$488,Podcasts!$D$479:'Podcasts'!$D$488,"&gt;0",Podcasts!$E$479:'Podcasts'!$E$488,"&gt;"&amp;$C335,Podcasts!$E$479:'Podcasts'!$E$488,"&lt;="&amp;$C336)*24*60</f>
        <v>0</v>
      </c>
      <c r="AN336" s="243">
        <f>SUMIFS(Podcasts!$F$494:'Podcasts'!$F$518,Podcasts!$D$494:'Podcasts'!$D$518,"&gt;0",Podcasts!$E$494:'Podcasts'!$E$518,"&gt;"&amp;$C335,Podcasts!$E$494:'Podcasts'!$E$518,"&lt;="&amp;$C336)*24*60</f>
        <v>0</v>
      </c>
      <c r="AO336" s="243">
        <f>SUMIFS(Podcasts!$F$524:'Podcasts'!$F$532,Podcasts!$D$524:'Podcasts'!$D$532,"&gt;0",Podcasts!$E$524:'Podcasts'!$E$532,"&gt;"&amp;$C335,Podcasts!$E$524:'Podcasts'!$E$532,"&lt;="&amp;$C336)*24*60</f>
        <v>0</v>
      </c>
      <c r="AP336" s="243">
        <f>SUMIFS(Podcasts!$F$538:'Podcasts'!$F$909,Podcasts!$D$538:'Podcasts'!$D$909,"&gt;0",Podcasts!$E$538:'Podcasts'!$E$909,"&gt;"&amp;$C335,Podcasts!$E$538:'Podcasts'!$E$909,"&lt;="&amp;$C336)*24*60</f>
        <v>0</v>
      </c>
      <c r="AQ336" s="243">
        <f>SUMIFS(Podcasts!$F$915:'Podcasts'!$F$981,Podcasts!$D$915:'Podcasts'!$D$981,"&gt;0",Podcasts!$E$915:'Podcasts'!$E$981,"&gt;"&amp;$C335,Podcasts!$E$915:'Podcasts'!$E$981,"&lt;="&amp;$C336)*24*60</f>
        <v>0</v>
      </c>
      <c r="AR336" s="243">
        <f>SUMIFS(Podcasts!$F$987:'Podcasts'!$F$995,Podcasts!$D$987:'Podcasts'!$D$995,"&gt;0",Podcasts!$E$987:'Podcasts'!$E$995,"&gt;"&amp;$C335,Podcasts!$E$987:'Podcasts'!$E$995,"&lt;="&amp;$C336)*24*60</f>
        <v>0</v>
      </c>
      <c r="AS336" s="243">
        <f>SUMIFS(Podcasts!$F$1001:'Podcasts'!$F$1251,Podcasts!$D$1001:'Podcasts'!$D$1251,"&gt;0",Podcasts!$E$1001:'Podcasts'!$E$1251,"&gt;"&amp;$C335,Podcasts!$E$1001:'Podcasts'!$E$1251,"&lt;="&amp;$C336)*24*60</f>
        <v>0</v>
      </c>
      <c r="AT336" s="243">
        <f>SUMIFS(Podcasts!$F$1257:'Podcasts'!$F$1267,Podcasts!$D$1257:'Podcasts'!$D$1267,"&gt;0",Podcasts!$E$1257:'Podcasts'!$E$1267,"&gt;"&amp;$C335,Podcasts!$E$1257:'Podcasts'!$E$1267,"&lt;="&amp;$C336)*24*60</f>
        <v>0</v>
      </c>
      <c r="AU336" s="243">
        <f>SUMIFS(Podcasts!$F$1273:'Podcasts'!$F$1283,Podcasts!$D$1273:'Podcasts'!$D$1283,"&gt;0",Podcasts!$E$1273:'Podcasts'!$E$1283,"&gt;"&amp;$C335,Podcasts!$E$1273:'Podcasts'!$E$1283,"&lt;="&amp;$C336)*24*60</f>
        <v>0</v>
      </c>
      <c r="AV336" s="243">
        <f>SUMIFS(Podcasts!$F$1289:'Podcasts'!$F$1295,Podcasts!$D$1289:'Podcasts'!$D$1295,"&gt;0",Podcasts!$E$1289:'Podcasts'!$E$1295,"&gt;"&amp;$C335,Podcasts!$E$1289:'Podcasts'!$E$1295,"&lt;="&amp;$C336)*24*60</f>
        <v>0</v>
      </c>
      <c r="AW336" s="243">
        <f>SUMIFS(Podcasts!$F$1301:'Podcasts'!$F$1356,Podcasts!$D$1301:'Podcasts'!$D$1356,"&gt;0",Podcasts!$E$1301:'Podcasts'!$E$1356,"&gt;"&amp;$C335,Podcasts!$E$1301:'Podcasts'!$E$1356,"&lt;="&amp;$C336)*24*60</f>
        <v>0</v>
      </c>
      <c r="AX336" s="243">
        <f>SUMIFS(Podcasts!$F$1362:'Podcasts'!$F$1364,Podcasts!$D$1362:'Podcasts'!$D$1364,"&gt;0",Podcasts!$E$1362:'Podcasts'!$E$1364,"&gt;"&amp;$C335,Podcasts!$E$1362:'Podcasts'!$E$1364,"&lt;="&amp;$C336)*24*60</f>
        <v>0</v>
      </c>
      <c r="AY336" s="243">
        <f>SUMIFS(Podcasts!$F$1370:'Podcasts'!$F$1419,Podcasts!$D$1370:'Podcasts'!$D$1419,"&gt;0",Podcasts!$E$1370:'Podcasts'!$E$1419,"&gt;"&amp;$C335,Podcasts!$E$1370:'Podcasts'!$E$1419,"&lt;="&amp;$C336)*24*60</f>
        <v>0</v>
      </c>
      <c r="AZ336" s="243">
        <f>SUMIFS(Podcasts!$F$1425:'Podcasts'!$F$1446,Podcasts!$D$1425:'Podcasts'!$D$1446,"&gt;0",Podcasts!$E$1425:'Podcasts'!$E$1446,"&gt;"&amp;$C335,Podcasts!$E$1425:'Podcasts'!$E$1446,"&lt;="&amp;$C336)*24*60</f>
        <v>0</v>
      </c>
      <c r="BA336" s="243">
        <f>SUMIFS(Podcasts!$F$1452:'Podcasts'!$F$1574,Podcasts!$D$1452:'Podcasts'!$D$1574,"&gt;0",Podcasts!$E$1452:'Podcasts'!$E$1574,"&gt;"&amp;$C335,Podcasts!$E$1452:'Podcasts'!$E$1574,"&lt;="&amp;$C336)*24*60</f>
        <v>0</v>
      </c>
      <c r="BB336" s="243">
        <f>SUMIFS(Podcasts!$F$1580:'Podcasts'!$F$1705,Podcasts!$D$1580:'Podcasts'!$D$1705,"&gt;0",Podcasts!$E$1580:'Podcasts'!$E$1705,"&gt;"&amp;$C335,Podcasts!$E$1580:'Podcasts'!$E$1705,"&lt;="&amp;$C336)*24*60</f>
        <v>0</v>
      </c>
      <c r="BC336" s="243">
        <f>SUMIFS(Podcasts!$F$1711:'Podcasts'!$F$1833,Podcasts!$D$1711:'Podcasts'!$D$1833,"&gt;0",Podcasts!$E$1711:'Podcasts'!$E$1833,"&gt;"&amp;$C335,Podcasts!$E$1711:'Podcasts'!$E$1833,"&lt;="&amp;$C336)*24*60</f>
        <v>0</v>
      </c>
      <c r="BD336" s="243">
        <f>SUMIFS(Podcasts!$F$1839:'Podcasts'!$F$1855,Podcasts!$D$1839:'Podcasts'!$D$1855,"&gt;0",Podcasts!$E$1839:'Podcasts'!$E$1855,"&gt;"&amp;$C335,Podcasts!$E$1839:'Podcasts'!$E$1855,"&lt;="&amp;$C336)*24*60</f>
        <v>0</v>
      </c>
      <c r="BE336" s="243">
        <f>SUMIFS(Podcasts!$F$1861:'Podcasts'!$F$1994,Podcasts!$D$1861:'Podcasts'!$D$1994,"&gt;0",Podcasts!$E$1861:'Podcasts'!$E$1994,"&gt;"&amp;$C335,Podcasts!$E$1861:'Podcasts'!$E$1994,"&lt;="&amp;$C336)*24*60</f>
        <v>0</v>
      </c>
      <c r="BF336" s="243">
        <f>SUMIFS(Podcasts!$F$2000:'Podcasts'!$F$2057,Podcasts!$D$2000:'Podcasts'!$D$2057,"&gt;0",Podcasts!$E$2000:'Podcasts'!$E$2057,"&gt;"&amp;$C335,Podcasts!$E$2000:'Podcasts'!$E$2057,"&lt;="&amp;$C336)*24*60</f>
        <v>0</v>
      </c>
      <c r="BG336" s="243">
        <f>SUMIFS(Podcasts!$F$2063:'Podcasts'!$F$2071,Podcasts!$D$2063:'Podcasts'!$D$2071,"&gt;0",Podcasts!$E$2063:'Podcasts'!$E$2071,"&gt;"&amp;$C335,Podcasts!$E$2063:'Podcasts'!$E$2071,"&lt;="&amp;$C336)*24*60</f>
        <v>0</v>
      </c>
      <c r="BH336" s="243">
        <f>SUMIFS(Podcasts!$F$2131:'Podcasts'!$F$2367,Podcasts!$D$2131:'Podcasts'!$D$2367,"&gt;0",Podcasts!$E$2131:'Podcasts'!$E$2367,"&gt;"&amp;$C335,Podcasts!$E$2131:'Podcasts'!$E$2367,"&lt;="&amp;$C336)*24*60</f>
        <v>0</v>
      </c>
    </row>
    <row r="337" spans="1:60" outlineLevel="1">
      <c r="A337" s="163">
        <f t="shared" si="7"/>
        <v>208</v>
      </c>
      <c r="B337" s="164">
        <f t="shared" si="8"/>
        <v>9</v>
      </c>
      <c r="C337" s="72">
        <v>42185</v>
      </c>
      <c r="D337" s="165" t="str">
        <f t="shared" ref="D337:D344" si="11">A337&amp;"   (+"&amp;B337&amp;")"</f>
        <v>208   (+9)</v>
      </c>
      <c r="E337" s="106">
        <f>COUNTIFS(Podcasts!$D$10:'Podcasts'!$D$107,"&gt;0",Podcasts!$E$10:'Podcasts'!$E$107,"&lt;="&amp;$C337)-1</f>
        <v>26</v>
      </c>
      <c r="F337" s="467">
        <f>COUNTIFS(Podcasts!$D$113:'Podcasts'!$D$238,"&gt;0",Podcasts!$E$113:'Podcasts'!$E$238,"&lt;="&amp;$C337)</f>
        <v>26</v>
      </c>
      <c r="G337" s="468">
        <f>COUNTIFS(Podcasts!$D$244:'Podcasts'!$D$299,"&gt;0",Podcasts!$E$244:'Podcasts'!$E$299,"&lt;="&amp;$C337)</f>
        <v>21</v>
      </c>
      <c r="H337" s="467">
        <f>COUNTIFS(Podcasts!$D$305:'Podcasts'!$D$473,"&gt;0",Podcasts!$E$305:'Podcasts'!$E$473,"&lt;="&amp;$C337)-1</f>
        <v>135</v>
      </c>
      <c r="I337" s="467"/>
      <c r="J337" s="468"/>
      <c r="K337" s="469"/>
      <c r="L337" s="467"/>
      <c r="M337" s="467"/>
      <c r="N337" s="469"/>
      <c r="O337" s="467"/>
      <c r="P337" s="467"/>
      <c r="Q337" s="469"/>
      <c r="R337" s="467"/>
      <c r="T337" s="469"/>
      <c r="U337" s="467"/>
      <c r="V337" s="467"/>
      <c r="W337" s="469"/>
      <c r="X337" s="467"/>
      <c r="Y337" s="467"/>
      <c r="Z337" s="469"/>
      <c r="AA337" s="467"/>
      <c r="AC337" s="425"/>
      <c r="AF337" s="469">
        <f>COUNTIFS(Podcasts!$E$2131:'Podcasts'!$E$2367,"&lt;="&amp;$C337)</f>
        <v>15</v>
      </c>
      <c r="AH337" s="243">
        <f t="shared" si="5"/>
        <v>241.70000000000005</v>
      </c>
      <c r="AI337" s="243">
        <f>SUMIFS(Podcasts!$F$10:'Podcasts'!$F$107,Podcasts!$D$10:'Podcasts'!$D$107,"&gt;0",Podcasts!$E$10:'Podcasts'!$E$107,"&gt;"&amp;$C336,Podcasts!$E$10:'Podcasts'!$E$107,"&lt;="&amp;$C337)*24*60</f>
        <v>0</v>
      </c>
      <c r="AJ337" s="243">
        <f>SUMIFS(Podcasts!$F$113:'Podcasts'!$F$238,Podcasts!$D$113:'Podcasts'!$D$238,"&gt;0",Podcasts!$E$113:'Podcasts'!$E$238,"&gt;"&amp;$C336,Podcasts!$E$113:'Podcasts'!$E$238,"&lt;="&amp;$C337)*24*60</f>
        <v>15.383333333333333</v>
      </c>
      <c r="AK337" s="243">
        <f>SUMIFS(Podcasts!$F$244:'Podcasts'!$F$299,Podcasts!$D$244:'Podcasts'!$D$299,"&gt;0",Podcasts!$E$244:'Podcasts'!$E$299,"&gt;"&amp;$C336,Podcasts!$E$244:'Podcasts'!$E$299,"&lt;="&amp;$C337)*24*60</f>
        <v>0</v>
      </c>
      <c r="AL337" s="243">
        <f>SUMIFS(Podcasts!$F$305:'Podcasts'!$F$473,Podcasts!$D$305:'Podcasts'!$D$473,"&gt;0",Podcasts!$E$305:'Podcasts'!$E$473,"&gt;"&amp;$C336,Podcasts!$E$305:'Podcasts'!$E$473,"&lt;="&amp;$C337)*24*60</f>
        <v>226.31666666666672</v>
      </c>
      <c r="AM337" s="243">
        <f>SUMIFS(Podcasts!$F$479:'Podcasts'!$F$488,Podcasts!$D$479:'Podcasts'!$D$488,"&gt;0",Podcasts!$E$479:'Podcasts'!$E$488,"&gt;"&amp;$C336,Podcasts!$E$479:'Podcasts'!$E$488,"&lt;="&amp;$C337)*24*60</f>
        <v>0</v>
      </c>
      <c r="AN337" s="243">
        <f>SUMIFS(Podcasts!$F$494:'Podcasts'!$F$518,Podcasts!$D$494:'Podcasts'!$D$518,"&gt;0",Podcasts!$E$494:'Podcasts'!$E$518,"&gt;"&amp;$C336,Podcasts!$E$494:'Podcasts'!$E$518,"&lt;="&amp;$C337)*24*60</f>
        <v>0</v>
      </c>
      <c r="AO337" s="243">
        <f>SUMIFS(Podcasts!$F$524:'Podcasts'!$F$532,Podcasts!$D$524:'Podcasts'!$D$532,"&gt;0",Podcasts!$E$524:'Podcasts'!$E$532,"&gt;"&amp;$C336,Podcasts!$E$524:'Podcasts'!$E$532,"&lt;="&amp;$C337)*24*60</f>
        <v>0</v>
      </c>
      <c r="AP337" s="243">
        <f>SUMIFS(Podcasts!$F$538:'Podcasts'!$F$909,Podcasts!$D$538:'Podcasts'!$D$909,"&gt;0",Podcasts!$E$538:'Podcasts'!$E$909,"&gt;"&amp;$C336,Podcasts!$E$538:'Podcasts'!$E$909,"&lt;="&amp;$C337)*24*60</f>
        <v>0</v>
      </c>
      <c r="AQ337" s="243">
        <f>SUMIFS(Podcasts!$F$915:'Podcasts'!$F$981,Podcasts!$D$915:'Podcasts'!$D$981,"&gt;0",Podcasts!$E$915:'Podcasts'!$E$981,"&gt;"&amp;$C336,Podcasts!$E$915:'Podcasts'!$E$981,"&lt;="&amp;$C337)*24*60</f>
        <v>0</v>
      </c>
      <c r="AR337" s="243">
        <f>SUMIFS(Podcasts!$F$987:'Podcasts'!$F$995,Podcasts!$D$987:'Podcasts'!$D$995,"&gt;0",Podcasts!$E$987:'Podcasts'!$E$995,"&gt;"&amp;$C336,Podcasts!$E$987:'Podcasts'!$E$995,"&lt;="&amp;$C337)*24*60</f>
        <v>0</v>
      </c>
      <c r="AS337" s="243">
        <f>SUMIFS(Podcasts!$F$1001:'Podcasts'!$F$1251,Podcasts!$D$1001:'Podcasts'!$D$1251,"&gt;0",Podcasts!$E$1001:'Podcasts'!$E$1251,"&gt;"&amp;$C336,Podcasts!$E$1001:'Podcasts'!$E$1251,"&lt;="&amp;$C337)*24*60</f>
        <v>0</v>
      </c>
      <c r="AT337" s="243">
        <f>SUMIFS(Podcasts!$F$1257:'Podcasts'!$F$1267,Podcasts!$D$1257:'Podcasts'!$D$1267,"&gt;0",Podcasts!$E$1257:'Podcasts'!$E$1267,"&gt;"&amp;$C336,Podcasts!$E$1257:'Podcasts'!$E$1267,"&lt;="&amp;$C337)*24*60</f>
        <v>0</v>
      </c>
      <c r="AU337" s="243">
        <f>SUMIFS(Podcasts!$F$1273:'Podcasts'!$F$1283,Podcasts!$D$1273:'Podcasts'!$D$1283,"&gt;0",Podcasts!$E$1273:'Podcasts'!$E$1283,"&gt;"&amp;$C336,Podcasts!$E$1273:'Podcasts'!$E$1283,"&lt;="&amp;$C337)*24*60</f>
        <v>0</v>
      </c>
      <c r="AV337" s="243">
        <f>SUMIFS(Podcasts!$F$1289:'Podcasts'!$F$1295,Podcasts!$D$1289:'Podcasts'!$D$1295,"&gt;0",Podcasts!$E$1289:'Podcasts'!$E$1295,"&gt;"&amp;$C336,Podcasts!$E$1289:'Podcasts'!$E$1295,"&lt;="&amp;$C337)*24*60</f>
        <v>0</v>
      </c>
      <c r="AW337" s="243">
        <f>SUMIFS(Podcasts!$F$1301:'Podcasts'!$F$1356,Podcasts!$D$1301:'Podcasts'!$D$1356,"&gt;0",Podcasts!$E$1301:'Podcasts'!$E$1356,"&gt;"&amp;$C336,Podcasts!$E$1301:'Podcasts'!$E$1356,"&lt;="&amp;$C337)*24*60</f>
        <v>0</v>
      </c>
      <c r="AX337" s="243">
        <f>SUMIFS(Podcasts!$F$1362:'Podcasts'!$F$1364,Podcasts!$D$1362:'Podcasts'!$D$1364,"&gt;0",Podcasts!$E$1362:'Podcasts'!$E$1364,"&gt;"&amp;$C336,Podcasts!$E$1362:'Podcasts'!$E$1364,"&lt;="&amp;$C337)*24*60</f>
        <v>0</v>
      </c>
      <c r="AY337" s="243">
        <f>SUMIFS(Podcasts!$F$1370:'Podcasts'!$F$1419,Podcasts!$D$1370:'Podcasts'!$D$1419,"&gt;0",Podcasts!$E$1370:'Podcasts'!$E$1419,"&gt;"&amp;$C336,Podcasts!$E$1370:'Podcasts'!$E$1419,"&lt;="&amp;$C337)*24*60</f>
        <v>0</v>
      </c>
      <c r="AZ337" s="243">
        <f>SUMIFS(Podcasts!$F$1425:'Podcasts'!$F$1446,Podcasts!$D$1425:'Podcasts'!$D$1446,"&gt;0",Podcasts!$E$1425:'Podcasts'!$E$1446,"&gt;"&amp;$C336,Podcasts!$E$1425:'Podcasts'!$E$1446,"&lt;="&amp;$C337)*24*60</f>
        <v>0</v>
      </c>
      <c r="BA337" s="243">
        <f>SUMIFS(Podcasts!$F$1452:'Podcasts'!$F$1574,Podcasts!$D$1452:'Podcasts'!$D$1574,"&gt;0",Podcasts!$E$1452:'Podcasts'!$E$1574,"&gt;"&amp;$C336,Podcasts!$E$1452:'Podcasts'!$E$1574,"&lt;="&amp;$C337)*24*60</f>
        <v>0</v>
      </c>
      <c r="BB337" s="243">
        <f>SUMIFS(Podcasts!$F$1580:'Podcasts'!$F$1705,Podcasts!$D$1580:'Podcasts'!$D$1705,"&gt;0",Podcasts!$E$1580:'Podcasts'!$E$1705,"&gt;"&amp;$C336,Podcasts!$E$1580:'Podcasts'!$E$1705,"&lt;="&amp;$C337)*24*60</f>
        <v>0</v>
      </c>
      <c r="BC337" s="243">
        <f>SUMIFS(Podcasts!$F$1711:'Podcasts'!$F$1833,Podcasts!$D$1711:'Podcasts'!$D$1833,"&gt;0",Podcasts!$E$1711:'Podcasts'!$E$1833,"&gt;"&amp;$C336,Podcasts!$E$1711:'Podcasts'!$E$1833,"&lt;="&amp;$C337)*24*60</f>
        <v>0</v>
      </c>
      <c r="BD337" s="243">
        <f>SUMIFS(Podcasts!$F$1839:'Podcasts'!$F$1855,Podcasts!$D$1839:'Podcasts'!$D$1855,"&gt;0",Podcasts!$E$1839:'Podcasts'!$E$1855,"&gt;"&amp;$C336,Podcasts!$E$1839:'Podcasts'!$E$1855,"&lt;="&amp;$C337)*24*60</f>
        <v>0</v>
      </c>
      <c r="BE337" s="243">
        <f>SUMIFS(Podcasts!$F$1861:'Podcasts'!$F$1994,Podcasts!$D$1861:'Podcasts'!$D$1994,"&gt;0",Podcasts!$E$1861:'Podcasts'!$E$1994,"&gt;"&amp;$C336,Podcasts!$E$1861:'Podcasts'!$E$1994,"&lt;="&amp;$C337)*24*60</f>
        <v>0</v>
      </c>
      <c r="BF337" s="243">
        <f>SUMIFS(Podcasts!$F$2000:'Podcasts'!$F$2057,Podcasts!$D$2000:'Podcasts'!$D$2057,"&gt;0",Podcasts!$E$2000:'Podcasts'!$E$2057,"&gt;"&amp;$C336,Podcasts!$E$2000:'Podcasts'!$E$2057,"&lt;="&amp;$C337)*24*60</f>
        <v>0</v>
      </c>
      <c r="BG337" s="243">
        <f>SUMIFS(Podcasts!$F$2063:'Podcasts'!$F$2071,Podcasts!$D$2063:'Podcasts'!$D$2071,"&gt;0",Podcasts!$E$2063:'Podcasts'!$E$2071,"&gt;"&amp;$C336,Podcasts!$E$2063:'Podcasts'!$E$2071,"&lt;="&amp;$C337)*24*60</f>
        <v>0</v>
      </c>
      <c r="BH337" s="243">
        <f>SUMIFS(Podcasts!$F$2131:'Podcasts'!$F$2367,Podcasts!$D$2131:'Podcasts'!$D$2367,"&gt;0",Podcasts!$E$2131:'Podcasts'!$E$2367,"&gt;"&amp;$C336,Podcasts!$E$2131:'Podcasts'!$E$2367,"&lt;="&amp;$C337)*24*60</f>
        <v>0</v>
      </c>
    </row>
    <row r="338" spans="1:60" outlineLevel="1">
      <c r="A338" s="163">
        <f t="shared" si="7"/>
        <v>212</v>
      </c>
      <c r="B338" s="164">
        <f t="shared" si="8"/>
        <v>4</v>
      </c>
      <c r="C338" s="72">
        <v>42277</v>
      </c>
      <c r="D338" s="165" t="str">
        <f t="shared" si="11"/>
        <v>212   (+4)</v>
      </c>
      <c r="E338" s="106">
        <f>COUNTIFS(Podcasts!$D$10:'Podcasts'!$D$107,"&gt;0",Podcasts!$E$10:'Podcasts'!$E$107,"&lt;="&amp;$C338)-1</f>
        <v>28</v>
      </c>
      <c r="F338" s="467">
        <f>COUNTIFS(Podcasts!$D$113:'Podcasts'!$D$238,"&gt;0",Podcasts!$E$113:'Podcasts'!$E$238,"&lt;="&amp;$C338)</f>
        <v>27</v>
      </c>
      <c r="G338" s="468">
        <f>COUNTIFS(Podcasts!$D$244:'Podcasts'!$D$299,"&gt;0",Podcasts!$E$244:'Podcasts'!$E$299,"&lt;="&amp;$C338)</f>
        <v>22</v>
      </c>
      <c r="H338" s="467">
        <f>COUNTIFS(Podcasts!$D$305:'Podcasts'!$D$473,"&gt;0",Podcasts!$E$305:'Podcasts'!$E$473,"&lt;="&amp;$C338)-1</f>
        <v>135</v>
      </c>
      <c r="I338" s="467"/>
      <c r="J338" s="468"/>
      <c r="K338" s="469"/>
      <c r="L338" s="467"/>
      <c r="M338" s="467"/>
      <c r="N338" s="469"/>
      <c r="O338" s="467"/>
      <c r="P338" s="467"/>
      <c r="Q338" s="469"/>
      <c r="R338" s="467"/>
      <c r="T338" s="469"/>
      <c r="U338" s="467"/>
      <c r="V338" s="467"/>
      <c r="W338" s="469"/>
      <c r="X338" s="467"/>
      <c r="Y338" s="467"/>
      <c r="Z338" s="469"/>
      <c r="AA338" s="467"/>
      <c r="AC338" s="425"/>
      <c r="AF338" s="469">
        <f>COUNTIFS(Podcasts!$E$2131:'Podcasts'!$E$2367,"&lt;="&amp;$C338)</f>
        <v>15</v>
      </c>
      <c r="AH338" s="243">
        <f t="shared" si="5"/>
        <v>190.6333333333333</v>
      </c>
      <c r="AI338" s="243">
        <f>SUMIFS(Podcasts!$F$10:'Podcasts'!$F$107,Podcasts!$D$10:'Podcasts'!$D$107,"&gt;0",Podcasts!$E$10:'Podcasts'!$E$107,"&gt;"&amp;$C337,Podcasts!$E$10:'Podcasts'!$E$107,"&lt;="&amp;$C338)*24*60</f>
        <v>160.51666666666665</v>
      </c>
      <c r="AJ338" s="243">
        <f>SUMIFS(Podcasts!$F$113:'Podcasts'!$F$238,Podcasts!$D$113:'Podcasts'!$D$238,"&gt;0",Podcasts!$E$113:'Podcasts'!$E$238,"&gt;"&amp;$C337,Podcasts!$E$113:'Podcasts'!$E$238,"&lt;="&amp;$C338)*24*60</f>
        <v>2.9833333333333334</v>
      </c>
      <c r="AK338" s="243">
        <f>SUMIFS(Podcasts!$F$244:'Podcasts'!$F$299,Podcasts!$D$244:'Podcasts'!$D$299,"&gt;0",Podcasts!$E$244:'Podcasts'!$E$299,"&gt;"&amp;$C337,Podcasts!$E$244:'Podcasts'!$E$299,"&lt;="&amp;$C338)*24*60</f>
        <v>27.133333333333333</v>
      </c>
      <c r="AL338" s="243">
        <f>SUMIFS(Podcasts!$F$305:'Podcasts'!$F$473,Podcasts!$D$305:'Podcasts'!$D$473,"&gt;0",Podcasts!$E$305:'Podcasts'!$E$473,"&gt;"&amp;$C337,Podcasts!$E$305:'Podcasts'!$E$473,"&lt;="&amp;$C338)*24*60</f>
        <v>0</v>
      </c>
      <c r="AM338" s="243">
        <f>SUMIFS(Podcasts!$F$479:'Podcasts'!$F$488,Podcasts!$D$479:'Podcasts'!$D$488,"&gt;0",Podcasts!$E$479:'Podcasts'!$E$488,"&gt;"&amp;$C337,Podcasts!$E$479:'Podcasts'!$E$488,"&lt;="&amp;$C338)*24*60</f>
        <v>0</v>
      </c>
      <c r="AN338" s="243">
        <f>SUMIFS(Podcasts!$F$494:'Podcasts'!$F$518,Podcasts!$D$494:'Podcasts'!$D$518,"&gt;0",Podcasts!$E$494:'Podcasts'!$E$518,"&gt;"&amp;$C337,Podcasts!$E$494:'Podcasts'!$E$518,"&lt;="&amp;$C338)*24*60</f>
        <v>0</v>
      </c>
      <c r="AO338" s="243">
        <f>SUMIFS(Podcasts!$F$524:'Podcasts'!$F$532,Podcasts!$D$524:'Podcasts'!$D$532,"&gt;0",Podcasts!$E$524:'Podcasts'!$E$532,"&gt;"&amp;$C337,Podcasts!$E$524:'Podcasts'!$E$532,"&lt;="&amp;$C338)*24*60</f>
        <v>0</v>
      </c>
      <c r="AP338" s="243">
        <f>SUMIFS(Podcasts!$F$538:'Podcasts'!$F$909,Podcasts!$D$538:'Podcasts'!$D$909,"&gt;0",Podcasts!$E$538:'Podcasts'!$E$909,"&gt;"&amp;$C337,Podcasts!$E$538:'Podcasts'!$E$909,"&lt;="&amp;$C338)*24*60</f>
        <v>0</v>
      </c>
      <c r="AQ338" s="243">
        <f>SUMIFS(Podcasts!$F$915:'Podcasts'!$F$981,Podcasts!$D$915:'Podcasts'!$D$981,"&gt;0",Podcasts!$E$915:'Podcasts'!$E$981,"&gt;"&amp;$C337,Podcasts!$E$915:'Podcasts'!$E$981,"&lt;="&amp;$C338)*24*60</f>
        <v>0</v>
      </c>
      <c r="AR338" s="243">
        <f>SUMIFS(Podcasts!$F$987:'Podcasts'!$F$995,Podcasts!$D$987:'Podcasts'!$D$995,"&gt;0",Podcasts!$E$987:'Podcasts'!$E$995,"&gt;"&amp;$C337,Podcasts!$E$987:'Podcasts'!$E$995,"&lt;="&amp;$C338)*24*60</f>
        <v>0</v>
      </c>
      <c r="AS338" s="243">
        <f>SUMIFS(Podcasts!$F$1001:'Podcasts'!$F$1251,Podcasts!$D$1001:'Podcasts'!$D$1251,"&gt;0",Podcasts!$E$1001:'Podcasts'!$E$1251,"&gt;"&amp;$C337,Podcasts!$E$1001:'Podcasts'!$E$1251,"&lt;="&amp;$C338)*24*60</f>
        <v>0</v>
      </c>
      <c r="AT338" s="243">
        <f>SUMIFS(Podcasts!$F$1257:'Podcasts'!$F$1267,Podcasts!$D$1257:'Podcasts'!$D$1267,"&gt;0",Podcasts!$E$1257:'Podcasts'!$E$1267,"&gt;"&amp;$C337,Podcasts!$E$1257:'Podcasts'!$E$1267,"&lt;="&amp;$C338)*24*60</f>
        <v>0</v>
      </c>
      <c r="AU338" s="243">
        <f>SUMIFS(Podcasts!$F$1273:'Podcasts'!$F$1283,Podcasts!$D$1273:'Podcasts'!$D$1283,"&gt;0",Podcasts!$E$1273:'Podcasts'!$E$1283,"&gt;"&amp;$C337,Podcasts!$E$1273:'Podcasts'!$E$1283,"&lt;="&amp;$C338)*24*60</f>
        <v>0</v>
      </c>
      <c r="AV338" s="243">
        <f>SUMIFS(Podcasts!$F$1289:'Podcasts'!$F$1295,Podcasts!$D$1289:'Podcasts'!$D$1295,"&gt;0",Podcasts!$E$1289:'Podcasts'!$E$1295,"&gt;"&amp;$C337,Podcasts!$E$1289:'Podcasts'!$E$1295,"&lt;="&amp;$C338)*24*60</f>
        <v>0</v>
      </c>
      <c r="AW338" s="243">
        <f>SUMIFS(Podcasts!$F$1301:'Podcasts'!$F$1356,Podcasts!$D$1301:'Podcasts'!$D$1356,"&gt;0",Podcasts!$E$1301:'Podcasts'!$E$1356,"&gt;"&amp;$C337,Podcasts!$E$1301:'Podcasts'!$E$1356,"&lt;="&amp;$C338)*24*60</f>
        <v>0</v>
      </c>
      <c r="AX338" s="243">
        <f>SUMIFS(Podcasts!$F$1362:'Podcasts'!$F$1364,Podcasts!$D$1362:'Podcasts'!$D$1364,"&gt;0",Podcasts!$E$1362:'Podcasts'!$E$1364,"&gt;"&amp;$C337,Podcasts!$E$1362:'Podcasts'!$E$1364,"&lt;="&amp;$C338)*24*60</f>
        <v>0</v>
      </c>
      <c r="AY338" s="243">
        <f>SUMIFS(Podcasts!$F$1370:'Podcasts'!$F$1419,Podcasts!$D$1370:'Podcasts'!$D$1419,"&gt;0",Podcasts!$E$1370:'Podcasts'!$E$1419,"&gt;"&amp;$C337,Podcasts!$E$1370:'Podcasts'!$E$1419,"&lt;="&amp;$C338)*24*60</f>
        <v>0</v>
      </c>
      <c r="AZ338" s="243">
        <f>SUMIFS(Podcasts!$F$1425:'Podcasts'!$F$1446,Podcasts!$D$1425:'Podcasts'!$D$1446,"&gt;0",Podcasts!$E$1425:'Podcasts'!$E$1446,"&gt;"&amp;$C337,Podcasts!$E$1425:'Podcasts'!$E$1446,"&lt;="&amp;$C338)*24*60</f>
        <v>0</v>
      </c>
      <c r="BA338" s="243">
        <f>SUMIFS(Podcasts!$F$1452:'Podcasts'!$F$1574,Podcasts!$D$1452:'Podcasts'!$D$1574,"&gt;0",Podcasts!$E$1452:'Podcasts'!$E$1574,"&gt;"&amp;$C337,Podcasts!$E$1452:'Podcasts'!$E$1574,"&lt;="&amp;$C338)*24*60</f>
        <v>0</v>
      </c>
      <c r="BB338" s="243">
        <f>SUMIFS(Podcasts!$F$1580:'Podcasts'!$F$1705,Podcasts!$D$1580:'Podcasts'!$D$1705,"&gt;0",Podcasts!$E$1580:'Podcasts'!$E$1705,"&gt;"&amp;$C337,Podcasts!$E$1580:'Podcasts'!$E$1705,"&lt;="&amp;$C338)*24*60</f>
        <v>0</v>
      </c>
      <c r="BC338" s="243">
        <f>SUMIFS(Podcasts!$F$1711:'Podcasts'!$F$1833,Podcasts!$D$1711:'Podcasts'!$D$1833,"&gt;0",Podcasts!$E$1711:'Podcasts'!$E$1833,"&gt;"&amp;$C337,Podcasts!$E$1711:'Podcasts'!$E$1833,"&lt;="&amp;$C338)*24*60</f>
        <v>0</v>
      </c>
      <c r="BD338" s="243">
        <f>SUMIFS(Podcasts!$F$1839:'Podcasts'!$F$1855,Podcasts!$D$1839:'Podcasts'!$D$1855,"&gt;0",Podcasts!$E$1839:'Podcasts'!$E$1855,"&gt;"&amp;$C337,Podcasts!$E$1839:'Podcasts'!$E$1855,"&lt;="&amp;$C338)*24*60</f>
        <v>0</v>
      </c>
      <c r="BE338" s="243">
        <f>SUMIFS(Podcasts!$F$1861:'Podcasts'!$F$1994,Podcasts!$D$1861:'Podcasts'!$D$1994,"&gt;0",Podcasts!$E$1861:'Podcasts'!$E$1994,"&gt;"&amp;$C337,Podcasts!$E$1861:'Podcasts'!$E$1994,"&lt;="&amp;$C338)*24*60</f>
        <v>0</v>
      </c>
      <c r="BF338" s="243">
        <f>SUMIFS(Podcasts!$F$2000:'Podcasts'!$F$2057,Podcasts!$D$2000:'Podcasts'!$D$2057,"&gt;0",Podcasts!$E$2000:'Podcasts'!$E$2057,"&gt;"&amp;$C337,Podcasts!$E$2000:'Podcasts'!$E$2057,"&lt;="&amp;$C338)*24*60</f>
        <v>0</v>
      </c>
      <c r="BG338" s="243">
        <f>SUMIFS(Podcasts!$F$2063:'Podcasts'!$F$2071,Podcasts!$D$2063:'Podcasts'!$D$2071,"&gt;0",Podcasts!$E$2063:'Podcasts'!$E$2071,"&gt;"&amp;$C337,Podcasts!$E$2063:'Podcasts'!$E$2071,"&lt;="&amp;$C338)*24*60</f>
        <v>0</v>
      </c>
      <c r="BH338" s="243">
        <f>SUMIFS(Podcasts!$F$2131:'Podcasts'!$F$2367,Podcasts!$D$2131:'Podcasts'!$D$2367,"&gt;0",Podcasts!$E$2131:'Podcasts'!$E$2367,"&gt;"&amp;$C337,Podcasts!$E$2131:'Podcasts'!$E$2367,"&lt;="&amp;$C338)*24*60</f>
        <v>0</v>
      </c>
    </row>
    <row r="339" spans="1:60" outlineLevel="1">
      <c r="A339" s="163">
        <f t="shared" si="7"/>
        <v>215</v>
      </c>
      <c r="B339" s="164">
        <f t="shared" si="8"/>
        <v>3</v>
      </c>
      <c r="C339" s="72">
        <v>42369</v>
      </c>
      <c r="D339" s="166" t="str">
        <f t="shared" si="11"/>
        <v>215   (+3)</v>
      </c>
      <c r="E339" s="106">
        <f>COUNTIFS(Podcasts!$D$10:'Podcasts'!$D$107,"&gt;0",Podcasts!$E$10:'Podcasts'!$E$107,"&lt;="&amp;$C339)-1</f>
        <v>29</v>
      </c>
      <c r="F339" s="467">
        <f>COUNTIFS(Podcasts!$D$113:'Podcasts'!$D$238,"&gt;0",Podcasts!$E$113:'Podcasts'!$E$238,"&lt;="&amp;$C339)</f>
        <v>28</v>
      </c>
      <c r="G339" s="468">
        <f>COUNTIFS(Podcasts!$D$244:'Podcasts'!$D$299,"&gt;0",Podcasts!$E$244:'Podcasts'!$E$299,"&lt;="&amp;$C339)</f>
        <v>23</v>
      </c>
      <c r="H339" s="474">
        <f>COUNTIFS(Podcasts!$D$305:'Podcasts'!$D$473,"&gt;0",Podcasts!$E$305:'Podcasts'!$E$473,"&lt;="&amp;$C339)-1</f>
        <v>135</v>
      </c>
      <c r="I339" s="467"/>
      <c r="J339" s="468"/>
      <c r="K339" s="469"/>
      <c r="L339" s="467"/>
      <c r="M339" s="467"/>
      <c r="N339" s="469"/>
      <c r="O339" s="467"/>
      <c r="P339" s="467"/>
      <c r="Q339" s="469"/>
      <c r="R339" s="467"/>
      <c r="T339" s="469"/>
      <c r="U339" s="467"/>
      <c r="V339" s="467"/>
      <c r="W339" s="469"/>
      <c r="X339" s="474"/>
      <c r="Y339" s="474"/>
      <c r="Z339" s="475"/>
      <c r="AA339" s="474"/>
      <c r="AC339" s="475"/>
      <c r="AF339" s="475">
        <f>COUNTIFS(Podcasts!$E$2131:'Podcasts'!$E$2367,"&lt;="&amp;$C339)</f>
        <v>15</v>
      </c>
      <c r="AH339" s="243">
        <f t="shared" si="5"/>
        <v>128.93333333333334</v>
      </c>
      <c r="AI339" s="243">
        <f>SUMIFS(Podcasts!$F$10:'Podcasts'!$F$107,Podcasts!$D$10:'Podcasts'!$D$107,"&gt;0",Podcasts!$E$10:'Podcasts'!$E$107,"&gt;"&amp;$C338,Podcasts!$E$10:'Podcasts'!$E$107,"&lt;="&amp;$C339)*24*60</f>
        <v>86.966666666666669</v>
      </c>
      <c r="AJ339" s="243">
        <f>SUMIFS(Podcasts!$F$113:'Podcasts'!$F$238,Podcasts!$D$113:'Podcasts'!$D$238,"&gt;0",Podcasts!$E$113:'Podcasts'!$E$238,"&gt;"&amp;$C338,Podcasts!$E$113:'Podcasts'!$E$238,"&lt;="&amp;$C339)*24*60</f>
        <v>6.1333333333333337</v>
      </c>
      <c r="AK339" s="243">
        <f>SUMIFS(Podcasts!$F$244:'Podcasts'!$F$299,Podcasts!$D$244:'Podcasts'!$D$299,"&gt;0",Podcasts!$E$244:'Podcasts'!$E$299,"&gt;"&amp;$C338,Podcasts!$E$244:'Podcasts'!$E$299,"&lt;="&amp;$C339)*24*60</f>
        <v>35.833333333333336</v>
      </c>
      <c r="AL339" s="243">
        <f>SUMIFS(Podcasts!$F$305:'Podcasts'!$F$473,Podcasts!$D$305:'Podcasts'!$D$473,"&gt;0",Podcasts!$E$305:'Podcasts'!$E$473,"&gt;"&amp;$C338,Podcasts!$E$305:'Podcasts'!$E$473,"&lt;="&amp;$C339)*24*60</f>
        <v>0</v>
      </c>
      <c r="AM339" s="243">
        <f>SUMIFS(Podcasts!$F$479:'Podcasts'!$F$488,Podcasts!$D$479:'Podcasts'!$D$488,"&gt;0",Podcasts!$E$479:'Podcasts'!$E$488,"&gt;"&amp;$C338,Podcasts!$E$479:'Podcasts'!$E$488,"&lt;="&amp;$C339)*24*60</f>
        <v>0</v>
      </c>
      <c r="AN339" s="243">
        <f>SUMIFS(Podcasts!$F$494:'Podcasts'!$F$518,Podcasts!$D$494:'Podcasts'!$D$518,"&gt;0",Podcasts!$E$494:'Podcasts'!$E$518,"&gt;"&amp;$C338,Podcasts!$E$494:'Podcasts'!$E$518,"&lt;="&amp;$C339)*24*60</f>
        <v>0</v>
      </c>
      <c r="AO339" s="243">
        <f>SUMIFS(Podcasts!$F$524:'Podcasts'!$F$532,Podcasts!$D$524:'Podcasts'!$D$532,"&gt;0",Podcasts!$E$524:'Podcasts'!$E$532,"&gt;"&amp;$C338,Podcasts!$E$524:'Podcasts'!$E$532,"&lt;="&amp;$C339)*24*60</f>
        <v>0</v>
      </c>
      <c r="AP339" s="243">
        <f>SUMIFS(Podcasts!$F$538:'Podcasts'!$F$909,Podcasts!$D$538:'Podcasts'!$D$909,"&gt;0",Podcasts!$E$538:'Podcasts'!$E$909,"&gt;"&amp;$C338,Podcasts!$E$538:'Podcasts'!$E$909,"&lt;="&amp;$C339)*24*60</f>
        <v>0</v>
      </c>
      <c r="AQ339" s="243">
        <f>SUMIFS(Podcasts!$F$915:'Podcasts'!$F$981,Podcasts!$D$915:'Podcasts'!$D$981,"&gt;0",Podcasts!$E$915:'Podcasts'!$E$981,"&gt;"&amp;$C338,Podcasts!$E$915:'Podcasts'!$E$981,"&lt;="&amp;$C339)*24*60</f>
        <v>0</v>
      </c>
      <c r="AR339" s="243">
        <f>SUMIFS(Podcasts!$F$987:'Podcasts'!$F$995,Podcasts!$D$987:'Podcasts'!$D$995,"&gt;0",Podcasts!$E$987:'Podcasts'!$E$995,"&gt;"&amp;$C338,Podcasts!$E$987:'Podcasts'!$E$995,"&lt;="&amp;$C339)*24*60</f>
        <v>0</v>
      </c>
      <c r="AS339" s="243">
        <f>SUMIFS(Podcasts!$F$1001:'Podcasts'!$F$1251,Podcasts!$D$1001:'Podcasts'!$D$1251,"&gt;0",Podcasts!$E$1001:'Podcasts'!$E$1251,"&gt;"&amp;$C338,Podcasts!$E$1001:'Podcasts'!$E$1251,"&lt;="&amp;$C339)*24*60</f>
        <v>0</v>
      </c>
      <c r="AT339" s="243">
        <f>SUMIFS(Podcasts!$F$1257:'Podcasts'!$F$1267,Podcasts!$D$1257:'Podcasts'!$D$1267,"&gt;0",Podcasts!$E$1257:'Podcasts'!$E$1267,"&gt;"&amp;$C338,Podcasts!$E$1257:'Podcasts'!$E$1267,"&lt;="&amp;$C339)*24*60</f>
        <v>0</v>
      </c>
      <c r="AU339" s="243">
        <f>SUMIFS(Podcasts!$F$1273:'Podcasts'!$F$1283,Podcasts!$D$1273:'Podcasts'!$D$1283,"&gt;0",Podcasts!$E$1273:'Podcasts'!$E$1283,"&gt;"&amp;$C338,Podcasts!$E$1273:'Podcasts'!$E$1283,"&lt;="&amp;$C339)*24*60</f>
        <v>0</v>
      </c>
      <c r="AV339" s="243">
        <f>SUMIFS(Podcasts!$F$1289:'Podcasts'!$F$1295,Podcasts!$D$1289:'Podcasts'!$D$1295,"&gt;0",Podcasts!$E$1289:'Podcasts'!$E$1295,"&gt;"&amp;$C338,Podcasts!$E$1289:'Podcasts'!$E$1295,"&lt;="&amp;$C339)*24*60</f>
        <v>0</v>
      </c>
      <c r="AW339" s="243">
        <f>SUMIFS(Podcasts!$F$1301:'Podcasts'!$F$1356,Podcasts!$D$1301:'Podcasts'!$D$1356,"&gt;0",Podcasts!$E$1301:'Podcasts'!$E$1356,"&gt;"&amp;$C338,Podcasts!$E$1301:'Podcasts'!$E$1356,"&lt;="&amp;$C339)*24*60</f>
        <v>0</v>
      </c>
      <c r="AX339" s="243">
        <f>SUMIFS(Podcasts!$F$1362:'Podcasts'!$F$1364,Podcasts!$D$1362:'Podcasts'!$D$1364,"&gt;0",Podcasts!$E$1362:'Podcasts'!$E$1364,"&gt;"&amp;$C338,Podcasts!$E$1362:'Podcasts'!$E$1364,"&lt;="&amp;$C339)*24*60</f>
        <v>0</v>
      </c>
      <c r="AY339" s="243">
        <f>SUMIFS(Podcasts!$F$1370:'Podcasts'!$F$1419,Podcasts!$D$1370:'Podcasts'!$D$1419,"&gt;0",Podcasts!$E$1370:'Podcasts'!$E$1419,"&gt;"&amp;$C338,Podcasts!$E$1370:'Podcasts'!$E$1419,"&lt;="&amp;$C339)*24*60</f>
        <v>0</v>
      </c>
      <c r="AZ339" s="243">
        <f>SUMIFS(Podcasts!$F$1425:'Podcasts'!$F$1446,Podcasts!$D$1425:'Podcasts'!$D$1446,"&gt;0",Podcasts!$E$1425:'Podcasts'!$E$1446,"&gt;"&amp;$C338,Podcasts!$E$1425:'Podcasts'!$E$1446,"&lt;="&amp;$C339)*24*60</f>
        <v>0</v>
      </c>
      <c r="BA339" s="243">
        <f>SUMIFS(Podcasts!$F$1452:'Podcasts'!$F$1574,Podcasts!$D$1452:'Podcasts'!$D$1574,"&gt;0",Podcasts!$E$1452:'Podcasts'!$E$1574,"&gt;"&amp;$C338,Podcasts!$E$1452:'Podcasts'!$E$1574,"&lt;="&amp;$C339)*24*60</f>
        <v>0</v>
      </c>
      <c r="BB339" s="243">
        <f>SUMIFS(Podcasts!$F$1580:'Podcasts'!$F$1705,Podcasts!$D$1580:'Podcasts'!$D$1705,"&gt;0",Podcasts!$E$1580:'Podcasts'!$E$1705,"&gt;"&amp;$C338,Podcasts!$E$1580:'Podcasts'!$E$1705,"&lt;="&amp;$C339)*24*60</f>
        <v>0</v>
      </c>
      <c r="BC339" s="243">
        <f>SUMIFS(Podcasts!$F$1711:'Podcasts'!$F$1833,Podcasts!$D$1711:'Podcasts'!$D$1833,"&gt;0",Podcasts!$E$1711:'Podcasts'!$E$1833,"&gt;"&amp;$C338,Podcasts!$E$1711:'Podcasts'!$E$1833,"&lt;="&amp;$C339)*24*60</f>
        <v>0</v>
      </c>
      <c r="BD339" s="243">
        <f>SUMIFS(Podcasts!$F$1839:'Podcasts'!$F$1855,Podcasts!$D$1839:'Podcasts'!$D$1855,"&gt;0",Podcasts!$E$1839:'Podcasts'!$E$1855,"&gt;"&amp;$C338,Podcasts!$E$1839:'Podcasts'!$E$1855,"&lt;="&amp;$C339)*24*60</f>
        <v>0</v>
      </c>
      <c r="BE339" s="243">
        <f>SUMIFS(Podcasts!$F$1861:'Podcasts'!$F$1994,Podcasts!$D$1861:'Podcasts'!$D$1994,"&gt;0",Podcasts!$E$1861:'Podcasts'!$E$1994,"&gt;"&amp;$C338,Podcasts!$E$1861:'Podcasts'!$E$1994,"&lt;="&amp;$C339)*24*60</f>
        <v>0</v>
      </c>
      <c r="BF339" s="243">
        <f>SUMIFS(Podcasts!$F$2000:'Podcasts'!$F$2057,Podcasts!$D$2000:'Podcasts'!$D$2057,"&gt;0",Podcasts!$E$2000:'Podcasts'!$E$2057,"&gt;"&amp;$C338,Podcasts!$E$2000:'Podcasts'!$E$2057,"&lt;="&amp;$C339)*24*60</f>
        <v>0</v>
      </c>
      <c r="BG339" s="243">
        <f>SUMIFS(Podcasts!$F$2063:'Podcasts'!$F$2071,Podcasts!$D$2063:'Podcasts'!$D$2071,"&gt;0",Podcasts!$E$2063:'Podcasts'!$E$2071,"&gt;"&amp;$C338,Podcasts!$E$2063:'Podcasts'!$E$2071,"&lt;="&amp;$C339)*24*60</f>
        <v>0</v>
      </c>
      <c r="BH339" s="243">
        <f>SUMIFS(Podcasts!$F$2131:'Podcasts'!$F$2367,Podcasts!$D$2131:'Podcasts'!$D$2367,"&gt;0",Podcasts!$E$2131:'Podcasts'!$E$2367,"&gt;"&amp;$C338,Podcasts!$E$2131:'Podcasts'!$E$2367,"&lt;="&amp;$C339)*24*60</f>
        <v>0</v>
      </c>
    </row>
    <row r="340" spans="1:60" outlineLevel="1">
      <c r="A340" s="163">
        <f t="shared" si="7"/>
        <v>219</v>
      </c>
      <c r="B340" s="164">
        <f t="shared" si="8"/>
        <v>4</v>
      </c>
      <c r="C340" s="73">
        <v>42460</v>
      </c>
      <c r="D340" s="167" t="str">
        <f t="shared" si="11"/>
        <v>219   (+4)</v>
      </c>
      <c r="E340" s="470">
        <f>COUNTIFS(Podcasts!$D$10:'Podcasts'!$D$107,"&gt;0",Podcasts!$E$10:'Podcasts'!$E$107,"&lt;="&amp;$C340)-1</f>
        <v>30</v>
      </c>
      <c r="F340" s="471">
        <f>COUNTIFS(Podcasts!$D$113:'Podcasts'!$D$238,"&gt;0",Podcasts!$E$113:'Podcasts'!$E$238,"&lt;="&amp;$C340)</f>
        <v>30</v>
      </c>
      <c r="G340" s="472">
        <f>COUNTIFS(Podcasts!$D$244:'Podcasts'!$D$299,"&gt;0",Podcasts!$E$244:'Podcasts'!$E$299,"&lt;="&amp;$C340)</f>
        <v>24</v>
      </c>
      <c r="H340" s="471">
        <v>135</v>
      </c>
      <c r="I340" s="471"/>
      <c r="J340" s="472"/>
      <c r="K340" s="473"/>
      <c r="L340" s="471"/>
      <c r="M340" s="471"/>
      <c r="N340" s="473"/>
      <c r="O340" s="471"/>
      <c r="P340" s="471"/>
      <c r="Q340" s="473"/>
      <c r="R340" s="471"/>
      <c r="S340" s="19"/>
      <c r="T340" s="473"/>
      <c r="U340" s="471"/>
      <c r="V340" s="471"/>
      <c r="W340" s="473"/>
      <c r="X340" s="467"/>
      <c r="Y340" s="467"/>
      <c r="Z340" s="469"/>
      <c r="AA340" s="471"/>
      <c r="AB340" s="471"/>
      <c r="AC340" s="473"/>
      <c r="AD340" s="471"/>
      <c r="AE340" s="471"/>
      <c r="AF340" s="469">
        <f>COUNTIFS(Podcasts!$E$2131:'Podcasts'!$E$2367,"&lt;="&amp;$C340)</f>
        <v>16</v>
      </c>
      <c r="AH340" s="243">
        <f t="shared" si="5"/>
        <v>111.96666666666665</v>
      </c>
      <c r="AI340" s="243">
        <f>SUMIFS(Podcasts!$F$10:'Podcasts'!$F$107,Podcasts!$D$10:'Podcasts'!$D$107,"&gt;0",Podcasts!$E$10:'Podcasts'!$E$107,"&gt;"&amp;$C339,Podcasts!$E$10:'Podcasts'!$E$107,"&lt;="&amp;$C340)*24*60</f>
        <v>83.466666666666654</v>
      </c>
      <c r="AJ340" s="243">
        <f>SUMIFS(Podcasts!$F$113:'Podcasts'!$F$238,Podcasts!$D$113:'Podcasts'!$D$238,"&gt;0",Podcasts!$E$113:'Podcasts'!$E$238,"&gt;"&amp;$C339,Podcasts!$E$113:'Podcasts'!$E$238,"&lt;="&amp;$C340)*24*60</f>
        <v>6.3166666666666664</v>
      </c>
      <c r="AK340" s="243">
        <f>SUMIFS(Podcasts!$F$244:'Podcasts'!$F$299,Podcasts!$D$244:'Podcasts'!$D$299,"&gt;0",Podcasts!$E$244:'Podcasts'!$E$299,"&gt;"&amp;$C339,Podcasts!$E$244:'Podcasts'!$E$299,"&lt;="&amp;$C340)*24*60</f>
        <v>22.183333333333334</v>
      </c>
      <c r="AL340" s="243">
        <f>SUMIFS(Podcasts!$F$305:'Podcasts'!$F$473,Podcasts!$D$305:'Podcasts'!$D$473,"&gt;0",Podcasts!$E$305:'Podcasts'!$E$473,"&gt;"&amp;$C339,Podcasts!$E$305:'Podcasts'!$E$473,"&lt;="&amp;$C340)*24*60</f>
        <v>0</v>
      </c>
      <c r="AM340" s="243">
        <f>SUMIFS(Podcasts!$F$479:'Podcasts'!$F$488,Podcasts!$D$479:'Podcasts'!$D$488,"&gt;0",Podcasts!$E$479:'Podcasts'!$E$488,"&gt;"&amp;$C339,Podcasts!$E$479:'Podcasts'!$E$488,"&lt;="&amp;$C340)*24*60</f>
        <v>0</v>
      </c>
      <c r="AN340" s="243">
        <f>SUMIFS(Podcasts!$F$494:'Podcasts'!$F$518,Podcasts!$D$494:'Podcasts'!$D$518,"&gt;0",Podcasts!$E$494:'Podcasts'!$E$518,"&gt;"&amp;$C339,Podcasts!$E$494:'Podcasts'!$E$518,"&lt;="&amp;$C340)*24*60</f>
        <v>0</v>
      </c>
      <c r="AO340" s="243">
        <f>SUMIFS(Podcasts!$F$524:'Podcasts'!$F$532,Podcasts!$D$524:'Podcasts'!$D$532,"&gt;0",Podcasts!$E$524:'Podcasts'!$E$532,"&gt;"&amp;$C339,Podcasts!$E$524:'Podcasts'!$E$532,"&lt;="&amp;$C340)*24*60</f>
        <v>0</v>
      </c>
      <c r="AP340" s="243">
        <f>SUMIFS(Podcasts!$F$538:'Podcasts'!$F$909,Podcasts!$D$538:'Podcasts'!$D$909,"&gt;0",Podcasts!$E$538:'Podcasts'!$E$909,"&gt;"&amp;$C339,Podcasts!$E$538:'Podcasts'!$E$909,"&lt;="&amp;$C340)*24*60</f>
        <v>0</v>
      </c>
      <c r="AQ340" s="243">
        <f>SUMIFS(Podcasts!$F$915:'Podcasts'!$F$981,Podcasts!$D$915:'Podcasts'!$D$981,"&gt;0",Podcasts!$E$915:'Podcasts'!$E$981,"&gt;"&amp;$C339,Podcasts!$E$915:'Podcasts'!$E$981,"&lt;="&amp;$C340)*24*60</f>
        <v>0</v>
      </c>
      <c r="AR340" s="243">
        <f>SUMIFS(Podcasts!$F$987:'Podcasts'!$F$995,Podcasts!$D$987:'Podcasts'!$D$995,"&gt;0",Podcasts!$E$987:'Podcasts'!$E$995,"&gt;"&amp;$C339,Podcasts!$E$987:'Podcasts'!$E$995,"&lt;="&amp;$C340)*24*60</f>
        <v>0</v>
      </c>
      <c r="AS340" s="243">
        <f>SUMIFS(Podcasts!$F$1001:'Podcasts'!$F$1251,Podcasts!$D$1001:'Podcasts'!$D$1251,"&gt;0",Podcasts!$E$1001:'Podcasts'!$E$1251,"&gt;"&amp;$C339,Podcasts!$E$1001:'Podcasts'!$E$1251,"&lt;="&amp;$C340)*24*60</f>
        <v>0</v>
      </c>
      <c r="AT340" s="243">
        <f>SUMIFS(Podcasts!$F$1257:'Podcasts'!$F$1267,Podcasts!$D$1257:'Podcasts'!$D$1267,"&gt;0",Podcasts!$E$1257:'Podcasts'!$E$1267,"&gt;"&amp;$C339,Podcasts!$E$1257:'Podcasts'!$E$1267,"&lt;="&amp;$C340)*24*60</f>
        <v>0</v>
      </c>
      <c r="AU340" s="243">
        <f>SUMIFS(Podcasts!$F$1273:'Podcasts'!$F$1283,Podcasts!$D$1273:'Podcasts'!$D$1283,"&gt;0",Podcasts!$E$1273:'Podcasts'!$E$1283,"&gt;"&amp;$C339,Podcasts!$E$1273:'Podcasts'!$E$1283,"&lt;="&amp;$C340)*24*60</f>
        <v>0</v>
      </c>
      <c r="AV340" s="243">
        <f>SUMIFS(Podcasts!$F$1289:'Podcasts'!$F$1295,Podcasts!$D$1289:'Podcasts'!$D$1295,"&gt;0",Podcasts!$E$1289:'Podcasts'!$E$1295,"&gt;"&amp;$C339,Podcasts!$E$1289:'Podcasts'!$E$1295,"&lt;="&amp;$C340)*24*60</f>
        <v>0</v>
      </c>
      <c r="AW340" s="243">
        <f>SUMIFS(Podcasts!$F$1301:'Podcasts'!$F$1356,Podcasts!$D$1301:'Podcasts'!$D$1356,"&gt;0",Podcasts!$E$1301:'Podcasts'!$E$1356,"&gt;"&amp;$C339,Podcasts!$E$1301:'Podcasts'!$E$1356,"&lt;="&amp;$C340)*24*60</f>
        <v>0</v>
      </c>
      <c r="AX340" s="243">
        <f>SUMIFS(Podcasts!$F$1362:'Podcasts'!$F$1364,Podcasts!$D$1362:'Podcasts'!$D$1364,"&gt;0",Podcasts!$E$1362:'Podcasts'!$E$1364,"&gt;"&amp;$C339,Podcasts!$E$1362:'Podcasts'!$E$1364,"&lt;="&amp;$C340)*24*60</f>
        <v>0</v>
      </c>
      <c r="AY340" s="243">
        <f>SUMIFS(Podcasts!$F$1370:'Podcasts'!$F$1419,Podcasts!$D$1370:'Podcasts'!$D$1419,"&gt;0",Podcasts!$E$1370:'Podcasts'!$E$1419,"&gt;"&amp;$C339,Podcasts!$E$1370:'Podcasts'!$E$1419,"&lt;="&amp;$C340)*24*60</f>
        <v>0</v>
      </c>
      <c r="AZ340" s="243">
        <f>SUMIFS(Podcasts!$F$1425:'Podcasts'!$F$1446,Podcasts!$D$1425:'Podcasts'!$D$1446,"&gt;0",Podcasts!$E$1425:'Podcasts'!$E$1446,"&gt;"&amp;$C339,Podcasts!$E$1425:'Podcasts'!$E$1446,"&lt;="&amp;$C340)*24*60</f>
        <v>0</v>
      </c>
      <c r="BA340" s="243">
        <f>SUMIFS(Podcasts!$F$1452:'Podcasts'!$F$1574,Podcasts!$D$1452:'Podcasts'!$D$1574,"&gt;0",Podcasts!$E$1452:'Podcasts'!$E$1574,"&gt;"&amp;$C339,Podcasts!$E$1452:'Podcasts'!$E$1574,"&lt;="&amp;$C340)*24*60</f>
        <v>0</v>
      </c>
      <c r="BB340" s="243">
        <f>SUMIFS(Podcasts!$F$1580:'Podcasts'!$F$1705,Podcasts!$D$1580:'Podcasts'!$D$1705,"&gt;0",Podcasts!$E$1580:'Podcasts'!$E$1705,"&gt;"&amp;$C339,Podcasts!$E$1580:'Podcasts'!$E$1705,"&lt;="&amp;$C340)*24*60</f>
        <v>0</v>
      </c>
      <c r="BC340" s="243">
        <f>SUMIFS(Podcasts!$F$1711:'Podcasts'!$F$1833,Podcasts!$D$1711:'Podcasts'!$D$1833,"&gt;0",Podcasts!$E$1711:'Podcasts'!$E$1833,"&gt;"&amp;$C339,Podcasts!$E$1711:'Podcasts'!$E$1833,"&lt;="&amp;$C340)*24*60</f>
        <v>0</v>
      </c>
      <c r="BD340" s="243">
        <f>SUMIFS(Podcasts!$F$1839:'Podcasts'!$F$1855,Podcasts!$D$1839:'Podcasts'!$D$1855,"&gt;0",Podcasts!$E$1839:'Podcasts'!$E$1855,"&gt;"&amp;$C339,Podcasts!$E$1839:'Podcasts'!$E$1855,"&lt;="&amp;$C340)*24*60</f>
        <v>0</v>
      </c>
      <c r="BE340" s="243">
        <f>SUMIFS(Podcasts!$F$1861:'Podcasts'!$F$1994,Podcasts!$D$1861:'Podcasts'!$D$1994,"&gt;0",Podcasts!$E$1861:'Podcasts'!$E$1994,"&gt;"&amp;$C339,Podcasts!$E$1861:'Podcasts'!$E$1994,"&lt;="&amp;$C340)*24*60</f>
        <v>0</v>
      </c>
      <c r="BF340" s="243">
        <f>SUMIFS(Podcasts!$F$2000:'Podcasts'!$F$2057,Podcasts!$D$2000:'Podcasts'!$D$2057,"&gt;0",Podcasts!$E$2000:'Podcasts'!$E$2057,"&gt;"&amp;$C339,Podcasts!$E$2000:'Podcasts'!$E$2057,"&lt;="&amp;$C340)*24*60</f>
        <v>0</v>
      </c>
      <c r="BG340" s="243">
        <f>SUMIFS(Podcasts!$F$2063:'Podcasts'!$F$2071,Podcasts!$D$2063:'Podcasts'!$D$2071,"&gt;0",Podcasts!$E$2063:'Podcasts'!$E$2071,"&gt;"&amp;$C339,Podcasts!$E$2063:'Podcasts'!$E$2071,"&lt;="&amp;$C340)*24*60</f>
        <v>0</v>
      </c>
      <c r="BH340" s="243">
        <f>SUMIFS(Podcasts!$F$2131:'Podcasts'!$F$2367,Podcasts!$D$2131:'Podcasts'!$D$2367,"&gt;0",Podcasts!$E$2131:'Podcasts'!$E$2367,"&gt;"&amp;$C339,Podcasts!$E$2131:'Podcasts'!$E$2367,"&lt;="&amp;$C340)*24*60</f>
        <v>0</v>
      </c>
    </row>
    <row r="341" spans="1:60" outlineLevel="1">
      <c r="A341" s="163">
        <f t="shared" si="7"/>
        <v>224</v>
      </c>
      <c r="B341" s="164">
        <f t="shared" si="8"/>
        <v>5</v>
      </c>
      <c r="C341" s="72">
        <v>42551</v>
      </c>
      <c r="D341" s="165" t="str">
        <f t="shared" si="11"/>
        <v>224   (+5)</v>
      </c>
      <c r="E341" s="106">
        <f>COUNTIFS(Podcasts!$D$10:'Podcasts'!$D$107,"&gt;0",Podcasts!$E$10:'Podcasts'!$E$107,"&lt;="&amp;$C341)-1</f>
        <v>32</v>
      </c>
      <c r="F341" s="467">
        <f>COUNTIFS(Podcasts!$D$113:'Podcasts'!$D$238,"&gt;0",Podcasts!$E$113:'Podcasts'!$E$238,"&lt;="&amp;$C341)</f>
        <v>32</v>
      </c>
      <c r="G341" s="468">
        <f>COUNTIFS(Podcasts!$D$244:'Podcasts'!$D$299,"&gt;0",Podcasts!$E$244:'Podcasts'!$E$299,"&lt;="&amp;$C341)</f>
        <v>25</v>
      </c>
      <c r="H341" s="467">
        <v>135</v>
      </c>
      <c r="I341" s="467">
        <f>COUNTIFS(Podcasts!$D$479:'Podcasts'!$D$488,"&gt;0",Podcasts!$E$479:'Podcasts'!$E$488,"&lt;="&amp;$C341)</f>
        <v>0</v>
      </c>
      <c r="J341" s="468"/>
      <c r="K341" s="469"/>
      <c r="L341" s="467"/>
      <c r="M341" s="467"/>
      <c r="N341" s="469"/>
      <c r="O341" s="467"/>
      <c r="P341" s="467"/>
      <c r="Q341" s="469"/>
      <c r="R341" s="467"/>
      <c r="T341" s="469"/>
      <c r="U341" s="467"/>
      <c r="V341" s="467"/>
      <c r="W341" s="469"/>
      <c r="X341" s="467"/>
      <c r="Y341" s="467"/>
      <c r="Z341" s="469"/>
      <c r="AA341" s="467"/>
      <c r="AC341" s="425"/>
      <c r="AF341" s="469">
        <f>COUNTIFS(Podcasts!$E$2131:'Podcasts'!$E$2367,"&lt;="&amp;$C341)</f>
        <v>16</v>
      </c>
      <c r="AH341" s="243">
        <f t="shared" si="5"/>
        <v>129.28333333333333</v>
      </c>
      <c r="AI341" s="243">
        <f>SUMIFS(Podcasts!$F$10:'Podcasts'!$F$107,Podcasts!$D$10:'Podcasts'!$D$107,"&gt;0",Podcasts!$E$10:'Podcasts'!$E$107,"&gt;"&amp;$C340,Podcasts!$E$10:'Podcasts'!$E$107,"&lt;="&amp;$C341)*24*60</f>
        <v>91.4</v>
      </c>
      <c r="AJ341" s="243">
        <f>SUMIFS(Podcasts!$F$113:'Podcasts'!$F$238,Podcasts!$D$113:'Podcasts'!$D$238,"&gt;0",Podcasts!$E$113:'Podcasts'!$E$238,"&gt;"&amp;$C340,Podcasts!$E$113:'Podcasts'!$E$238,"&lt;="&amp;$C341)*24*60</f>
        <v>5.1000000000000005</v>
      </c>
      <c r="AK341" s="243">
        <f>SUMIFS(Podcasts!$F$244:'Podcasts'!$F$299,Podcasts!$D$244:'Podcasts'!$D$299,"&gt;0",Podcasts!$E$244:'Podcasts'!$E$299,"&gt;"&amp;$C340,Podcasts!$E$244:'Podcasts'!$E$299,"&lt;="&amp;$C341)*24*60</f>
        <v>32.783333333333331</v>
      </c>
      <c r="AL341" s="243">
        <f>SUMIFS(Podcasts!$F$305:'Podcasts'!$F$473,Podcasts!$D$305:'Podcasts'!$D$473,"&gt;0",Podcasts!$E$305:'Podcasts'!$E$473,"&gt;"&amp;$C340,Podcasts!$E$305:'Podcasts'!$E$473,"&lt;="&amp;$C341)*24*60</f>
        <v>0</v>
      </c>
      <c r="AM341" s="243">
        <f>SUMIFS(Podcasts!$F$479:'Podcasts'!$F$488,Podcasts!$D$479:'Podcasts'!$D$488,"&gt;0",Podcasts!$E$479:'Podcasts'!$E$488,"&gt;"&amp;$C340,Podcasts!$E$479:'Podcasts'!$E$488,"&lt;="&amp;$C341)*24*60</f>
        <v>0</v>
      </c>
      <c r="AN341" s="243">
        <f>SUMIFS(Podcasts!$F$494:'Podcasts'!$F$518,Podcasts!$D$494:'Podcasts'!$D$518,"&gt;0",Podcasts!$E$494:'Podcasts'!$E$518,"&gt;"&amp;$C340,Podcasts!$E$494:'Podcasts'!$E$518,"&lt;="&amp;$C341)*24*60</f>
        <v>0</v>
      </c>
      <c r="AO341" s="243">
        <f>SUMIFS(Podcasts!$F$524:'Podcasts'!$F$532,Podcasts!$D$524:'Podcasts'!$D$532,"&gt;0",Podcasts!$E$524:'Podcasts'!$E$532,"&gt;"&amp;$C340,Podcasts!$E$524:'Podcasts'!$E$532,"&lt;="&amp;$C341)*24*60</f>
        <v>0</v>
      </c>
      <c r="AP341" s="243">
        <f>SUMIFS(Podcasts!$F$538:'Podcasts'!$F$909,Podcasts!$D$538:'Podcasts'!$D$909,"&gt;0",Podcasts!$E$538:'Podcasts'!$E$909,"&gt;"&amp;$C340,Podcasts!$E$538:'Podcasts'!$E$909,"&lt;="&amp;$C341)*24*60</f>
        <v>0</v>
      </c>
      <c r="AQ341" s="243">
        <f>SUMIFS(Podcasts!$F$915:'Podcasts'!$F$981,Podcasts!$D$915:'Podcasts'!$D$981,"&gt;0",Podcasts!$E$915:'Podcasts'!$E$981,"&gt;"&amp;$C340,Podcasts!$E$915:'Podcasts'!$E$981,"&lt;="&amp;$C341)*24*60</f>
        <v>0</v>
      </c>
      <c r="AR341" s="243">
        <f>SUMIFS(Podcasts!$F$987:'Podcasts'!$F$995,Podcasts!$D$987:'Podcasts'!$D$995,"&gt;0",Podcasts!$E$987:'Podcasts'!$E$995,"&gt;"&amp;$C340,Podcasts!$E$987:'Podcasts'!$E$995,"&lt;="&amp;$C341)*24*60</f>
        <v>0</v>
      </c>
      <c r="AS341" s="243">
        <f>SUMIFS(Podcasts!$F$1001:'Podcasts'!$F$1251,Podcasts!$D$1001:'Podcasts'!$D$1251,"&gt;0",Podcasts!$E$1001:'Podcasts'!$E$1251,"&gt;"&amp;$C340,Podcasts!$E$1001:'Podcasts'!$E$1251,"&lt;="&amp;$C341)*24*60</f>
        <v>0</v>
      </c>
      <c r="AT341" s="243">
        <f>SUMIFS(Podcasts!$F$1257:'Podcasts'!$F$1267,Podcasts!$D$1257:'Podcasts'!$D$1267,"&gt;0",Podcasts!$E$1257:'Podcasts'!$E$1267,"&gt;"&amp;$C340,Podcasts!$E$1257:'Podcasts'!$E$1267,"&lt;="&amp;$C341)*24*60</f>
        <v>0</v>
      </c>
      <c r="AU341" s="243">
        <f>SUMIFS(Podcasts!$F$1273:'Podcasts'!$F$1283,Podcasts!$D$1273:'Podcasts'!$D$1283,"&gt;0",Podcasts!$E$1273:'Podcasts'!$E$1283,"&gt;"&amp;$C340,Podcasts!$E$1273:'Podcasts'!$E$1283,"&lt;="&amp;$C341)*24*60</f>
        <v>0</v>
      </c>
      <c r="AV341" s="243">
        <f>SUMIFS(Podcasts!$F$1289:'Podcasts'!$F$1295,Podcasts!$D$1289:'Podcasts'!$D$1295,"&gt;0",Podcasts!$E$1289:'Podcasts'!$E$1295,"&gt;"&amp;$C340,Podcasts!$E$1289:'Podcasts'!$E$1295,"&lt;="&amp;$C341)*24*60</f>
        <v>0</v>
      </c>
      <c r="AW341" s="243">
        <f>SUMIFS(Podcasts!$F$1301:'Podcasts'!$F$1356,Podcasts!$D$1301:'Podcasts'!$D$1356,"&gt;0",Podcasts!$E$1301:'Podcasts'!$E$1356,"&gt;"&amp;$C340,Podcasts!$E$1301:'Podcasts'!$E$1356,"&lt;="&amp;$C341)*24*60</f>
        <v>0</v>
      </c>
      <c r="AX341" s="243">
        <f>SUMIFS(Podcasts!$F$1362:'Podcasts'!$F$1364,Podcasts!$D$1362:'Podcasts'!$D$1364,"&gt;0",Podcasts!$E$1362:'Podcasts'!$E$1364,"&gt;"&amp;$C340,Podcasts!$E$1362:'Podcasts'!$E$1364,"&lt;="&amp;$C341)*24*60</f>
        <v>0</v>
      </c>
      <c r="AY341" s="243">
        <f>SUMIFS(Podcasts!$F$1370:'Podcasts'!$F$1419,Podcasts!$D$1370:'Podcasts'!$D$1419,"&gt;0",Podcasts!$E$1370:'Podcasts'!$E$1419,"&gt;"&amp;$C340,Podcasts!$E$1370:'Podcasts'!$E$1419,"&lt;="&amp;$C341)*24*60</f>
        <v>0</v>
      </c>
      <c r="AZ341" s="243">
        <f>SUMIFS(Podcasts!$F$1425:'Podcasts'!$F$1446,Podcasts!$D$1425:'Podcasts'!$D$1446,"&gt;0",Podcasts!$E$1425:'Podcasts'!$E$1446,"&gt;"&amp;$C340,Podcasts!$E$1425:'Podcasts'!$E$1446,"&lt;="&amp;$C341)*24*60</f>
        <v>0</v>
      </c>
      <c r="BA341" s="243">
        <f>SUMIFS(Podcasts!$F$1452:'Podcasts'!$F$1574,Podcasts!$D$1452:'Podcasts'!$D$1574,"&gt;0",Podcasts!$E$1452:'Podcasts'!$E$1574,"&gt;"&amp;$C340,Podcasts!$E$1452:'Podcasts'!$E$1574,"&lt;="&amp;$C341)*24*60</f>
        <v>0</v>
      </c>
      <c r="BB341" s="243">
        <f>SUMIFS(Podcasts!$F$1580:'Podcasts'!$F$1705,Podcasts!$D$1580:'Podcasts'!$D$1705,"&gt;0",Podcasts!$E$1580:'Podcasts'!$E$1705,"&gt;"&amp;$C340,Podcasts!$E$1580:'Podcasts'!$E$1705,"&lt;="&amp;$C341)*24*60</f>
        <v>0</v>
      </c>
      <c r="BC341" s="243">
        <f>SUMIFS(Podcasts!$F$1711:'Podcasts'!$F$1833,Podcasts!$D$1711:'Podcasts'!$D$1833,"&gt;0",Podcasts!$E$1711:'Podcasts'!$E$1833,"&gt;"&amp;$C340,Podcasts!$E$1711:'Podcasts'!$E$1833,"&lt;="&amp;$C341)*24*60</f>
        <v>0</v>
      </c>
      <c r="BD341" s="243">
        <f>SUMIFS(Podcasts!$F$1839:'Podcasts'!$F$1855,Podcasts!$D$1839:'Podcasts'!$D$1855,"&gt;0",Podcasts!$E$1839:'Podcasts'!$E$1855,"&gt;"&amp;$C340,Podcasts!$E$1839:'Podcasts'!$E$1855,"&lt;="&amp;$C341)*24*60</f>
        <v>0</v>
      </c>
      <c r="BE341" s="243">
        <f>SUMIFS(Podcasts!$F$1861:'Podcasts'!$F$1994,Podcasts!$D$1861:'Podcasts'!$D$1994,"&gt;0",Podcasts!$E$1861:'Podcasts'!$E$1994,"&gt;"&amp;$C340,Podcasts!$E$1861:'Podcasts'!$E$1994,"&lt;="&amp;$C341)*24*60</f>
        <v>0</v>
      </c>
      <c r="BF341" s="243">
        <f>SUMIFS(Podcasts!$F$2000:'Podcasts'!$F$2057,Podcasts!$D$2000:'Podcasts'!$D$2057,"&gt;0",Podcasts!$E$2000:'Podcasts'!$E$2057,"&gt;"&amp;$C340,Podcasts!$E$2000:'Podcasts'!$E$2057,"&lt;="&amp;$C341)*24*60</f>
        <v>0</v>
      </c>
      <c r="BG341" s="243">
        <f>SUMIFS(Podcasts!$F$2063:'Podcasts'!$F$2071,Podcasts!$D$2063:'Podcasts'!$D$2071,"&gt;0",Podcasts!$E$2063:'Podcasts'!$E$2071,"&gt;"&amp;$C340,Podcasts!$E$2063:'Podcasts'!$E$2071,"&lt;="&amp;$C341)*24*60</f>
        <v>0</v>
      </c>
      <c r="BH341" s="243">
        <f>SUMIFS(Podcasts!$F$2131:'Podcasts'!$F$2367,Podcasts!$D$2131:'Podcasts'!$D$2367,"&gt;0",Podcasts!$E$2131:'Podcasts'!$E$2367,"&gt;"&amp;$C340,Podcasts!$E$2131:'Podcasts'!$E$2367,"&lt;="&amp;$C341)*24*60</f>
        <v>0</v>
      </c>
    </row>
    <row r="342" spans="1:60" outlineLevel="1">
      <c r="A342" s="163">
        <f t="shared" si="7"/>
        <v>228</v>
      </c>
      <c r="B342" s="164">
        <f t="shared" si="8"/>
        <v>4</v>
      </c>
      <c r="C342" s="72">
        <v>42643</v>
      </c>
      <c r="D342" s="165" t="str">
        <f t="shared" si="11"/>
        <v>228   (+4)</v>
      </c>
      <c r="E342" s="106">
        <f>COUNTIFS(Podcasts!$D$10:'Podcasts'!$D$107,"&gt;0",Podcasts!$E$10:'Podcasts'!$E$107,"&lt;="&amp;$C342)-1</f>
        <v>33</v>
      </c>
      <c r="F342" s="467">
        <f>COUNTIFS(Podcasts!$D$113:'Podcasts'!$D$238,"&gt;0",Podcasts!$E$113:'Podcasts'!$E$238,"&lt;="&amp;$C342)</f>
        <v>33</v>
      </c>
      <c r="G342" s="468">
        <f>COUNTIFS(Podcasts!$D$244:'Podcasts'!$D$299,"&gt;0",Podcasts!$E$244:'Podcasts'!$E$299,"&lt;="&amp;$C342)</f>
        <v>26</v>
      </c>
      <c r="H342" s="467">
        <v>135</v>
      </c>
      <c r="I342" s="467">
        <f>COUNTIFS(Podcasts!$D$479:'Podcasts'!$D$488,"&gt;0",Podcasts!$E$479:'Podcasts'!$E$488,"&lt;="&amp;$C342)</f>
        <v>1</v>
      </c>
      <c r="J342" s="468">
        <f>COUNTIFS(Podcasts!$D$494:'Podcasts'!$D$518,"&gt;0",Podcasts!$E$494:'Podcasts'!$E$518,"&lt;="&amp;$C342)</f>
        <v>0</v>
      </c>
      <c r="K342" s="469">
        <f>COUNTIFS(Podcasts!$D$524:'Podcasts'!$D$532,"&gt;0",Podcasts!$E$524:'Podcasts'!$E$532,"&lt;="&amp;$C342)</f>
        <v>0</v>
      </c>
      <c r="L342" s="467"/>
      <c r="M342" s="467"/>
      <c r="N342" s="469"/>
      <c r="O342" s="467"/>
      <c r="P342" s="467"/>
      <c r="Q342" s="469"/>
      <c r="R342" s="467"/>
      <c r="T342" s="469"/>
      <c r="U342" s="467"/>
      <c r="V342" s="467"/>
      <c r="W342" s="469"/>
      <c r="X342" s="467"/>
      <c r="Y342" s="467"/>
      <c r="Z342" s="469"/>
      <c r="AA342" s="467"/>
      <c r="AC342" s="425"/>
      <c r="AF342" s="469">
        <f>COUNTIFS(Podcasts!$E$2131:'Podcasts'!$E$2367,"&lt;="&amp;$C342)</f>
        <v>16</v>
      </c>
      <c r="AH342" s="243">
        <f t="shared" si="5"/>
        <v>164.75</v>
      </c>
      <c r="AI342" s="243">
        <f>SUMIFS(Podcasts!$F$10:'Podcasts'!$F$107,Podcasts!$D$10:'Podcasts'!$D$107,"&gt;0",Podcasts!$E$10:'Podcasts'!$E$107,"&gt;"&amp;$C341,Podcasts!$E$10:'Podcasts'!$E$107,"&lt;="&amp;$C342)*24*60</f>
        <v>75.866666666666674</v>
      </c>
      <c r="AJ342" s="243">
        <f>SUMIFS(Podcasts!$F$113:'Podcasts'!$F$238,Podcasts!$D$113:'Podcasts'!$D$238,"&gt;0",Podcasts!$E$113:'Podcasts'!$E$238,"&gt;"&amp;$C341,Podcasts!$E$113:'Podcasts'!$E$238,"&lt;="&amp;$C342)*24*60</f>
        <v>2.5666666666666664</v>
      </c>
      <c r="AK342" s="243">
        <f>SUMIFS(Podcasts!$F$244:'Podcasts'!$F$299,Podcasts!$D$244:'Podcasts'!$D$299,"&gt;0",Podcasts!$E$244:'Podcasts'!$E$299,"&gt;"&amp;$C341,Podcasts!$E$244:'Podcasts'!$E$299,"&lt;="&amp;$C342)*24*60</f>
        <v>23.883333333333333</v>
      </c>
      <c r="AL342" s="243">
        <f>SUMIFS(Podcasts!$F$305:'Podcasts'!$F$473,Podcasts!$D$305:'Podcasts'!$D$473,"&gt;0",Podcasts!$E$305:'Podcasts'!$E$473,"&gt;"&amp;$C341,Podcasts!$E$305:'Podcasts'!$E$473,"&lt;="&amp;$C342)*24*60</f>
        <v>0</v>
      </c>
      <c r="AM342" s="243">
        <f>SUMIFS(Podcasts!$F$479:'Podcasts'!$F$488,Podcasts!$D$479:'Podcasts'!$D$488,"&gt;0",Podcasts!$E$479:'Podcasts'!$E$488,"&gt;"&amp;$C341,Podcasts!$E$479:'Podcasts'!$E$488,"&lt;="&amp;$C342)*24*60</f>
        <v>62.43333333333333</v>
      </c>
      <c r="AN342" s="243">
        <f>SUMIFS(Podcasts!$F$494:'Podcasts'!$F$518,Podcasts!$D$494:'Podcasts'!$D$518,"&gt;0",Podcasts!$E$494:'Podcasts'!$E$518,"&gt;"&amp;$C341,Podcasts!$E$494:'Podcasts'!$E$518,"&lt;="&amp;$C342)*24*60</f>
        <v>0</v>
      </c>
      <c r="AO342" s="243">
        <f>SUMIFS(Podcasts!$F$524:'Podcasts'!$F$532,Podcasts!$D$524:'Podcasts'!$D$532,"&gt;0",Podcasts!$E$524:'Podcasts'!$E$532,"&gt;"&amp;$C341,Podcasts!$E$524:'Podcasts'!$E$532,"&lt;="&amp;$C342)*24*60</f>
        <v>0</v>
      </c>
      <c r="AP342" s="243">
        <f>SUMIFS(Podcasts!$F$538:'Podcasts'!$F$909,Podcasts!$D$538:'Podcasts'!$D$909,"&gt;0",Podcasts!$E$538:'Podcasts'!$E$909,"&gt;"&amp;$C341,Podcasts!$E$538:'Podcasts'!$E$909,"&lt;="&amp;$C342)*24*60</f>
        <v>0</v>
      </c>
      <c r="AQ342" s="243">
        <f>SUMIFS(Podcasts!$F$915:'Podcasts'!$F$981,Podcasts!$D$915:'Podcasts'!$D$981,"&gt;0",Podcasts!$E$915:'Podcasts'!$E$981,"&gt;"&amp;$C341,Podcasts!$E$915:'Podcasts'!$E$981,"&lt;="&amp;$C342)*24*60</f>
        <v>0</v>
      </c>
      <c r="AR342" s="243">
        <f>SUMIFS(Podcasts!$F$987:'Podcasts'!$F$995,Podcasts!$D$987:'Podcasts'!$D$995,"&gt;0",Podcasts!$E$987:'Podcasts'!$E$995,"&gt;"&amp;$C341,Podcasts!$E$987:'Podcasts'!$E$995,"&lt;="&amp;$C342)*24*60</f>
        <v>0</v>
      </c>
      <c r="AS342" s="243">
        <f>SUMIFS(Podcasts!$F$1001:'Podcasts'!$F$1251,Podcasts!$D$1001:'Podcasts'!$D$1251,"&gt;0",Podcasts!$E$1001:'Podcasts'!$E$1251,"&gt;"&amp;$C341,Podcasts!$E$1001:'Podcasts'!$E$1251,"&lt;="&amp;$C342)*24*60</f>
        <v>0</v>
      </c>
      <c r="AT342" s="243">
        <f>SUMIFS(Podcasts!$F$1257:'Podcasts'!$F$1267,Podcasts!$D$1257:'Podcasts'!$D$1267,"&gt;0",Podcasts!$E$1257:'Podcasts'!$E$1267,"&gt;"&amp;$C341,Podcasts!$E$1257:'Podcasts'!$E$1267,"&lt;="&amp;$C342)*24*60</f>
        <v>0</v>
      </c>
      <c r="AU342" s="243">
        <f>SUMIFS(Podcasts!$F$1273:'Podcasts'!$F$1283,Podcasts!$D$1273:'Podcasts'!$D$1283,"&gt;0",Podcasts!$E$1273:'Podcasts'!$E$1283,"&gt;"&amp;$C341,Podcasts!$E$1273:'Podcasts'!$E$1283,"&lt;="&amp;$C342)*24*60</f>
        <v>0</v>
      </c>
      <c r="AV342" s="243">
        <f>SUMIFS(Podcasts!$F$1289:'Podcasts'!$F$1295,Podcasts!$D$1289:'Podcasts'!$D$1295,"&gt;0",Podcasts!$E$1289:'Podcasts'!$E$1295,"&gt;"&amp;$C341,Podcasts!$E$1289:'Podcasts'!$E$1295,"&lt;="&amp;$C342)*24*60</f>
        <v>0</v>
      </c>
      <c r="AW342" s="243">
        <f>SUMIFS(Podcasts!$F$1301:'Podcasts'!$F$1356,Podcasts!$D$1301:'Podcasts'!$D$1356,"&gt;0",Podcasts!$E$1301:'Podcasts'!$E$1356,"&gt;"&amp;$C341,Podcasts!$E$1301:'Podcasts'!$E$1356,"&lt;="&amp;$C342)*24*60</f>
        <v>0</v>
      </c>
      <c r="AX342" s="243">
        <f>SUMIFS(Podcasts!$F$1362:'Podcasts'!$F$1364,Podcasts!$D$1362:'Podcasts'!$D$1364,"&gt;0",Podcasts!$E$1362:'Podcasts'!$E$1364,"&gt;"&amp;$C341,Podcasts!$E$1362:'Podcasts'!$E$1364,"&lt;="&amp;$C342)*24*60</f>
        <v>0</v>
      </c>
      <c r="AY342" s="243">
        <f>SUMIFS(Podcasts!$F$1370:'Podcasts'!$F$1419,Podcasts!$D$1370:'Podcasts'!$D$1419,"&gt;0",Podcasts!$E$1370:'Podcasts'!$E$1419,"&gt;"&amp;$C341,Podcasts!$E$1370:'Podcasts'!$E$1419,"&lt;="&amp;$C342)*24*60</f>
        <v>0</v>
      </c>
      <c r="AZ342" s="243">
        <f>SUMIFS(Podcasts!$F$1425:'Podcasts'!$F$1446,Podcasts!$D$1425:'Podcasts'!$D$1446,"&gt;0",Podcasts!$E$1425:'Podcasts'!$E$1446,"&gt;"&amp;$C341,Podcasts!$E$1425:'Podcasts'!$E$1446,"&lt;="&amp;$C342)*24*60</f>
        <v>0</v>
      </c>
      <c r="BA342" s="243">
        <f>SUMIFS(Podcasts!$F$1452:'Podcasts'!$F$1574,Podcasts!$D$1452:'Podcasts'!$D$1574,"&gt;0",Podcasts!$E$1452:'Podcasts'!$E$1574,"&gt;"&amp;$C341,Podcasts!$E$1452:'Podcasts'!$E$1574,"&lt;="&amp;$C342)*24*60</f>
        <v>0</v>
      </c>
      <c r="BB342" s="243">
        <f>SUMIFS(Podcasts!$F$1580:'Podcasts'!$F$1705,Podcasts!$D$1580:'Podcasts'!$D$1705,"&gt;0",Podcasts!$E$1580:'Podcasts'!$E$1705,"&gt;"&amp;$C341,Podcasts!$E$1580:'Podcasts'!$E$1705,"&lt;="&amp;$C342)*24*60</f>
        <v>0</v>
      </c>
      <c r="BC342" s="243">
        <f>SUMIFS(Podcasts!$F$1711:'Podcasts'!$F$1833,Podcasts!$D$1711:'Podcasts'!$D$1833,"&gt;0",Podcasts!$E$1711:'Podcasts'!$E$1833,"&gt;"&amp;$C341,Podcasts!$E$1711:'Podcasts'!$E$1833,"&lt;="&amp;$C342)*24*60</f>
        <v>0</v>
      </c>
      <c r="BD342" s="243">
        <f>SUMIFS(Podcasts!$F$1839:'Podcasts'!$F$1855,Podcasts!$D$1839:'Podcasts'!$D$1855,"&gt;0",Podcasts!$E$1839:'Podcasts'!$E$1855,"&gt;"&amp;$C341,Podcasts!$E$1839:'Podcasts'!$E$1855,"&lt;="&amp;$C342)*24*60</f>
        <v>0</v>
      </c>
      <c r="BE342" s="243">
        <f>SUMIFS(Podcasts!$F$1861:'Podcasts'!$F$1994,Podcasts!$D$1861:'Podcasts'!$D$1994,"&gt;0",Podcasts!$E$1861:'Podcasts'!$E$1994,"&gt;"&amp;$C341,Podcasts!$E$1861:'Podcasts'!$E$1994,"&lt;="&amp;$C342)*24*60</f>
        <v>0</v>
      </c>
      <c r="BF342" s="243">
        <f>SUMIFS(Podcasts!$F$2000:'Podcasts'!$F$2057,Podcasts!$D$2000:'Podcasts'!$D$2057,"&gt;0",Podcasts!$E$2000:'Podcasts'!$E$2057,"&gt;"&amp;$C341,Podcasts!$E$2000:'Podcasts'!$E$2057,"&lt;="&amp;$C342)*24*60</f>
        <v>0</v>
      </c>
      <c r="BG342" s="243">
        <f>SUMIFS(Podcasts!$F$2063:'Podcasts'!$F$2071,Podcasts!$D$2063:'Podcasts'!$D$2071,"&gt;0",Podcasts!$E$2063:'Podcasts'!$E$2071,"&gt;"&amp;$C341,Podcasts!$E$2063:'Podcasts'!$E$2071,"&lt;="&amp;$C342)*24*60</f>
        <v>0</v>
      </c>
      <c r="BH342" s="243">
        <f>SUMIFS(Podcasts!$F$2131:'Podcasts'!$F$2367,Podcasts!$D$2131:'Podcasts'!$D$2367,"&gt;0",Podcasts!$E$2131:'Podcasts'!$E$2367,"&gt;"&amp;$C341,Podcasts!$E$2131:'Podcasts'!$E$2367,"&lt;="&amp;$C342)*24*60</f>
        <v>0</v>
      </c>
    </row>
    <row r="343" spans="1:60" outlineLevel="1">
      <c r="A343" s="163">
        <f t="shared" si="7"/>
        <v>233</v>
      </c>
      <c r="B343" s="164">
        <f t="shared" si="8"/>
        <v>5</v>
      </c>
      <c r="C343" s="72">
        <v>42735</v>
      </c>
      <c r="D343" s="166" t="str">
        <f t="shared" si="11"/>
        <v>233   (+5)</v>
      </c>
      <c r="E343" s="106">
        <f>COUNTIFS(Podcasts!$D$10:'Podcasts'!$D$107,"&gt;0",Podcasts!$E$10:'Podcasts'!$E$107,"&lt;="&amp;$C343)-1</f>
        <v>33</v>
      </c>
      <c r="F343" s="467">
        <f>COUNTIFS(Podcasts!$D$113:'Podcasts'!$D$238,"&gt;0",Podcasts!$E$113:'Podcasts'!$E$238,"&lt;="&amp;$C343)</f>
        <v>34</v>
      </c>
      <c r="G343" s="468">
        <f>COUNTIFS(Podcasts!$D$244:'Podcasts'!$D$299,"&gt;0",Podcasts!$E$244:'Podcasts'!$E$299,"&lt;="&amp;$C343)</f>
        <v>27</v>
      </c>
      <c r="H343" s="467">
        <v>135</v>
      </c>
      <c r="I343" s="467">
        <f>COUNTIFS(Podcasts!$D$479:'Podcasts'!$D$488,"&gt;0",Podcasts!$E$479:'Podcasts'!$E$488,"&lt;="&amp;$C343)</f>
        <v>1</v>
      </c>
      <c r="J343" s="468">
        <f>COUNTIFS(Podcasts!$D$494:'Podcasts'!$D$518,"&gt;0",Podcasts!$E$494:'Podcasts'!$E$518,"&lt;="&amp;$C343)</f>
        <v>2</v>
      </c>
      <c r="K343" s="469">
        <f>COUNTIFS(Podcasts!$D$524:'Podcasts'!$D$532,"&gt;0",Podcasts!$E$524:'Podcasts'!$E$532,"&lt;="&amp;$C343)</f>
        <v>1</v>
      </c>
      <c r="L343" s="467"/>
      <c r="M343" s="467"/>
      <c r="N343" s="469"/>
      <c r="O343" s="467"/>
      <c r="P343" s="467"/>
      <c r="Q343" s="469"/>
      <c r="R343" s="467"/>
      <c r="T343" s="469"/>
      <c r="U343" s="467"/>
      <c r="V343" s="474"/>
      <c r="W343" s="475"/>
      <c r="X343" s="474"/>
      <c r="Y343" s="474"/>
      <c r="Z343" s="475"/>
      <c r="AA343" s="474"/>
      <c r="AC343" s="475"/>
      <c r="AF343" s="475">
        <f>COUNTIFS(Podcasts!$E$2131:'Podcasts'!$E$2367,"&lt;="&amp;$C343)</f>
        <v>17</v>
      </c>
      <c r="AH343" s="243">
        <f t="shared" si="5"/>
        <v>215.36666666666667</v>
      </c>
      <c r="AI343" s="243">
        <f>SUMIFS(Podcasts!$F$10:'Podcasts'!$F$107,Podcasts!$D$10:'Podcasts'!$D$107,"&gt;0",Podcasts!$E$10:'Podcasts'!$E$107,"&gt;"&amp;$C342,Podcasts!$E$10:'Podcasts'!$E$107,"&lt;="&amp;$C343)*24*60</f>
        <v>0</v>
      </c>
      <c r="AJ343" s="243">
        <f>SUMIFS(Podcasts!$F$113:'Podcasts'!$F$238,Podcasts!$D$113:'Podcasts'!$D$238,"&gt;0",Podcasts!$E$113:'Podcasts'!$E$238,"&gt;"&amp;$C342,Podcasts!$E$113:'Podcasts'!$E$238,"&lt;="&amp;$C343)*24*60</f>
        <v>6.2666666666666666</v>
      </c>
      <c r="AK343" s="243">
        <f>SUMIFS(Podcasts!$F$244:'Podcasts'!$F$299,Podcasts!$D$244:'Podcasts'!$D$299,"&gt;0",Podcasts!$E$244:'Podcasts'!$E$299,"&gt;"&amp;$C342,Podcasts!$E$244:'Podcasts'!$E$299,"&lt;="&amp;$C343)*24*60</f>
        <v>29.083333333333329</v>
      </c>
      <c r="AL343" s="243">
        <f>SUMIFS(Podcasts!$F$305:'Podcasts'!$F$473,Podcasts!$D$305:'Podcasts'!$D$473,"&gt;0",Podcasts!$E$305:'Podcasts'!$E$473,"&gt;"&amp;$C342,Podcasts!$E$305:'Podcasts'!$E$473,"&lt;="&amp;$C343)*24*60</f>
        <v>0</v>
      </c>
      <c r="AM343" s="243">
        <f>SUMIFS(Podcasts!$F$479:'Podcasts'!$F$488,Podcasts!$D$479:'Podcasts'!$D$488,"&gt;0",Podcasts!$E$479:'Podcasts'!$E$488,"&gt;"&amp;$C342,Podcasts!$E$479:'Podcasts'!$E$488,"&lt;="&amp;$C343)*24*60</f>
        <v>0</v>
      </c>
      <c r="AN343" s="243">
        <f>SUMIFS(Podcasts!$F$494:'Podcasts'!$F$518,Podcasts!$D$494:'Podcasts'!$D$518,"&gt;0",Podcasts!$E$494:'Podcasts'!$E$518,"&gt;"&amp;$C342,Podcasts!$E$494:'Podcasts'!$E$518,"&lt;="&amp;$C343)*24*60</f>
        <v>125.03333333333332</v>
      </c>
      <c r="AO343" s="243">
        <f>SUMIFS(Podcasts!$F$524:'Podcasts'!$F$532,Podcasts!$D$524:'Podcasts'!$D$532,"&gt;0",Podcasts!$E$524:'Podcasts'!$E$532,"&gt;"&amp;$C342,Podcasts!$E$524:'Podcasts'!$E$532,"&lt;="&amp;$C343)*24*60</f>
        <v>54.983333333333334</v>
      </c>
      <c r="AP343" s="243">
        <f>SUMIFS(Podcasts!$F$538:'Podcasts'!$F$909,Podcasts!$D$538:'Podcasts'!$D$909,"&gt;0",Podcasts!$E$538:'Podcasts'!$E$909,"&gt;"&amp;$C342,Podcasts!$E$538:'Podcasts'!$E$909,"&lt;="&amp;$C343)*24*60</f>
        <v>0</v>
      </c>
      <c r="AQ343" s="243">
        <f>SUMIFS(Podcasts!$F$915:'Podcasts'!$F$981,Podcasts!$D$915:'Podcasts'!$D$981,"&gt;0",Podcasts!$E$915:'Podcasts'!$E$981,"&gt;"&amp;$C342,Podcasts!$E$915:'Podcasts'!$E$981,"&lt;="&amp;$C343)*24*60</f>
        <v>0</v>
      </c>
      <c r="AR343" s="243">
        <f>SUMIFS(Podcasts!$F$987:'Podcasts'!$F$995,Podcasts!$D$987:'Podcasts'!$D$995,"&gt;0",Podcasts!$E$987:'Podcasts'!$E$995,"&gt;"&amp;$C342,Podcasts!$E$987:'Podcasts'!$E$995,"&lt;="&amp;$C343)*24*60</f>
        <v>0</v>
      </c>
      <c r="AS343" s="243">
        <f>SUMIFS(Podcasts!$F$1001:'Podcasts'!$F$1251,Podcasts!$D$1001:'Podcasts'!$D$1251,"&gt;0",Podcasts!$E$1001:'Podcasts'!$E$1251,"&gt;"&amp;$C342,Podcasts!$E$1001:'Podcasts'!$E$1251,"&lt;="&amp;$C343)*24*60</f>
        <v>0</v>
      </c>
      <c r="AT343" s="243">
        <f>SUMIFS(Podcasts!$F$1257:'Podcasts'!$F$1267,Podcasts!$D$1257:'Podcasts'!$D$1267,"&gt;0",Podcasts!$E$1257:'Podcasts'!$E$1267,"&gt;"&amp;$C342,Podcasts!$E$1257:'Podcasts'!$E$1267,"&lt;="&amp;$C343)*24*60</f>
        <v>0</v>
      </c>
      <c r="AU343" s="243">
        <f>SUMIFS(Podcasts!$F$1273:'Podcasts'!$F$1283,Podcasts!$D$1273:'Podcasts'!$D$1283,"&gt;0",Podcasts!$E$1273:'Podcasts'!$E$1283,"&gt;"&amp;$C342,Podcasts!$E$1273:'Podcasts'!$E$1283,"&lt;="&amp;$C343)*24*60</f>
        <v>0</v>
      </c>
      <c r="AV343" s="243">
        <f>SUMIFS(Podcasts!$F$1289:'Podcasts'!$F$1295,Podcasts!$D$1289:'Podcasts'!$D$1295,"&gt;0",Podcasts!$E$1289:'Podcasts'!$E$1295,"&gt;"&amp;$C342,Podcasts!$E$1289:'Podcasts'!$E$1295,"&lt;="&amp;$C343)*24*60</f>
        <v>0</v>
      </c>
      <c r="AW343" s="243">
        <f>SUMIFS(Podcasts!$F$1301:'Podcasts'!$F$1356,Podcasts!$D$1301:'Podcasts'!$D$1356,"&gt;0",Podcasts!$E$1301:'Podcasts'!$E$1356,"&gt;"&amp;$C342,Podcasts!$E$1301:'Podcasts'!$E$1356,"&lt;="&amp;$C343)*24*60</f>
        <v>0</v>
      </c>
      <c r="AX343" s="243">
        <f>SUMIFS(Podcasts!$F$1362:'Podcasts'!$F$1364,Podcasts!$D$1362:'Podcasts'!$D$1364,"&gt;0",Podcasts!$E$1362:'Podcasts'!$E$1364,"&gt;"&amp;$C342,Podcasts!$E$1362:'Podcasts'!$E$1364,"&lt;="&amp;$C343)*24*60</f>
        <v>0</v>
      </c>
      <c r="AY343" s="243">
        <f>SUMIFS(Podcasts!$F$1370:'Podcasts'!$F$1419,Podcasts!$D$1370:'Podcasts'!$D$1419,"&gt;0",Podcasts!$E$1370:'Podcasts'!$E$1419,"&gt;"&amp;$C342,Podcasts!$E$1370:'Podcasts'!$E$1419,"&lt;="&amp;$C343)*24*60</f>
        <v>0</v>
      </c>
      <c r="AZ343" s="243">
        <f>SUMIFS(Podcasts!$F$1425:'Podcasts'!$F$1446,Podcasts!$D$1425:'Podcasts'!$D$1446,"&gt;0",Podcasts!$E$1425:'Podcasts'!$E$1446,"&gt;"&amp;$C342,Podcasts!$E$1425:'Podcasts'!$E$1446,"&lt;="&amp;$C343)*24*60</f>
        <v>0</v>
      </c>
      <c r="BA343" s="243">
        <f>SUMIFS(Podcasts!$F$1452:'Podcasts'!$F$1574,Podcasts!$D$1452:'Podcasts'!$D$1574,"&gt;0",Podcasts!$E$1452:'Podcasts'!$E$1574,"&gt;"&amp;$C342,Podcasts!$E$1452:'Podcasts'!$E$1574,"&lt;="&amp;$C343)*24*60</f>
        <v>0</v>
      </c>
      <c r="BB343" s="243">
        <f>SUMIFS(Podcasts!$F$1580:'Podcasts'!$F$1705,Podcasts!$D$1580:'Podcasts'!$D$1705,"&gt;0",Podcasts!$E$1580:'Podcasts'!$E$1705,"&gt;"&amp;$C342,Podcasts!$E$1580:'Podcasts'!$E$1705,"&lt;="&amp;$C343)*24*60</f>
        <v>0</v>
      </c>
      <c r="BC343" s="243">
        <f>SUMIFS(Podcasts!$F$1711:'Podcasts'!$F$1833,Podcasts!$D$1711:'Podcasts'!$D$1833,"&gt;0",Podcasts!$E$1711:'Podcasts'!$E$1833,"&gt;"&amp;$C342,Podcasts!$E$1711:'Podcasts'!$E$1833,"&lt;="&amp;$C343)*24*60</f>
        <v>0</v>
      </c>
      <c r="BD343" s="243">
        <f>SUMIFS(Podcasts!$F$1839:'Podcasts'!$F$1855,Podcasts!$D$1839:'Podcasts'!$D$1855,"&gt;0",Podcasts!$E$1839:'Podcasts'!$E$1855,"&gt;"&amp;$C342,Podcasts!$E$1839:'Podcasts'!$E$1855,"&lt;="&amp;$C343)*24*60</f>
        <v>0</v>
      </c>
      <c r="BE343" s="243">
        <f>SUMIFS(Podcasts!$F$1861:'Podcasts'!$F$1994,Podcasts!$D$1861:'Podcasts'!$D$1994,"&gt;0",Podcasts!$E$1861:'Podcasts'!$E$1994,"&gt;"&amp;$C342,Podcasts!$E$1861:'Podcasts'!$E$1994,"&lt;="&amp;$C343)*24*60</f>
        <v>0</v>
      </c>
      <c r="BF343" s="243">
        <f>SUMIFS(Podcasts!$F$2000:'Podcasts'!$F$2057,Podcasts!$D$2000:'Podcasts'!$D$2057,"&gt;0",Podcasts!$E$2000:'Podcasts'!$E$2057,"&gt;"&amp;$C342,Podcasts!$E$2000:'Podcasts'!$E$2057,"&lt;="&amp;$C343)*24*60</f>
        <v>0</v>
      </c>
      <c r="BG343" s="243">
        <f>SUMIFS(Podcasts!$F$2063:'Podcasts'!$F$2071,Podcasts!$D$2063:'Podcasts'!$D$2071,"&gt;0",Podcasts!$E$2063:'Podcasts'!$E$2071,"&gt;"&amp;$C342,Podcasts!$E$2063:'Podcasts'!$E$2071,"&lt;="&amp;$C343)*24*60</f>
        <v>0</v>
      </c>
      <c r="BH343" s="243">
        <f>SUMIFS(Podcasts!$F$2131:'Podcasts'!$F$2367,Podcasts!$D$2131:'Podcasts'!$D$2367,"&gt;0",Podcasts!$E$2131:'Podcasts'!$E$2367,"&gt;"&amp;$C342,Podcasts!$E$2131:'Podcasts'!$E$2367,"&lt;="&amp;$C343)*24*60</f>
        <v>0</v>
      </c>
    </row>
    <row r="344" spans="1:60" outlineLevel="1">
      <c r="A344" s="163">
        <f t="shared" si="7"/>
        <v>242</v>
      </c>
      <c r="B344" s="164">
        <f t="shared" si="8"/>
        <v>9</v>
      </c>
      <c r="C344" s="73">
        <v>42825</v>
      </c>
      <c r="D344" s="167" t="str">
        <f t="shared" si="11"/>
        <v>242   (+9)</v>
      </c>
      <c r="E344" s="470">
        <f>COUNTIFS(Podcasts!$D$10:'Podcasts'!$D$107,"&gt;0",Podcasts!$E$10:'Podcasts'!$E$107,"&lt;="&amp;$C344)-1</f>
        <v>33</v>
      </c>
      <c r="F344" s="471">
        <f>COUNTIFS(Podcasts!$D$113:'Podcasts'!$D$238,"&gt;0",Podcasts!$E$113:'Podcasts'!$E$238,"&lt;="&amp;$C344)</f>
        <v>36</v>
      </c>
      <c r="G344" s="472">
        <f>COUNTIFS(Podcasts!$D$244:'Podcasts'!$D$299,"&gt;0",Podcasts!$E$244:'Podcasts'!$E$299,"&lt;="&amp;$C344)</f>
        <v>29</v>
      </c>
      <c r="H344" s="471">
        <v>135</v>
      </c>
      <c r="I344" s="471">
        <f>COUNTIFS(Podcasts!$D$479:'Podcasts'!$D$488,"&gt;0",Podcasts!$E$479:'Podcasts'!$E$488,"&lt;="&amp;$C344)</f>
        <v>1</v>
      </c>
      <c r="J344" s="472">
        <f>COUNTIFS(Podcasts!$D$494:'Podcasts'!$D$518,"&gt;0",Podcasts!$E$494:'Podcasts'!$E$518,"&lt;="&amp;$C344)</f>
        <v>4</v>
      </c>
      <c r="K344" s="473">
        <f>COUNTIFS(Podcasts!$D$524:'Podcasts'!$D$532,"&gt;0",Podcasts!$E$524:'Podcasts'!$E$532,"&lt;="&amp;$C344)</f>
        <v>4</v>
      </c>
      <c r="L344" s="471">
        <f>COUNTIFS(Podcasts!$D$538:'Podcasts'!$D$909,"&gt;0",Podcasts!$E$538:'Podcasts'!$E$909,"&lt;="&amp;$C344)</f>
        <v>0</v>
      </c>
      <c r="M344" s="471"/>
      <c r="N344" s="473"/>
      <c r="O344" s="471"/>
      <c r="P344" s="471"/>
      <c r="Q344" s="473"/>
      <c r="R344" s="471"/>
      <c r="S344" s="576"/>
      <c r="T344" s="473"/>
      <c r="U344" s="471"/>
      <c r="V344" s="467"/>
      <c r="W344" s="469"/>
      <c r="X344" s="467"/>
      <c r="Y344" s="467"/>
      <c r="Z344" s="469"/>
      <c r="AA344" s="471"/>
      <c r="AB344" s="471"/>
      <c r="AC344" s="473"/>
      <c r="AD344" s="471"/>
      <c r="AE344" s="471"/>
      <c r="AF344" s="469">
        <f>COUNTIFS(Podcasts!$E$2131:'Podcasts'!$E$2367,"&lt;="&amp;$C344)</f>
        <v>18</v>
      </c>
      <c r="AH344" s="243">
        <f t="shared" si="5"/>
        <v>336.79999999999995</v>
      </c>
      <c r="AI344" s="243">
        <f>SUMIFS(Podcasts!$F$10:'Podcasts'!$F$107,Podcasts!$D$10:'Podcasts'!$D$107,"&gt;0",Podcasts!$E$10:'Podcasts'!$E$107,"&gt;"&amp;$C343,Podcasts!$E$10:'Podcasts'!$E$107,"&lt;="&amp;$C344)*24*60</f>
        <v>0</v>
      </c>
      <c r="AJ344" s="243">
        <f>SUMIFS(Podcasts!$F$113:'Podcasts'!$F$238,Podcasts!$D$113:'Podcasts'!$D$238,"&gt;0",Podcasts!$E$113:'Podcasts'!$E$238,"&gt;"&amp;$C343,Podcasts!$E$113:'Podcasts'!$E$238,"&lt;="&amp;$C344)*24*60</f>
        <v>6.2666666666666666</v>
      </c>
      <c r="AK344" s="243">
        <f>SUMIFS(Podcasts!$F$244:'Podcasts'!$F$299,Podcasts!$D$244:'Podcasts'!$D$299,"&gt;0",Podcasts!$E$244:'Podcasts'!$E$299,"&gt;"&amp;$C343,Podcasts!$E$244:'Podcasts'!$E$299,"&lt;="&amp;$C344)*24*60</f>
        <v>58.683333333333337</v>
      </c>
      <c r="AL344" s="243">
        <f>SUMIFS(Podcasts!$F$305:'Podcasts'!$F$473,Podcasts!$D$305:'Podcasts'!$D$473,"&gt;0",Podcasts!$E$305:'Podcasts'!$E$473,"&gt;"&amp;$C343,Podcasts!$E$305:'Podcasts'!$E$473,"&lt;="&amp;$C344)*24*60</f>
        <v>0</v>
      </c>
      <c r="AM344" s="243">
        <f>SUMIFS(Podcasts!$F$479:'Podcasts'!$F$488,Podcasts!$D$479:'Podcasts'!$D$488,"&gt;0",Podcasts!$E$479:'Podcasts'!$E$488,"&gt;"&amp;$C343,Podcasts!$E$479:'Podcasts'!$E$488,"&lt;="&amp;$C344)*24*60</f>
        <v>0</v>
      </c>
      <c r="AN344" s="243">
        <f>SUMIFS(Podcasts!$F$494:'Podcasts'!$F$518,Podcasts!$D$494:'Podcasts'!$D$518,"&gt;0",Podcasts!$E$494:'Podcasts'!$E$518,"&gt;"&amp;$C343,Podcasts!$E$494:'Podcasts'!$E$518,"&lt;="&amp;$C344)*24*60</f>
        <v>130.14999999999998</v>
      </c>
      <c r="AO344" s="243">
        <f>SUMIFS(Podcasts!$F$524:'Podcasts'!$F$532,Podcasts!$D$524:'Podcasts'!$D$532,"&gt;0",Podcasts!$E$524:'Podcasts'!$E$532,"&gt;"&amp;$C343,Podcasts!$E$524:'Podcasts'!$E$532,"&lt;="&amp;$C344)*24*60</f>
        <v>141.70000000000002</v>
      </c>
      <c r="AP344" s="243">
        <f>SUMIFS(Podcasts!$F$538:'Podcasts'!$F$909,Podcasts!$D$538:'Podcasts'!$D$909,"&gt;0",Podcasts!$E$538:'Podcasts'!$E$909,"&gt;"&amp;$C343,Podcasts!$E$538:'Podcasts'!$E$909,"&lt;="&amp;$C344)*24*60</f>
        <v>0</v>
      </c>
      <c r="AQ344" s="243">
        <f>SUMIFS(Podcasts!$F$915:'Podcasts'!$F$981,Podcasts!$D$915:'Podcasts'!$D$981,"&gt;0",Podcasts!$E$915:'Podcasts'!$E$981,"&gt;"&amp;$C343,Podcasts!$E$915:'Podcasts'!$E$981,"&lt;="&amp;$C344)*24*60</f>
        <v>0</v>
      </c>
      <c r="AR344" s="243">
        <f>SUMIFS(Podcasts!$F$987:'Podcasts'!$F$995,Podcasts!$D$987:'Podcasts'!$D$995,"&gt;0",Podcasts!$E$987:'Podcasts'!$E$995,"&gt;"&amp;$C343,Podcasts!$E$987:'Podcasts'!$E$995,"&lt;="&amp;$C344)*24*60</f>
        <v>0</v>
      </c>
      <c r="AS344" s="243">
        <f>SUMIFS(Podcasts!$F$1001:'Podcasts'!$F$1251,Podcasts!$D$1001:'Podcasts'!$D$1251,"&gt;0",Podcasts!$E$1001:'Podcasts'!$E$1251,"&gt;"&amp;$C343,Podcasts!$E$1001:'Podcasts'!$E$1251,"&lt;="&amp;$C344)*24*60</f>
        <v>0</v>
      </c>
      <c r="AT344" s="243">
        <f>SUMIFS(Podcasts!$F$1257:'Podcasts'!$F$1267,Podcasts!$D$1257:'Podcasts'!$D$1267,"&gt;0",Podcasts!$E$1257:'Podcasts'!$E$1267,"&gt;"&amp;$C343,Podcasts!$E$1257:'Podcasts'!$E$1267,"&lt;="&amp;$C344)*24*60</f>
        <v>0</v>
      </c>
      <c r="AU344" s="243">
        <f>SUMIFS(Podcasts!$F$1273:'Podcasts'!$F$1283,Podcasts!$D$1273:'Podcasts'!$D$1283,"&gt;0",Podcasts!$E$1273:'Podcasts'!$E$1283,"&gt;"&amp;$C343,Podcasts!$E$1273:'Podcasts'!$E$1283,"&lt;="&amp;$C344)*24*60</f>
        <v>0</v>
      </c>
      <c r="AV344" s="243">
        <f>SUMIFS(Podcasts!$F$1289:'Podcasts'!$F$1295,Podcasts!$D$1289:'Podcasts'!$D$1295,"&gt;0",Podcasts!$E$1289:'Podcasts'!$E$1295,"&gt;"&amp;$C343,Podcasts!$E$1289:'Podcasts'!$E$1295,"&lt;="&amp;$C344)*24*60</f>
        <v>0</v>
      </c>
      <c r="AW344" s="243">
        <f>SUMIFS(Podcasts!$F$1301:'Podcasts'!$F$1356,Podcasts!$D$1301:'Podcasts'!$D$1356,"&gt;0",Podcasts!$E$1301:'Podcasts'!$E$1356,"&gt;"&amp;$C343,Podcasts!$E$1301:'Podcasts'!$E$1356,"&lt;="&amp;$C344)*24*60</f>
        <v>0</v>
      </c>
      <c r="AX344" s="243">
        <f>SUMIFS(Podcasts!$F$1362:'Podcasts'!$F$1364,Podcasts!$D$1362:'Podcasts'!$D$1364,"&gt;0",Podcasts!$E$1362:'Podcasts'!$E$1364,"&gt;"&amp;$C343,Podcasts!$E$1362:'Podcasts'!$E$1364,"&lt;="&amp;$C344)*24*60</f>
        <v>0</v>
      </c>
      <c r="AY344" s="243">
        <f>SUMIFS(Podcasts!$F$1370:'Podcasts'!$F$1419,Podcasts!$D$1370:'Podcasts'!$D$1419,"&gt;0",Podcasts!$E$1370:'Podcasts'!$E$1419,"&gt;"&amp;$C343,Podcasts!$E$1370:'Podcasts'!$E$1419,"&lt;="&amp;$C344)*24*60</f>
        <v>0</v>
      </c>
      <c r="AZ344" s="243">
        <f>SUMIFS(Podcasts!$F$1425:'Podcasts'!$F$1446,Podcasts!$D$1425:'Podcasts'!$D$1446,"&gt;0",Podcasts!$E$1425:'Podcasts'!$E$1446,"&gt;"&amp;$C343,Podcasts!$E$1425:'Podcasts'!$E$1446,"&lt;="&amp;$C344)*24*60</f>
        <v>0</v>
      </c>
      <c r="BA344" s="243">
        <f>SUMIFS(Podcasts!$F$1452:'Podcasts'!$F$1574,Podcasts!$D$1452:'Podcasts'!$D$1574,"&gt;0",Podcasts!$E$1452:'Podcasts'!$E$1574,"&gt;"&amp;$C343,Podcasts!$E$1452:'Podcasts'!$E$1574,"&lt;="&amp;$C344)*24*60</f>
        <v>0</v>
      </c>
      <c r="BB344" s="243">
        <f>SUMIFS(Podcasts!$F$1580:'Podcasts'!$F$1705,Podcasts!$D$1580:'Podcasts'!$D$1705,"&gt;0",Podcasts!$E$1580:'Podcasts'!$E$1705,"&gt;"&amp;$C343,Podcasts!$E$1580:'Podcasts'!$E$1705,"&lt;="&amp;$C344)*24*60</f>
        <v>0</v>
      </c>
      <c r="BC344" s="243">
        <f>SUMIFS(Podcasts!$F$1711:'Podcasts'!$F$1833,Podcasts!$D$1711:'Podcasts'!$D$1833,"&gt;0",Podcasts!$E$1711:'Podcasts'!$E$1833,"&gt;"&amp;$C343,Podcasts!$E$1711:'Podcasts'!$E$1833,"&lt;="&amp;$C344)*24*60</f>
        <v>0</v>
      </c>
      <c r="BD344" s="243">
        <f>SUMIFS(Podcasts!$F$1839:'Podcasts'!$F$1855,Podcasts!$D$1839:'Podcasts'!$D$1855,"&gt;0",Podcasts!$E$1839:'Podcasts'!$E$1855,"&gt;"&amp;$C343,Podcasts!$E$1839:'Podcasts'!$E$1855,"&lt;="&amp;$C344)*24*60</f>
        <v>0</v>
      </c>
      <c r="BE344" s="243">
        <f>SUMIFS(Podcasts!$F$1861:'Podcasts'!$F$1994,Podcasts!$D$1861:'Podcasts'!$D$1994,"&gt;0",Podcasts!$E$1861:'Podcasts'!$E$1994,"&gt;"&amp;$C343,Podcasts!$E$1861:'Podcasts'!$E$1994,"&lt;="&amp;$C344)*24*60</f>
        <v>0</v>
      </c>
      <c r="BF344" s="243">
        <f>SUMIFS(Podcasts!$F$2000:'Podcasts'!$F$2057,Podcasts!$D$2000:'Podcasts'!$D$2057,"&gt;0",Podcasts!$E$2000:'Podcasts'!$E$2057,"&gt;"&amp;$C343,Podcasts!$E$2000:'Podcasts'!$E$2057,"&lt;="&amp;$C344)*24*60</f>
        <v>0</v>
      </c>
      <c r="BG344" s="243">
        <f>SUMIFS(Podcasts!$F$2063:'Podcasts'!$F$2071,Podcasts!$D$2063:'Podcasts'!$D$2071,"&gt;0",Podcasts!$E$2063:'Podcasts'!$E$2071,"&gt;"&amp;$C343,Podcasts!$E$2063:'Podcasts'!$E$2071,"&lt;="&amp;$C344)*24*60</f>
        <v>0</v>
      </c>
      <c r="BH344" s="243">
        <f>SUMIFS(Podcasts!$F$2131:'Podcasts'!$F$2367,Podcasts!$D$2131:'Podcasts'!$D$2367,"&gt;0",Podcasts!$E$2131:'Podcasts'!$E$2367,"&gt;"&amp;$C343,Podcasts!$E$2131:'Podcasts'!$E$2367,"&lt;="&amp;$C344)*24*60</f>
        <v>0</v>
      </c>
    </row>
    <row r="345" spans="1:60" outlineLevel="1">
      <c r="A345" s="163">
        <f t="shared" si="7"/>
        <v>254</v>
      </c>
      <c r="B345" s="164">
        <f t="shared" si="8"/>
        <v>12</v>
      </c>
      <c r="C345" s="72">
        <v>42916</v>
      </c>
      <c r="D345" s="165" t="str">
        <f t="shared" si="10"/>
        <v>254 (+12)</v>
      </c>
      <c r="E345" s="106">
        <f>COUNTIFS(Podcasts!$D$10:'Podcasts'!$D$107,"&gt;0",Podcasts!$E$10:'Podcasts'!$E$107,"&lt;="&amp;$C345)-1</f>
        <v>33</v>
      </c>
      <c r="F345" s="467">
        <f>COUNTIFS(Podcasts!$D$113:'Podcasts'!$D$238,"&gt;0",Podcasts!$E$113:'Podcasts'!$E$238,"&lt;="&amp;$C345)</f>
        <v>37</v>
      </c>
      <c r="G345" s="468">
        <f>COUNTIFS(Podcasts!$D$244:'Podcasts'!$D$299,"&gt;0",Podcasts!$E$244:'Podcasts'!$E$299,"&lt;="&amp;$C345)</f>
        <v>29</v>
      </c>
      <c r="H345" s="467">
        <v>135</v>
      </c>
      <c r="I345" s="467">
        <f>COUNTIFS(Podcasts!$D$479:'Podcasts'!$D$488,"&gt;0",Podcasts!$E$479:'Podcasts'!$E$488,"&lt;="&amp;$C345)</f>
        <v>2</v>
      </c>
      <c r="J345" s="468">
        <f>COUNTIFS(Podcasts!$D$494:'Podcasts'!$D$518,"&gt;0",Podcasts!$E$494:'Podcasts'!$E$518,"&lt;="&amp;$C345)</f>
        <v>6</v>
      </c>
      <c r="K345" s="469">
        <f>COUNTIFS(Podcasts!$D$524:'Podcasts'!$D$532,"&gt;0",Podcasts!$E$524:'Podcasts'!$E$532,"&lt;="&amp;$C345)</f>
        <v>6</v>
      </c>
      <c r="L345" s="467">
        <f>COUNTIFS(Podcasts!$D$538:'Podcasts'!$D$909,"&gt;0",Podcasts!$E$538:'Podcasts'!$E$909,"&lt;="&amp;$C345)</f>
        <v>6</v>
      </c>
      <c r="M345" s="467"/>
      <c r="N345" s="469"/>
      <c r="O345" s="467"/>
      <c r="P345" s="467"/>
      <c r="Q345" s="469"/>
      <c r="R345" s="467"/>
      <c r="T345" s="469"/>
      <c r="U345" s="467"/>
      <c r="V345" s="467"/>
      <c r="W345" s="469"/>
      <c r="X345" s="467"/>
      <c r="Y345" s="467"/>
      <c r="Z345" s="469"/>
      <c r="AA345" s="467"/>
      <c r="AC345" s="425"/>
      <c r="AF345" s="469">
        <f>COUNTIFS(Podcasts!$E$2131:'Podcasts'!$E$2367,"&lt;="&amp;$C345)</f>
        <v>19</v>
      </c>
      <c r="AH345" s="243">
        <f t="shared" si="5"/>
        <v>847.6</v>
      </c>
      <c r="AI345" s="243">
        <f>SUMIFS(Podcasts!$F$10:'Podcasts'!$F$107,Podcasts!$D$10:'Podcasts'!$D$107,"&gt;0",Podcasts!$E$10:'Podcasts'!$E$107,"&gt;"&amp;$C344,Podcasts!$E$10:'Podcasts'!$E$107,"&lt;="&amp;$C345)*24*60</f>
        <v>0</v>
      </c>
      <c r="AJ345" s="243">
        <f>SUMIFS(Podcasts!$F$113:'Podcasts'!$F$238,Podcasts!$D$113:'Podcasts'!$D$238,"&gt;0",Podcasts!$E$113:'Podcasts'!$E$238,"&gt;"&amp;$C344,Podcasts!$E$113:'Podcasts'!$E$238,"&lt;="&amp;$C345)*24*60</f>
        <v>5.2333333333333334</v>
      </c>
      <c r="AK345" s="243">
        <f>SUMIFS(Podcasts!$F$244:'Podcasts'!$F$299,Podcasts!$D$244:'Podcasts'!$D$299,"&gt;0",Podcasts!$E$244:'Podcasts'!$E$299,"&gt;"&amp;$C344,Podcasts!$E$244:'Podcasts'!$E$299,"&lt;="&amp;$C345)*24*60</f>
        <v>0</v>
      </c>
      <c r="AL345" s="243">
        <f>SUMIFS(Podcasts!$F$305:'Podcasts'!$F$473,Podcasts!$D$305:'Podcasts'!$D$473,"&gt;0",Podcasts!$E$305:'Podcasts'!$E$473,"&gt;"&amp;$C344,Podcasts!$E$305:'Podcasts'!$E$473,"&lt;="&amp;$C345)*24*60</f>
        <v>0</v>
      </c>
      <c r="AM345" s="243">
        <f>SUMIFS(Podcasts!$F$479:'Podcasts'!$F$488,Podcasts!$D$479:'Podcasts'!$D$488,"&gt;0",Podcasts!$E$479:'Podcasts'!$E$488,"&gt;"&amp;$C344,Podcasts!$E$479:'Podcasts'!$E$488,"&lt;="&amp;$C345)*24*60</f>
        <v>82.583333333333329</v>
      </c>
      <c r="AN345" s="243">
        <f>SUMIFS(Podcasts!$F$494:'Podcasts'!$F$518,Podcasts!$D$494:'Podcasts'!$D$518,"&gt;0",Podcasts!$E$494:'Podcasts'!$E$518,"&gt;"&amp;$C344,Podcasts!$E$494:'Podcasts'!$E$518,"&lt;="&amp;$C345)*24*60</f>
        <v>135.89999999999998</v>
      </c>
      <c r="AO345" s="243">
        <f>SUMIFS(Podcasts!$F$524:'Podcasts'!$F$532,Podcasts!$D$524:'Podcasts'!$D$532,"&gt;0",Podcasts!$E$524:'Podcasts'!$E$532,"&gt;"&amp;$C344,Podcasts!$E$524:'Podcasts'!$E$532,"&lt;="&amp;$C345)*24*60</f>
        <v>91.433333333333337</v>
      </c>
      <c r="AP345" s="243">
        <f>SUMIFS(Podcasts!$F$538:'Podcasts'!$F$909,Podcasts!$D$538:'Podcasts'!$D$909,"&gt;0",Podcasts!$E$538:'Podcasts'!$E$909,"&gt;"&amp;$C344,Podcasts!$E$538:'Podcasts'!$E$909,"&lt;="&amp;$C345)*24*60</f>
        <v>532.45000000000005</v>
      </c>
      <c r="AQ345" s="243">
        <f>SUMIFS(Podcasts!$F$915:'Podcasts'!$F$981,Podcasts!$D$915:'Podcasts'!$D$981,"&gt;0",Podcasts!$E$915:'Podcasts'!$E$981,"&gt;"&amp;$C344,Podcasts!$E$915:'Podcasts'!$E$981,"&lt;="&amp;$C345)*24*60</f>
        <v>0</v>
      </c>
      <c r="AR345" s="243">
        <f>SUMIFS(Podcasts!$F$987:'Podcasts'!$F$995,Podcasts!$D$987:'Podcasts'!$D$995,"&gt;0",Podcasts!$E$987:'Podcasts'!$E$995,"&gt;"&amp;$C344,Podcasts!$E$987:'Podcasts'!$E$995,"&lt;="&amp;$C345)*24*60</f>
        <v>0</v>
      </c>
      <c r="AS345" s="243">
        <f>SUMIFS(Podcasts!$F$1001:'Podcasts'!$F$1251,Podcasts!$D$1001:'Podcasts'!$D$1251,"&gt;0",Podcasts!$E$1001:'Podcasts'!$E$1251,"&gt;"&amp;$C344,Podcasts!$E$1001:'Podcasts'!$E$1251,"&lt;="&amp;$C345)*24*60</f>
        <v>0</v>
      </c>
      <c r="AT345" s="243">
        <f>SUMIFS(Podcasts!$F$1257:'Podcasts'!$F$1267,Podcasts!$D$1257:'Podcasts'!$D$1267,"&gt;0",Podcasts!$E$1257:'Podcasts'!$E$1267,"&gt;"&amp;$C344,Podcasts!$E$1257:'Podcasts'!$E$1267,"&lt;="&amp;$C345)*24*60</f>
        <v>0</v>
      </c>
      <c r="AU345" s="243">
        <f>SUMIFS(Podcasts!$F$1273:'Podcasts'!$F$1283,Podcasts!$D$1273:'Podcasts'!$D$1283,"&gt;0",Podcasts!$E$1273:'Podcasts'!$E$1283,"&gt;"&amp;$C344,Podcasts!$E$1273:'Podcasts'!$E$1283,"&lt;="&amp;$C345)*24*60</f>
        <v>0</v>
      </c>
      <c r="AV345" s="243">
        <f>SUMIFS(Podcasts!$F$1289:'Podcasts'!$F$1295,Podcasts!$D$1289:'Podcasts'!$D$1295,"&gt;0",Podcasts!$E$1289:'Podcasts'!$E$1295,"&gt;"&amp;$C344,Podcasts!$E$1289:'Podcasts'!$E$1295,"&lt;="&amp;$C345)*24*60</f>
        <v>0</v>
      </c>
      <c r="AW345" s="243">
        <f>SUMIFS(Podcasts!$F$1301:'Podcasts'!$F$1356,Podcasts!$D$1301:'Podcasts'!$D$1356,"&gt;0",Podcasts!$E$1301:'Podcasts'!$E$1356,"&gt;"&amp;$C344,Podcasts!$E$1301:'Podcasts'!$E$1356,"&lt;="&amp;$C345)*24*60</f>
        <v>0</v>
      </c>
      <c r="AX345" s="243">
        <f>SUMIFS(Podcasts!$F$1362:'Podcasts'!$F$1364,Podcasts!$D$1362:'Podcasts'!$D$1364,"&gt;0",Podcasts!$E$1362:'Podcasts'!$E$1364,"&gt;"&amp;$C344,Podcasts!$E$1362:'Podcasts'!$E$1364,"&lt;="&amp;$C345)*24*60</f>
        <v>0</v>
      </c>
      <c r="AY345" s="243">
        <f>SUMIFS(Podcasts!$F$1370:'Podcasts'!$F$1419,Podcasts!$D$1370:'Podcasts'!$D$1419,"&gt;0",Podcasts!$E$1370:'Podcasts'!$E$1419,"&gt;"&amp;$C344,Podcasts!$E$1370:'Podcasts'!$E$1419,"&lt;="&amp;$C345)*24*60</f>
        <v>0</v>
      </c>
      <c r="AZ345" s="243">
        <f>SUMIFS(Podcasts!$F$1425:'Podcasts'!$F$1446,Podcasts!$D$1425:'Podcasts'!$D$1446,"&gt;0",Podcasts!$E$1425:'Podcasts'!$E$1446,"&gt;"&amp;$C344,Podcasts!$E$1425:'Podcasts'!$E$1446,"&lt;="&amp;$C345)*24*60</f>
        <v>0</v>
      </c>
      <c r="BA345" s="243">
        <f>SUMIFS(Podcasts!$F$1452:'Podcasts'!$F$1574,Podcasts!$D$1452:'Podcasts'!$D$1574,"&gt;0",Podcasts!$E$1452:'Podcasts'!$E$1574,"&gt;"&amp;$C344,Podcasts!$E$1452:'Podcasts'!$E$1574,"&lt;="&amp;$C345)*24*60</f>
        <v>0</v>
      </c>
      <c r="BB345" s="243">
        <f>SUMIFS(Podcasts!$F$1580:'Podcasts'!$F$1705,Podcasts!$D$1580:'Podcasts'!$D$1705,"&gt;0",Podcasts!$E$1580:'Podcasts'!$E$1705,"&gt;"&amp;$C344,Podcasts!$E$1580:'Podcasts'!$E$1705,"&lt;="&amp;$C345)*24*60</f>
        <v>0</v>
      </c>
      <c r="BC345" s="243">
        <f>SUMIFS(Podcasts!$F$1711:'Podcasts'!$F$1833,Podcasts!$D$1711:'Podcasts'!$D$1833,"&gt;0",Podcasts!$E$1711:'Podcasts'!$E$1833,"&gt;"&amp;$C344,Podcasts!$E$1711:'Podcasts'!$E$1833,"&lt;="&amp;$C345)*24*60</f>
        <v>0</v>
      </c>
      <c r="BD345" s="243">
        <f>SUMIFS(Podcasts!$F$1839:'Podcasts'!$F$1855,Podcasts!$D$1839:'Podcasts'!$D$1855,"&gt;0",Podcasts!$E$1839:'Podcasts'!$E$1855,"&gt;"&amp;$C344,Podcasts!$E$1839:'Podcasts'!$E$1855,"&lt;="&amp;$C345)*24*60</f>
        <v>0</v>
      </c>
      <c r="BE345" s="243">
        <f>SUMIFS(Podcasts!$F$1861:'Podcasts'!$F$1994,Podcasts!$D$1861:'Podcasts'!$D$1994,"&gt;0",Podcasts!$E$1861:'Podcasts'!$E$1994,"&gt;"&amp;$C344,Podcasts!$E$1861:'Podcasts'!$E$1994,"&lt;="&amp;$C345)*24*60</f>
        <v>0</v>
      </c>
      <c r="BF345" s="243">
        <f>SUMIFS(Podcasts!$F$2000:'Podcasts'!$F$2057,Podcasts!$D$2000:'Podcasts'!$D$2057,"&gt;0",Podcasts!$E$2000:'Podcasts'!$E$2057,"&gt;"&amp;$C344,Podcasts!$E$2000:'Podcasts'!$E$2057,"&lt;="&amp;$C345)*24*60</f>
        <v>0</v>
      </c>
      <c r="BG345" s="243">
        <f>SUMIFS(Podcasts!$F$2063:'Podcasts'!$F$2071,Podcasts!$D$2063:'Podcasts'!$D$2071,"&gt;0",Podcasts!$E$2063:'Podcasts'!$E$2071,"&gt;"&amp;$C344,Podcasts!$E$2063:'Podcasts'!$E$2071,"&lt;="&amp;$C345)*24*60</f>
        <v>0</v>
      </c>
      <c r="BH345" s="243">
        <f>SUMIFS(Podcasts!$F$2131:'Podcasts'!$F$2367,Podcasts!$D$2131:'Podcasts'!$D$2367,"&gt;0",Podcasts!$E$2131:'Podcasts'!$E$2367,"&gt;"&amp;$C344,Podcasts!$E$2131:'Podcasts'!$E$2367,"&lt;="&amp;$C345)*24*60</f>
        <v>0</v>
      </c>
    </row>
    <row r="346" spans="1:60" outlineLevel="1">
      <c r="A346" s="163">
        <f t="shared" si="7"/>
        <v>264</v>
      </c>
      <c r="B346" s="164">
        <f t="shared" si="8"/>
        <v>10</v>
      </c>
      <c r="C346" s="72">
        <v>43008</v>
      </c>
      <c r="D346" s="165" t="str">
        <f>A346&amp;" (+"&amp;B346&amp;")"</f>
        <v>264 (+10)</v>
      </c>
      <c r="E346" s="106">
        <f>COUNTIFS(Podcasts!$D$10:'Podcasts'!$D$107,"&gt;0",Podcasts!$E$10:'Podcasts'!$E$107,"&lt;="&amp;$C346)-1</f>
        <v>35</v>
      </c>
      <c r="F346" s="467">
        <f>COUNTIFS(Podcasts!$D$113:'Podcasts'!$D$238,"&gt;0",Podcasts!$E$113:'Podcasts'!$E$238,"&lt;="&amp;$C346)</f>
        <v>39</v>
      </c>
      <c r="G346" s="468">
        <f>COUNTIFS(Podcasts!$D$244:'Podcasts'!$D$299,"&gt;0",Podcasts!$E$244:'Podcasts'!$E$299,"&lt;="&amp;$C346)</f>
        <v>30</v>
      </c>
      <c r="H346" s="467">
        <v>135</v>
      </c>
      <c r="I346" s="467">
        <f>COUNTIFS(Podcasts!$D$479:'Podcasts'!$D$488,"&gt;0",Podcasts!$E$479:'Podcasts'!$E$488,"&lt;="&amp;$C346)</f>
        <v>2</v>
      </c>
      <c r="J346" s="468">
        <f>COUNTIFS(Podcasts!$D$494:'Podcasts'!$D$518,"&gt;0",Podcasts!$E$494:'Podcasts'!$E$518,"&lt;="&amp;$C346)</f>
        <v>6</v>
      </c>
      <c r="K346" s="469">
        <f>COUNTIFS(Podcasts!$D$524:'Podcasts'!$D$532,"&gt;0",Podcasts!$E$524:'Podcasts'!$E$532,"&lt;="&amp;$C346)</f>
        <v>7</v>
      </c>
      <c r="L346" s="467">
        <f>COUNTIFS(Podcasts!$D$538:'Podcasts'!$D$909,"&gt;0",Podcasts!$E$538:'Podcasts'!$E$909,"&lt;="&amp;$C346)</f>
        <v>10</v>
      </c>
      <c r="M346" s="467"/>
      <c r="N346" s="469"/>
      <c r="O346" s="467"/>
      <c r="P346" s="467"/>
      <c r="Q346" s="469"/>
      <c r="R346" s="467"/>
      <c r="T346" s="469"/>
      <c r="U346" s="467"/>
      <c r="V346" s="467"/>
      <c r="W346" s="469"/>
      <c r="X346" s="467"/>
      <c r="Y346" s="467"/>
      <c r="Z346" s="469"/>
      <c r="AA346" s="467"/>
      <c r="AC346" s="425"/>
      <c r="AF346" s="469">
        <f>COUNTIFS(Podcasts!$E$2131:'Podcasts'!$E$2367,"&lt;="&amp;$C346)</f>
        <v>19</v>
      </c>
      <c r="AH346" s="243">
        <f t="shared" si="5"/>
        <v>688.11666666666667</v>
      </c>
      <c r="AI346" s="243">
        <f>SUMIFS(Podcasts!$F$10:'Podcasts'!$F$107,Podcasts!$D$10:'Podcasts'!$D$107,"&gt;0",Podcasts!$E$10:'Podcasts'!$E$107,"&gt;"&amp;$C345,Podcasts!$E$10:'Podcasts'!$E$107,"&lt;="&amp;$C346)*24*60</f>
        <v>173.43333333333331</v>
      </c>
      <c r="AJ346" s="243">
        <f>SUMIFS(Podcasts!$F$113:'Podcasts'!$F$238,Podcasts!$D$113:'Podcasts'!$D$238,"&gt;0",Podcasts!$E$113:'Podcasts'!$E$238,"&gt;"&amp;$C345,Podcasts!$E$113:'Podcasts'!$E$238,"&lt;="&amp;$C346)*24*60</f>
        <v>7.0666666666666664</v>
      </c>
      <c r="AK346" s="243">
        <f>SUMIFS(Podcasts!$F$244:'Podcasts'!$F$299,Podcasts!$D$244:'Podcasts'!$D$299,"&gt;0",Podcasts!$E$244:'Podcasts'!$E$299,"&gt;"&amp;$C345,Podcasts!$E$244:'Podcasts'!$E$299,"&lt;="&amp;$C346)*24*60</f>
        <v>23.05</v>
      </c>
      <c r="AL346" s="243">
        <f>SUMIFS(Podcasts!$F$305:'Podcasts'!$F$473,Podcasts!$D$305:'Podcasts'!$D$473,"&gt;0",Podcasts!$E$305:'Podcasts'!$E$473,"&gt;"&amp;$C345,Podcasts!$E$305:'Podcasts'!$E$473,"&lt;="&amp;$C346)*24*60</f>
        <v>0</v>
      </c>
      <c r="AM346" s="243">
        <f>SUMIFS(Podcasts!$F$479:'Podcasts'!$F$488,Podcasts!$D$479:'Podcasts'!$D$488,"&gt;0",Podcasts!$E$479:'Podcasts'!$E$488,"&gt;"&amp;$C345,Podcasts!$E$479:'Podcasts'!$E$488,"&lt;="&amp;$C346)*24*60</f>
        <v>0</v>
      </c>
      <c r="AN346" s="243">
        <f>SUMIFS(Podcasts!$F$494:'Podcasts'!$F$518,Podcasts!$D$494:'Podcasts'!$D$518,"&gt;0",Podcasts!$E$494:'Podcasts'!$E$518,"&gt;"&amp;$C345,Podcasts!$E$494:'Podcasts'!$E$518,"&lt;="&amp;$C346)*24*60</f>
        <v>0</v>
      </c>
      <c r="AO346" s="243">
        <f>SUMIFS(Podcasts!$F$524:'Podcasts'!$F$532,Podcasts!$D$524:'Podcasts'!$D$532,"&gt;0",Podcasts!$E$524:'Podcasts'!$E$532,"&gt;"&amp;$C345,Podcasts!$E$524:'Podcasts'!$E$532,"&lt;="&amp;$C346)*24*60</f>
        <v>60.88333333333334</v>
      </c>
      <c r="AP346" s="243">
        <f>SUMIFS(Podcasts!$F$538:'Podcasts'!$F$909,Podcasts!$D$538:'Podcasts'!$D$909,"&gt;0",Podcasts!$E$538:'Podcasts'!$E$909,"&gt;"&amp;$C345,Podcasts!$E$538:'Podcasts'!$E$909,"&lt;="&amp;$C346)*24*60</f>
        <v>423.68333333333334</v>
      </c>
      <c r="AQ346" s="243">
        <f>SUMIFS(Podcasts!$F$915:'Podcasts'!$F$981,Podcasts!$D$915:'Podcasts'!$D$981,"&gt;0",Podcasts!$E$915:'Podcasts'!$E$981,"&gt;"&amp;$C345,Podcasts!$E$915:'Podcasts'!$E$981,"&lt;="&amp;$C346)*24*60</f>
        <v>0</v>
      </c>
      <c r="AR346" s="243">
        <f>SUMIFS(Podcasts!$F$987:'Podcasts'!$F$995,Podcasts!$D$987:'Podcasts'!$D$995,"&gt;0",Podcasts!$E$987:'Podcasts'!$E$995,"&gt;"&amp;$C345,Podcasts!$E$987:'Podcasts'!$E$995,"&lt;="&amp;$C346)*24*60</f>
        <v>0</v>
      </c>
      <c r="AS346" s="243">
        <f>SUMIFS(Podcasts!$F$1001:'Podcasts'!$F$1251,Podcasts!$D$1001:'Podcasts'!$D$1251,"&gt;0",Podcasts!$E$1001:'Podcasts'!$E$1251,"&gt;"&amp;$C345,Podcasts!$E$1001:'Podcasts'!$E$1251,"&lt;="&amp;$C346)*24*60</f>
        <v>0</v>
      </c>
      <c r="AT346" s="243">
        <f>SUMIFS(Podcasts!$F$1257:'Podcasts'!$F$1267,Podcasts!$D$1257:'Podcasts'!$D$1267,"&gt;0",Podcasts!$E$1257:'Podcasts'!$E$1267,"&gt;"&amp;$C345,Podcasts!$E$1257:'Podcasts'!$E$1267,"&lt;="&amp;$C346)*24*60</f>
        <v>0</v>
      </c>
      <c r="AU346" s="243">
        <f>SUMIFS(Podcasts!$F$1273:'Podcasts'!$F$1283,Podcasts!$D$1273:'Podcasts'!$D$1283,"&gt;0",Podcasts!$E$1273:'Podcasts'!$E$1283,"&gt;"&amp;$C345,Podcasts!$E$1273:'Podcasts'!$E$1283,"&lt;="&amp;$C346)*24*60</f>
        <v>0</v>
      </c>
      <c r="AV346" s="243">
        <f>SUMIFS(Podcasts!$F$1289:'Podcasts'!$F$1295,Podcasts!$D$1289:'Podcasts'!$D$1295,"&gt;0",Podcasts!$E$1289:'Podcasts'!$E$1295,"&gt;"&amp;$C345,Podcasts!$E$1289:'Podcasts'!$E$1295,"&lt;="&amp;$C346)*24*60</f>
        <v>0</v>
      </c>
      <c r="AW346" s="243">
        <f>SUMIFS(Podcasts!$F$1301:'Podcasts'!$F$1356,Podcasts!$D$1301:'Podcasts'!$D$1356,"&gt;0",Podcasts!$E$1301:'Podcasts'!$E$1356,"&gt;"&amp;$C345,Podcasts!$E$1301:'Podcasts'!$E$1356,"&lt;="&amp;$C346)*24*60</f>
        <v>0</v>
      </c>
      <c r="AX346" s="243">
        <f>SUMIFS(Podcasts!$F$1362:'Podcasts'!$F$1364,Podcasts!$D$1362:'Podcasts'!$D$1364,"&gt;0",Podcasts!$E$1362:'Podcasts'!$E$1364,"&gt;"&amp;$C345,Podcasts!$E$1362:'Podcasts'!$E$1364,"&lt;="&amp;$C346)*24*60</f>
        <v>0</v>
      </c>
      <c r="AY346" s="243">
        <f>SUMIFS(Podcasts!$F$1370:'Podcasts'!$F$1419,Podcasts!$D$1370:'Podcasts'!$D$1419,"&gt;0",Podcasts!$E$1370:'Podcasts'!$E$1419,"&gt;"&amp;$C345,Podcasts!$E$1370:'Podcasts'!$E$1419,"&lt;="&amp;$C346)*24*60</f>
        <v>0</v>
      </c>
      <c r="AZ346" s="243">
        <f>SUMIFS(Podcasts!$F$1425:'Podcasts'!$F$1446,Podcasts!$D$1425:'Podcasts'!$D$1446,"&gt;0",Podcasts!$E$1425:'Podcasts'!$E$1446,"&gt;"&amp;$C345,Podcasts!$E$1425:'Podcasts'!$E$1446,"&lt;="&amp;$C346)*24*60</f>
        <v>0</v>
      </c>
      <c r="BA346" s="243">
        <f>SUMIFS(Podcasts!$F$1452:'Podcasts'!$F$1574,Podcasts!$D$1452:'Podcasts'!$D$1574,"&gt;0",Podcasts!$E$1452:'Podcasts'!$E$1574,"&gt;"&amp;$C345,Podcasts!$E$1452:'Podcasts'!$E$1574,"&lt;="&amp;$C346)*24*60</f>
        <v>0</v>
      </c>
      <c r="BB346" s="243">
        <f>SUMIFS(Podcasts!$F$1580:'Podcasts'!$F$1705,Podcasts!$D$1580:'Podcasts'!$D$1705,"&gt;0",Podcasts!$E$1580:'Podcasts'!$E$1705,"&gt;"&amp;$C345,Podcasts!$E$1580:'Podcasts'!$E$1705,"&lt;="&amp;$C346)*24*60</f>
        <v>0</v>
      </c>
      <c r="BC346" s="243">
        <f>SUMIFS(Podcasts!$F$1711:'Podcasts'!$F$1833,Podcasts!$D$1711:'Podcasts'!$D$1833,"&gt;0",Podcasts!$E$1711:'Podcasts'!$E$1833,"&gt;"&amp;$C345,Podcasts!$E$1711:'Podcasts'!$E$1833,"&lt;="&amp;$C346)*24*60</f>
        <v>0</v>
      </c>
      <c r="BD346" s="243">
        <f>SUMIFS(Podcasts!$F$1839:'Podcasts'!$F$1855,Podcasts!$D$1839:'Podcasts'!$D$1855,"&gt;0",Podcasts!$E$1839:'Podcasts'!$E$1855,"&gt;"&amp;$C345,Podcasts!$E$1839:'Podcasts'!$E$1855,"&lt;="&amp;$C346)*24*60</f>
        <v>0</v>
      </c>
      <c r="BE346" s="243">
        <f>SUMIFS(Podcasts!$F$1861:'Podcasts'!$F$1994,Podcasts!$D$1861:'Podcasts'!$D$1994,"&gt;0",Podcasts!$E$1861:'Podcasts'!$E$1994,"&gt;"&amp;$C345,Podcasts!$E$1861:'Podcasts'!$E$1994,"&lt;="&amp;$C346)*24*60</f>
        <v>0</v>
      </c>
      <c r="BF346" s="243">
        <f>SUMIFS(Podcasts!$F$2000:'Podcasts'!$F$2057,Podcasts!$D$2000:'Podcasts'!$D$2057,"&gt;0",Podcasts!$E$2000:'Podcasts'!$E$2057,"&gt;"&amp;$C345,Podcasts!$E$2000:'Podcasts'!$E$2057,"&lt;="&amp;$C346)*24*60</f>
        <v>0</v>
      </c>
      <c r="BG346" s="243">
        <f>SUMIFS(Podcasts!$F$2063:'Podcasts'!$F$2071,Podcasts!$D$2063:'Podcasts'!$D$2071,"&gt;0",Podcasts!$E$2063:'Podcasts'!$E$2071,"&gt;"&amp;$C345,Podcasts!$E$2063:'Podcasts'!$E$2071,"&lt;="&amp;$C346)*24*60</f>
        <v>0</v>
      </c>
      <c r="BH346" s="243">
        <f>SUMIFS(Podcasts!$F$2131:'Podcasts'!$F$2367,Podcasts!$D$2131:'Podcasts'!$D$2367,"&gt;0",Podcasts!$E$2131:'Podcasts'!$E$2367,"&gt;"&amp;$C345,Podcasts!$E$2131:'Podcasts'!$E$2367,"&lt;="&amp;$C346)*24*60</f>
        <v>0</v>
      </c>
    </row>
    <row r="347" spans="1:60" outlineLevel="1">
      <c r="A347" s="163">
        <f t="shared" si="7"/>
        <v>273</v>
      </c>
      <c r="B347" s="164">
        <f t="shared" si="8"/>
        <v>9</v>
      </c>
      <c r="C347" s="72">
        <v>43100</v>
      </c>
      <c r="D347" s="166" t="str">
        <f>A347&amp;"   (+"&amp;B347&amp;")"</f>
        <v>273   (+9)</v>
      </c>
      <c r="E347" s="106">
        <f>COUNTIFS(Podcasts!$D$10:'Podcasts'!$D$107,"&gt;0",Podcasts!$E$10:'Podcasts'!$E$107,"&lt;="&amp;$C347)-1</f>
        <v>38</v>
      </c>
      <c r="F347" s="467">
        <f>COUNTIFS(Podcasts!$D$113:'Podcasts'!$D$238,"&gt;0",Podcasts!$E$113:'Podcasts'!$E$238,"&lt;="&amp;$C347)</f>
        <v>40</v>
      </c>
      <c r="G347" s="468">
        <f>COUNTIFS(Podcasts!$D$244:'Podcasts'!$D$299,"&gt;0",Podcasts!$E$244:'Podcasts'!$E$299,"&lt;="&amp;$C347)</f>
        <v>30</v>
      </c>
      <c r="H347" s="467">
        <v>135</v>
      </c>
      <c r="I347" s="467">
        <f>COUNTIFS(Podcasts!$D$479:'Podcasts'!$D$488,"&gt;0",Podcasts!$E$479:'Podcasts'!$E$488,"&lt;="&amp;$C347)</f>
        <v>2</v>
      </c>
      <c r="J347" s="468">
        <f>COUNTIFS(Podcasts!$D$494:'Podcasts'!$D$518,"&gt;0",Podcasts!$E$494:'Podcasts'!$E$518,"&lt;="&amp;$C347)</f>
        <v>7</v>
      </c>
      <c r="K347" s="469">
        <f>COUNTIFS(Podcasts!$D$524:'Podcasts'!$D$532,"&gt;0",Podcasts!$E$524:'Podcasts'!$E$532,"&lt;="&amp;$C347)</f>
        <v>7</v>
      </c>
      <c r="L347" s="467">
        <f>COUNTIFS(Podcasts!$D$538:'Podcasts'!$D$909,"&gt;0",Podcasts!$E$538:'Podcasts'!$E$909,"&lt;="&amp;$C347)</f>
        <v>14</v>
      </c>
      <c r="M347" s="467">
        <f>COUNTIFS(Podcasts!$D$915:'Podcasts'!$D$981,"&gt;0",Podcasts!$E$915:'Podcasts'!$E$981,"&lt;="&amp;$C347)</f>
        <v>0</v>
      </c>
      <c r="N347" s="469"/>
      <c r="O347" s="467"/>
      <c r="P347" s="467"/>
      <c r="Q347" s="469"/>
      <c r="R347" s="467"/>
      <c r="T347" s="469"/>
      <c r="U347" s="467"/>
      <c r="V347" s="474"/>
      <c r="W347" s="475"/>
      <c r="X347" s="474"/>
      <c r="Y347" s="474"/>
      <c r="Z347" s="475"/>
      <c r="AA347" s="474"/>
      <c r="AC347" s="475"/>
      <c r="AF347" s="475">
        <f>COUNTIFS(Podcasts!$E$2131:'Podcasts'!$E$2367,"&lt;="&amp;$C347)</f>
        <v>19</v>
      </c>
      <c r="AH347" s="243">
        <f t="shared" si="5"/>
        <v>764.83333333333326</v>
      </c>
      <c r="AI347" s="243">
        <f>SUMIFS(Podcasts!$F$10:'Podcasts'!$F$107,Podcasts!$D$10:'Podcasts'!$D$107,"&gt;0",Podcasts!$E$10:'Podcasts'!$E$107,"&gt;"&amp;$C346,Podcasts!$E$10:'Podcasts'!$E$107,"&lt;="&amp;$C347)*24*60</f>
        <v>235.7166666666667</v>
      </c>
      <c r="AJ347" s="243">
        <f>SUMIFS(Podcasts!$F$113:'Podcasts'!$F$238,Podcasts!$D$113:'Podcasts'!$D$238,"&gt;0",Podcasts!$E$113:'Podcasts'!$E$238,"&gt;"&amp;$C346,Podcasts!$E$113:'Podcasts'!$E$238,"&lt;="&amp;$C347)*24*60</f>
        <v>3.35</v>
      </c>
      <c r="AK347" s="243">
        <f>SUMIFS(Podcasts!$F$244:'Podcasts'!$F$299,Podcasts!$D$244:'Podcasts'!$D$299,"&gt;0",Podcasts!$E$244:'Podcasts'!$E$299,"&gt;"&amp;$C346,Podcasts!$E$244:'Podcasts'!$E$299,"&lt;="&amp;$C347)*24*60</f>
        <v>0</v>
      </c>
      <c r="AL347" s="243">
        <f>SUMIFS(Podcasts!$F$305:'Podcasts'!$F$473,Podcasts!$D$305:'Podcasts'!$D$473,"&gt;0",Podcasts!$E$305:'Podcasts'!$E$473,"&gt;"&amp;$C346,Podcasts!$E$305:'Podcasts'!$E$473,"&lt;="&amp;$C347)*24*60</f>
        <v>0</v>
      </c>
      <c r="AM347" s="243">
        <f>SUMIFS(Podcasts!$F$479:'Podcasts'!$F$488,Podcasts!$D$479:'Podcasts'!$D$488,"&gt;0",Podcasts!$E$479:'Podcasts'!$E$488,"&gt;"&amp;$C346,Podcasts!$E$479:'Podcasts'!$E$488,"&lt;="&amp;$C347)*24*60</f>
        <v>0</v>
      </c>
      <c r="AN347" s="243">
        <f>SUMIFS(Podcasts!$F$494:'Podcasts'!$F$518,Podcasts!$D$494:'Podcasts'!$D$518,"&gt;0",Podcasts!$E$494:'Podcasts'!$E$518,"&gt;"&amp;$C346,Podcasts!$E$494:'Podcasts'!$E$518,"&lt;="&amp;$C347)*24*60</f>
        <v>72.533333333333331</v>
      </c>
      <c r="AO347" s="243">
        <f>SUMIFS(Podcasts!$F$524:'Podcasts'!$F$532,Podcasts!$D$524:'Podcasts'!$D$532,"&gt;0",Podcasts!$E$524:'Podcasts'!$E$532,"&gt;"&amp;$C346,Podcasts!$E$524:'Podcasts'!$E$532,"&lt;="&amp;$C347)*24*60</f>
        <v>0</v>
      </c>
      <c r="AP347" s="243">
        <f>SUMIFS(Podcasts!$F$538:'Podcasts'!$F$909,Podcasts!$D$538:'Podcasts'!$D$909,"&gt;0",Podcasts!$E$538:'Podcasts'!$E$909,"&gt;"&amp;$C346,Podcasts!$E$538:'Podcasts'!$E$909,"&lt;="&amp;$C347)*24*60</f>
        <v>453.23333333333329</v>
      </c>
      <c r="AQ347" s="243">
        <f>SUMIFS(Podcasts!$F$915:'Podcasts'!$F$981,Podcasts!$D$915:'Podcasts'!$D$981,"&gt;0",Podcasts!$E$915:'Podcasts'!$E$981,"&gt;"&amp;$C346,Podcasts!$E$915:'Podcasts'!$E$981,"&lt;="&amp;$C347)*24*60</f>
        <v>0</v>
      </c>
      <c r="AR347" s="243">
        <f>SUMIFS(Podcasts!$F$987:'Podcasts'!$F$995,Podcasts!$D$987:'Podcasts'!$D$995,"&gt;0",Podcasts!$E$987:'Podcasts'!$E$995,"&gt;"&amp;$C346,Podcasts!$E$987:'Podcasts'!$E$995,"&lt;="&amp;$C347)*24*60</f>
        <v>0</v>
      </c>
      <c r="AS347" s="243">
        <f>SUMIFS(Podcasts!$F$1001:'Podcasts'!$F$1251,Podcasts!$D$1001:'Podcasts'!$D$1251,"&gt;0",Podcasts!$E$1001:'Podcasts'!$E$1251,"&gt;"&amp;$C346,Podcasts!$E$1001:'Podcasts'!$E$1251,"&lt;="&amp;$C347)*24*60</f>
        <v>0</v>
      </c>
      <c r="AT347" s="243">
        <f>SUMIFS(Podcasts!$F$1257:'Podcasts'!$F$1267,Podcasts!$D$1257:'Podcasts'!$D$1267,"&gt;0",Podcasts!$E$1257:'Podcasts'!$E$1267,"&gt;"&amp;$C346,Podcasts!$E$1257:'Podcasts'!$E$1267,"&lt;="&amp;$C347)*24*60</f>
        <v>0</v>
      </c>
      <c r="AU347" s="243">
        <f>SUMIFS(Podcasts!$F$1273:'Podcasts'!$F$1283,Podcasts!$D$1273:'Podcasts'!$D$1283,"&gt;0",Podcasts!$E$1273:'Podcasts'!$E$1283,"&gt;"&amp;$C346,Podcasts!$E$1273:'Podcasts'!$E$1283,"&lt;="&amp;$C347)*24*60</f>
        <v>0</v>
      </c>
      <c r="AV347" s="243">
        <f>SUMIFS(Podcasts!$F$1289:'Podcasts'!$F$1295,Podcasts!$D$1289:'Podcasts'!$D$1295,"&gt;0",Podcasts!$E$1289:'Podcasts'!$E$1295,"&gt;"&amp;$C346,Podcasts!$E$1289:'Podcasts'!$E$1295,"&lt;="&amp;$C347)*24*60</f>
        <v>0</v>
      </c>
      <c r="AW347" s="243">
        <f>SUMIFS(Podcasts!$F$1301:'Podcasts'!$F$1356,Podcasts!$D$1301:'Podcasts'!$D$1356,"&gt;0",Podcasts!$E$1301:'Podcasts'!$E$1356,"&gt;"&amp;$C346,Podcasts!$E$1301:'Podcasts'!$E$1356,"&lt;="&amp;$C347)*24*60</f>
        <v>0</v>
      </c>
      <c r="AX347" s="243">
        <f>SUMIFS(Podcasts!$F$1362:'Podcasts'!$F$1364,Podcasts!$D$1362:'Podcasts'!$D$1364,"&gt;0",Podcasts!$E$1362:'Podcasts'!$E$1364,"&gt;"&amp;$C346,Podcasts!$E$1362:'Podcasts'!$E$1364,"&lt;="&amp;$C347)*24*60</f>
        <v>0</v>
      </c>
      <c r="AY347" s="243">
        <f>SUMIFS(Podcasts!$F$1370:'Podcasts'!$F$1419,Podcasts!$D$1370:'Podcasts'!$D$1419,"&gt;0",Podcasts!$E$1370:'Podcasts'!$E$1419,"&gt;"&amp;$C346,Podcasts!$E$1370:'Podcasts'!$E$1419,"&lt;="&amp;$C347)*24*60</f>
        <v>0</v>
      </c>
      <c r="AZ347" s="243">
        <f>SUMIFS(Podcasts!$F$1425:'Podcasts'!$F$1446,Podcasts!$D$1425:'Podcasts'!$D$1446,"&gt;0",Podcasts!$E$1425:'Podcasts'!$E$1446,"&gt;"&amp;$C346,Podcasts!$E$1425:'Podcasts'!$E$1446,"&lt;="&amp;$C347)*24*60</f>
        <v>0</v>
      </c>
      <c r="BA347" s="243">
        <f>SUMIFS(Podcasts!$F$1452:'Podcasts'!$F$1574,Podcasts!$D$1452:'Podcasts'!$D$1574,"&gt;0",Podcasts!$E$1452:'Podcasts'!$E$1574,"&gt;"&amp;$C346,Podcasts!$E$1452:'Podcasts'!$E$1574,"&lt;="&amp;$C347)*24*60</f>
        <v>0</v>
      </c>
      <c r="BB347" s="243">
        <f>SUMIFS(Podcasts!$F$1580:'Podcasts'!$F$1705,Podcasts!$D$1580:'Podcasts'!$D$1705,"&gt;0",Podcasts!$E$1580:'Podcasts'!$E$1705,"&gt;"&amp;$C346,Podcasts!$E$1580:'Podcasts'!$E$1705,"&lt;="&amp;$C347)*24*60</f>
        <v>0</v>
      </c>
      <c r="BC347" s="243">
        <f>SUMIFS(Podcasts!$F$1711:'Podcasts'!$F$1833,Podcasts!$D$1711:'Podcasts'!$D$1833,"&gt;0",Podcasts!$E$1711:'Podcasts'!$E$1833,"&gt;"&amp;$C346,Podcasts!$E$1711:'Podcasts'!$E$1833,"&lt;="&amp;$C347)*24*60</f>
        <v>0</v>
      </c>
      <c r="BD347" s="243">
        <f>SUMIFS(Podcasts!$F$1839:'Podcasts'!$F$1855,Podcasts!$D$1839:'Podcasts'!$D$1855,"&gt;0",Podcasts!$E$1839:'Podcasts'!$E$1855,"&gt;"&amp;$C346,Podcasts!$E$1839:'Podcasts'!$E$1855,"&lt;="&amp;$C347)*24*60</f>
        <v>0</v>
      </c>
      <c r="BE347" s="243">
        <f>SUMIFS(Podcasts!$F$1861:'Podcasts'!$F$1994,Podcasts!$D$1861:'Podcasts'!$D$1994,"&gt;0",Podcasts!$E$1861:'Podcasts'!$E$1994,"&gt;"&amp;$C346,Podcasts!$E$1861:'Podcasts'!$E$1994,"&lt;="&amp;$C347)*24*60</f>
        <v>0</v>
      </c>
      <c r="BF347" s="243">
        <f>SUMIFS(Podcasts!$F$2000:'Podcasts'!$F$2057,Podcasts!$D$2000:'Podcasts'!$D$2057,"&gt;0",Podcasts!$E$2000:'Podcasts'!$E$2057,"&gt;"&amp;$C346,Podcasts!$E$2000:'Podcasts'!$E$2057,"&lt;="&amp;$C347)*24*60</f>
        <v>0</v>
      </c>
      <c r="BG347" s="243">
        <f>SUMIFS(Podcasts!$F$2063:'Podcasts'!$F$2071,Podcasts!$D$2063:'Podcasts'!$D$2071,"&gt;0",Podcasts!$E$2063:'Podcasts'!$E$2071,"&gt;"&amp;$C346,Podcasts!$E$2063:'Podcasts'!$E$2071,"&lt;="&amp;$C347)*24*60</f>
        <v>0</v>
      </c>
      <c r="BH347" s="243">
        <f>SUMIFS(Podcasts!$F$2131:'Podcasts'!$F$2367,Podcasts!$D$2131:'Podcasts'!$D$2367,"&gt;0",Podcasts!$E$2131:'Podcasts'!$E$2367,"&gt;"&amp;$C346,Podcasts!$E$2131:'Podcasts'!$E$2367,"&lt;="&amp;$C347)*24*60</f>
        <v>0</v>
      </c>
    </row>
    <row r="348" spans="1:60" outlineLevel="1">
      <c r="A348" s="163">
        <f t="shared" si="7"/>
        <v>282</v>
      </c>
      <c r="B348" s="164">
        <f t="shared" si="8"/>
        <v>9</v>
      </c>
      <c r="C348" s="73">
        <v>43190</v>
      </c>
      <c r="D348" s="167" t="str">
        <f>A348&amp;"   (+"&amp;B348&amp;")"</f>
        <v>282   (+9)</v>
      </c>
      <c r="E348" s="470">
        <f>COUNTIFS(Podcasts!$D$10:'Podcasts'!$D$107,"&gt;0",Podcasts!$E$10:'Podcasts'!$E$107,"&lt;="&amp;$C348)-2</f>
        <v>38</v>
      </c>
      <c r="F348" s="471">
        <f>COUNTIFS(Podcasts!$D$113:'Podcasts'!$D$238,"&gt;0",Podcasts!$E$113:'Podcasts'!$E$238,"&lt;="&amp;$C348)</f>
        <v>42</v>
      </c>
      <c r="G348" s="472">
        <f>COUNTIFS(Podcasts!$D$244:'Podcasts'!$D$299,"&gt;0",Podcasts!$E$244:'Podcasts'!$E$299,"&lt;="&amp;$C348)</f>
        <v>30</v>
      </c>
      <c r="H348" s="471">
        <v>135</v>
      </c>
      <c r="I348" s="471">
        <f>COUNTIFS(Podcasts!$D$479:'Podcasts'!$D$488,"&gt;0",Podcasts!$E$479:'Podcasts'!$E$488,"&lt;="&amp;$C348)</f>
        <v>3</v>
      </c>
      <c r="J348" s="472">
        <f>COUNTIFS(Podcasts!$D$494:'Podcasts'!$D$518,"&gt;0",Podcasts!$E$494:'Podcasts'!$E$518,"&lt;="&amp;$C348)</f>
        <v>7</v>
      </c>
      <c r="K348" s="473">
        <f>COUNTIFS(Podcasts!$D$524:'Podcasts'!$D$532,"&gt;0",Podcasts!$E$524:'Podcasts'!$E$532,"&lt;="&amp;$C348)</f>
        <v>7</v>
      </c>
      <c r="L348" s="471">
        <f>COUNTIFS(Podcasts!$D$538:'Podcasts'!$D$909,"&gt;0",Podcasts!$E$538:'Podcasts'!$E$909,"&lt;="&amp;$C348)</f>
        <v>18</v>
      </c>
      <c r="M348" s="471">
        <f>COUNTIFS(Podcasts!$D$915:'Podcasts'!$D$981,"&gt;0",Podcasts!$E$915:'Podcasts'!$E$981,"&lt;="&amp;$C348)</f>
        <v>2</v>
      </c>
      <c r="N348" s="473"/>
      <c r="O348" s="471"/>
      <c r="P348" s="471"/>
      <c r="Q348" s="473"/>
      <c r="R348" s="471"/>
      <c r="S348" s="576"/>
      <c r="T348" s="473"/>
      <c r="U348" s="471"/>
      <c r="V348" s="467"/>
      <c r="W348" s="469"/>
      <c r="X348" s="467"/>
      <c r="Y348" s="467"/>
      <c r="Z348" s="469"/>
      <c r="AA348" s="471"/>
      <c r="AB348" s="471"/>
      <c r="AC348" s="473"/>
      <c r="AD348" s="471"/>
      <c r="AE348" s="471"/>
      <c r="AF348" s="469">
        <f>COUNTIFS(Podcasts!$E$2131:'Podcasts'!$E$2367,"&lt;="&amp;$C348)</f>
        <v>22</v>
      </c>
      <c r="AH348" s="243">
        <f t="shared" si="5"/>
        <v>751.23333333333323</v>
      </c>
      <c r="AI348" s="243">
        <f>SUMIFS(Podcasts!$F$10:'Podcasts'!$F$107,Podcasts!$D$10:'Podcasts'!$D$107,"&gt;0",Podcasts!$E$10:'Podcasts'!$E$107,"&gt;"&amp;$C347,Podcasts!$E$10:'Podcasts'!$E$107,"&lt;="&amp;$C348)*24*60</f>
        <v>41.5</v>
      </c>
      <c r="AJ348" s="243">
        <f>SUMIFS(Podcasts!$F$113:'Podcasts'!$F$238,Podcasts!$D$113:'Podcasts'!$D$238,"&gt;0",Podcasts!$E$113:'Podcasts'!$E$238,"&gt;"&amp;$C347,Podcasts!$E$113:'Podcasts'!$E$238,"&lt;="&amp;$C348)*24*60</f>
        <v>7.8333333333333357</v>
      </c>
      <c r="AK348" s="243">
        <f>SUMIFS(Podcasts!$F$244:'Podcasts'!$F$299,Podcasts!$D$244:'Podcasts'!$D$299,"&gt;0",Podcasts!$E$244:'Podcasts'!$E$299,"&gt;"&amp;$C347,Podcasts!$E$244:'Podcasts'!$E$299,"&lt;="&amp;$C348)*24*60</f>
        <v>0</v>
      </c>
      <c r="AL348" s="243">
        <f>SUMIFS(Podcasts!$F$305:'Podcasts'!$F$473,Podcasts!$D$305:'Podcasts'!$D$473,"&gt;0",Podcasts!$E$305:'Podcasts'!$E$473,"&gt;"&amp;$C347,Podcasts!$E$305:'Podcasts'!$E$473,"&lt;="&amp;$C348)*24*60</f>
        <v>0</v>
      </c>
      <c r="AM348" s="243">
        <f>SUMIFS(Podcasts!$F$479:'Podcasts'!$F$488,Podcasts!$D$479:'Podcasts'!$D$488,"&gt;0",Podcasts!$E$479:'Podcasts'!$E$488,"&gt;"&amp;$C347,Podcasts!$E$479:'Podcasts'!$E$488,"&lt;="&amp;$C348)*24*60</f>
        <v>109.58333333333333</v>
      </c>
      <c r="AN348" s="243">
        <f>SUMIFS(Podcasts!$F$494:'Podcasts'!$F$518,Podcasts!$D$494:'Podcasts'!$D$518,"&gt;0",Podcasts!$E$494:'Podcasts'!$E$518,"&gt;"&amp;$C347,Podcasts!$E$494:'Podcasts'!$E$518,"&lt;="&amp;$C348)*24*60</f>
        <v>0</v>
      </c>
      <c r="AO348" s="243">
        <f>SUMIFS(Podcasts!$F$524:'Podcasts'!$F$532,Podcasts!$D$524:'Podcasts'!$D$532,"&gt;0",Podcasts!$E$524:'Podcasts'!$E$532,"&gt;"&amp;$C347,Podcasts!$E$524:'Podcasts'!$E$532,"&lt;="&amp;$C348)*24*60</f>
        <v>0</v>
      </c>
      <c r="AP348" s="243">
        <f>SUMIFS(Podcasts!$F$538:'Podcasts'!$F$909,Podcasts!$D$538:'Podcasts'!$D$909,"&gt;0",Podcasts!$E$538:'Podcasts'!$E$909,"&gt;"&amp;$C347,Podcasts!$E$538:'Podcasts'!$E$909,"&lt;="&amp;$C348)*24*60</f>
        <v>437.51666666666659</v>
      </c>
      <c r="AQ348" s="243">
        <f>SUMIFS(Podcasts!$F$915:'Podcasts'!$F$981,Podcasts!$D$915:'Podcasts'!$D$981,"&gt;0",Podcasts!$E$915:'Podcasts'!$E$981,"&gt;"&amp;$C347,Podcasts!$E$915:'Podcasts'!$E$981,"&lt;="&amp;$C348)*24*60</f>
        <v>154.79999999999998</v>
      </c>
      <c r="AR348" s="243">
        <f>SUMIFS(Podcasts!$F$987:'Podcasts'!$F$995,Podcasts!$D$987:'Podcasts'!$D$995,"&gt;0",Podcasts!$E$987:'Podcasts'!$E$995,"&gt;"&amp;$C347,Podcasts!$E$987:'Podcasts'!$E$995,"&lt;="&amp;$C348)*24*60</f>
        <v>0</v>
      </c>
      <c r="AS348" s="243">
        <f>SUMIFS(Podcasts!$F$1001:'Podcasts'!$F$1251,Podcasts!$D$1001:'Podcasts'!$D$1251,"&gt;0",Podcasts!$E$1001:'Podcasts'!$E$1251,"&gt;"&amp;$C347,Podcasts!$E$1001:'Podcasts'!$E$1251,"&lt;="&amp;$C348)*24*60</f>
        <v>0</v>
      </c>
      <c r="AT348" s="243">
        <f>SUMIFS(Podcasts!$F$1257:'Podcasts'!$F$1267,Podcasts!$D$1257:'Podcasts'!$D$1267,"&gt;0",Podcasts!$E$1257:'Podcasts'!$E$1267,"&gt;"&amp;$C347,Podcasts!$E$1257:'Podcasts'!$E$1267,"&lt;="&amp;$C348)*24*60</f>
        <v>0</v>
      </c>
      <c r="AU348" s="243">
        <f>SUMIFS(Podcasts!$F$1273:'Podcasts'!$F$1283,Podcasts!$D$1273:'Podcasts'!$D$1283,"&gt;0",Podcasts!$E$1273:'Podcasts'!$E$1283,"&gt;"&amp;$C347,Podcasts!$E$1273:'Podcasts'!$E$1283,"&lt;="&amp;$C348)*24*60</f>
        <v>0</v>
      </c>
      <c r="AV348" s="243">
        <f>SUMIFS(Podcasts!$F$1289:'Podcasts'!$F$1295,Podcasts!$D$1289:'Podcasts'!$D$1295,"&gt;0",Podcasts!$E$1289:'Podcasts'!$E$1295,"&gt;"&amp;$C347,Podcasts!$E$1289:'Podcasts'!$E$1295,"&lt;="&amp;$C348)*24*60</f>
        <v>0</v>
      </c>
      <c r="AW348" s="243">
        <f>SUMIFS(Podcasts!$F$1301:'Podcasts'!$F$1356,Podcasts!$D$1301:'Podcasts'!$D$1356,"&gt;0",Podcasts!$E$1301:'Podcasts'!$E$1356,"&gt;"&amp;$C347,Podcasts!$E$1301:'Podcasts'!$E$1356,"&lt;="&amp;$C348)*24*60</f>
        <v>0</v>
      </c>
      <c r="AX348" s="243">
        <f>SUMIFS(Podcasts!$F$1362:'Podcasts'!$F$1364,Podcasts!$D$1362:'Podcasts'!$D$1364,"&gt;0",Podcasts!$E$1362:'Podcasts'!$E$1364,"&gt;"&amp;$C347,Podcasts!$E$1362:'Podcasts'!$E$1364,"&lt;="&amp;$C348)*24*60</f>
        <v>0</v>
      </c>
      <c r="AY348" s="243">
        <f>SUMIFS(Podcasts!$F$1370:'Podcasts'!$F$1419,Podcasts!$D$1370:'Podcasts'!$D$1419,"&gt;0",Podcasts!$E$1370:'Podcasts'!$E$1419,"&gt;"&amp;$C347,Podcasts!$E$1370:'Podcasts'!$E$1419,"&lt;="&amp;$C348)*24*60</f>
        <v>0</v>
      </c>
      <c r="AZ348" s="243">
        <f>SUMIFS(Podcasts!$F$1425:'Podcasts'!$F$1446,Podcasts!$D$1425:'Podcasts'!$D$1446,"&gt;0",Podcasts!$E$1425:'Podcasts'!$E$1446,"&gt;"&amp;$C347,Podcasts!$E$1425:'Podcasts'!$E$1446,"&lt;="&amp;$C348)*24*60</f>
        <v>0</v>
      </c>
      <c r="BA348" s="243">
        <f>SUMIFS(Podcasts!$F$1452:'Podcasts'!$F$1574,Podcasts!$D$1452:'Podcasts'!$D$1574,"&gt;0",Podcasts!$E$1452:'Podcasts'!$E$1574,"&gt;"&amp;$C347,Podcasts!$E$1452:'Podcasts'!$E$1574,"&lt;="&amp;$C348)*24*60</f>
        <v>0</v>
      </c>
      <c r="BB348" s="243">
        <f>SUMIFS(Podcasts!$F$1580:'Podcasts'!$F$1705,Podcasts!$D$1580:'Podcasts'!$D$1705,"&gt;0",Podcasts!$E$1580:'Podcasts'!$E$1705,"&gt;"&amp;$C347,Podcasts!$E$1580:'Podcasts'!$E$1705,"&lt;="&amp;$C348)*24*60</f>
        <v>0</v>
      </c>
      <c r="BC348" s="243">
        <f>SUMIFS(Podcasts!$F$1711:'Podcasts'!$F$1833,Podcasts!$D$1711:'Podcasts'!$D$1833,"&gt;0",Podcasts!$E$1711:'Podcasts'!$E$1833,"&gt;"&amp;$C347,Podcasts!$E$1711:'Podcasts'!$E$1833,"&lt;="&amp;$C348)*24*60</f>
        <v>0</v>
      </c>
      <c r="BD348" s="243">
        <f>SUMIFS(Podcasts!$F$1839:'Podcasts'!$F$1855,Podcasts!$D$1839:'Podcasts'!$D$1855,"&gt;0",Podcasts!$E$1839:'Podcasts'!$E$1855,"&gt;"&amp;$C347,Podcasts!$E$1839:'Podcasts'!$E$1855,"&lt;="&amp;$C348)*24*60</f>
        <v>0</v>
      </c>
      <c r="BE348" s="243">
        <f>SUMIFS(Podcasts!$F$1861:'Podcasts'!$F$1994,Podcasts!$D$1861:'Podcasts'!$D$1994,"&gt;0",Podcasts!$E$1861:'Podcasts'!$E$1994,"&gt;"&amp;$C347,Podcasts!$E$1861:'Podcasts'!$E$1994,"&lt;="&amp;$C348)*24*60</f>
        <v>0</v>
      </c>
      <c r="BF348" s="243">
        <f>SUMIFS(Podcasts!$F$2000:'Podcasts'!$F$2057,Podcasts!$D$2000:'Podcasts'!$D$2057,"&gt;0",Podcasts!$E$2000:'Podcasts'!$E$2057,"&gt;"&amp;$C347,Podcasts!$E$2000:'Podcasts'!$E$2057,"&lt;="&amp;$C348)*24*60</f>
        <v>0</v>
      </c>
      <c r="BG348" s="243">
        <f>SUMIFS(Podcasts!$F$2063:'Podcasts'!$F$2071,Podcasts!$D$2063:'Podcasts'!$D$2071,"&gt;0",Podcasts!$E$2063:'Podcasts'!$E$2071,"&gt;"&amp;$C347,Podcasts!$E$2063:'Podcasts'!$E$2071,"&lt;="&amp;$C348)*24*60</f>
        <v>0</v>
      </c>
      <c r="BH348" s="243">
        <f>SUMIFS(Podcasts!$F$2131:'Podcasts'!$F$2367,Podcasts!$D$2131:'Podcasts'!$D$2367,"&gt;0",Podcasts!$E$2131:'Podcasts'!$E$2367,"&gt;"&amp;$C347,Podcasts!$E$2131:'Podcasts'!$E$2367,"&lt;="&amp;$C348)*24*60</f>
        <v>23.500000000000004</v>
      </c>
    </row>
    <row r="349" spans="1:60" outlineLevel="1">
      <c r="A349" s="163">
        <f t="shared" si="7"/>
        <v>295</v>
      </c>
      <c r="B349" s="164">
        <f t="shared" si="8"/>
        <v>13</v>
      </c>
      <c r="C349" s="72">
        <v>43281</v>
      </c>
      <c r="D349" s="165" t="str">
        <f t="shared" si="10"/>
        <v>295 (+13)</v>
      </c>
      <c r="E349" s="106">
        <f>COUNTIFS(Podcasts!$D$10:'Podcasts'!$D$107,"&gt;0",Podcasts!$E$10:'Podcasts'!$E$107,"&lt;="&amp;$C349)-2</f>
        <v>38</v>
      </c>
      <c r="F349" s="467">
        <f>COUNTIFS(Podcasts!$D$113:'Podcasts'!$D$238,"&gt;0",Podcasts!$E$113:'Podcasts'!$E$238,"&lt;="&amp;$C349)</f>
        <v>44</v>
      </c>
      <c r="G349" s="468">
        <f>COUNTIFS(Podcasts!$D$244:'Podcasts'!$D$299,"&gt;0",Podcasts!$E$244:'Podcasts'!$E$299,"&lt;="&amp;$C349)</f>
        <v>31</v>
      </c>
      <c r="H349" s="467">
        <v>135</v>
      </c>
      <c r="I349" s="467">
        <f>COUNTIFS(Podcasts!$D$479:'Podcasts'!$D$488,"&gt;0",Podcasts!$E$479:'Podcasts'!$E$488,"&lt;="&amp;$C349)</f>
        <v>3</v>
      </c>
      <c r="J349" s="468">
        <f>COUNTIFS(Podcasts!$D$494:'Podcasts'!$D$518,"&gt;0",Podcasts!$E$494:'Podcasts'!$E$518,"&lt;="&amp;$C349)</f>
        <v>8</v>
      </c>
      <c r="K349" s="469">
        <f>COUNTIFS(Podcasts!$D$524:'Podcasts'!$D$532,"&gt;0",Podcasts!$E$524:'Podcasts'!$E$532,"&lt;="&amp;$C349)</f>
        <v>7</v>
      </c>
      <c r="L349" s="467">
        <f>COUNTIFS(Podcasts!$D$538:'Podcasts'!$D$909,"&gt;0",Podcasts!$E$538:'Podcasts'!$E$909,"&lt;="&amp;$C349)</f>
        <v>23</v>
      </c>
      <c r="M349" s="467">
        <f>COUNTIFS(Podcasts!$D$915:'Podcasts'!$D$981,"&gt;0",Podcasts!$E$915:'Podcasts'!$E$981,"&lt;="&amp;$C349)</f>
        <v>6</v>
      </c>
      <c r="N349" s="469"/>
      <c r="O349" s="467"/>
      <c r="P349" s="467"/>
      <c r="Q349" s="469"/>
      <c r="R349" s="467"/>
      <c r="T349" s="469"/>
      <c r="U349" s="467"/>
      <c r="V349" s="467"/>
      <c r="W349" s="469"/>
      <c r="X349" s="467"/>
      <c r="Y349" s="467"/>
      <c r="Z349" s="469"/>
      <c r="AA349" s="467"/>
      <c r="AC349" s="425"/>
      <c r="AF349" s="469">
        <f>COUNTIFS(Podcasts!$E$2131:'Podcasts'!$E$2367,"&lt;="&amp;$C349)</f>
        <v>22</v>
      </c>
      <c r="AH349" s="243">
        <f t="shared" si="5"/>
        <v>1051.6166666666668</v>
      </c>
      <c r="AI349" s="243">
        <f>SUMIFS(Podcasts!$F$10:'Podcasts'!$F$107,Podcasts!$D$10:'Podcasts'!$D$107,"&gt;0",Podcasts!$E$10:'Podcasts'!$E$107,"&gt;"&amp;$C348,Podcasts!$E$10:'Podcasts'!$E$107,"&lt;="&amp;$C349)*24*60</f>
        <v>0</v>
      </c>
      <c r="AJ349" s="243">
        <f>SUMIFS(Podcasts!$F$113:'Podcasts'!$F$238,Podcasts!$D$113:'Podcasts'!$D$238,"&gt;0",Podcasts!$E$113:'Podcasts'!$E$238,"&gt;"&amp;$C348,Podcasts!$E$113:'Podcasts'!$E$238,"&lt;="&amp;$C349)*24*60</f>
        <v>11.8</v>
      </c>
      <c r="AK349" s="243">
        <f>SUMIFS(Podcasts!$F$244:'Podcasts'!$F$299,Podcasts!$D$244:'Podcasts'!$D$299,"&gt;0",Podcasts!$E$244:'Podcasts'!$E$299,"&gt;"&amp;$C348,Podcasts!$E$244:'Podcasts'!$E$299,"&lt;="&amp;$C349)*24*60</f>
        <v>35.283333333333331</v>
      </c>
      <c r="AL349" s="243">
        <f>SUMIFS(Podcasts!$F$305:'Podcasts'!$F$473,Podcasts!$D$305:'Podcasts'!$D$473,"&gt;0",Podcasts!$E$305:'Podcasts'!$E$473,"&gt;"&amp;$C348,Podcasts!$E$305:'Podcasts'!$E$473,"&lt;="&amp;$C349)*24*60</f>
        <v>0</v>
      </c>
      <c r="AM349" s="243">
        <f>SUMIFS(Podcasts!$F$479:'Podcasts'!$F$488,Podcasts!$D$479:'Podcasts'!$D$488,"&gt;0",Podcasts!$E$479:'Podcasts'!$E$488,"&gt;"&amp;$C348,Podcasts!$E$479:'Podcasts'!$E$488,"&lt;="&amp;$C349)*24*60</f>
        <v>0</v>
      </c>
      <c r="AN349" s="243">
        <f>SUMIFS(Podcasts!$F$494:'Podcasts'!$F$518,Podcasts!$D$494:'Podcasts'!$D$518,"&gt;0",Podcasts!$E$494:'Podcasts'!$E$518,"&gt;"&amp;$C348,Podcasts!$E$494:'Podcasts'!$E$518,"&lt;="&amp;$C349)*24*60</f>
        <v>85.3</v>
      </c>
      <c r="AO349" s="243">
        <f>SUMIFS(Podcasts!$F$524:'Podcasts'!$F$532,Podcasts!$D$524:'Podcasts'!$D$532,"&gt;0",Podcasts!$E$524:'Podcasts'!$E$532,"&gt;"&amp;$C348,Podcasts!$E$524:'Podcasts'!$E$532,"&lt;="&amp;$C349)*24*60</f>
        <v>0</v>
      </c>
      <c r="AP349" s="243">
        <f>SUMIFS(Podcasts!$F$538:'Podcasts'!$F$909,Podcasts!$D$538:'Podcasts'!$D$909,"&gt;0",Podcasts!$E$538:'Podcasts'!$E$909,"&gt;"&amp;$C348,Podcasts!$E$538:'Podcasts'!$E$909,"&lt;="&amp;$C349)*24*60</f>
        <v>530.45000000000005</v>
      </c>
      <c r="AQ349" s="243">
        <f>SUMIFS(Podcasts!$F$915:'Podcasts'!$F$981,Podcasts!$D$915:'Podcasts'!$D$981,"&gt;0",Podcasts!$E$915:'Podcasts'!$E$981,"&gt;"&amp;$C348,Podcasts!$E$915:'Podcasts'!$E$981,"&lt;="&amp;$C349)*24*60</f>
        <v>388.7833333333333</v>
      </c>
      <c r="AR349" s="243">
        <f>SUMIFS(Podcasts!$F$987:'Podcasts'!$F$995,Podcasts!$D$987:'Podcasts'!$D$995,"&gt;0",Podcasts!$E$987:'Podcasts'!$E$995,"&gt;"&amp;$C348,Podcasts!$E$987:'Podcasts'!$E$995,"&lt;="&amp;$C349)*24*60</f>
        <v>0</v>
      </c>
      <c r="AS349" s="243">
        <f>SUMIFS(Podcasts!$F$1001:'Podcasts'!$F$1251,Podcasts!$D$1001:'Podcasts'!$D$1251,"&gt;0",Podcasts!$E$1001:'Podcasts'!$E$1251,"&gt;"&amp;$C348,Podcasts!$E$1001:'Podcasts'!$E$1251,"&lt;="&amp;$C349)*24*60</f>
        <v>0</v>
      </c>
      <c r="AT349" s="243">
        <f>SUMIFS(Podcasts!$F$1257:'Podcasts'!$F$1267,Podcasts!$D$1257:'Podcasts'!$D$1267,"&gt;0",Podcasts!$E$1257:'Podcasts'!$E$1267,"&gt;"&amp;$C348,Podcasts!$E$1257:'Podcasts'!$E$1267,"&lt;="&amp;$C349)*24*60</f>
        <v>0</v>
      </c>
      <c r="AU349" s="243">
        <f>SUMIFS(Podcasts!$F$1273:'Podcasts'!$F$1283,Podcasts!$D$1273:'Podcasts'!$D$1283,"&gt;0",Podcasts!$E$1273:'Podcasts'!$E$1283,"&gt;"&amp;$C348,Podcasts!$E$1273:'Podcasts'!$E$1283,"&lt;="&amp;$C349)*24*60</f>
        <v>0</v>
      </c>
      <c r="AV349" s="243">
        <f>SUMIFS(Podcasts!$F$1289:'Podcasts'!$F$1295,Podcasts!$D$1289:'Podcasts'!$D$1295,"&gt;0",Podcasts!$E$1289:'Podcasts'!$E$1295,"&gt;"&amp;$C348,Podcasts!$E$1289:'Podcasts'!$E$1295,"&lt;="&amp;$C349)*24*60</f>
        <v>0</v>
      </c>
      <c r="AW349" s="243">
        <f>SUMIFS(Podcasts!$F$1301:'Podcasts'!$F$1356,Podcasts!$D$1301:'Podcasts'!$D$1356,"&gt;0",Podcasts!$E$1301:'Podcasts'!$E$1356,"&gt;"&amp;$C348,Podcasts!$E$1301:'Podcasts'!$E$1356,"&lt;="&amp;$C349)*24*60</f>
        <v>0</v>
      </c>
      <c r="AX349" s="243">
        <f>SUMIFS(Podcasts!$F$1362:'Podcasts'!$F$1364,Podcasts!$D$1362:'Podcasts'!$D$1364,"&gt;0",Podcasts!$E$1362:'Podcasts'!$E$1364,"&gt;"&amp;$C348,Podcasts!$E$1362:'Podcasts'!$E$1364,"&lt;="&amp;$C349)*24*60</f>
        <v>0</v>
      </c>
      <c r="AY349" s="243">
        <f>SUMIFS(Podcasts!$F$1370:'Podcasts'!$F$1419,Podcasts!$D$1370:'Podcasts'!$D$1419,"&gt;0",Podcasts!$E$1370:'Podcasts'!$E$1419,"&gt;"&amp;$C348,Podcasts!$E$1370:'Podcasts'!$E$1419,"&lt;="&amp;$C349)*24*60</f>
        <v>0</v>
      </c>
      <c r="AZ349" s="243">
        <f>SUMIFS(Podcasts!$F$1425:'Podcasts'!$F$1446,Podcasts!$D$1425:'Podcasts'!$D$1446,"&gt;0",Podcasts!$E$1425:'Podcasts'!$E$1446,"&gt;"&amp;$C348,Podcasts!$E$1425:'Podcasts'!$E$1446,"&lt;="&amp;$C349)*24*60</f>
        <v>0</v>
      </c>
      <c r="BA349" s="243">
        <f>SUMIFS(Podcasts!$F$1452:'Podcasts'!$F$1574,Podcasts!$D$1452:'Podcasts'!$D$1574,"&gt;0",Podcasts!$E$1452:'Podcasts'!$E$1574,"&gt;"&amp;$C348,Podcasts!$E$1452:'Podcasts'!$E$1574,"&lt;="&amp;$C349)*24*60</f>
        <v>0</v>
      </c>
      <c r="BB349" s="243">
        <f>SUMIFS(Podcasts!$F$1580:'Podcasts'!$F$1705,Podcasts!$D$1580:'Podcasts'!$D$1705,"&gt;0",Podcasts!$E$1580:'Podcasts'!$E$1705,"&gt;"&amp;$C348,Podcasts!$E$1580:'Podcasts'!$E$1705,"&lt;="&amp;$C349)*24*60</f>
        <v>0</v>
      </c>
      <c r="BC349" s="243">
        <f>SUMIFS(Podcasts!$F$1711:'Podcasts'!$F$1833,Podcasts!$D$1711:'Podcasts'!$D$1833,"&gt;0",Podcasts!$E$1711:'Podcasts'!$E$1833,"&gt;"&amp;$C348,Podcasts!$E$1711:'Podcasts'!$E$1833,"&lt;="&amp;$C349)*24*60</f>
        <v>0</v>
      </c>
      <c r="BD349" s="243">
        <f>SUMIFS(Podcasts!$F$1839:'Podcasts'!$F$1855,Podcasts!$D$1839:'Podcasts'!$D$1855,"&gt;0",Podcasts!$E$1839:'Podcasts'!$E$1855,"&gt;"&amp;$C348,Podcasts!$E$1839:'Podcasts'!$E$1855,"&lt;="&amp;$C349)*24*60</f>
        <v>0</v>
      </c>
      <c r="BE349" s="243">
        <f>SUMIFS(Podcasts!$F$1861:'Podcasts'!$F$1994,Podcasts!$D$1861:'Podcasts'!$D$1994,"&gt;0",Podcasts!$E$1861:'Podcasts'!$E$1994,"&gt;"&amp;$C348,Podcasts!$E$1861:'Podcasts'!$E$1994,"&lt;="&amp;$C349)*24*60</f>
        <v>0</v>
      </c>
      <c r="BF349" s="243">
        <f>SUMIFS(Podcasts!$F$2000:'Podcasts'!$F$2057,Podcasts!$D$2000:'Podcasts'!$D$2057,"&gt;0",Podcasts!$E$2000:'Podcasts'!$E$2057,"&gt;"&amp;$C348,Podcasts!$E$2000:'Podcasts'!$E$2057,"&lt;="&amp;$C349)*24*60</f>
        <v>0</v>
      </c>
      <c r="BG349" s="243">
        <f>SUMIFS(Podcasts!$F$2063:'Podcasts'!$F$2071,Podcasts!$D$2063:'Podcasts'!$D$2071,"&gt;0",Podcasts!$E$2063:'Podcasts'!$E$2071,"&gt;"&amp;$C348,Podcasts!$E$2063:'Podcasts'!$E$2071,"&lt;="&amp;$C349)*24*60</f>
        <v>0</v>
      </c>
      <c r="BH349" s="243">
        <f>SUMIFS(Podcasts!$F$2131:'Podcasts'!$F$2367,Podcasts!$D$2131:'Podcasts'!$D$2367,"&gt;0",Podcasts!$E$2131:'Podcasts'!$E$2367,"&gt;"&amp;$C348,Podcasts!$E$2131:'Podcasts'!$E$2367,"&lt;="&amp;$C349)*24*60</f>
        <v>0</v>
      </c>
    </row>
    <row r="350" spans="1:60" outlineLevel="1">
      <c r="A350" s="163">
        <f t="shared" si="7"/>
        <v>307</v>
      </c>
      <c r="B350" s="164">
        <f t="shared" si="8"/>
        <v>12</v>
      </c>
      <c r="C350" s="72">
        <v>43373</v>
      </c>
      <c r="D350" s="165" t="str">
        <f t="shared" si="10"/>
        <v>307 (+12)</v>
      </c>
      <c r="E350" s="106">
        <f>COUNTIFS(Podcasts!$D$10:'Podcasts'!$D$107,"&gt;0",Podcasts!$E$10:'Podcasts'!$E$107,"&lt;="&amp;$C350)-2</f>
        <v>39</v>
      </c>
      <c r="F350" s="467">
        <f>COUNTIFS(Podcasts!$D$113:'Podcasts'!$D$238,"&gt;0",Podcasts!$E$113:'Podcasts'!$E$238,"&lt;="&amp;$C350)</f>
        <v>45</v>
      </c>
      <c r="G350" s="468">
        <f>COUNTIFS(Podcasts!$D$244:'Podcasts'!$D$299,"&gt;0",Podcasts!$E$244:'Podcasts'!$E$299,"&lt;="&amp;$C350)</f>
        <v>31</v>
      </c>
      <c r="H350" s="467">
        <v>135</v>
      </c>
      <c r="I350" s="467">
        <f>COUNTIFS(Podcasts!$D$479:'Podcasts'!$D$488,"&gt;0",Podcasts!$E$479:'Podcasts'!$E$488,"&lt;="&amp;$C350)</f>
        <v>3</v>
      </c>
      <c r="J350" s="468">
        <f>COUNTIFS(Podcasts!$D$494:'Podcasts'!$D$518,"&gt;0",Podcasts!$E$494:'Podcasts'!$E$518,"&lt;="&amp;$C350)</f>
        <v>11</v>
      </c>
      <c r="K350" s="469">
        <f>COUNTIFS(Podcasts!$D$524:'Podcasts'!$D$532,"&gt;0",Podcasts!$E$524:'Podcasts'!$E$532,"&lt;="&amp;$C350)</f>
        <v>7</v>
      </c>
      <c r="L350" s="467">
        <f>COUNTIFS(Podcasts!$D$538:'Podcasts'!$D$909,"&gt;0",Podcasts!$E$538:'Podcasts'!$E$909,"&lt;="&amp;$C350)-2</f>
        <v>27</v>
      </c>
      <c r="M350" s="467">
        <f>COUNTIFS(Podcasts!$D$915:'Podcasts'!$D$981,"&gt;0",Podcasts!$E$915:'Podcasts'!$E$981,"&lt;="&amp;$C350)</f>
        <v>9</v>
      </c>
      <c r="N350" s="469">
        <v>0</v>
      </c>
      <c r="O350" s="467"/>
      <c r="P350" s="467"/>
      <c r="Q350" s="469"/>
      <c r="R350" s="467"/>
      <c r="T350" s="469"/>
      <c r="U350" s="467"/>
      <c r="V350" s="467"/>
      <c r="W350" s="469"/>
      <c r="X350" s="467"/>
      <c r="Y350" s="467"/>
      <c r="Z350" s="469"/>
      <c r="AA350" s="467"/>
      <c r="AC350" s="425"/>
      <c r="AF350" s="469">
        <f>COUNTIFS(Podcasts!$E$2131:'Podcasts'!$E$2367,"&lt;="&amp;$C350)</f>
        <v>22</v>
      </c>
      <c r="AH350" s="243">
        <f t="shared" si="5"/>
        <v>1275.6000000000001</v>
      </c>
      <c r="AI350" s="243">
        <f>SUMIFS(Podcasts!$F$10:'Podcasts'!$F$107,Podcasts!$D$10:'Podcasts'!$D$107,"&gt;0",Podcasts!$E$10:'Podcasts'!$E$107,"&gt;"&amp;$C349,Podcasts!$E$10:'Podcasts'!$E$107,"&lt;="&amp;$C350)*24*60</f>
        <v>92.233333333333334</v>
      </c>
      <c r="AJ350" s="243">
        <f>SUMIFS(Podcasts!$F$113:'Podcasts'!$F$238,Podcasts!$D$113:'Podcasts'!$D$238,"&gt;0",Podcasts!$E$113:'Podcasts'!$E$238,"&gt;"&amp;$C349,Podcasts!$E$113:'Podcasts'!$E$238,"&lt;="&amp;$C350)*24*60</f>
        <v>3.3666666666666667</v>
      </c>
      <c r="AK350" s="243">
        <f>SUMIFS(Podcasts!$F$244:'Podcasts'!$F$299,Podcasts!$D$244:'Podcasts'!$D$299,"&gt;0",Podcasts!$E$244:'Podcasts'!$E$299,"&gt;"&amp;$C349,Podcasts!$E$244:'Podcasts'!$E$299,"&lt;="&amp;$C350)*24*60</f>
        <v>0</v>
      </c>
      <c r="AL350" s="243">
        <f>SUMIFS(Podcasts!$F$305:'Podcasts'!$F$473,Podcasts!$D$305:'Podcasts'!$D$473,"&gt;0",Podcasts!$E$305:'Podcasts'!$E$473,"&gt;"&amp;$C349,Podcasts!$E$305:'Podcasts'!$E$473,"&lt;="&amp;$C350)*24*60</f>
        <v>0</v>
      </c>
      <c r="AM350" s="243">
        <f>SUMIFS(Podcasts!$F$479:'Podcasts'!$F$488,Podcasts!$D$479:'Podcasts'!$D$488,"&gt;0",Podcasts!$E$479:'Podcasts'!$E$488,"&gt;"&amp;$C349,Podcasts!$E$479:'Podcasts'!$E$488,"&lt;="&amp;$C350)*24*60</f>
        <v>0</v>
      </c>
      <c r="AN350" s="243">
        <f>SUMIFS(Podcasts!$F$494:'Podcasts'!$F$518,Podcasts!$D$494:'Podcasts'!$D$518,"&gt;0",Podcasts!$E$494:'Podcasts'!$E$518,"&gt;"&amp;$C349,Podcasts!$E$494:'Podcasts'!$E$518,"&lt;="&amp;$C350)*24*60</f>
        <v>252.53333333333333</v>
      </c>
      <c r="AO350" s="243">
        <f>SUMIFS(Podcasts!$F$524:'Podcasts'!$F$532,Podcasts!$D$524:'Podcasts'!$D$532,"&gt;0",Podcasts!$E$524:'Podcasts'!$E$532,"&gt;"&amp;$C349,Podcasts!$E$524:'Podcasts'!$E$532,"&lt;="&amp;$C350)*24*60</f>
        <v>0</v>
      </c>
      <c r="AP350" s="243">
        <f>SUMIFS(Podcasts!$F$538:'Podcasts'!$F$909,Podcasts!$D$538:'Podcasts'!$D$909,"&gt;0",Podcasts!$E$538:'Podcasts'!$E$909,"&gt;"&amp;$C349,Podcasts!$E$538:'Podcasts'!$E$909,"&lt;="&amp;$C350)*24*60</f>
        <v>614.58333333333348</v>
      </c>
      <c r="AQ350" s="243">
        <f>SUMIFS(Podcasts!$F$915:'Podcasts'!$F$981,Podcasts!$D$915:'Podcasts'!$D$981,"&gt;0",Podcasts!$E$915:'Podcasts'!$E$981,"&gt;"&amp;$C349,Podcasts!$E$915:'Podcasts'!$E$981,"&lt;="&amp;$C350)*24*60</f>
        <v>312.88333333333333</v>
      </c>
      <c r="AR350" s="243">
        <f>SUMIFS(Podcasts!$F$987:'Podcasts'!$F$995,Podcasts!$D$987:'Podcasts'!$D$995,"&gt;0",Podcasts!$E$987:'Podcasts'!$E$995,"&gt;"&amp;$C349,Podcasts!$E$987:'Podcasts'!$E$995,"&lt;="&amp;$C350)*24*60</f>
        <v>0</v>
      </c>
      <c r="AS350" s="243">
        <f>SUMIFS(Podcasts!$F$1001:'Podcasts'!$F$1251,Podcasts!$D$1001:'Podcasts'!$D$1251,"&gt;0",Podcasts!$E$1001:'Podcasts'!$E$1251,"&gt;"&amp;$C349,Podcasts!$E$1001:'Podcasts'!$E$1251,"&lt;="&amp;$C350)*24*60</f>
        <v>0</v>
      </c>
      <c r="AT350" s="243">
        <f>SUMIFS(Podcasts!$F$1257:'Podcasts'!$F$1267,Podcasts!$D$1257:'Podcasts'!$D$1267,"&gt;0",Podcasts!$E$1257:'Podcasts'!$E$1267,"&gt;"&amp;$C349,Podcasts!$E$1257:'Podcasts'!$E$1267,"&lt;="&amp;$C350)*24*60</f>
        <v>0</v>
      </c>
      <c r="AU350" s="243">
        <f>SUMIFS(Podcasts!$F$1273:'Podcasts'!$F$1283,Podcasts!$D$1273:'Podcasts'!$D$1283,"&gt;0",Podcasts!$E$1273:'Podcasts'!$E$1283,"&gt;"&amp;$C349,Podcasts!$E$1273:'Podcasts'!$E$1283,"&lt;="&amp;$C350)*24*60</f>
        <v>0</v>
      </c>
      <c r="AV350" s="243">
        <f>SUMIFS(Podcasts!$F$1289:'Podcasts'!$F$1295,Podcasts!$D$1289:'Podcasts'!$D$1295,"&gt;0",Podcasts!$E$1289:'Podcasts'!$E$1295,"&gt;"&amp;$C349,Podcasts!$E$1289:'Podcasts'!$E$1295,"&lt;="&amp;$C350)*24*60</f>
        <v>0</v>
      </c>
      <c r="AW350" s="243">
        <f>SUMIFS(Podcasts!$F$1301:'Podcasts'!$F$1356,Podcasts!$D$1301:'Podcasts'!$D$1356,"&gt;0",Podcasts!$E$1301:'Podcasts'!$E$1356,"&gt;"&amp;$C349,Podcasts!$E$1301:'Podcasts'!$E$1356,"&lt;="&amp;$C350)*24*60</f>
        <v>0</v>
      </c>
      <c r="AX350" s="243">
        <f>SUMIFS(Podcasts!$F$1362:'Podcasts'!$F$1364,Podcasts!$D$1362:'Podcasts'!$D$1364,"&gt;0",Podcasts!$E$1362:'Podcasts'!$E$1364,"&gt;"&amp;$C349,Podcasts!$E$1362:'Podcasts'!$E$1364,"&lt;="&amp;$C350)*24*60</f>
        <v>0</v>
      </c>
      <c r="AY350" s="243">
        <f>SUMIFS(Podcasts!$F$1370:'Podcasts'!$F$1419,Podcasts!$D$1370:'Podcasts'!$D$1419,"&gt;0",Podcasts!$E$1370:'Podcasts'!$E$1419,"&gt;"&amp;$C349,Podcasts!$E$1370:'Podcasts'!$E$1419,"&lt;="&amp;$C350)*24*60</f>
        <v>0</v>
      </c>
      <c r="AZ350" s="243">
        <f>SUMIFS(Podcasts!$F$1425:'Podcasts'!$F$1446,Podcasts!$D$1425:'Podcasts'!$D$1446,"&gt;0",Podcasts!$E$1425:'Podcasts'!$E$1446,"&gt;"&amp;$C349,Podcasts!$E$1425:'Podcasts'!$E$1446,"&lt;="&amp;$C350)*24*60</f>
        <v>0</v>
      </c>
      <c r="BA350" s="243">
        <f>SUMIFS(Podcasts!$F$1452:'Podcasts'!$F$1574,Podcasts!$D$1452:'Podcasts'!$D$1574,"&gt;0",Podcasts!$E$1452:'Podcasts'!$E$1574,"&gt;"&amp;$C349,Podcasts!$E$1452:'Podcasts'!$E$1574,"&lt;="&amp;$C350)*24*60</f>
        <v>0</v>
      </c>
      <c r="BB350" s="243">
        <f>SUMIFS(Podcasts!$F$1580:'Podcasts'!$F$1705,Podcasts!$D$1580:'Podcasts'!$D$1705,"&gt;0",Podcasts!$E$1580:'Podcasts'!$E$1705,"&gt;"&amp;$C349,Podcasts!$E$1580:'Podcasts'!$E$1705,"&lt;="&amp;$C350)*24*60</f>
        <v>0</v>
      </c>
      <c r="BC350" s="243">
        <f>SUMIFS(Podcasts!$F$1711:'Podcasts'!$F$1833,Podcasts!$D$1711:'Podcasts'!$D$1833,"&gt;0",Podcasts!$E$1711:'Podcasts'!$E$1833,"&gt;"&amp;$C349,Podcasts!$E$1711:'Podcasts'!$E$1833,"&lt;="&amp;$C350)*24*60</f>
        <v>0</v>
      </c>
      <c r="BD350" s="243">
        <f>SUMIFS(Podcasts!$F$1839:'Podcasts'!$F$1855,Podcasts!$D$1839:'Podcasts'!$D$1855,"&gt;0",Podcasts!$E$1839:'Podcasts'!$E$1855,"&gt;"&amp;$C349,Podcasts!$E$1839:'Podcasts'!$E$1855,"&lt;="&amp;$C350)*24*60</f>
        <v>0</v>
      </c>
      <c r="BE350" s="243">
        <f>SUMIFS(Podcasts!$F$1861:'Podcasts'!$F$1994,Podcasts!$D$1861:'Podcasts'!$D$1994,"&gt;0",Podcasts!$E$1861:'Podcasts'!$E$1994,"&gt;"&amp;$C349,Podcasts!$E$1861:'Podcasts'!$E$1994,"&lt;="&amp;$C350)*24*60</f>
        <v>0</v>
      </c>
      <c r="BF350" s="243">
        <f>SUMIFS(Podcasts!$F$2000:'Podcasts'!$F$2057,Podcasts!$D$2000:'Podcasts'!$D$2057,"&gt;0",Podcasts!$E$2000:'Podcasts'!$E$2057,"&gt;"&amp;$C349,Podcasts!$E$2000:'Podcasts'!$E$2057,"&lt;="&amp;$C350)*24*60</f>
        <v>0</v>
      </c>
      <c r="BG350" s="243">
        <f>SUMIFS(Podcasts!$F$2063:'Podcasts'!$F$2071,Podcasts!$D$2063:'Podcasts'!$D$2071,"&gt;0",Podcasts!$E$2063:'Podcasts'!$E$2071,"&gt;"&amp;$C349,Podcasts!$E$2063:'Podcasts'!$E$2071,"&lt;="&amp;$C350)*24*60</f>
        <v>0</v>
      </c>
      <c r="BH350" s="243">
        <f>SUMIFS(Podcasts!$F$2131:'Podcasts'!$F$2367,Podcasts!$D$2131:'Podcasts'!$D$2367,"&gt;0",Podcasts!$E$2131:'Podcasts'!$E$2367,"&gt;"&amp;$C349,Podcasts!$E$2131:'Podcasts'!$E$2367,"&lt;="&amp;$C350)*24*60</f>
        <v>0</v>
      </c>
    </row>
    <row r="351" spans="1:60" outlineLevel="1">
      <c r="A351" s="163">
        <f t="shared" si="7"/>
        <v>322</v>
      </c>
      <c r="B351" s="164">
        <f t="shared" si="8"/>
        <v>15</v>
      </c>
      <c r="C351" s="72">
        <v>43465</v>
      </c>
      <c r="D351" s="166" t="str">
        <f t="shared" si="10"/>
        <v>322 (+15)</v>
      </c>
      <c r="E351" s="106">
        <f>COUNTIFS(Podcasts!$D$10:'Podcasts'!$D$107,"&gt;0",Podcasts!$E$10:'Podcasts'!$E$107,"&lt;="&amp;$C351)-2</f>
        <v>42</v>
      </c>
      <c r="F351" s="467">
        <f>COUNTIFS(Podcasts!$D$113:'Podcasts'!$D$238,"&gt;0",Podcasts!$E$113:'Podcasts'!$E$238,"&lt;="&amp;$C351)</f>
        <v>46</v>
      </c>
      <c r="G351" s="468">
        <f>COUNTIFS(Podcasts!$D$244:'Podcasts'!$D$299,"&gt;0",Podcasts!$E$244:'Podcasts'!$E$299,"&lt;="&amp;$C351)</f>
        <v>32</v>
      </c>
      <c r="H351" s="467">
        <v>135</v>
      </c>
      <c r="I351" s="467">
        <f>COUNTIFS(Podcasts!$D$479:'Podcasts'!$D$488,"&gt;0",Podcasts!$E$479:'Podcasts'!$E$488,"&lt;="&amp;$C351)</f>
        <v>3</v>
      </c>
      <c r="J351" s="468">
        <f>COUNTIFS(Podcasts!$D$494:'Podcasts'!$D$518,"&gt;0",Podcasts!$E$494:'Podcasts'!$E$518,"&lt;="&amp;$C351)</f>
        <v>12</v>
      </c>
      <c r="K351" s="469">
        <f>COUNTIFS(Podcasts!$D$524:'Podcasts'!$D$532,"&gt;0",Podcasts!$E$524:'Podcasts'!$E$532,"&lt;="&amp;$C351)</f>
        <v>7</v>
      </c>
      <c r="L351" s="467">
        <f>COUNTIFS(Podcasts!$D$538:'Podcasts'!$D$909,"&gt;0",Podcasts!$E$538:'Podcasts'!$E$909,"&lt;="&amp;$C351)-2</f>
        <v>32</v>
      </c>
      <c r="M351" s="467">
        <f>COUNTIFS(Podcasts!$D$915:'Podcasts'!$D$981,"&gt;0",Podcasts!$E$915:'Podcasts'!$E$981,"&lt;="&amp;$C351)</f>
        <v>13</v>
      </c>
      <c r="N351" s="469">
        <v>6</v>
      </c>
      <c r="O351" s="467">
        <f>COUNTIFS(Podcasts!$D$1001:'Podcasts'!$D$1251,"&gt;0",Podcasts!$E$1001:'Podcasts'!$E$1251,"&lt;="&amp;$C351)</f>
        <v>0</v>
      </c>
      <c r="P351" s="467"/>
      <c r="Q351" s="469"/>
      <c r="R351" s="467"/>
      <c r="T351" s="469"/>
      <c r="U351" s="467"/>
      <c r="V351" s="474"/>
      <c r="W351" s="475"/>
      <c r="X351" s="474"/>
      <c r="Y351" s="474"/>
      <c r="Z351" s="475"/>
      <c r="AA351" s="474"/>
      <c r="AC351" s="475"/>
      <c r="AF351" s="475">
        <f>COUNTIFS(Podcasts!$E$2131:'Podcasts'!$E$2367,"&lt;="&amp;$C351)</f>
        <v>23</v>
      </c>
      <c r="AH351" s="243">
        <f t="shared" si="5"/>
        <v>1314.2666666666667</v>
      </c>
      <c r="AI351" s="243">
        <f>SUMIFS(Podcasts!$F$10:'Podcasts'!$F$107,Podcasts!$D$10:'Podcasts'!$D$107,"&gt;0",Podcasts!$E$10:'Podcasts'!$E$107,"&gt;"&amp;$C350,Podcasts!$E$10:'Podcasts'!$E$107,"&lt;="&amp;$C351)*24*60</f>
        <v>300.06666666666661</v>
      </c>
      <c r="AJ351" s="243">
        <f>SUMIFS(Podcasts!$F$113:'Podcasts'!$F$238,Podcasts!$D$113:'Podcasts'!$D$238,"&gt;0",Podcasts!$E$113:'Podcasts'!$E$238,"&gt;"&amp;$C350,Podcasts!$E$113:'Podcasts'!$E$238,"&lt;="&amp;$C351)*24*60</f>
        <v>6.7833333333333332</v>
      </c>
      <c r="AK351" s="243">
        <f>SUMIFS(Podcasts!$F$244:'Podcasts'!$F$299,Podcasts!$D$244:'Podcasts'!$D$299,"&gt;0",Podcasts!$E$244:'Podcasts'!$E$299,"&gt;"&amp;$C350,Podcasts!$E$244:'Podcasts'!$E$299,"&lt;="&amp;$C351)*24*60</f>
        <v>27.733333333333334</v>
      </c>
      <c r="AL351" s="243">
        <f>SUMIFS(Podcasts!$F$305:'Podcasts'!$F$473,Podcasts!$D$305:'Podcasts'!$D$473,"&gt;0",Podcasts!$E$305:'Podcasts'!$E$473,"&gt;"&amp;$C350,Podcasts!$E$305:'Podcasts'!$E$473,"&lt;="&amp;$C351)*24*60</f>
        <v>0</v>
      </c>
      <c r="AM351" s="243">
        <f>SUMIFS(Podcasts!$F$479:'Podcasts'!$F$488,Podcasts!$D$479:'Podcasts'!$D$488,"&gt;0",Podcasts!$E$479:'Podcasts'!$E$488,"&gt;"&amp;$C350,Podcasts!$E$479:'Podcasts'!$E$488,"&lt;="&amp;$C351)*24*60</f>
        <v>0</v>
      </c>
      <c r="AN351" s="243">
        <f>SUMIFS(Podcasts!$F$494:'Podcasts'!$F$518,Podcasts!$D$494:'Podcasts'!$D$518,"&gt;0",Podcasts!$E$494:'Podcasts'!$E$518,"&gt;"&amp;$C350,Podcasts!$E$494:'Podcasts'!$E$518,"&lt;="&amp;$C351)*24*60</f>
        <v>84.916666666666671</v>
      </c>
      <c r="AO351" s="243">
        <f>SUMIFS(Podcasts!$F$524:'Podcasts'!$F$532,Podcasts!$D$524:'Podcasts'!$D$532,"&gt;0",Podcasts!$E$524:'Podcasts'!$E$532,"&gt;"&amp;$C350,Podcasts!$E$524:'Podcasts'!$E$532,"&lt;="&amp;$C351)*24*60</f>
        <v>0</v>
      </c>
      <c r="AP351" s="243">
        <f>SUMIFS(Podcasts!$F$538:'Podcasts'!$F$909,Podcasts!$D$538:'Podcasts'!$D$909,"&gt;0",Podcasts!$E$538:'Podcasts'!$E$909,"&gt;"&amp;$C350,Podcasts!$E$538:'Podcasts'!$E$909,"&lt;="&amp;$C351)*24*60</f>
        <v>484.61666666666667</v>
      </c>
      <c r="AQ351" s="243">
        <f>SUMIFS(Podcasts!$F$915:'Podcasts'!$F$981,Podcasts!$D$915:'Podcasts'!$D$981,"&gt;0",Podcasts!$E$915:'Podcasts'!$E$981,"&gt;"&amp;$C350,Podcasts!$E$915:'Podcasts'!$E$981,"&lt;="&amp;$C351)*24*60</f>
        <v>410.15</v>
      </c>
      <c r="AR351" s="243">
        <f>SUMIFS(Podcasts!$F$987:'Podcasts'!$F$995,Podcasts!$D$987:'Podcasts'!$D$995,"&gt;0",Podcasts!$E$987:'Podcasts'!$E$995,"&gt;"&amp;$C350,Podcasts!$E$987:'Podcasts'!$E$995,"&lt;="&amp;$C351)*24*60</f>
        <v>0</v>
      </c>
      <c r="AS351" s="243">
        <f>SUMIFS(Podcasts!$F$1001:'Podcasts'!$F$1251,Podcasts!$D$1001:'Podcasts'!$D$1251,"&gt;0",Podcasts!$E$1001:'Podcasts'!$E$1251,"&gt;"&amp;$C350,Podcasts!$E$1001:'Podcasts'!$E$1251,"&lt;="&amp;$C351)*24*60</f>
        <v>0</v>
      </c>
      <c r="AT351" s="243">
        <f>SUMIFS(Podcasts!$F$1257:'Podcasts'!$F$1267,Podcasts!$D$1257:'Podcasts'!$D$1267,"&gt;0",Podcasts!$E$1257:'Podcasts'!$E$1267,"&gt;"&amp;$C350,Podcasts!$E$1257:'Podcasts'!$E$1267,"&lt;="&amp;$C351)*24*60</f>
        <v>0</v>
      </c>
      <c r="AU351" s="243">
        <f>SUMIFS(Podcasts!$F$1273:'Podcasts'!$F$1283,Podcasts!$D$1273:'Podcasts'!$D$1283,"&gt;0",Podcasts!$E$1273:'Podcasts'!$E$1283,"&gt;"&amp;$C350,Podcasts!$E$1273:'Podcasts'!$E$1283,"&lt;="&amp;$C351)*24*60</f>
        <v>0</v>
      </c>
      <c r="AV351" s="243">
        <f>SUMIFS(Podcasts!$F$1289:'Podcasts'!$F$1295,Podcasts!$D$1289:'Podcasts'!$D$1295,"&gt;0",Podcasts!$E$1289:'Podcasts'!$E$1295,"&gt;"&amp;$C350,Podcasts!$E$1289:'Podcasts'!$E$1295,"&lt;="&amp;$C351)*24*60</f>
        <v>0</v>
      </c>
      <c r="AW351" s="243">
        <f>SUMIFS(Podcasts!$F$1301:'Podcasts'!$F$1356,Podcasts!$D$1301:'Podcasts'!$D$1356,"&gt;0",Podcasts!$E$1301:'Podcasts'!$E$1356,"&gt;"&amp;$C350,Podcasts!$E$1301:'Podcasts'!$E$1356,"&lt;="&amp;$C351)*24*60</f>
        <v>0</v>
      </c>
      <c r="AX351" s="243">
        <f>SUMIFS(Podcasts!$F$1362:'Podcasts'!$F$1364,Podcasts!$D$1362:'Podcasts'!$D$1364,"&gt;0",Podcasts!$E$1362:'Podcasts'!$E$1364,"&gt;"&amp;$C350,Podcasts!$E$1362:'Podcasts'!$E$1364,"&lt;="&amp;$C351)*24*60</f>
        <v>0</v>
      </c>
      <c r="AY351" s="243">
        <f>SUMIFS(Podcasts!$F$1370:'Podcasts'!$F$1419,Podcasts!$D$1370:'Podcasts'!$D$1419,"&gt;0",Podcasts!$E$1370:'Podcasts'!$E$1419,"&gt;"&amp;$C350,Podcasts!$E$1370:'Podcasts'!$E$1419,"&lt;="&amp;$C351)*24*60</f>
        <v>0</v>
      </c>
      <c r="AZ351" s="243">
        <f>SUMIFS(Podcasts!$F$1425:'Podcasts'!$F$1446,Podcasts!$D$1425:'Podcasts'!$D$1446,"&gt;0",Podcasts!$E$1425:'Podcasts'!$E$1446,"&gt;"&amp;$C350,Podcasts!$E$1425:'Podcasts'!$E$1446,"&lt;="&amp;$C351)*24*60</f>
        <v>0</v>
      </c>
      <c r="BA351" s="243">
        <f>SUMIFS(Podcasts!$F$1452:'Podcasts'!$F$1574,Podcasts!$D$1452:'Podcasts'!$D$1574,"&gt;0",Podcasts!$E$1452:'Podcasts'!$E$1574,"&gt;"&amp;$C350,Podcasts!$E$1452:'Podcasts'!$E$1574,"&lt;="&amp;$C351)*24*60</f>
        <v>0</v>
      </c>
      <c r="BB351" s="243">
        <f>SUMIFS(Podcasts!$F$1580:'Podcasts'!$F$1705,Podcasts!$D$1580:'Podcasts'!$D$1705,"&gt;0",Podcasts!$E$1580:'Podcasts'!$E$1705,"&gt;"&amp;$C350,Podcasts!$E$1580:'Podcasts'!$E$1705,"&lt;="&amp;$C351)*24*60</f>
        <v>0</v>
      </c>
      <c r="BC351" s="243">
        <f>SUMIFS(Podcasts!$F$1711:'Podcasts'!$F$1833,Podcasts!$D$1711:'Podcasts'!$D$1833,"&gt;0",Podcasts!$E$1711:'Podcasts'!$E$1833,"&gt;"&amp;$C350,Podcasts!$E$1711:'Podcasts'!$E$1833,"&lt;="&amp;$C351)*24*60</f>
        <v>0</v>
      </c>
      <c r="BD351" s="243">
        <f>SUMIFS(Podcasts!$F$1839:'Podcasts'!$F$1855,Podcasts!$D$1839:'Podcasts'!$D$1855,"&gt;0",Podcasts!$E$1839:'Podcasts'!$E$1855,"&gt;"&amp;$C350,Podcasts!$E$1839:'Podcasts'!$E$1855,"&lt;="&amp;$C351)*24*60</f>
        <v>0</v>
      </c>
      <c r="BE351" s="243">
        <f>SUMIFS(Podcasts!$F$1861:'Podcasts'!$F$1994,Podcasts!$D$1861:'Podcasts'!$D$1994,"&gt;0",Podcasts!$E$1861:'Podcasts'!$E$1994,"&gt;"&amp;$C350,Podcasts!$E$1861:'Podcasts'!$E$1994,"&lt;="&amp;$C351)*24*60</f>
        <v>0</v>
      </c>
      <c r="BF351" s="243">
        <f>SUMIFS(Podcasts!$F$2000:'Podcasts'!$F$2057,Podcasts!$D$2000:'Podcasts'!$D$2057,"&gt;0",Podcasts!$E$2000:'Podcasts'!$E$2057,"&gt;"&amp;$C350,Podcasts!$E$2000:'Podcasts'!$E$2057,"&lt;="&amp;$C351)*24*60</f>
        <v>0</v>
      </c>
      <c r="BG351" s="243">
        <f>SUMIFS(Podcasts!$F$2063:'Podcasts'!$F$2071,Podcasts!$D$2063:'Podcasts'!$D$2071,"&gt;0",Podcasts!$E$2063:'Podcasts'!$E$2071,"&gt;"&amp;$C350,Podcasts!$E$2063:'Podcasts'!$E$2071,"&lt;="&amp;$C351)*24*60</f>
        <v>0</v>
      </c>
      <c r="BH351" s="243">
        <f>SUMIFS(Podcasts!$F$2131:'Podcasts'!$F$2367,Podcasts!$D$2131:'Podcasts'!$D$2367,"&gt;0",Podcasts!$E$2131:'Podcasts'!$E$2367,"&gt;"&amp;$C350,Podcasts!$E$2131:'Podcasts'!$E$2367,"&lt;="&amp;$C351)*24*60</f>
        <v>0</v>
      </c>
    </row>
    <row r="352" spans="1:60" outlineLevel="1">
      <c r="A352" s="163">
        <f t="shared" si="7"/>
        <v>339</v>
      </c>
      <c r="B352" s="164">
        <f t="shared" si="8"/>
        <v>17</v>
      </c>
      <c r="C352" s="73">
        <v>43555</v>
      </c>
      <c r="D352" s="167" t="str">
        <f t="shared" si="10"/>
        <v>339 (+17)</v>
      </c>
      <c r="E352" s="470">
        <f>COUNTIFS(Podcasts!$D$10:'Podcasts'!$D$107,"&gt;0",Podcasts!$E$10:'Podcasts'!$E$107,"&lt;="&amp;$C352)-2</f>
        <v>42</v>
      </c>
      <c r="F352" s="471">
        <f>COUNTIFS(Podcasts!$D$113:'Podcasts'!$D$238,"&gt;0",Podcasts!$E$113:'Podcasts'!$E$238,"&lt;="&amp;$C352)</f>
        <v>48</v>
      </c>
      <c r="G352" s="472">
        <f>COUNTIFS(Podcasts!$D$244:'Podcasts'!$D$299,"&gt;0",Podcasts!$E$244:'Podcasts'!$E$299,"&lt;="&amp;$C352)</f>
        <v>33</v>
      </c>
      <c r="H352" s="471">
        <v>135</v>
      </c>
      <c r="I352" s="471">
        <f>COUNTIFS(Podcasts!$D$479:'Podcasts'!$D$488,"&gt;0",Podcasts!$E$479:'Podcasts'!$E$488,"&lt;="&amp;$C352)</f>
        <v>3</v>
      </c>
      <c r="J352" s="472">
        <f>COUNTIFS(Podcasts!$D$494:'Podcasts'!$D$518,"&gt;0",Podcasts!$E$494:'Podcasts'!$E$518,"&lt;="&amp;$C352)</f>
        <v>12</v>
      </c>
      <c r="K352" s="473">
        <f>COUNTIFS(Podcasts!$D$524:'Podcasts'!$D$532,"&gt;0",Podcasts!$E$524:'Podcasts'!$E$532,"&lt;="&amp;$C352)</f>
        <v>7</v>
      </c>
      <c r="L352" s="471">
        <f>COUNTIFS(Podcasts!$D$538:'Podcasts'!$D$909,"&gt;0",Podcasts!$E$538:'Podcasts'!$E$909,"&lt;="&amp;$C352)-2</f>
        <v>36</v>
      </c>
      <c r="M352" s="471">
        <f>COUNTIFS(Podcasts!$D$915:'Podcasts'!$D$981,"&gt;0",Podcasts!$E$915:'Podcasts'!$E$981,"&lt;="&amp;$C352)</f>
        <v>16</v>
      </c>
      <c r="N352" s="473">
        <v>8</v>
      </c>
      <c r="O352" s="471">
        <f>COUNTIFS(Podcasts!$D$1001:'Podcasts'!$D$1251,"&gt;0",Podcasts!$E$1001:'Podcasts'!$E$1251,"&lt;="&amp;$C352)</f>
        <v>7</v>
      </c>
      <c r="P352" s="471">
        <f>COUNTIFS(Podcasts!$D$1257:'Podcasts'!$D$1267,"&gt;0",Podcasts!$E$1257:'Podcasts'!$E$1267,"&lt;="&amp;$C352)</f>
        <v>0</v>
      </c>
      <c r="Q352" s="473">
        <f>COUNTIFS(Podcasts!$D$1273:'Podcasts'!$D$1283,"&gt;0",Podcasts!$E$1273:'Podcasts'!$E$1283,"&lt;="&amp;$C352)</f>
        <v>0</v>
      </c>
      <c r="R352" s="471"/>
      <c r="S352" s="576"/>
      <c r="T352" s="473"/>
      <c r="U352" s="471"/>
      <c r="V352" s="467"/>
      <c r="W352" s="469"/>
      <c r="X352" s="467"/>
      <c r="Y352" s="467"/>
      <c r="Z352" s="469"/>
      <c r="AA352" s="471"/>
      <c r="AB352" s="471"/>
      <c r="AC352" s="473"/>
      <c r="AD352" s="471"/>
      <c r="AE352" s="471"/>
      <c r="AF352" s="469">
        <f>COUNTIFS(Podcasts!$E$2131:'Podcasts'!$E$2367,"&lt;="&amp;$C352)</f>
        <v>23</v>
      </c>
      <c r="AH352" s="243">
        <f t="shared" si="5"/>
        <v>1573.6</v>
      </c>
      <c r="AI352" s="243">
        <f>SUMIFS(Podcasts!$F$10:'Podcasts'!$F$107,Podcasts!$D$10:'Podcasts'!$D$107,"&gt;0",Podcasts!$E$10:'Podcasts'!$E$107,"&gt;"&amp;$C351,Podcasts!$E$10:'Podcasts'!$E$107,"&lt;="&amp;$C352)*24*60</f>
        <v>0</v>
      </c>
      <c r="AJ352" s="243">
        <f>SUMIFS(Podcasts!$F$113:'Podcasts'!$F$238,Podcasts!$D$113:'Podcasts'!$D$238,"&gt;0",Podcasts!$E$113:'Podcasts'!$E$238,"&gt;"&amp;$C351,Podcasts!$E$113:'Podcasts'!$E$238,"&lt;="&amp;$C352)*24*60</f>
        <v>6.7833333333333332</v>
      </c>
      <c r="AK352" s="243">
        <f>SUMIFS(Podcasts!$F$244:'Podcasts'!$F$299,Podcasts!$D$244:'Podcasts'!$D$299,"&gt;0",Podcasts!$E$244:'Podcasts'!$E$299,"&gt;"&amp;$C351,Podcasts!$E$244:'Podcasts'!$E$299,"&lt;="&amp;$C352)*24*60</f>
        <v>29.916666666666668</v>
      </c>
      <c r="AL352" s="243">
        <f>SUMIFS(Podcasts!$F$305:'Podcasts'!$F$473,Podcasts!$D$305:'Podcasts'!$D$473,"&gt;0",Podcasts!$E$305:'Podcasts'!$E$473,"&gt;"&amp;$C351,Podcasts!$E$305:'Podcasts'!$E$473,"&lt;="&amp;$C352)*24*60</f>
        <v>0</v>
      </c>
      <c r="AM352" s="243">
        <f>SUMIFS(Podcasts!$F$479:'Podcasts'!$F$488,Podcasts!$D$479:'Podcasts'!$D$488,"&gt;0",Podcasts!$E$479:'Podcasts'!$E$488,"&gt;"&amp;$C351,Podcasts!$E$479:'Podcasts'!$E$488,"&lt;="&amp;$C352)*24*60</f>
        <v>0</v>
      </c>
      <c r="AN352" s="243">
        <f>SUMIFS(Podcasts!$F$494:'Podcasts'!$F$518,Podcasts!$D$494:'Podcasts'!$D$518,"&gt;0",Podcasts!$E$494:'Podcasts'!$E$518,"&gt;"&amp;$C351,Podcasts!$E$494:'Podcasts'!$E$518,"&lt;="&amp;$C352)*24*60</f>
        <v>0</v>
      </c>
      <c r="AO352" s="243">
        <f>SUMIFS(Podcasts!$F$524:'Podcasts'!$F$532,Podcasts!$D$524:'Podcasts'!$D$532,"&gt;0",Podcasts!$E$524:'Podcasts'!$E$532,"&gt;"&amp;$C351,Podcasts!$E$524:'Podcasts'!$E$532,"&lt;="&amp;$C352)*24*60</f>
        <v>0</v>
      </c>
      <c r="AP352" s="243">
        <f>SUMIFS(Podcasts!$F$538:'Podcasts'!$F$909,Podcasts!$D$538:'Podcasts'!$D$909,"&gt;0",Podcasts!$E$538:'Podcasts'!$E$909,"&gt;"&amp;$C351,Podcasts!$E$538:'Podcasts'!$E$909,"&lt;="&amp;$C352)*24*60</f>
        <v>458.46666666666664</v>
      </c>
      <c r="AQ352" s="243">
        <f>SUMIFS(Podcasts!$F$915:'Podcasts'!$F$981,Podcasts!$D$915:'Podcasts'!$D$981,"&gt;0",Podcasts!$E$915:'Podcasts'!$E$981,"&gt;"&amp;$C351,Podcasts!$E$915:'Podcasts'!$E$981,"&lt;="&amp;$C352)*24*60</f>
        <v>239.91666666666671</v>
      </c>
      <c r="AR352" s="243">
        <f>SUMIFS(Podcasts!$F$987:'Podcasts'!$F$995,Podcasts!$D$987:'Podcasts'!$D$995,"&gt;0",Podcasts!$E$987:'Podcasts'!$E$995,"&gt;"&amp;$C351,Podcasts!$E$987:'Podcasts'!$E$995,"&lt;="&amp;$C352)*24*60</f>
        <v>0</v>
      </c>
      <c r="AS352" s="243">
        <f>SUMIFS(Podcasts!$F$1001:'Podcasts'!$F$1251,Podcasts!$D$1001:'Podcasts'!$D$1251,"&gt;0",Podcasts!$E$1001:'Podcasts'!$E$1251,"&gt;"&amp;$C351,Podcasts!$E$1001:'Podcasts'!$E$1251,"&lt;="&amp;$C352)*24*60</f>
        <v>838.51666666666665</v>
      </c>
      <c r="AT352" s="243">
        <f>SUMIFS(Podcasts!$F$1257:'Podcasts'!$F$1267,Podcasts!$D$1257:'Podcasts'!$D$1267,"&gt;0",Podcasts!$E$1257:'Podcasts'!$E$1267,"&gt;"&amp;$C351,Podcasts!$E$1257:'Podcasts'!$E$1267,"&lt;="&amp;$C352)*24*60</f>
        <v>0</v>
      </c>
      <c r="AU352" s="243">
        <f>SUMIFS(Podcasts!$F$1273:'Podcasts'!$F$1283,Podcasts!$D$1273:'Podcasts'!$D$1283,"&gt;0",Podcasts!$E$1273:'Podcasts'!$E$1283,"&gt;"&amp;$C351,Podcasts!$E$1273:'Podcasts'!$E$1283,"&lt;="&amp;$C352)*24*60</f>
        <v>0</v>
      </c>
      <c r="AV352" s="243">
        <f>SUMIFS(Podcasts!$F$1289:'Podcasts'!$F$1295,Podcasts!$D$1289:'Podcasts'!$D$1295,"&gt;0",Podcasts!$E$1289:'Podcasts'!$E$1295,"&gt;"&amp;$C351,Podcasts!$E$1289:'Podcasts'!$E$1295,"&lt;="&amp;$C352)*24*60</f>
        <v>0</v>
      </c>
      <c r="AW352" s="243">
        <f>SUMIFS(Podcasts!$F$1301:'Podcasts'!$F$1356,Podcasts!$D$1301:'Podcasts'!$D$1356,"&gt;0",Podcasts!$E$1301:'Podcasts'!$E$1356,"&gt;"&amp;$C351,Podcasts!$E$1301:'Podcasts'!$E$1356,"&lt;="&amp;$C352)*24*60</f>
        <v>0</v>
      </c>
      <c r="AX352" s="243">
        <f>SUMIFS(Podcasts!$F$1362:'Podcasts'!$F$1364,Podcasts!$D$1362:'Podcasts'!$D$1364,"&gt;0",Podcasts!$E$1362:'Podcasts'!$E$1364,"&gt;"&amp;$C351,Podcasts!$E$1362:'Podcasts'!$E$1364,"&lt;="&amp;$C352)*24*60</f>
        <v>0</v>
      </c>
      <c r="AY352" s="243">
        <f>SUMIFS(Podcasts!$F$1370:'Podcasts'!$F$1419,Podcasts!$D$1370:'Podcasts'!$D$1419,"&gt;0",Podcasts!$E$1370:'Podcasts'!$E$1419,"&gt;"&amp;$C351,Podcasts!$E$1370:'Podcasts'!$E$1419,"&lt;="&amp;$C352)*24*60</f>
        <v>0</v>
      </c>
      <c r="AZ352" s="243">
        <f>SUMIFS(Podcasts!$F$1425:'Podcasts'!$F$1446,Podcasts!$D$1425:'Podcasts'!$D$1446,"&gt;0",Podcasts!$E$1425:'Podcasts'!$E$1446,"&gt;"&amp;$C351,Podcasts!$E$1425:'Podcasts'!$E$1446,"&lt;="&amp;$C352)*24*60</f>
        <v>0</v>
      </c>
      <c r="BA352" s="243">
        <f>SUMIFS(Podcasts!$F$1452:'Podcasts'!$F$1574,Podcasts!$D$1452:'Podcasts'!$D$1574,"&gt;0",Podcasts!$E$1452:'Podcasts'!$E$1574,"&gt;"&amp;$C351,Podcasts!$E$1452:'Podcasts'!$E$1574,"&lt;="&amp;$C352)*24*60</f>
        <v>0</v>
      </c>
      <c r="BB352" s="243">
        <f>SUMIFS(Podcasts!$F$1580:'Podcasts'!$F$1705,Podcasts!$D$1580:'Podcasts'!$D$1705,"&gt;0",Podcasts!$E$1580:'Podcasts'!$E$1705,"&gt;"&amp;$C351,Podcasts!$E$1580:'Podcasts'!$E$1705,"&lt;="&amp;$C352)*24*60</f>
        <v>0</v>
      </c>
      <c r="BC352" s="243">
        <f>SUMIFS(Podcasts!$F$1711:'Podcasts'!$F$1833,Podcasts!$D$1711:'Podcasts'!$D$1833,"&gt;0",Podcasts!$E$1711:'Podcasts'!$E$1833,"&gt;"&amp;$C351,Podcasts!$E$1711:'Podcasts'!$E$1833,"&lt;="&amp;$C352)*24*60</f>
        <v>0</v>
      </c>
      <c r="BD352" s="243">
        <f>SUMIFS(Podcasts!$F$1839:'Podcasts'!$F$1855,Podcasts!$D$1839:'Podcasts'!$D$1855,"&gt;0",Podcasts!$E$1839:'Podcasts'!$E$1855,"&gt;"&amp;$C351,Podcasts!$E$1839:'Podcasts'!$E$1855,"&lt;="&amp;$C352)*24*60</f>
        <v>0</v>
      </c>
      <c r="BE352" s="243">
        <f>SUMIFS(Podcasts!$F$1861:'Podcasts'!$F$1994,Podcasts!$D$1861:'Podcasts'!$D$1994,"&gt;0",Podcasts!$E$1861:'Podcasts'!$E$1994,"&gt;"&amp;$C351,Podcasts!$E$1861:'Podcasts'!$E$1994,"&lt;="&amp;$C352)*24*60</f>
        <v>0</v>
      </c>
      <c r="BF352" s="243">
        <f>SUMIFS(Podcasts!$F$2000:'Podcasts'!$F$2057,Podcasts!$D$2000:'Podcasts'!$D$2057,"&gt;0",Podcasts!$E$2000:'Podcasts'!$E$2057,"&gt;"&amp;$C351,Podcasts!$E$2000:'Podcasts'!$E$2057,"&lt;="&amp;$C352)*24*60</f>
        <v>0</v>
      </c>
      <c r="BG352" s="243">
        <f>SUMIFS(Podcasts!$F$2063:'Podcasts'!$F$2071,Podcasts!$D$2063:'Podcasts'!$D$2071,"&gt;0",Podcasts!$E$2063:'Podcasts'!$E$2071,"&gt;"&amp;$C351,Podcasts!$E$2063:'Podcasts'!$E$2071,"&lt;="&amp;$C352)*24*60</f>
        <v>0</v>
      </c>
      <c r="BH352" s="243">
        <f>SUMIFS(Podcasts!$F$2131:'Podcasts'!$F$2367,Podcasts!$D$2131:'Podcasts'!$D$2367,"&gt;0",Podcasts!$E$2131:'Podcasts'!$E$2367,"&gt;"&amp;$C351,Podcasts!$E$2131:'Podcasts'!$E$2367,"&lt;="&amp;$C352)*24*60</f>
        <v>0</v>
      </c>
    </row>
    <row r="353" spans="1:60" outlineLevel="1">
      <c r="A353" s="163">
        <f t="shared" si="7"/>
        <v>358</v>
      </c>
      <c r="B353" s="164">
        <f t="shared" si="8"/>
        <v>19</v>
      </c>
      <c r="C353" s="72">
        <v>43646</v>
      </c>
      <c r="D353" s="165" t="str">
        <f t="shared" si="10"/>
        <v>358 (+19)</v>
      </c>
      <c r="E353" s="106">
        <f>COUNTIFS(Podcasts!$D$10:'Podcasts'!$D$107,"&gt;0",Podcasts!$E$10:'Podcasts'!$E$107,"&lt;="&amp;$C353)-2</f>
        <v>42</v>
      </c>
      <c r="F353" s="467">
        <f>COUNTIFS(Podcasts!$D$113:'Podcasts'!$D$238,"&gt;0",Podcasts!$E$113:'Podcasts'!$E$238,"&lt;="&amp;$C353)</f>
        <v>50</v>
      </c>
      <c r="G353" s="468">
        <f>COUNTIFS(Podcasts!$D$244:'Podcasts'!$D$299,"&gt;0",Podcasts!$E$244:'Podcasts'!$E$299,"&lt;="&amp;$C353)</f>
        <v>33</v>
      </c>
      <c r="H353" s="467">
        <v>135</v>
      </c>
      <c r="I353" s="467">
        <f>COUNTIFS(Podcasts!$D$479:'Podcasts'!$D$488,"&gt;0",Podcasts!$E$479:'Podcasts'!$E$488,"&lt;="&amp;$C353)</f>
        <v>3</v>
      </c>
      <c r="J353" s="468">
        <f>COUNTIFS(Podcasts!$D$494:'Podcasts'!$D$518,"&gt;0",Podcasts!$E$494:'Podcasts'!$E$518,"&lt;="&amp;$C353)</f>
        <v>13</v>
      </c>
      <c r="K353" s="469">
        <f>COUNTIFS(Podcasts!$D$524:'Podcasts'!$D$532,"&gt;0",Podcasts!$E$524:'Podcasts'!$E$532,"&lt;="&amp;$C353)</f>
        <v>7</v>
      </c>
      <c r="L353" s="467">
        <f>COUNTIFS(Podcasts!$D$538:'Podcasts'!$D$909,"&gt;0",Podcasts!$E$538:'Podcasts'!$E$909,"&lt;="&amp;$C353)-2</f>
        <v>41</v>
      </c>
      <c r="M353" s="467">
        <f>COUNTIFS(Podcasts!$D$915:'Podcasts'!$D$981,"&gt;0",Podcasts!$E$915:'Podcasts'!$E$981,"&lt;="&amp;$C353)</f>
        <v>18</v>
      </c>
      <c r="N353" s="469">
        <v>8</v>
      </c>
      <c r="O353" s="467">
        <f>COUNTIFS(Podcasts!$D$1001:'Podcasts'!$D$1251,"&gt;0",Podcasts!$E$1001:'Podcasts'!$E$1251,"&lt;="&amp;$C353)</f>
        <v>12</v>
      </c>
      <c r="P353" s="467">
        <f>COUNTIFS(Podcasts!$D$1257:'Podcasts'!$D$1267,"&gt;0",Podcasts!$E$1257:'Podcasts'!$E$1267,"&lt;="&amp;$C353)-1</f>
        <v>3</v>
      </c>
      <c r="Q353" s="469">
        <f>COUNTIFS(Podcasts!$D$1273:'Podcasts'!$D$1283,"&gt;0",Podcasts!$E$1273:'Podcasts'!$E$1283,"&lt;="&amp;$C353)</f>
        <v>1</v>
      </c>
      <c r="R353" s="467"/>
      <c r="T353" s="469"/>
      <c r="U353" s="467"/>
      <c r="V353" s="467"/>
      <c r="W353" s="469"/>
      <c r="X353" s="467"/>
      <c r="Y353" s="467"/>
      <c r="Z353" s="469"/>
      <c r="AA353" s="467"/>
      <c r="AC353" s="425"/>
      <c r="AF353" s="469">
        <f>COUNTIFS(Podcasts!$E$2131:'Podcasts'!$E$2367,"&lt;="&amp;$C353)</f>
        <v>23</v>
      </c>
      <c r="AH353" s="243">
        <f t="shared" si="5"/>
        <v>1886.5666666666666</v>
      </c>
      <c r="AI353" s="243">
        <f>SUMIFS(Podcasts!$F$10:'Podcasts'!$F$107,Podcasts!$D$10:'Podcasts'!$D$107,"&gt;0",Podcasts!$E$10:'Podcasts'!$E$107,"&gt;"&amp;$C352,Podcasts!$E$10:'Podcasts'!$E$107,"&lt;="&amp;$C353)*24*60</f>
        <v>0</v>
      </c>
      <c r="AJ353" s="243">
        <f>SUMIFS(Podcasts!$F$113:'Podcasts'!$F$238,Podcasts!$D$113:'Podcasts'!$D$238,"&gt;0",Podcasts!$E$113:'Podcasts'!$E$238,"&gt;"&amp;$C352,Podcasts!$E$113:'Podcasts'!$E$238,"&lt;="&amp;$C353)*24*60</f>
        <v>11.799999999999999</v>
      </c>
      <c r="AK353" s="243">
        <f>SUMIFS(Podcasts!$F$244:'Podcasts'!$F$299,Podcasts!$D$244:'Podcasts'!$D$299,"&gt;0",Podcasts!$E$244:'Podcasts'!$E$299,"&gt;"&amp;$C352,Podcasts!$E$244:'Podcasts'!$E$299,"&lt;="&amp;$C353)*24*60</f>
        <v>0</v>
      </c>
      <c r="AL353" s="243">
        <f>SUMIFS(Podcasts!$F$305:'Podcasts'!$F$473,Podcasts!$D$305:'Podcasts'!$D$473,"&gt;0",Podcasts!$E$305:'Podcasts'!$E$473,"&gt;"&amp;$C352,Podcasts!$E$305:'Podcasts'!$E$473,"&lt;="&amp;$C353)*24*60</f>
        <v>0</v>
      </c>
      <c r="AM353" s="243">
        <f>SUMIFS(Podcasts!$F$479:'Podcasts'!$F$488,Podcasts!$D$479:'Podcasts'!$D$488,"&gt;0",Podcasts!$E$479:'Podcasts'!$E$488,"&gt;"&amp;$C352,Podcasts!$E$479:'Podcasts'!$E$488,"&lt;="&amp;$C353)*24*60</f>
        <v>0</v>
      </c>
      <c r="AN353" s="243">
        <f>SUMIFS(Podcasts!$F$494:'Podcasts'!$F$518,Podcasts!$D$494:'Podcasts'!$D$518,"&gt;0",Podcasts!$E$494:'Podcasts'!$E$518,"&gt;"&amp;$C352,Podcasts!$E$494:'Podcasts'!$E$518,"&lt;="&amp;$C353)*24*60</f>
        <v>86.083333333333329</v>
      </c>
      <c r="AO353" s="243">
        <f>SUMIFS(Podcasts!$F$524:'Podcasts'!$F$532,Podcasts!$D$524:'Podcasts'!$D$532,"&gt;0",Podcasts!$E$524:'Podcasts'!$E$532,"&gt;"&amp;$C352,Podcasts!$E$524:'Podcasts'!$E$532,"&lt;="&amp;$C353)*24*60</f>
        <v>0</v>
      </c>
      <c r="AP353" s="243">
        <f>SUMIFS(Podcasts!$F$538:'Podcasts'!$F$909,Podcasts!$D$538:'Podcasts'!$D$909,"&gt;0",Podcasts!$E$538:'Podcasts'!$E$909,"&gt;"&amp;$C352,Podcasts!$E$538:'Podcasts'!$E$909,"&lt;="&amp;$C353)*24*60</f>
        <v>592.96666666666658</v>
      </c>
      <c r="AQ353" s="243">
        <f>SUMIFS(Podcasts!$F$915:'Podcasts'!$F$981,Podcasts!$D$915:'Podcasts'!$D$981,"&gt;0",Podcasts!$E$915:'Podcasts'!$E$981,"&gt;"&amp;$C352,Podcasts!$E$915:'Podcasts'!$E$981,"&lt;="&amp;$C353)*24*60</f>
        <v>257.83333333333337</v>
      </c>
      <c r="AR353" s="243">
        <f>SUMIFS(Podcasts!$F$987:'Podcasts'!$F$995,Podcasts!$D$987:'Podcasts'!$D$995,"&gt;0",Podcasts!$E$987:'Podcasts'!$E$995,"&gt;"&amp;$C352,Podcasts!$E$987:'Podcasts'!$E$995,"&lt;="&amp;$C353)*24*60</f>
        <v>0</v>
      </c>
      <c r="AS353" s="243">
        <f>SUMIFS(Podcasts!$F$1001:'Podcasts'!$F$1251,Podcasts!$D$1001:'Podcasts'!$D$1251,"&gt;0",Podcasts!$E$1001:'Podcasts'!$E$1251,"&gt;"&amp;$C352,Podcasts!$E$1001:'Podcasts'!$E$1251,"&lt;="&amp;$C353)*24*60</f>
        <v>671.63333333333321</v>
      </c>
      <c r="AT353" s="243">
        <f>SUMIFS(Podcasts!$F$1257:'Podcasts'!$F$1267,Podcasts!$D$1257:'Podcasts'!$D$1267,"&gt;0",Podcasts!$E$1257:'Podcasts'!$E$1267,"&gt;"&amp;$C352,Podcasts!$E$1257:'Podcasts'!$E$1267,"&lt;="&amp;$C353)*24*60</f>
        <v>201.98333333333335</v>
      </c>
      <c r="AU353" s="243">
        <f>SUMIFS(Podcasts!$F$1273:'Podcasts'!$F$1283,Podcasts!$D$1273:'Podcasts'!$D$1283,"&gt;0",Podcasts!$E$1273:'Podcasts'!$E$1283,"&gt;"&amp;$C352,Podcasts!$E$1273:'Podcasts'!$E$1283,"&lt;="&amp;$C353)*24*60</f>
        <v>64.266666666666666</v>
      </c>
      <c r="AV353" s="243">
        <f>SUMIFS(Podcasts!$F$1289:'Podcasts'!$F$1295,Podcasts!$D$1289:'Podcasts'!$D$1295,"&gt;0",Podcasts!$E$1289:'Podcasts'!$E$1295,"&gt;"&amp;$C352,Podcasts!$E$1289:'Podcasts'!$E$1295,"&lt;="&amp;$C353)*24*60</f>
        <v>0</v>
      </c>
      <c r="AW353" s="243">
        <f>SUMIFS(Podcasts!$F$1301:'Podcasts'!$F$1356,Podcasts!$D$1301:'Podcasts'!$D$1356,"&gt;0",Podcasts!$E$1301:'Podcasts'!$E$1356,"&gt;"&amp;$C352,Podcasts!$E$1301:'Podcasts'!$E$1356,"&lt;="&amp;$C353)*24*60</f>
        <v>0</v>
      </c>
      <c r="AX353" s="243">
        <f>SUMIFS(Podcasts!$F$1362:'Podcasts'!$F$1364,Podcasts!$D$1362:'Podcasts'!$D$1364,"&gt;0",Podcasts!$E$1362:'Podcasts'!$E$1364,"&gt;"&amp;$C352,Podcasts!$E$1362:'Podcasts'!$E$1364,"&lt;="&amp;$C353)*24*60</f>
        <v>0</v>
      </c>
      <c r="AY353" s="243">
        <f>SUMIFS(Podcasts!$F$1370:'Podcasts'!$F$1419,Podcasts!$D$1370:'Podcasts'!$D$1419,"&gt;0",Podcasts!$E$1370:'Podcasts'!$E$1419,"&gt;"&amp;$C352,Podcasts!$E$1370:'Podcasts'!$E$1419,"&lt;="&amp;$C353)*24*60</f>
        <v>0</v>
      </c>
      <c r="AZ353" s="243">
        <f>SUMIFS(Podcasts!$F$1425:'Podcasts'!$F$1446,Podcasts!$D$1425:'Podcasts'!$D$1446,"&gt;0",Podcasts!$E$1425:'Podcasts'!$E$1446,"&gt;"&amp;$C352,Podcasts!$E$1425:'Podcasts'!$E$1446,"&lt;="&amp;$C353)*24*60</f>
        <v>0</v>
      </c>
      <c r="BA353" s="243">
        <f>SUMIFS(Podcasts!$F$1452:'Podcasts'!$F$1574,Podcasts!$D$1452:'Podcasts'!$D$1574,"&gt;0",Podcasts!$E$1452:'Podcasts'!$E$1574,"&gt;"&amp;$C352,Podcasts!$E$1452:'Podcasts'!$E$1574,"&lt;="&amp;$C353)*24*60</f>
        <v>0</v>
      </c>
      <c r="BB353" s="243">
        <f>SUMIFS(Podcasts!$F$1580:'Podcasts'!$F$1705,Podcasts!$D$1580:'Podcasts'!$D$1705,"&gt;0",Podcasts!$E$1580:'Podcasts'!$E$1705,"&gt;"&amp;$C352,Podcasts!$E$1580:'Podcasts'!$E$1705,"&lt;="&amp;$C353)*24*60</f>
        <v>0</v>
      </c>
      <c r="BC353" s="243">
        <f>SUMIFS(Podcasts!$F$1711:'Podcasts'!$F$1833,Podcasts!$D$1711:'Podcasts'!$D$1833,"&gt;0",Podcasts!$E$1711:'Podcasts'!$E$1833,"&gt;"&amp;$C352,Podcasts!$E$1711:'Podcasts'!$E$1833,"&lt;="&amp;$C353)*24*60</f>
        <v>0</v>
      </c>
      <c r="BD353" s="243">
        <f>SUMIFS(Podcasts!$F$1839:'Podcasts'!$F$1855,Podcasts!$D$1839:'Podcasts'!$D$1855,"&gt;0",Podcasts!$E$1839:'Podcasts'!$E$1855,"&gt;"&amp;$C352,Podcasts!$E$1839:'Podcasts'!$E$1855,"&lt;="&amp;$C353)*24*60</f>
        <v>0</v>
      </c>
      <c r="BE353" s="243">
        <f>SUMIFS(Podcasts!$F$1861:'Podcasts'!$F$1994,Podcasts!$D$1861:'Podcasts'!$D$1994,"&gt;0",Podcasts!$E$1861:'Podcasts'!$E$1994,"&gt;"&amp;$C352,Podcasts!$E$1861:'Podcasts'!$E$1994,"&lt;="&amp;$C353)*24*60</f>
        <v>0</v>
      </c>
      <c r="BF353" s="243">
        <f>SUMIFS(Podcasts!$F$2000:'Podcasts'!$F$2057,Podcasts!$D$2000:'Podcasts'!$D$2057,"&gt;0",Podcasts!$E$2000:'Podcasts'!$E$2057,"&gt;"&amp;$C352,Podcasts!$E$2000:'Podcasts'!$E$2057,"&lt;="&amp;$C353)*24*60</f>
        <v>0</v>
      </c>
      <c r="BG353" s="243">
        <f>SUMIFS(Podcasts!$F$2063:'Podcasts'!$F$2071,Podcasts!$D$2063:'Podcasts'!$D$2071,"&gt;0",Podcasts!$E$2063:'Podcasts'!$E$2071,"&gt;"&amp;$C352,Podcasts!$E$2063:'Podcasts'!$E$2071,"&lt;="&amp;$C353)*24*60</f>
        <v>0</v>
      </c>
      <c r="BH353" s="243">
        <f>SUMIFS(Podcasts!$F$2131:'Podcasts'!$F$2367,Podcasts!$D$2131:'Podcasts'!$D$2367,"&gt;0",Podcasts!$E$2131:'Podcasts'!$E$2367,"&gt;"&amp;$C352,Podcasts!$E$2131:'Podcasts'!$E$2367,"&lt;="&amp;$C353)*24*60</f>
        <v>0</v>
      </c>
    </row>
    <row r="354" spans="1:60" outlineLevel="1">
      <c r="A354" s="163">
        <f t="shared" si="7"/>
        <v>371</v>
      </c>
      <c r="B354" s="164">
        <f t="shared" si="8"/>
        <v>13</v>
      </c>
      <c r="C354" s="72">
        <v>43738</v>
      </c>
      <c r="D354" s="165" t="str">
        <f t="shared" si="10"/>
        <v>371 (+13)</v>
      </c>
      <c r="E354" s="106">
        <f>COUNTIFS(Podcasts!$D$10:'Podcasts'!$D$107,"&gt;0",Podcasts!$E$10:'Podcasts'!$E$107,"&lt;="&amp;$C354)-2</f>
        <v>42</v>
      </c>
      <c r="F354" s="467">
        <f>COUNTIFS(Podcasts!$D$113:'Podcasts'!$D$238,"&gt;0",Podcasts!$E$113:'Podcasts'!$E$238,"&lt;="&amp;$C354)</f>
        <v>50</v>
      </c>
      <c r="G354" s="468">
        <f>COUNTIFS(Podcasts!$D$244:'Podcasts'!$D$299,"&gt;0",Podcasts!$E$244:'Podcasts'!$E$299,"&lt;="&amp;$C354)</f>
        <v>34</v>
      </c>
      <c r="H354" s="467">
        <v>135</v>
      </c>
      <c r="I354" s="467">
        <f>COUNTIFS(Podcasts!$D$479:'Podcasts'!$D$488,"&gt;0",Podcasts!$E$479:'Podcasts'!$E$488,"&lt;="&amp;$C354)</f>
        <v>3</v>
      </c>
      <c r="J354" s="468">
        <f>COUNTIFS(Podcasts!$D$494:'Podcasts'!$D$518,"&gt;0",Podcasts!$E$494:'Podcasts'!$E$518,"&lt;="&amp;$C354)</f>
        <v>13</v>
      </c>
      <c r="K354" s="469">
        <f>COUNTIFS(Podcasts!$D$524:'Podcasts'!$D$532,"&gt;0",Podcasts!$E$524:'Podcasts'!$E$532,"&lt;="&amp;$C354)</f>
        <v>7</v>
      </c>
      <c r="L354" s="467">
        <f>COUNTIFS(Podcasts!$D$538:'Podcasts'!$D$909,"&gt;0",Podcasts!$E$538:'Podcasts'!$E$909,"&lt;="&amp;$C354)-2</f>
        <v>45</v>
      </c>
      <c r="M354" s="467">
        <f>COUNTIFS(Podcasts!$D$915:'Podcasts'!$D$981,"&gt;0",Podcasts!$E$915:'Podcasts'!$E$981,"&lt;="&amp;$C354)</f>
        <v>21</v>
      </c>
      <c r="N354" s="469">
        <v>8</v>
      </c>
      <c r="O354" s="467">
        <f>COUNTIFS(Podcasts!$D$1001:'Podcasts'!$D$1251,"&gt;0",Podcasts!$E$1001:'Podcasts'!$E$1251,"&lt;="&amp;$C354)</f>
        <v>15</v>
      </c>
      <c r="P354" s="467">
        <f>COUNTIFS(Podcasts!$D$1257:'Podcasts'!$D$1267,"&gt;0",Podcasts!$E$1257:'Podcasts'!$E$1267,"&lt;="&amp;$C354)-1</f>
        <v>4</v>
      </c>
      <c r="Q354" s="469">
        <f>COUNTIFS(Podcasts!$D$1273:'Podcasts'!$D$1283,"&gt;0",Podcasts!$E$1273:'Podcasts'!$E$1283,"&lt;="&amp;$C354)-3</f>
        <v>2</v>
      </c>
      <c r="R354" s="467"/>
      <c r="T354" s="469"/>
      <c r="U354" s="467"/>
      <c r="V354" s="467"/>
      <c r="W354" s="469"/>
      <c r="X354" s="467"/>
      <c r="Y354" s="467"/>
      <c r="Z354" s="469"/>
      <c r="AA354" s="467"/>
      <c r="AC354" s="425"/>
      <c r="AF354" s="469">
        <f>COUNTIFS(Podcasts!$E$2131:'Podcasts'!$E$2367,"&lt;="&amp;$C354)</f>
        <v>25</v>
      </c>
      <c r="AH354" s="243">
        <f t="shared" si="5"/>
        <v>1711.3166666666664</v>
      </c>
      <c r="AI354" s="243">
        <f>SUMIFS(Podcasts!$F$10:'Podcasts'!$F$107,Podcasts!$D$10:'Podcasts'!$D$107,"&gt;0",Podcasts!$E$10:'Podcasts'!$E$107,"&gt;"&amp;$C353,Podcasts!$E$10:'Podcasts'!$E$107,"&lt;="&amp;$C354)*24*60</f>
        <v>0</v>
      </c>
      <c r="AJ354" s="243">
        <f>SUMIFS(Podcasts!$F$113:'Podcasts'!$F$238,Podcasts!$D$113:'Podcasts'!$D$238,"&gt;0",Podcasts!$E$113:'Podcasts'!$E$238,"&gt;"&amp;$C353,Podcasts!$E$113:'Podcasts'!$E$238,"&lt;="&amp;$C354)*24*60</f>
        <v>0</v>
      </c>
      <c r="AK354" s="243">
        <f>SUMIFS(Podcasts!$F$244:'Podcasts'!$F$299,Podcasts!$D$244:'Podcasts'!$D$299,"&gt;0",Podcasts!$E$244:'Podcasts'!$E$299,"&gt;"&amp;$C353,Podcasts!$E$244:'Podcasts'!$E$299,"&lt;="&amp;$C354)*24*60</f>
        <v>50.45</v>
      </c>
      <c r="AL354" s="243">
        <f>SUMIFS(Podcasts!$F$305:'Podcasts'!$F$473,Podcasts!$D$305:'Podcasts'!$D$473,"&gt;0",Podcasts!$E$305:'Podcasts'!$E$473,"&gt;"&amp;$C353,Podcasts!$E$305:'Podcasts'!$E$473,"&lt;="&amp;$C354)*24*60</f>
        <v>0</v>
      </c>
      <c r="AM354" s="243">
        <f>SUMIFS(Podcasts!$F$479:'Podcasts'!$F$488,Podcasts!$D$479:'Podcasts'!$D$488,"&gt;0",Podcasts!$E$479:'Podcasts'!$E$488,"&gt;"&amp;$C353,Podcasts!$E$479:'Podcasts'!$E$488,"&lt;="&amp;$C354)*24*60</f>
        <v>0</v>
      </c>
      <c r="AN354" s="243">
        <f>SUMIFS(Podcasts!$F$494:'Podcasts'!$F$518,Podcasts!$D$494:'Podcasts'!$D$518,"&gt;0",Podcasts!$E$494:'Podcasts'!$E$518,"&gt;"&amp;$C353,Podcasts!$E$494:'Podcasts'!$E$518,"&lt;="&amp;$C354)*24*60</f>
        <v>0</v>
      </c>
      <c r="AO354" s="243">
        <f>SUMIFS(Podcasts!$F$524:'Podcasts'!$F$532,Podcasts!$D$524:'Podcasts'!$D$532,"&gt;0",Podcasts!$E$524:'Podcasts'!$E$532,"&gt;"&amp;$C353,Podcasts!$E$524:'Podcasts'!$E$532,"&lt;="&amp;$C354)*24*60</f>
        <v>0</v>
      </c>
      <c r="AP354" s="243">
        <f>SUMIFS(Podcasts!$F$538:'Podcasts'!$F$909,Podcasts!$D$538:'Podcasts'!$D$909,"&gt;0",Podcasts!$E$538:'Podcasts'!$E$909,"&gt;"&amp;$C353,Podcasts!$E$538:'Podcasts'!$E$909,"&lt;="&amp;$C354)*24*60</f>
        <v>445.21666666666664</v>
      </c>
      <c r="AQ354" s="243">
        <f>SUMIFS(Podcasts!$F$915:'Podcasts'!$F$981,Podcasts!$D$915:'Podcasts'!$D$981,"&gt;0",Podcasts!$E$915:'Podcasts'!$E$981,"&gt;"&amp;$C353,Podcasts!$E$915:'Podcasts'!$E$981,"&lt;="&amp;$C354)*24*60</f>
        <v>326.16666666666669</v>
      </c>
      <c r="AR354" s="243">
        <f>SUMIFS(Podcasts!$F$987:'Podcasts'!$F$995,Podcasts!$D$987:'Podcasts'!$D$995,"&gt;0",Podcasts!$E$987:'Podcasts'!$E$995,"&gt;"&amp;$C353,Podcasts!$E$987:'Podcasts'!$E$995,"&lt;="&amp;$C354)*24*60</f>
        <v>0</v>
      </c>
      <c r="AS354" s="243">
        <f>SUMIFS(Podcasts!$F$1001:'Podcasts'!$F$1251,Podcasts!$D$1001:'Podcasts'!$D$1251,"&gt;0",Podcasts!$E$1001:'Podcasts'!$E$1251,"&gt;"&amp;$C353,Podcasts!$E$1001:'Podcasts'!$E$1251,"&lt;="&amp;$C354)*24*60</f>
        <v>430.28333333333336</v>
      </c>
      <c r="AT354" s="243">
        <f>SUMIFS(Podcasts!$F$1257:'Podcasts'!$F$1267,Podcasts!$D$1257:'Podcasts'!$D$1267,"&gt;0",Podcasts!$E$1257:'Podcasts'!$E$1267,"&gt;"&amp;$C353,Podcasts!$E$1257:'Podcasts'!$E$1267,"&lt;="&amp;$C354)*24*60</f>
        <v>66.066666666666663</v>
      </c>
      <c r="AU354" s="243">
        <f>SUMIFS(Podcasts!$F$1273:'Podcasts'!$F$1283,Podcasts!$D$1273:'Podcasts'!$D$1283,"&gt;0",Podcasts!$E$1273:'Podcasts'!$E$1283,"&gt;"&amp;$C353,Podcasts!$E$1273:'Podcasts'!$E$1283,"&lt;="&amp;$C354)*24*60</f>
        <v>393.13333333333327</v>
      </c>
      <c r="AV354" s="243">
        <f>SUMIFS(Podcasts!$F$1289:'Podcasts'!$F$1295,Podcasts!$D$1289:'Podcasts'!$D$1295,"&gt;0",Podcasts!$E$1289:'Podcasts'!$E$1295,"&gt;"&amp;$C353,Podcasts!$E$1289:'Podcasts'!$E$1295,"&lt;="&amp;$C354)*24*60</f>
        <v>0</v>
      </c>
      <c r="AW354" s="243">
        <f>SUMIFS(Podcasts!$F$1301:'Podcasts'!$F$1356,Podcasts!$D$1301:'Podcasts'!$D$1356,"&gt;0",Podcasts!$E$1301:'Podcasts'!$E$1356,"&gt;"&amp;$C353,Podcasts!$E$1301:'Podcasts'!$E$1356,"&lt;="&amp;$C354)*24*60</f>
        <v>0</v>
      </c>
      <c r="AX354" s="243">
        <f>SUMIFS(Podcasts!$F$1362:'Podcasts'!$F$1364,Podcasts!$D$1362:'Podcasts'!$D$1364,"&gt;0",Podcasts!$E$1362:'Podcasts'!$E$1364,"&gt;"&amp;$C353,Podcasts!$E$1362:'Podcasts'!$E$1364,"&lt;="&amp;$C354)*24*60</f>
        <v>0</v>
      </c>
      <c r="AY354" s="243">
        <f>SUMIFS(Podcasts!$F$1370:'Podcasts'!$F$1419,Podcasts!$D$1370:'Podcasts'!$D$1419,"&gt;0",Podcasts!$E$1370:'Podcasts'!$E$1419,"&gt;"&amp;$C353,Podcasts!$E$1370:'Podcasts'!$E$1419,"&lt;="&amp;$C354)*24*60</f>
        <v>0</v>
      </c>
      <c r="AZ354" s="243">
        <f>SUMIFS(Podcasts!$F$1425:'Podcasts'!$F$1446,Podcasts!$D$1425:'Podcasts'!$D$1446,"&gt;0",Podcasts!$E$1425:'Podcasts'!$E$1446,"&gt;"&amp;$C353,Podcasts!$E$1425:'Podcasts'!$E$1446,"&lt;="&amp;$C354)*24*60</f>
        <v>0</v>
      </c>
      <c r="BA354" s="243">
        <f>SUMIFS(Podcasts!$F$1452:'Podcasts'!$F$1574,Podcasts!$D$1452:'Podcasts'!$D$1574,"&gt;0",Podcasts!$E$1452:'Podcasts'!$E$1574,"&gt;"&amp;$C353,Podcasts!$E$1452:'Podcasts'!$E$1574,"&lt;="&amp;$C354)*24*60</f>
        <v>0</v>
      </c>
      <c r="BB354" s="243">
        <f>SUMIFS(Podcasts!$F$1580:'Podcasts'!$F$1705,Podcasts!$D$1580:'Podcasts'!$D$1705,"&gt;0",Podcasts!$E$1580:'Podcasts'!$E$1705,"&gt;"&amp;$C353,Podcasts!$E$1580:'Podcasts'!$E$1705,"&lt;="&amp;$C354)*24*60</f>
        <v>0</v>
      </c>
      <c r="BC354" s="243">
        <f>SUMIFS(Podcasts!$F$1711:'Podcasts'!$F$1833,Podcasts!$D$1711:'Podcasts'!$D$1833,"&gt;0",Podcasts!$E$1711:'Podcasts'!$E$1833,"&gt;"&amp;$C353,Podcasts!$E$1711:'Podcasts'!$E$1833,"&lt;="&amp;$C354)*24*60</f>
        <v>0</v>
      </c>
      <c r="BD354" s="243">
        <f>SUMIFS(Podcasts!$F$1839:'Podcasts'!$F$1855,Podcasts!$D$1839:'Podcasts'!$D$1855,"&gt;0",Podcasts!$E$1839:'Podcasts'!$E$1855,"&gt;"&amp;$C353,Podcasts!$E$1839:'Podcasts'!$E$1855,"&lt;="&amp;$C354)*24*60</f>
        <v>0</v>
      </c>
      <c r="BE354" s="243">
        <f>SUMIFS(Podcasts!$F$1861:'Podcasts'!$F$1994,Podcasts!$D$1861:'Podcasts'!$D$1994,"&gt;0",Podcasts!$E$1861:'Podcasts'!$E$1994,"&gt;"&amp;$C353,Podcasts!$E$1861:'Podcasts'!$E$1994,"&lt;="&amp;$C354)*24*60</f>
        <v>0</v>
      </c>
      <c r="BF354" s="243">
        <f>SUMIFS(Podcasts!$F$2000:'Podcasts'!$F$2057,Podcasts!$D$2000:'Podcasts'!$D$2057,"&gt;0",Podcasts!$E$2000:'Podcasts'!$E$2057,"&gt;"&amp;$C353,Podcasts!$E$2000:'Podcasts'!$E$2057,"&lt;="&amp;$C354)*24*60</f>
        <v>0</v>
      </c>
      <c r="BG354" s="243">
        <f>SUMIFS(Podcasts!$F$2063:'Podcasts'!$F$2071,Podcasts!$D$2063:'Podcasts'!$D$2071,"&gt;0",Podcasts!$E$2063:'Podcasts'!$E$2071,"&gt;"&amp;$C353,Podcasts!$E$2063:'Podcasts'!$E$2071,"&lt;="&amp;$C354)*24*60</f>
        <v>0</v>
      </c>
      <c r="BH354" s="243">
        <f>SUMIFS(Podcasts!$F$2131:'Podcasts'!$F$2367,Podcasts!$D$2131:'Podcasts'!$D$2367,"&gt;0",Podcasts!$E$2131:'Podcasts'!$E$2367,"&gt;"&amp;$C353,Podcasts!$E$2131:'Podcasts'!$E$2367,"&lt;="&amp;$C354)*24*60</f>
        <v>0</v>
      </c>
    </row>
    <row r="355" spans="1:60" outlineLevel="1">
      <c r="A355" s="163">
        <f t="shared" si="7"/>
        <v>388</v>
      </c>
      <c r="B355" s="164">
        <f t="shared" si="8"/>
        <v>17</v>
      </c>
      <c r="C355" s="72">
        <v>43830</v>
      </c>
      <c r="D355" s="166" t="str">
        <f t="shared" si="10"/>
        <v>388 (+17)</v>
      </c>
      <c r="E355" s="106">
        <f>COUNTIFS(Podcasts!$D$10:'Podcasts'!$D$107,"&gt;0",Podcasts!$E$10:'Podcasts'!$E$107,"&lt;="&amp;$C355)-2</f>
        <v>42</v>
      </c>
      <c r="F355" s="467">
        <f>COUNTIFS(Podcasts!$D$113:'Podcasts'!$D$238,"&gt;0",Podcasts!$E$113:'Podcasts'!$E$238,"&lt;="&amp;$C355)</f>
        <v>52</v>
      </c>
      <c r="G355" s="468">
        <f>COUNTIFS(Podcasts!$D$244:'Podcasts'!$D$299,"&gt;0",Podcasts!$E$244:'Podcasts'!$E$299,"&lt;="&amp;$C355)</f>
        <v>34</v>
      </c>
      <c r="H355" s="467">
        <v>135</v>
      </c>
      <c r="I355" s="467">
        <f>COUNTIFS(Podcasts!$D$479:'Podcasts'!$D$488,"&gt;0",Podcasts!$E$479:'Podcasts'!$E$488,"&lt;="&amp;$C355)</f>
        <v>3</v>
      </c>
      <c r="J355" s="468">
        <f>COUNTIFS(Podcasts!$D$494:'Podcasts'!$D$518,"&gt;0",Podcasts!$E$494:'Podcasts'!$E$518,"&lt;="&amp;$C355)</f>
        <v>14</v>
      </c>
      <c r="K355" s="469">
        <f>COUNTIFS(Podcasts!$D$524:'Podcasts'!$D$532,"&gt;0",Podcasts!$E$524:'Podcasts'!$E$532,"&lt;="&amp;$C355)</f>
        <v>7</v>
      </c>
      <c r="L355" s="467">
        <f>COUNTIFS(Podcasts!$D$538:'Podcasts'!$D$909,"&gt;0",Podcasts!$E$538:'Podcasts'!$E$909,"&lt;="&amp;$C355)-3</f>
        <v>50</v>
      </c>
      <c r="M355" s="467">
        <f>COUNTIFS(Podcasts!$D$915:'Podcasts'!$D$981,"&gt;0",Podcasts!$E$915:'Podcasts'!$E$981,"&lt;="&amp;$C355)</f>
        <v>25</v>
      </c>
      <c r="N355" s="469">
        <v>8</v>
      </c>
      <c r="O355" s="467">
        <f>COUNTIFS(Podcasts!$D$1001:'Podcasts'!$D$1251,"&gt;0",Podcasts!$E$1001:'Podcasts'!$E$1251,"&lt;="&amp;$C355)</f>
        <v>19</v>
      </c>
      <c r="P355" s="467">
        <f>COUNTIFS(Podcasts!$D$1257:'Podcasts'!$D$1267,"&gt;0",Podcasts!$E$1257:'Podcasts'!$E$1267,"&lt;="&amp;$C355)-1</f>
        <v>4</v>
      </c>
      <c r="Q355" s="469">
        <f>COUNTIFS(Podcasts!$D$1273:'Podcasts'!$D$1283,"&gt;0",Podcasts!$E$1273:'Podcasts'!$E$1283,"&lt;="&amp;$C355)-3</f>
        <v>3</v>
      </c>
      <c r="R355" s="467">
        <f>COUNTIFS(Podcasts!$D$1289:'Podcasts'!$D$1295,"&gt;0",Podcasts!$E$1289:'Podcasts'!$E$1295,"&lt;="&amp;$C355)</f>
        <v>0</v>
      </c>
      <c r="S355" s="467"/>
      <c r="T355" s="469"/>
      <c r="U355" s="467"/>
      <c r="V355" s="474"/>
      <c r="W355" s="475"/>
      <c r="X355" s="474"/>
      <c r="Y355" s="474"/>
      <c r="Z355" s="475"/>
      <c r="AA355" s="474"/>
      <c r="AC355" s="475"/>
      <c r="AF355" s="475">
        <f>COUNTIFS(Podcasts!$E$2131:'Podcasts'!$E$2367,"&lt;="&amp;$C355)</f>
        <v>25</v>
      </c>
      <c r="AH355" s="243">
        <f t="shared" si="5"/>
        <v>1743.6</v>
      </c>
      <c r="AI355" s="243">
        <f>SUMIFS(Podcasts!$F$10:'Podcasts'!$F$107,Podcasts!$D$10:'Podcasts'!$D$107,"&gt;0",Podcasts!$E$10:'Podcasts'!$E$107,"&gt;"&amp;$C354,Podcasts!$E$10:'Podcasts'!$E$107,"&lt;="&amp;$C355)*24*60</f>
        <v>0</v>
      </c>
      <c r="AJ355" s="243">
        <f>SUMIFS(Podcasts!$F$113:'Podcasts'!$F$238,Podcasts!$D$113:'Podcasts'!$D$238,"&gt;0",Podcasts!$E$113:'Podcasts'!$E$238,"&gt;"&amp;$C354,Podcasts!$E$113:'Podcasts'!$E$238,"&lt;="&amp;$C355)*24*60</f>
        <v>13.266666666666666</v>
      </c>
      <c r="AK355" s="243">
        <f>SUMIFS(Podcasts!$F$244:'Podcasts'!$F$299,Podcasts!$D$244:'Podcasts'!$D$299,"&gt;0",Podcasts!$E$244:'Podcasts'!$E$299,"&gt;"&amp;$C354,Podcasts!$E$244:'Podcasts'!$E$299,"&lt;="&amp;$C355)*24*60</f>
        <v>0</v>
      </c>
      <c r="AL355" s="243">
        <f>SUMIFS(Podcasts!$F$305:'Podcasts'!$F$473,Podcasts!$D$305:'Podcasts'!$D$473,"&gt;0",Podcasts!$E$305:'Podcasts'!$E$473,"&gt;"&amp;$C354,Podcasts!$E$305:'Podcasts'!$E$473,"&lt;="&amp;$C355)*24*60</f>
        <v>0</v>
      </c>
      <c r="AM355" s="243">
        <f>SUMIFS(Podcasts!$F$479:'Podcasts'!$F$488,Podcasts!$D$479:'Podcasts'!$D$488,"&gt;0",Podcasts!$E$479:'Podcasts'!$E$488,"&gt;"&amp;$C354,Podcasts!$E$479:'Podcasts'!$E$488,"&lt;="&amp;$C355)*24*60</f>
        <v>0</v>
      </c>
      <c r="AN355" s="243">
        <f>SUMIFS(Podcasts!$F$494:'Podcasts'!$F$518,Podcasts!$D$494:'Podcasts'!$D$518,"&gt;0",Podcasts!$E$494:'Podcasts'!$E$518,"&gt;"&amp;$C354,Podcasts!$E$494:'Podcasts'!$E$518,"&lt;="&amp;$C355)*24*60</f>
        <v>63.566666666666663</v>
      </c>
      <c r="AO355" s="243">
        <f>SUMIFS(Podcasts!$F$524:'Podcasts'!$F$532,Podcasts!$D$524:'Podcasts'!$D$532,"&gt;0",Podcasts!$E$524:'Podcasts'!$E$532,"&gt;"&amp;$C354,Podcasts!$E$524:'Podcasts'!$E$532,"&lt;="&amp;$C355)*24*60</f>
        <v>0</v>
      </c>
      <c r="AP355" s="243">
        <f>SUMIFS(Podcasts!$F$538:'Podcasts'!$F$909,Podcasts!$D$538:'Podcasts'!$D$909,"&gt;0",Podcasts!$E$538:'Podcasts'!$E$909,"&gt;"&amp;$C354,Podcasts!$E$538:'Podcasts'!$E$909,"&lt;="&amp;$C355)*24*60</f>
        <v>658.71666666666658</v>
      </c>
      <c r="AQ355" s="243">
        <f>SUMIFS(Podcasts!$F$915:'Podcasts'!$F$981,Podcasts!$D$915:'Podcasts'!$D$981,"&gt;0",Podcasts!$E$915:'Podcasts'!$E$981,"&gt;"&amp;$C354,Podcasts!$E$915:'Podcasts'!$E$981,"&lt;="&amp;$C355)*24*60</f>
        <v>388.2166666666667</v>
      </c>
      <c r="AR355" s="243">
        <f>SUMIFS(Podcasts!$F$987:'Podcasts'!$F$995,Podcasts!$D$987:'Podcasts'!$D$995,"&gt;0",Podcasts!$E$987:'Podcasts'!$E$995,"&gt;"&amp;$C354,Podcasts!$E$987:'Podcasts'!$E$995,"&lt;="&amp;$C355)*24*60</f>
        <v>0</v>
      </c>
      <c r="AS355" s="243">
        <f>SUMIFS(Podcasts!$F$1001:'Podcasts'!$F$1251,Podcasts!$D$1001:'Podcasts'!$D$1251,"&gt;0",Podcasts!$E$1001:'Podcasts'!$E$1251,"&gt;"&amp;$C354,Podcasts!$E$1001:'Podcasts'!$E$1251,"&lt;="&amp;$C355)*24*60</f>
        <v>556.7833333333333</v>
      </c>
      <c r="AT355" s="243">
        <f>SUMIFS(Podcasts!$F$1257:'Podcasts'!$F$1267,Podcasts!$D$1257:'Podcasts'!$D$1267,"&gt;0",Podcasts!$E$1257:'Podcasts'!$E$1267,"&gt;"&amp;$C354,Podcasts!$E$1257:'Podcasts'!$E$1267,"&lt;="&amp;$C355)*24*60</f>
        <v>0</v>
      </c>
      <c r="AU355" s="243">
        <f>SUMIFS(Podcasts!$F$1273:'Podcasts'!$F$1283,Podcasts!$D$1273:'Podcasts'!$D$1283,"&gt;0",Podcasts!$E$1273:'Podcasts'!$E$1283,"&gt;"&amp;$C354,Podcasts!$E$1273:'Podcasts'!$E$1283,"&lt;="&amp;$C355)*24*60</f>
        <v>63.05</v>
      </c>
      <c r="AV355" s="243">
        <f>SUMIFS(Podcasts!$F$1289:'Podcasts'!$F$1295,Podcasts!$D$1289:'Podcasts'!$D$1295,"&gt;0",Podcasts!$E$1289:'Podcasts'!$E$1295,"&gt;"&amp;$C354,Podcasts!$E$1289:'Podcasts'!$E$1295,"&lt;="&amp;$C355)*24*60</f>
        <v>0</v>
      </c>
      <c r="AW355" s="243">
        <f>SUMIFS(Podcasts!$F$1301:'Podcasts'!$F$1356,Podcasts!$D$1301:'Podcasts'!$D$1356,"&gt;0",Podcasts!$E$1301:'Podcasts'!$E$1356,"&gt;"&amp;$C354,Podcasts!$E$1301:'Podcasts'!$E$1356,"&lt;="&amp;$C355)*24*60</f>
        <v>0</v>
      </c>
      <c r="AX355" s="243">
        <f>SUMIFS(Podcasts!$F$1362:'Podcasts'!$F$1364,Podcasts!$D$1362:'Podcasts'!$D$1364,"&gt;0",Podcasts!$E$1362:'Podcasts'!$E$1364,"&gt;"&amp;$C354,Podcasts!$E$1362:'Podcasts'!$E$1364,"&lt;="&amp;$C355)*24*60</f>
        <v>0</v>
      </c>
      <c r="AY355" s="243">
        <f>SUMIFS(Podcasts!$F$1370:'Podcasts'!$F$1419,Podcasts!$D$1370:'Podcasts'!$D$1419,"&gt;0",Podcasts!$E$1370:'Podcasts'!$E$1419,"&gt;"&amp;$C354,Podcasts!$E$1370:'Podcasts'!$E$1419,"&lt;="&amp;$C355)*24*60</f>
        <v>0</v>
      </c>
      <c r="AZ355" s="243">
        <f>SUMIFS(Podcasts!$F$1425:'Podcasts'!$F$1446,Podcasts!$D$1425:'Podcasts'!$D$1446,"&gt;0",Podcasts!$E$1425:'Podcasts'!$E$1446,"&gt;"&amp;$C354,Podcasts!$E$1425:'Podcasts'!$E$1446,"&lt;="&amp;$C355)*24*60</f>
        <v>0</v>
      </c>
      <c r="BA355" s="243">
        <f>SUMIFS(Podcasts!$F$1452:'Podcasts'!$F$1574,Podcasts!$D$1452:'Podcasts'!$D$1574,"&gt;0",Podcasts!$E$1452:'Podcasts'!$E$1574,"&gt;"&amp;$C354,Podcasts!$E$1452:'Podcasts'!$E$1574,"&lt;="&amp;$C355)*24*60</f>
        <v>0</v>
      </c>
      <c r="BB355" s="243">
        <f>SUMIFS(Podcasts!$F$1580:'Podcasts'!$F$1705,Podcasts!$D$1580:'Podcasts'!$D$1705,"&gt;0",Podcasts!$E$1580:'Podcasts'!$E$1705,"&gt;"&amp;$C354,Podcasts!$E$1580:'Podcasts'!$E$1705,"&lt;="&amp;$C355)*24*60</f>
        <v>0</v>
      </c>
      <c r="BC355" s="243">
        <f>SUMIFS(Podcasts!$F$1711:'Podcasts'!$F$1833,Podcasts!$D$1711:'Podcasts'!$D$1833,"&gt;0",Podcasts!$E$1711:'Podcasts'!$E$1833,"&gt;"&amp;$C354,Podcasts!$E$1711:'Podcasts'!$E$1833,"&lt;="&amp;$C355)*24*60</f>
        <v>0</v>
      </c>
      <c r="BD355" s="243">
        <f>SUMIFS(Podcasts!$F$1839:'Podcasts'!$F$1855,Podcasts!$D$1839:'Podcasts'!$D$1855,"&gt;0",Podcasts!$E$1839:'Podcasts'!$E$1855,"&gt;"&amp;$C354,Podcasts!$E$1839:'Podcasts'!$E$1855,"&lt;="&amp;$C355)*24*60</f>
        <v>0</v>
      </c>
      <c r="BE355" s="243">
        <f>SUMIFS(Podcasts!$F$1861:'Podcasts'!$F$1994,Podcasts!$D$1861:'Podcasts'!$D$1994,"&gt;0",Podcasts!$E$1861:'Podcasts'!$E$1994,"&gt;"&amp;$C354,Podcasts!$E$1861:'Podcasts'!$E$1994,"&lt;="&amp;$C355)*24*60</f>
        <v>0</v>
      </c>
      <c r="BF355" s="243">
        <f>SUMIFS(Podcasts!$F$2000:'Podcasts'!$F$2057,Podcasts!$D$2000:'Podcasts'!$D$2057,"&gt;0",Podcasts!$E$2000:'Podcasts'!$E$2057,"&gt;"&amp;$C354,Podcasts!$E$2000:'Podcasts'!$E$2057,"&lt;="&amp;$C355)*24*60</f>
        <v>0</v>
      </c>
      <c r="BG355" s="243">
        <f>SUMIFS(Podcasts!$F$2063:'Podcasts'!$F$2071,Podcasts!$D$2063:'Podcasts'!$D$2071,"&gt;0",Podcasts!$E$2063:'Podcasts'!$E$2071,"&gt;"&amp;$C354,Podcasts!$E$2063:'Podcasts'!$E$2071,"&lt;="&amp;$C355)*24*60</f>
        <v>0</v>
      </c>
      <c r="BH355" s="243">
        <f>SUMIFS(Podcasts!$F$2131:'Podcasts'!$F$2367,Podcasts!$D$2131:'Podcasts'!$D$2367,"&gt;0",Podcasts!$E$2131:'Podcasts'!$E$2367,"&gt;"&amp;$C354,Podcasts!$E$2131:'Podcasts'!$E$2367,"&lt;="&amp;$C355)*24*60</f>
        <v>0</v>
      </c>
    </row>
    <row r="356" spans="1:60" outlineLevel="1">
      <c r="A356" s="163">
        <f t="shared" si="7"/>
        <v>405</v>
      </c>
      <c r="B356" s="164">
        <f t="shared" si="8"/>
        <v>17</v>
      </c>
      <c r="C356" s="73">
        <v>43921</v>
      </c>
      <c r="D356" s="167" t="str">
        <f t="shared" si="10"/>
        <v>405 (+17)</v>
      </c>
      <c r="E356" s="470">
        <f>COUNTIFS(Podcasts!$D$10:'Podcasts'!$D$107,"&gt;0",Podcasts!$E$10:'Podcasts'!$E$107,"&lt;="&amp;$C356)-2</f>
        <v>42</v>
      </c>
      <c r="F356" s="471">
        <f>COUNTIFS(Podcasts!$D$113:'Podcasts'!$D$238,"&gt;0",Podcasts!$E$113:'Podcasts'!$E$238,"&lt;="&amp;$C356)</f>
        <v>54</v>
      </c>
      <c r="G356" s="472">
        <f>COUNTIFS(Podcasts!$D$244:'Podcasts'!$D$299,"&gt;0",Podcasts!$E$244:'Podcasts'!$E$299,"&lt;="&amp;$C356)</f>
        <v>35</v>
      </c>
      <c r="H356" s="471">
        <v>135</v>
      </c>
      <c r="I356" s="471">
        <f>COUNTIFS(Podcasts!$D$479:'Podcasts'!$D$488,"&gt;0",Podcasts!$E$479:'Podcasts'!$E$488,"&lt;="&amp;$C356)</f>
        <v>3</v>
      </c>
      <c r="J356" s="472">
        <f>COUNTIFS(Podcasts!$D$494:'Podcasts'!$D$518,"&gt;0",Podcasts!$E$494:'Podcasts'!$E$518,"&lt;="&amp;$C356)</f>
        <v>15</v>
      </c>
      <c r="K356" s="473">
        <f>COUNTIFS(Podcasts!$D$524:'Podcasts'!$D$532,"&gt;0",Podcasts!$E$524:'Podcasts'!$E$532,"&lt;="&amp;$C356)</f>
        <v>7</v>
      </c>
      <c r="L356" s="471">
        <f>COUNTIFS(Podcasts!$D$538:'Podcasts'!$D$909,"&gt;0",Podcasts!$E$538:'Podcasts'!$E$909,"&lt;="&amp;$C356)-3</f>
        <v>55</v>
      </c>
      <c r="M356" s="471">
        <f>COUNTIFS(Podcasts!$D$915:'Podcasts'!$D$981,"&gt;0",Podcasts!$E$915:'Podcasts'!$E$981,"&lt;="&amp;$C356)</f>
        <v>28</v>
      </c>
      <c r="N356" s="473">
        <v>8</v>
      </c>
      <c r="O356" s="471">
        <f>COUNTIFS(Podcasts!$D$1001:'Podcasts'!$D$1251,"&gt;0",Podcasts!$E$1001:'Podcasts'!$E$1251,"&lt;="&amp;$C356)</f>
        <v>22</v>
      </c>
      <c r="P356" s="471">
        <f>COUNTIFS(Podcasts!$D$1257:'Podcasts'!$D$1267,"&gt;0",Podcasts!$E$1257:'Podcasts'!$E$1267,"&lt;="&amp;$C356)-1</f>
        <v>4</v>
      </c>
      <c r="Q356" s="473">
        <f>COUNTIFS(Podcasts!$D$1273:'Podcasts'!$D$1283,"&gt;0",Podcasts!$E$1273:'Podcasts'!$E$1283,"&lt;="&amp;$C356)-3</f>
        <v>4</v>
      </c>
      <c r="R356" s="471">
        <f>COUNTIFS(Podcasts!$D$1289:'Podcasts'!$D$1295,"&gt;0",Podcasts!$E$1289:'Podcasts'!$E$1295,"&lt;="&amp;$C356)</f>
        <v>1</v>
      </c>
      <c r="S356" s="472">
        <f>COUNTIFS(Podcasts!$D$1301:'Podcasts'!$D$1356,"&gt;0",Podcasts!$E$1301:'Podcasts'!$E$1356,"&lt;="&amp;$C356)</f>
        <v>0</v>
      </c>
      <c r="T356" s="473"/>
      <c r="U356" s="471"/>
      <c r="V356" s="467"/>
      <c r="W356" s="469"/>
      <c r="X356" s="467"/>
      <c r="Y356" s="467"/>
      <c r="Z356" s="469"/>
      <c r="AA356" s="471"/>
      <c r="AB356" s="471"/>
      <c r="AC356" s="473"/>
      <c r="AD356" s="471"/>
      <c r="AE356" s="471"/>
      <c r="AF356" s="473">
        <f>COUNTIFS(Podcasts!$E$2131:'Podcasts'!$E$2367,"&lt;="&amp;$C356)</f>
        <v>26</v>
      </c>
      <c r="AH356" s="243">
        <f t="shared" si="5"/>
        <v>1756.8500000000001</v>
      </c>
      <c r="AI356" s="243">
        <f>SUMIFS(Podcasts!$F$10:'Podcasts'!$F$107,Podcasts!$D$10:'Podcasts'!$D$107,"&gt;0",Podcasts!$E$10:'Podcasts'!$E$107,"&gt;"&amp;$C355,Podcasts!$E$10:'Podcasts'!$E$107,"&lt;="&amp;$C356)*24*60</f>
        <v>0</v>
      </c>
      <c r="AJ356" s="243">
        <f>SUMIFS(Podcasts!$F$113:'Podcasts'!$F$238,Podcasts!$D$113:'Podcasts'!$D$238,"&gt;0",Podcasts!$E$113:'Podcasts'!$E$238,"&gt;"&amp;$C355,Podcasts!$E$113:'Podcasts'!$E$238,"&lt;="&amp;$C356)*24*60</f>
        <v>8.2499999999999982</v>
      </c>
      <c r="AK356" s="243">
        <f>SUMIFS(Podcasts!$F$244:'Podcasts'!$F$299,Podcasts!$D$244:'Podcasts'!$D$299,"&gt;0",Podcasts!$E$244:'Podcasts'!$E$299,"&gt;"&amp;$C355,Podcasts!$E$244:'Podcasts'!$E$299,"&lt;="&amp;$C356)*24*60</f>
        <v>34.450000000000003</v>
      </c>
      <c r="AL356" s="243">
        <f>SUMIFS(Podcasts!$F$305:'Podcasts'!$F$473,Podcasts!$D$305:'Podcasts'!$D$473,"&gt;0",Podcasts!$E$305:'Podcasts'!$E$473,"&gt;"&amp;$C355,Podcasts!$E$305:'Podcasts'!$E$473,"&lt;="&amp;$C356)*24*60</f>
        <v>0</v>
      </c>
      <c r="AM356" s="243">
        <f>SUMIFS(Podcasts!$F$479:'Podcasts'!$F$488,Podcasts!$D$479:'Podcasts'!$D$488,"&gt;0",Podcasts!$E$479:'Podcasts'!$E$488,"&gt;"&amp;$C355,Podcasts!$E$479:'Podcasts'!$E$488,"&lt;="&amp;$C356)*24*60</f>
        <v>0</v>
      </c>
      <c r="AN356" s="243">
        <f>SUMIFS(Podcasts!$F$494:'Podcasts'!$F$518,Podcasts!$D$494:'Podcasts'!$D$518,"&gt;0",Podcasts!$E$494:'Podcasts'!$E$518,"&gt;"&amp;$C355,Podcasts!$E$494:'Podcasts'!$E$518,"&lt;="&amp;$C356)*24*60</f>
        <v>96.633333333333326</v>
      </c>
      <c r="AO356" s="243">
        <f>SUMIFS(Podcasts!$F$524:'Podcasts'!$F$532,Podcasts!$D$524:'Podcasts'!$D$532,"&gt;0",Podcasts!$E$524:'Podcasts'!$E$532,"&gt;"&amp;$C355,Podcasts!$E$524:'Podcasts'!$E$532,"&lt;="&amp;$C356)*24*60</f>
        <v>0</v>
      </c>
      <c r="AP356" s="243">
        <f>SUMIFS(Podcasts!$F$538:'Podcasts'!$F$909,Podcasts!$D$538:'Podcasts'!$D$909,"&gt;0",Podcasts!$E$538:'Podcasts'!$E$909,"&gt;"&amp;$C355,Podcasts!$E$538:'Podcasts'!$E$909,"&lt;="&amp;$C356)*24*60</f>
        <v>544.9</v>
      </c>
      <c r="AQ356" s="243">
        <f>SUMIFS(Podcasts!$F$915:'Podcasts'!$F$981,Podcasts!$D$915:'Podcasts'!$D$981,"&gt;0",Podcasts!$E$915:'Podcasts'!$E$981,"&gt;"&amp;$C355,Podcasts!$E$915:'Podcasts'!$E$981,"&lt;="&amp;$C356)*24*60</f>
        <v>339.4</v>
      </c>
      <c r="AR356" s="243">
        <f>SUMIFS(Podcasts!$F$987:'Podcasts'!$F$995,Podcasts!$D$987:'Podcasts'!$D$995,"&gt;0",Podcasts!$E$987:'Podcasts'!$E$995,"&gt;"&amp;$C355,Podcasts!$E$987:'Podcasts'!$E$995,"&lt;="&amp;$C356)*24*60</f>
        <v>0</v>
      </c>
      <c r="AS356" s="243">
        <f>SUMIFS(Podcasts!$F$1001:'Podcasts'!$F$1251,Podcasts!$D$1001:'Podcasts'!$D$1251,"&gt;0",Podcasts!$E$1001:'Podcasts'!$E$1251,"&gt;"&amp;$C355,Podcasts!$E$1001:'Podcasts'!$E$1251,"&lt;="&amp;$C356)*24*60</f>
        <v>517.95000000000005</v>
      </c>
      <c r="AT356" s="243">
        <f>SUMIFS(Podcasts!$F$1257:'Podcasts'!$F$1267,Podcasts!$D$1257:'Podcasts'!$D$1267,"&gt;0",Podcasts!$E$1257:'Podcasts'!$E$1267,"&gt;"&amp;$C355,Podcasts!$E$1257:'Podcasts'!$E$1267,"&lt;="&amp;$C356)*24*60</f>
        <v>0</v>
      </c>
      <c r="AU356" s="243">
        <f>SUMIFS(Podcasts!$F$1273:'Podcasts'!$F$1283,Podcasts!$D$1273:'Podcasts'!$D$1283,"&gt;0",Podcasts!$E$1273:'Podcasts'!$E$1283,"&gt;"&amp;$C355,Podcasts!$E$1273:'Podcasts'!$E$1283,"&lt;="&amp;$C356)*24*60</f>
        <v>132.73333333333332</v>
      </c>
      <c r="AV356" s="243">
        <f>SUMIFS(Podcasts!$F$1289:'Podcasts'!$F$1295,Podcasts!$D$1289:'Podcasts'!$D$1295,"&gt;0",Podcasts!$E$1289:'Podcasts'!$E$1295,"&gt;"&amp;$C355,Podcasts!$E$1289:'Podcasts'!$E$1295,"&lt;="&amp;$C356)*24*60</f>
        <v>82.533333333333331</v>
      </c>
      <c r="AW356" s="243">
        <f>SUMIFS(Podcasts!$F$1301:'Podcasts'!$F$1356,Podcasts!$D$1301:'Podcasts'!$D$1356,"&gt;0",Podcasts!$E$1301:'Podcasts'!$E$1356,"&gt;"&amp;$C355,Podcasts!$E$1301:'Podcasts'!$E$1356,"&lt;="&amp;$C356)*24*60</f>
        <v>0</v>
      </c>
      <c r="AX356" s="243">
        <f>SUMIFS(Podcasts!$F$1362:'Podcasts'!$F$1364,Podcasts!$D$1362:'Podcasts'!$D$1364,"&gt;0",Podcasts!$E$1362:'Podcasts'!$E$1364,"&gt;"&amp;$C355,Podcasts!$E$1362:'Podcasts'!$E$1364,"&lt;="&amp;$C356)*24*60</f>
        <v>0</v>
      </c>
      <c r="AY356" s="243">
        <f>SUMIFS(Podcasts!$F$1370:'Podcasts'!$F$1419,Podcasts!$D$1370:'Podcasts'!$D$1419,"&gt;0",Podcasts!$E$1370:'Podcasts'!$E$1419,"&gt;"&amp;$C355,Podcasts!$E$1370:'Podcasts'!$E$1419,"&lt;="&amp;$C356)*24*60</f>
        <v>0</v>
      </c>
      <c r="AZ356" s="243">
        <f>SUMIFS(Podcasts!$F$1425:'Podcasts'!$F$1446,Podcasts!$D$1425:'Podcasts'!$D$1446,"&gt;0",Podcasts!$E$1425:'Podcasts'!$E$1446,"&gt;"&amp;$C355,Podcasts!$E$1425:'Podcasts'!$E$1446,"&lt;="&amp;$C356)*24*60</f>
        <v>0</v>
      </c>
      <c r="BA356" s="243">
        <f>SUMIFS(Podcasts!$F$1452:'Podcasts'!$F$1574,Podcasts!$D$1452:'Podcasts'!$D$1574,"&gt;0",Podcasts!$E$1452:'Podcasts'!$E$1574,"&gt;"&amp;$C355,Podcasts!$E$1452:'Podcasts'!$E$1574,"&lt;="&amp;$C356)*24*60</f>
        <v>0</v>
      </c>
      <c r="BB356" s="243">
        <f>SUMIFS(Podcasts!$F$1580:'Podcasts'!$F$1705,Podcasts!$D$1580:'Podcasts'!$D$1705,"&gt;0",Podcasts!$E$1580:'Podcasts'!$E$1705,"&gt;"&amp;$C355,Podcasts!$E$1580:'Podcasts'!$E$1705,"&lt;="&amp;$C356)*24*60</f>
        <v>0</v>
      </c>
      <c r="BC356" s="243">
        <f>SUMIFS(Podcasts!$F$1711:'Podcasts'!$F$1833,Podcasts!$D$1711:'Podcasts'!$D$1833,"&gt;0",Podcasts!$E$1711:'Podcasts'!$E$1833,"&gt;"&amp;$C355,Podcasts!$E$1711:'Podcasts'!$E$1833,"&lt;="&amp;$C356)*24*60</f>
        <v>0</v>
      </c>
      <c r="BD356" s="243">
        <f>SUMIFS(Podcasts!$F$1839:'Podcasts'!$F$1855,Podcasts!$D$1839:'Podcasts'!$D$1855,"&gt;0",Podcasts!$E$1839:'Podcasts'!$E$1855,"&gt;"&amp;$C355,Podcasts!$E$1839:'Podcasts'!$E$1855,"&lt;="&amp;$C356)*24*60</f>
        <v>0</v>
      </c>
      <c r="BE356" s="243">
        <f>SUMIFS(Podcasts!$F$1861:'Podcasts'!$F$1994,Podcasts!$D$1861:'Podcasts'!$D$1994,"&gt;0",Podcasts!$E$1861:'Podcasts'!$E$1994,"&gt;"&amp;$C355,Podcasts!$E$1861:'Podcasts'!$E$1994,"&lt;="&amp;$C356)*24*60</f>
        <v>0</v>
      </c>
      <c r="BF356" s="243">
        <f>SUMIFS(Podcasts!$F$2000:'Podcasts'!$F$2057,Podcasts!$D$2000:'Podcasts'!$D$2057,"&gt;0",Podcasts!$E$2000:'Podcasts'!$E$2057,"&gt;"&amp;$C355,Podcasts!$E$2000:'Podcasts'!$E$2057,"&lt;="&amp;$C356)*24*60</f>
        <v>0</v>
      </c>
      <c r="BG356" s="243">
        <f>SUMIFS(Podcasts!$F$2063:'Podcasts'!$F$2071,Podcasts!$D$2063:'Podcasts'!$D$2071,"&gt;0",Podcasts!$E$2063:'Podcasts'!$E$2071,"&gt;"&amp;$C355,Podcasts!$E$2063:'Podcasts'!$E$2071,"&lt;="&amp;$C356)*24*60</f>
        <v>0</v>
      </c>
      <c r="BH356" s="243">
        <f>SUMIFS(Podcasts!$F$2131:'Podcasts'!$F$2367,Podcasts!$D$2131:'Podcasts'!$D$2367,"&gt;0",Podcasts!$E$2131:'Podcasts'!$E$2367,"&gt;"&amp;$C355,Podcasts!$E$2131:'Podcasts'!$E$2367,"&lt;="&amp;$C356)*24*60</f>
        <v>0</v>
      </c>
    </row>
    <row r="357" spans="1:60" outlineLevel="1">
      <c r="A357" s="163">
        <f t="shared" si="7"/>
        <v>422</v>
      </c>
      <c r="B357" s="164">
        <f t="shared" si="8"/>
        <v>17</v>
      </c>
      <c r="C357" s="72">
        <v>44012</v>
      </c>
      <c r="D357" s="165" t="str">
        <f t="shared" si="10"/>
        <v>422 (+17)</v>
      </c>
      <c r="E357" s="106">
        <f>COUNTIFS(Podcasts!$D$10:'Podcasts'!$D$107,"&gt;0",Podcasts!$E$10:'Podcasts'!$E$107,"&lt;="&amp;$C357)-2</f>
        <v>42</v>
      </c>
      <c r="F357" s="467">
        <f>COUNTIFS(Podcasts!$D$113:'Podcasts'!$D$238,"&gt;0",Podcasts!$E$113:'Podcasts'!$E$238,"&lt;="&amp;$C357)</f>
        <v>55</v>
      </c>
      <c r="G357" s="468">
        <f>COUNTIFS(Podcasts!$D$244:'Podcasts'!$D$299,"&gt;0",Podcasts!$E$244:'Podcasts'!$E$299,"&lt;="&amp;$C357)</f>
        <v>35</v>
      </c>
      <c r="H357" s="467">
        <v>135</v>
      </c>
      <c r="I357" s="467">
        <f>COUNTIFS(Podcasts!$D$479:'Podcasts'!$D$488,"&gt;0",Podcasts!$E$479:'Podcasts'!$E$488,"&lt;="&amp;$C357)</f>
        <v>3</v>
      </c>
      <c r="J357" s="468">
        <f>COUNTIFS(Podcasts!$D$494:'Podcasts'!$D$518,"&gt;0",Podcasts!$E$494:'Podcasts'!$E$518,"&lt;="&amp;$C357)</f>
        <v>15</v>
      </c>
      <c r="K357" s="469">
        <f>COUNTIFS(Podcasts!$D$524:'Podcasts'!$D$532,"&gt;0",Podcasts!$E$524:'Podcasts'!$E$532,"&lt;="&amp;$C357)</f>
        <v>7</v>
      </c>
      <c r="L357" s="467">
        <f>COUNTIFS(Podcasts!$D$538:'Podcasts'!$D$909,"&gt;0",Podcasts!$E$538:'Podcasts'!$E$909,"&lt;="&amp;$C357)-3</f>
        <v>60</v>
      </c>
      <c r="M357" s="467">
        <f>COUNTIFS(Podcasts!$D$915:'Podcasts'!$D$981,"&gt;0",Podcasts!$E$915:'Podcasts'!$E$981,"&lt;="&amp;$C357)</f>
        <v>30</v>
      </c>
      <c r="N357" s="469">
        <v>8</v>
      </c>
      <c r="O357" s="467">
        <f>COUNTIFS(Podcasts!$D$1001:'Podcasts'!$D$1251,"&gt;0",Podcasts!$E$1001:'Podcasts'!$E$1251,"&lt;="&amp;$C357)-3</f>
        <v>26</v>
      </c>
      <c r="P357" s="467">
        <f>COUNTIFS(Podcasts!$D$1257:'Podcasts'!$D$1267,"&gt;0",Podcasts!$E$1257:'Podcasts'!$E$1267,"&lt;="&amp;$C357)-1</f>
        <v>4</v>
      </c>
      <c r="Q357" s="469">
        <f>COUNTIFS(Podcasts!$D$1273:'Podcasts'!$D$1283,"&gt;0",Podcasts!$E$1273:'Podcasts'!$E$1283,"&lt;="&amp;$C357)-3</f>
        <v>5</v>
      </c>
      <c r="R357" s="467">
        <f>COUNTIFS(Podcasts!$D$1289:'Podcasts'!$D$1295,"&gt;0",Podcasts!$E$1289:'Podcasts'!$E$1295,"&lt;="&amp;$C357)</f>
        <v>3</v>
      </c>
      <c r="S357" s="467">
        <f>COUNTIFS(Podcasts!$D$1301:'Podcasts'!$D$1356,"&gt;0",Podcasts!$E$1301:'Podcasts'!$E$1356,"&lt;="&amp;$C357)-2</f>
        <v>2</v>
      </c>
      <c r="T357" s="469">
        <f>COUNTIFS(Podcasts!$D$1362:'Podcasts'!$D$1364,"&gt;0",Podcasts!$E$1362:'Podcasts'!$E$1364,"&lt;="&amp;$C357)</f>
        <v>0</v>
      </c>
      <c r="U357" s="467">
        <f>COUNTIFS(Podcasts!$D$1370:'Podcasts'!$D$1419,"&gt;0",Podcasts!$E$1370:'Podcasts'!$E$1419,"&lt;="&amp;$C357)</f>
        <v>0</v>
      </c>
      <c r="V357" s="467"/>
      <c r="W357" s="469"/>
      <c r="X357" s="467"/>
      <c r="Y357" s="467"/>
      <c r="Z357" s="469"/>
      <c r="AA357" s="467"/>
      <c r="AC357" s="425"/>
      <c r="AF357" s="469">
        <f>COUNTIFS(Podcasts!$E$2131:'Podcasts'!$E$2367,"&lt;="&amp;$C357)</f>
        <v>30</v>
      </c>
      <c r="AH357" s="243">
        <f t="shared" si="5"/>
        <v>2749.0833333333339</v>
      </c>
      <c r="AI357" s="243">
        <f>SUMIFS(Podcasts!$F$10:'Podcasts'!$F$107,Podcasts!$D$10:'Podcasts'!$D$107,"&gt;0",Podcasts!$E$10:'Podcasts'!$E$107,"&gt;"&amp;$C356,Podcasts!$E$10:'Podcasts'!$E$107,"&lt;="&amp;$C357)*24*60</f>
        <v>0</v>
      </c>
      <c r="AJ357" s="243">
        <f>SUMIFS(Podcasts!$F$113:'Podcasts'!$F$238,Podcasts!$D$113:'Podcasts'!$D$238,"&gt;0",Podcasts!$E$113:'Podcasts'!$E$238,"&gt;"&amp;$C356,Podcasts!$E$113:'Podcasts'!$E$238,"&lt;="&amp;$C357)*24*60</f>
        <v>2.0666666666666669</v>
      </c>
      <c r="AK357" s="243">
        <f>SUMIFS(Podcasts!$F$244:'Podcasts'!$F$299,Podcasts!$D$244:'Podcasts'!$D$299,"&gt;0",Podcasts!$E$244:'Podcasts'!$E$299,"&gt;"&amp;$C356,Podcasts!$E$244:'Podcasts'!$E$299,"&lt;="&amp;$C357)*24*60</f>
        <v>0</v>
      </c>
      <c r="AL357" s="243">
        <f>SUMIFS(Podcasts!$F$305:'Podcasts'!$F$473,Podcasts!$D$305:'Podcasts'!$D$473,"&gt;0",Podcasts!$E$305:'Podcasts'!$E$473,"&gt;"&amp;$C356,Podcasts!$E$305:'Podcasts'!$E$473,"&lt;="&amp;$C357)*24*60</f>
        <v>0</v>
      </c>
      <c r="AM357" s="243">
        <f>SUMIFS(Podcasts!$F$479:'Podcasts'!$F$488,Podcasts!$D$479:'Podcasts'!$D$488,"&gt;0",Podcasts!$E$479:'Podcasts'!$E$488,"&gt;"&amp;$C356,Podcasts!$E$479:'Podcasts'!$E$488,"&lt;="&amp;$C357)*24*60</f>
        <v>0</v>
      </c>
      <c r="AN357" s="243">
        <f>SUMIFS(Podcasts!$F$494:'Podcasts'!$F$518,Podcasts!$D$494:'Podcasts'!$D$518,"&gt;0",Podcasts!$E$494:'Podcasts'!$E$518,"&gt;"&amp;$C356,Podcasts!$E$494:'Podcasts'!$E$518,"&lt;="&amp;$C357)*24*60</f>
        <v>0</v>
      </c>
      <c r="AO357" s="243">
        <f>SUMIFS(Podcasts!$F$524:'Podcasts'!$F$532,Podcasts!$D$524:'Podcasts'!$D$532,"&gt;0",Podcasts!$E$524:'Podcasts'!$E$532,"&gt;"&amp;$C356,Podcasts!$E$524:'Podcasts'!$E$532,"&lt;="&amp;$C357)*24*60</f>
        <v>0</v>
      </c>
      <c r="AP357" s="243">
        <f>SUMIFS(Podcasts!$F$538:'Podcasts'!$F$909,Podcasts!$D$538:'Podcasts'!$D$909,"&gt;0",Podcasts!$E$538:'Podcasts'!$E$909,"&gt;"&amp;$C356,Podcasts!$E$538:'Podcasts'!$E$909,"&lt;="&amp;$C357)*24*60</f>
        <v>545.19999999999993</v>
      </c>
      <c r="AQ357" s="243">
        <f>SUMIFS(Podcasts!$F$915:'Podcasts'!$F$981,Podcasts!$D$915:'Podcasts'!$D$981,"&gt;0",Podcasts!$E$915:'Podcasts'!$E$981,"&gt;"&amp;$C356,Podcasts!$E$915:'Podcasts'!$E$981,"&lt;="&amp;$C357)*24*60</f>
        <v>245.98333333333332</v>
      </c>
      <c r="AR357" s="243">
        <f>SUMIFS(Podcasts!$F$987:'Podcasts'!$F$995,Podcasts!$D$987:'Podcasts'!$D$995,"&gt;0",Podcasts!$E$987:'Podcasts'!$E$995,"&gt;"&amp;$C356,Podcasts!$E$987:'Podcasts'!$E$995,"&lt;="&amp;$C357)*24*60</f>
        <v>0</v>
      </c>
      <c r="AS357" s="243">
        <f>SUMIFS(Podcasts!$F$1001:'Podcasts'!$F$1251,Podcasts!$D$1001:'Podcasts'!$D$1251,"&gt;0",Podcasts!$E$1001:'Podcasts'!$E$1251,"&gt;"&amp;$C356,Podcasts!$E$1001:'Podcasts'!$E$1251,"&lt;="&amp;$C357)*24*60</f>
        <v>1418.1166666666668</v>
      </c>
      <c r="AT357" s="243">
        <f>SUMIFS(Podcasts!$F$1257:'Podcasts'!$F$1267,Podcasts!$D$1257:'Podcasts'!$D$1267,"&gt;0",Podcasts!$E$1257:'Podcasts'!$E$1267,"&gt;"&amp;$C356,Podcasts!$E$1257:'Podcasts'!$E$1267,"&lt;="&amp;$C357)*24*60</f>
        <v>0</v>
      </c>
      <c r="AU357" s="243">
        <f>SUMIFS(Podcasts!$F$1273:'Podcasts'!$F$1283,Podcasts!$D$1273:'Podcasts'!$D$1283,"&gt;0",Podcasts!$E$1273:'Podcasts'!$E$1283,"&gt;"&amp;$C356,Podcasts!$E$1273:'Podcasts'!$E$1283,"&lt;="&amp;$C357)*24*60</f>
        <v>134.05000000000001</v>
      </c>
      <c r="AV357" s="243">
        <f>SUMIFS(Podcasts!$F$1289:'Podcasts'!$F$1295,Podcasts!$D$1289:'Podcasts'!$D$1295,"&gt;0",Podcasts!$E$1289:'Podcasts'!$E$1295,"&gt;"&amp;$C356,Podcasts!$E$1289:'Podcasts'!$E$1295,"&lt;="&amp;$C357)*24*60</f>
        <v>227.68333333333334</v>
      </c>
      <c r="AW357" s="243">
        <f>SUMIFS(Podcasts!$F$1301:'Podcasts'!$F$1356,Podcasts!$D$1301:'Podcasts'!$D$1356,"&gt;0",Podcasts!$E$1301:'Podcasts'!$E$1356,"&gt;"&amp;$C356,Podcasts!$E$1301:'Podcasts'!$E$1356,"&lt;="&amp;$C357)*24*60</f>
        <v>175.98333333333335</v>
      </c>
      <c r="AX357" s="243">
        <f>SUMIFS(Podcasts!$F$1362:'Podcasts'!$F$1364,Podcasts!$D$1362:'Podcasts'!$D$1364,"&gt;0",Podcasts!$E$1362:'Podcasts'!$E$1364,"&gt;"&amp;$C356,Podcasts!$E$1362:'Podcasts'!$E$1364,"&lt;="&amp;$C357)*24*60</f>
        <v>0</v>
      </c>
      <c r="AY357" s="243">
        <f>SUMIFS(Podcasts!$F$1370:'Podcasts'!$F$1419,Podcasts!$D$1370:'Podcasts'!$D$1419,"&gt;0",Podcasts!$E$1370:'Podcasts'!$E$1419,"&gt;"&amp;$C356,Podcasts!$E$1370:'Podcasts'!$E$1419,"&lt;="&amp;$C357)*24*60</f>
        <v>0</v>
      </c>
      <c r="AZ357" s="243">
        <f>SUMIFS(Podcasts!$F$1425:'Podcasts'!$F$1446,Podcasts!$D$1425:'Podcasts'!$D$1446,"&gt;0",Podcasts!$E$1425:'Podcasts'!$E$1446,"&gt;"&amp;$C356,Podcasts!$E$1425:'Podcasts'!$E$1446,"&lt;="&amp;$C357)*24*60</f>
        <v>0</v>
      </c>
      <c r="BA357" s="243">
        <f>SUMIFS(Podcasts!$F$1452:'Podcasts'!$F$1574,Podcasts!$D$1452:'Podcasts'!$D$1574,"&gt;0",Podcasts!$E$1452:'Podcasts'!$E$1574,"&gt;"&amp;$C356,Podcasts!$E$1452:'Podcasts'!$E$1574,"&lt;="&amp;$C357)*24*60</f>
        <v>0</v>
      </c>
      <c r="BB357" s="243">
        <f>SUMIFS(Podcasts!$F$1580:'Podcasts'!$F$1705,Podcasts!$D$1580:'Podcasts'!$D$1705,"&gt;0",Podcasts!$E$1580:'Podcasts'!$E$1705,"&gt;"&amp;$C356,Podcasts!$E$1580:'Podcasts'!$E$1705,"&lt;="&amp;$C357)*24*60</f>
        <v>0</v>
      </c>
      <c r="BC357" s="243">
        <f>SUMIFS(Podcasts!$F$1711:'Podcasts'!$F$1833,Podcasts!$D$1711:'Podcasts'!$D$1833,"&gt;0",Podcasts!$E$1711:'Podcasts'!$E$1833,"&gt;"&amp;$C356,Podcasts!$E$1711:'Podcasts'!$E$1833,"&lt;="&amp;$C357)*24*60</f>
        <v>0</v>
      </c>
      <c r="BD357" s="243">
        <f>SUMIFS(Podcasts!$F$1839:'Podcasts'!$F$1855,Podcasts!$D$1839:'Podcasts'!$D$1855,"&gt;0",Podcasts!$E$1839:'Podcasts'!$E$1855,"&gt;"&amp;$C356,Podcasts!$E$1839:'Podcasts'!$E$1855,"&lt;="&amp;$C357)*24*60</f>
        <v>0</v>
      </c>
      <c r="BE357" s="243">
        <f>SUMIFS(Podcasts!$F$1861:'Podcasts'!$F$1994,Podcasts!$D$1861:'Podcasts'!$D$1994,"&gt;0",Podcasts!$E$1861:'Podcasts'!$E$1994,"&gt;"&amp;$C356,Podcasts!$E$1861:'Podcasts'!$E$1994,"&lt;="&amp;$C357)*24*60</f>
        <v>0</v>
      </c>
      <c r="BF357" s="243">
        <f>SUMIFS(Podcasts!$F$2000:'Podcasts'!$F$2057,Podcasts!$D$2000:'Podcasts'!$D$2057,"&gt;0",Podcasts!$E$2000:'Podcasts'!$E$2057,"&gt;"&amp;$C356,Podcasts!$E$2000:'Podcasts'!$E$2057,"&lt;="&amp;$C357)*24*60</f>
        <v>0</v>
      </c>
      <c r="BG357" s="243">
        <f>SUMIFS(Podcasts!$F$2063:'Podcasts'!$F$2071,Podcasts!$D$2063:'Podcasts'!$D$2071,"&gt;0",Podcasts!$E$2063:'Podcasts'!$E$2071,"&gt;"&amp;$C356,Podcasts!$E$2063:'Podcasts'!$E$2071,"&lt;="&amp;$C357)*24*60</f>
        <v>0</v>
      </c>
      <c r="BH357" s="243">
        <f>SUMIFS(Podcasts!$F$2131:'Podcasts'!$F$2367,Podcasts!$D$2131:'Podcasts'!$D$2367,"&gt;0",Podcasts!$E$2131:'Podcasts'!$E$2367,"&gt;"&amp;$C356,Podcasts!$E$2131:'Podcasts'!$E$2367,"&lt;="&amp;$C357)*24*60</f>
        <v>29.383333333333333</v>
      </c>
    </row>
    <row r="358" spans="1:60" outlineLevel="1">
      <c r="A358" s="163">
        <f t="shared" si="7"/>
        <v>442</v>
      </c>
      <c r="B358" s="164">
        <f t="shared" si="8"/>
        <v>20</v>
      </c>
      <c r="C358" s="72">
        <v>44104</v>
      </c>
      <c r="D358" s="165" t="str">
        <f t="shared" si="10"/>
        <v>442 (+20)</v>
      </c>
      <c r="E358" s="106">
        <f>COUNTIFS(Podcasts!$D$10:'Podcasts'!$D$107,"&gt;0",Podcasts!$E$10:'Podcasts'!$E$107,"&lt;="&amp;$C358)-2</f>
        <v>42</v>
      </c>
      <c r="F358" s="467">
        <f>COUNTIFS(Podcasts!$D$113:'Podcasts'!$D$238,"&gt;0",Podcasts!$E$113:'Podcasts'!$E$238,"&lt;="&amp;$C358)</f>
        <v>57</v>
      </c>
      <c r="G358" s="468">
        <f>COUNTIFS(Podcasts!$D$244:'Podcasts'!$D$299,"&gt;0",Podcasts!$E$244:'Podcasts'!$E$299,"&lt;="&amp;$C358)</f>
        <v>35</v>
      </c>
      <c r="H358" s="467">
        <v>135</v>
      </c>
      <c r="I358" s="467">
        <f>COUNTIFS(Podcasts!$D$479:'Podcasts'!$D$488,"&gt;0",Podcasts!$E$479:'Podcasts'!$E$488,"&lt;="&amp;$C358)</f>
        <v>3</v>
      </c>
      <c r="J358" s="468">
        <f>COUNTIFS(Podcasts!$D$494:'Podcasts'!$D$518,"&gt;0",Podcasts!$E$494:'Podcasts'!$E$518,"&lt;="&amp;$C358)</f>
        <v>15</v>
      </c>
      <c r="K358" s="469">
        <f>COUNTIFS(Podcasts!$D$524:'Podcasts'!$D$532,"&gt;0",Podcasts!$E$524:'Podcasts'!$E$532,"&lt;="&amp;$C358)</f>
        <v>7</v>
      </c>
      <c r="L358" s="467">
        <f>COUNTIFS(Podcasts!$D$538:'Podcasts'!$D$909,"&gt;0",Podcasts!$E$538:'Podcasts'!$E$909,"&lt;="&amp;$C358)-3</f>
        <v>67</v>
      </c>
      <c r="M358" s="467">
        <f>COUNTIFS(Podcasts!$D$915:'Podcasts'!$D$981,"&gt;0",Podcasts!$E$915:'Podcasts'!$E$981,"&lt;="&amp;$C358)</f>
        <v>33</v>
      </c>
      <c r="N358" s="469">
        <v>8</v>
      </c>
      <c r="O358" s="467">
        <f>COUNTIFS(Podcasts!$D$1001:'Podcasts'!$D$1251,"&gt;0",Podcasts!$E$1001:'Podcasts'!$E$1251,"&lt;="&amp;$C358)-3</f>
        <v>28</v>
      </c>
      <c r="P358" s="467">
        <f>COUNTIFS(Podcasts!$D$1257:'Podcasts'!$D$1267,"&gt;0",Podcasts!$E$1257:'Podcasts'!$E$1267,"&lt;="&amp;$C358)-1</f>
        <v>4</v>
      </c>
      <c r="Q358" s="469">
        <f>COUNTIFS(Podcasts!$D$1273:'Podcasts'!$D$1283,"&gt;0",Podcasts!$E$1273:'Podcasts'!$E$1283,"&lt;="&amp;$C358)-5</f>
        <v>5</v>
      </c>
      <c r="R358" s="467">
        <f>COUNTIFS(Podcasts!$D$1289:'Podcasts'!$D$1295,"&gt;0",Podcasts!$E$1289:'Podcasts'!$E$1295,"&lt;="&amp;$C358)</f>
        <v>3</v>
      </c>
      <c r="S358" s="467">
        <f>COUNTIFS(Podcasts!$D$1301:'Podcasts'!$D$1356,"&gt;0",Podcasts!$E$1301:'Podcasts'!$E$1356,"&lt;="&amp;$C358)-5</f>
        <v>5</v>
      </c>
      <c r="T358" s="469">
        <f>COUNTIFS(Podcasts!$D$1362:'Podcasts'!$D$1364,"&gt;0",Podcasts!$E$1362:'Podcasts'!$E$1364,"&lt;="&amp;$C358)</f>
        <v>1</v>
      </c>
      <c r="U358" s="467">
        <f>COUNTIFS(Podcasts!$D$1370:'Podcasts'!$D$1419,"&gt;0",Podcasts!$E$1370:'Podcasts'!$E$1419,"&lt;="&amp;$C358)</f>
        <v>2</v>
      </c>
      <c r="V358" s="467">
        <f>COUNTIFS(Podcasts!$D$1425:'Podcasts'!$D$1446,"&gt;0",Podcasts!$E$1425:'Podcasts'!$E$1446,"&lt;="&amp;$C358)</f>
        <v>0</v>
      </c>
      <c r="W358" s="469">
        <f>COUNTIFS(Podcasts!$D$1452:'Podcasts'!$D$1574,"&gt;0",Podcasts!$E$1452:'Podcasts'!$E$1574,"&lt;="&amp;$C358)</f>
        <v>0</v>
      </c>
      <c r="X358" s="467">
        <f>COUNTIFS(Podcasts!$D$1580:'Podcasts'!$D$1705,"&gt;0",Podcasts!$E$1580:'Podcasts'!$E$1705,"&lt;="&amp;$C358)</f>
        <v>0</v>
      </c>
      <c r="Y358" s="467"/>
      <c r="Z358" s="469"/>
      <c r="AA358" s="467"/>
      <c r="AC358" s="425"/>
      <c r="AF358" s="469">
        <f>COUNTIFS(Podcasts!$E$2131:'Podcasts'!$E$2367,"&lt;="&amp;$C358)</f>
        <v>32</v>
      </c>
      <c r="AH358" s="243">
        <f t="shared" si="5"/>
        <v>2069.5166666666669</v>
      </c>
      <c r="AI358" s="243">
        <f>SUMIFS(Podcasts!$F$10:'Podcasts'!$F$107,Podcasts!$D$10:'Podcasts'!$D$107,"&gt;0",Podcasts!$E$10:'Podcasts'!$E$107,"&gt;"&amp;$C357,Podcasts!$E$10:'Podcasts'!$E$107,"&lt;="&amp;$C358)*24*60</f>
        <v>0</v>
      </c>
      <c r="AJ358" s="243">
        <f>SUMIFS(Podcasts!$F$113:'Podcasts'!$F$238,Podcasts!$D$113:'Podcasts'!$D$238,"&gt;0",Podcasts!$E$113:'Podcasts'!$E$238,"&gt;"&amp;$C357,Podcasts!$E$113:'Podcasts'!$E$238,"&lt;="&amp;$C358)*24*60</f>
        <v>3.0166666666666666</v>
      </c>
      <c r="AK358" s="243">
        <f>SUMIFS(Podcasts!$F$244:'Podcasts'!$F$299,Podcasts!$D$244:'Podcasts'!$D$299,"&gt;0",Podcasts!$E$244:'Podcasts'!$E$299,"&gt;"&amp;$C357,Podcasts!$E$244:'Podcasts'!$E$299,"&lt;="&amp;$C358)*24*60</f>
        <v>0</v>
      </c>
      <c r="AL358" s="243">
        <f>SUMIFS(Podcasts!$F$305:'Podcasts'!$F$473,Podcasts!$D$305:'Podcasts'!$D$473,"&gt;0",Podcasts!$E$305:'Podcasts'!$E$473,"&gt;"&amp;$C357,Podcasts!$E$305:'Podcasts'!$E$473,"&lt;="&amp;$C358)*24*60</f>
        <v>0</v>
      </c>
      <c r="AM358" s="243">
        <f>SUMIFS(Podcasts!$F$479:'Podcasts'!$F$488,Podcasts!$D$479:'Podcasts'!$D$488,"&gt;0",Podcasts!$E$479:'Podcasts'!$E$488,"&gt;"&amp;$C357,Podcasts!$E$479:'Podcasts'!$E$488,"&lt;="&amp;$C358)*24*60</f>
        <v>0</v>
      </c>
      <c r="AN358" s="243">
        <f>SUMIFS(Podcasts!$F$494:'Podcasts'!$F$518,Podcasts!$D$494:'Podcasts'!$D$518,"&gt;0",Podcasts!$E$494:'Podcasts'!$E$518,"&gt;"&amp;$C357,Podcasts!$E$494:'Podcasts'!$E$518,"&lt;="&amp;$C358)*24*60</f>
        <v>0</v>
      </c>
      <c r="AO358" s="243">
        <f>SUMIFS(Podcasts!$F$524:'Podcasts'!$F$532,Podcasts!$D$524:'Podcasts'!$D$532,"&gt;0",Podcasts!$E$524:'Podcasts'!$E$532,"&gt;"&amp;$C357,Podcasts!$E$524:'Podcasts'!$E$532,"&lt;="&amp;$C358)*24*60</f>
        <v>0</v>
      </c>
      <c r="AP358" s="243">
        <f>SUMIFS(Podcasts!$F$538:'Podcasts'!$F$909,Podcasts!$D$538:'Podcasts'!$D$909,"&gt;0",Podcasts!$E$538:'Podcasts'!$E$909,"&gt;"&amp;$C357,Podcasts!$E$538:'Podcasts'!$E$909,"&lt;="&amp;$C358)*24*60</f>
        <v>777.81666666666672</v>
      </c>
      <c r="AQ358" s="243">
        <f>SUMIFS(Podcasts!$F$915:'Podcasts'!$F$981,Podcasts!$D$915:'Podcasts'!$D$981,"&gt;0",Podcasts!$E$915:'Podcasts'!$E$981,"&gt;"&amp;$C357,Podcasts!$E$915:'Podcasts'!$E$981,"&lt;="&amp;$C358)*24*60</f>
        <v>415.68333333333328</v>
      </c>
      <c r="AR358" s="243">
        <f>SUMIFS(Podcasts!$F$987:'Podcasts'!$F$995,Podcasts!$D$987:'Podcasts'!$D$995,"&gt;0",Podcasts!$E$987:'Podcasts'!$E$995,"&gt;"&amp;$C357,Podcasts!$E$987:'Podcasts'!$E$995,"&lt;="&amp;$C358)*24*60</f>
        <v>0</v>
      </c>
      <c r="AS358" s="243">
        <f>SUMIFS(Podcasts!$F$1001:'Podcasts'!$F$1251,Podcasts!$D$1001:'Podcasts'!$D$1251,"&gt;0",Podcasts!$E$1001:'Podcasts'!$E$1251,"&gt;"&amp;$C357,Podcasts!$E$1001:'Podcasts'!$E$1251,"&lt;="&amp;$C358)*24*60</f>
        <v>315.13333333333333</v>
      </c>
      <c r="AT358" s="243">
        <f>SUMIFS(Podcasts!$F$1257:'Podcasts'!$F$1267,Podcasts!$D$1257:'Podcasts'!$D$1267,"&gt;0",Podcasts!$E$1257:'Podcasts'!$E$1267,"&gt;"&amp;$C357,Podcasts!$E$1257:'Podcasts'!$E$1267,"&lt;="&amp;$C358)*24*60</f>
        <v>0</v>
      </c>
      <c r="AU358" s="243">
        <f>SUMIFS(Podcasts!$F$1273:'Podcasts'!$F$1283,Podcasts!$D$1273:'Podcasts'!$D$1283,"&gt;0",Podcasts!$E$1273:'Podcasts'!$E$1283,"&gt;"&amp;$C357,Podcasts!$E$1273:'Podcasts'!$E$1283,"&lt;="&amp;$C358)*24*60</f>
        <v>0</v>
      </c>
      <c r="AV358" s="243">
        <f>SUMIFS(Podcasts!$F$1289:'Podcasts'!$F$1295,Podcasts!$D$1289:'Podcasts'!$D$1295,"&gt;0",Podcasts!$E$1289:'Podcasts'!$E$1295,"&gt;"&amp;$C357,Podcasts!$E$1289:'Podcasts'!$E$1295,"&lt;="&amp;$C358)*24*60</f>
        <v>0</v>
      </c>
      <c r="AW358" s="243">
        <f>SUMIFS(Podcasts!$F$1301:'Podcasts'!$F$1356,Podcasts!$D$1301:'Podcasts'!$D$1356,"&gt;0",Podcasts!$E$1301:'Podcasts'!$E$1356,"&gt;"&amp;$C357,Podcasts!$E$1301:'Podcasts'!$E$1356,"&lt;="&amp;$C358)*24*60</f>
        <v>292.65000000000003</v>
      </c>
      <c r="AX358" s="243">
        <f>SUMIFS(Podcasts!$F$1362:'Podcasts'!$F$1364,Podcasts!$D$1362:'Podcasts'!$D$1364,"&gt;0",Podcasts!$E$1362:'Podcasts'!$E$1364,"&gt;"&amp;$C357,Podcasts!$E$1362:'Podcasts'!$E$1364,"&lt;="&amp;$C358)*24*60</f>
        <v>31.7</v>
      </c>
      <c r="AY358" s="243">
        <f>SUMIFS(Podcasts!$F$1370:'Podcasts'!$F$1419,Podcasts!$D$1370:'Podcasts'!$D$1419,"&gt;0",Podcasts!$E$1370:'Podcasts'!$E$1419,"&gt;"&amp;$C357,Podcasts!$E$1370:'Podcasts'!$E$1419,"&lt;="&amp;$C358)*24*60</f>
        <v>233.51666666666665</v>
      </c>
      <c r="AZ358" s="243">
        <f>SUMIFS(Podcasts!$F$1425:'Podcasts'!$F$1446,Podcasts!$D$1425:'Podcasts'!$D$1446,"&gt;0",Podcasts!$E$1425:'Podcasts'!$E$1446,"&gt;"&amp;$C357,Podcasts!$E$1425:'Podcasts'!$E$1446,"&lt;="&amp;$C358)*24*60</f>
        <v>0</v>
      </c>
      <c r="BA358" s="243">
        <f>SUMIFS(Podcasts!$F$1452:'Podcasts'!$F$1574,Podcasts!$D$1452:'Podcasts'!$D$1574,"&gt;0",Podcasts!$E$1452:'Podcasts'!$E$1574,"&gt;"&amp;$C357,Podcasts!$E$1452:'Podcasts'!$E$1574,"&lt;="&amp;$C358)*24*60</f>
        <v>0</v>
      </c>
      <c r="BB358" s="243">
        <f>SUMIFS(Podcasts!$F$1580:'Podcasts'!$F$1705,Podcasts!$D$1580:'Podcasts'!$D$1705,"&gt;0",Podcasts!$E$1580:'Podcasts'!$E$1705,"&gt;"&amp;$C357,Podcasts!$E$1580:'Podcasts'!$E$1705,"&lt;="&amp;$C358)*24*60</f>
        <v>0</v>
      </c>
      <c r="BC358" s="243">
        <f>SUMIFS(Podcasts!$F$1711:'Podcasts'!$F$1833,Podcasts!$D$1711:'Podcasts'!$D$1833,"&gt;0",Podcasts!$E$1711:'Podcasts'!$E$1833,"&gt;"&amp;$C357,Podcasts!$E$1711:'Podcasts'!$E$1833,"&lt;="&amp;$C358)*24*60</f>
        <v>0</v>
      </c>
      <c r="BD358" s="243">
        <f>SUMIFS(Podcasts!$F$1839:'Podcasts'!$F$1855,Podcasts!$D$1839:'Podcasts'!$D$1855,"&gt;0",Podcasts!$E$1839:'Podcasts'!$E$1855,"&gt;"&amp;$C357,Podcasts!$E$1839:'Podcasts'!$E$1855,"&lt;="&amp;$C358)*24*60</f>
        <v>0</v>
      </c>
      <c r="BE358" s="243">
        <f>SUMIFS(Podcasts!$F$1861:'Podcasts'!$F$1994,Podcasts!$D$1861:'Podcasts'!$D$1994,"&gt;0",Podcasts!$E$1861:'Podcasts'!$E$1994,"&gt;"&amp;$C357,Podcasts!$E$1861:'Podcasts'!$E$1994,"&lt;="&amp;$C358)*24*60</f>
        <v>0</v>
      </c>
      <c r="BF358" s="243">
        <f>SUMIFS(Podcasts!$F$2000:'Podcasts'!$F$2057,Podcasts!$D$2000:'Podcasts'!$D$2057,"&gt;0",Podcasts!$E$2000:'Podcasts'!$E$2057,"&gt;"&amp;$C357,Podcasts!$E$2000:'Podcasts'!$E$2057,"&lt;="&amp;$C358)*24*60</f>
        <v>0</v>
      </c>
      <c r="BG358" s="243">
        <f>SUMIFS(Podcasts!$F$2063:'Podcasts'!$F$2071,Podcasts!$D$2063:'Podcasts'!$D$2071,"&gt;0",Podcasts!$E$2063:'Podcasts'!$E$2071,"&gt;"&amp;$C357,Podcasts!$E$2063:'Podcasts'!$E$2071,"&lt;="&amp;$C358)*24*60</f>
        <v>0</v>
      </c>
      <c r="BH358" s="243">
        <f>SUMIFS(Podcasts!$F$2131:'Podcasts'!$F$2367,Podcasts!$D$2131:'Podcasts'!$D$2367,"&gt;0",Podcasts!$E$2131:'Podcasts'!$E$2367,"&gt;"&amp;$C357,Podcasts!$E$2131:'Podcasts'!$E$2367,"&lt;="&amp;$C358)*24*60</f>
        <v>0</v>
      </c>
    </row>
    <row r="359" spans="1:60" outlineLevel="1">
      <c r="A359" s="163">
        <f t="shared" si="7"/>
        <v>480</v>
      </c>
      <c r="B359" s="164">
        <f t="shared" si="8"/>
        <v>38</v>
      </c>
      <c r="C359" s="72">
        <v>44196</v>
      </c>
      <c r="D359" s="166" t="str">
        <f t="shared" si="10"/>
        <v>480 (+38)</v>
      </c>
      <c r="E359" s="106">
        <f>COUNTIFS(Podcasts!$D$10:'Podcasts'!$D$107,"&gt;0",Podcasts!$E$10:'Podcasts'!$E$107,"&lt;="&amp;$C359)-2</f>
        <v>42</v>
      </c>
      <c r="F359" s="467">
        <f>COUNTIFS(Podcasts!$D$113:'Podcasts'!$D$238,"&gt;0",Podcasts!$E$113:'Podcasts'!$E$238,"&lt;="&amp;$C359)</f>
        <v>58</v>
      </c>
      <c r="G359" s="468">
        <f>COUNTIFS(Podcasts!$D$244:'Podcasts'!$D$299,"&gt;0",Podcasts!$E$244:'Podcasts'!$E$299,"&lt;="&amp;$C359)</f>
        <v>36</v>
      </c>
      <c r="H359" s="467">
        <v>135</v>
      </c>
      <c r="I359" s="467">
        <f>COUNTIFS(Podcasts!$D$479:'Podcasts'!$D$488,"&gt;0",Podcasts!$E$479:'Podcasts'!$E$488,"&lt;="&amp;$C359)</f>
        <v>3</v>
      </c>
      <c r="J359" s="468">
        <f>COUNTIFS(Podcasts!$D$494:'Podcasts'!$D$518,"&gt;0",Podcasts!$E$494:'Podcasts'!$E$518,"&lt;="&amp;$C359)</f>
        <v>15</v>
      </c>
      <c r="K359" s="469">
        <f>COUNTIFS(Podcasts!$D$524:'Podcasts'!$D$532,"&gt;0",Podcasts!$E$524:'Podcasts'!$E$532,"&lt;="&amp;$C359)</f>
        <v>7</v>
      </c>
      <c r="L359" s="467">
        <f>COUNTIFS(Podcasts!$D$538:'Podcasts'!$D$909,"&gt;0",Podcasts!$E$538:'Podcasts'!$E$909,"&lt;="&amp;$C359)-6</f>
        <v>75</v>
      </c>
      <c r="M359" s="467">
        <f>COUNTIFS(Podcasts!$D$915:'Podcasts'!$D$981,"&gt;0",Podcasts!$E$915:'Podcasts'!$E$981,"&lt;="&amp;$C359)</f>
        <v>36</v>
      </c>
      <c r="N359" s="469">
        <v>8</v>
      </c>
      <c r="O359" s="467">
        <f>COUNTIFS(Podcasts!$D$1001:'Podcasts'!$D$1251,"&gt;0",Podcasts!$E$1001:'Podcasts'!$E$1251,"&lt;="&amp;$C359)-3</f>
        <v>30</v>
      </c>
      <c r="P359" s="467">
        <f>COUNTIFS(Podcasts!$D$1257:'Podcasts'!$D$1267,"&gt;0",Podcasts!$E$1257:'Podcasts'!$E$1267,"&lt;="&amp;$C359)-1</f>
        <v>4</v>
      </c>
      <c r="Q359" s="469">
        <f>COUNTIFS(Podcasts!$D$1273:'Podcasts'!$D$1283,"&gt;0",Podcasts!$E$1273:'Podcasts'!$E$1283,"&lt;="&amp;$C359)-5</f>
        <v>5</v>
      </c>
      <c r="R359" s="467">
        <f>COUNTIFS(Podcasts!$D$1289:'Podcasts'!$D$1295,"&gt;0",Podcasts!$E$1289:'Podcasts'!$E$1295,"&lt;="&amp;$C359)</f>
        <v>4</v>
      </c>
      <c r="S359" s="467">
        <f>COUNTIFS(Podcasts!$D$1301:'Podcasts'!$D$1356,"&gt;0",Podcasts!$E$1301:'Podcasts'!$E$1356,"&lt;="&amp;$C359)-5</f>
        <v>8</v>
      </c>
      <c r="T359" s="475">
        <f>COUNTIFS(Podcasts!$D$1362:'Podcasts'!$D$1364,"&gt;0",Podcasts!$E$1362:'Podcasts'!$E$1364,"&lt;="&amp;$C359)</f>
        <v>3</v>
      </c>
      <c r="U359" s="467">
        <f>COUNTIFS(Podcasts!$D$1370:'Podcasts'!$D$1419,"&gt;0",Podcasts!$E$1370:'Podcasts'!$E$1419,"&lt;="&amp;$C359)</f>
        <v>5</v>
      </c>
      <c r="V359" s="467">
        <f>COUNTIFS(Podcasts!$D$1425:'Podcasts'!$D$1446,"&gt;0",Podcasts!$E$1425:'Podcasts'!$E$1446,"&lt;="&amp;$C359)</f>
        <v>3</v>
      </c>
      <c r="W359" s="475">
        <f>COUNTIFS(Podcasts!$D$1452:'Podcasts'!$D$1574,"&gt;0",Podcasts!$E$1452:'Podcasts'!$E$1574,"&lt;="&amp;$C359)</f>
        <v>6</v>
      </c>
      <c r="X359" s="467">
        <f>COUNTIFS(Podcasts!$D$1580:'Podcasts'!$D$1705,"&gt;0",Podcasts!$E$1580:'Podcasts'!$E$1705,"&lt;="&amp;$C359)</f>
        <v>5</v>
      </c>
      <c r="Y359" s="467">
        <f>COUNTIFS(Podcasts!$D$1711:'Podcasts'!$D$1833,"&gt;0",Podcasts!$E$1711:'Podcasts'!$E$1833,"&lt;="&amp;$C359)</f>
        <v>0</v>
      </c>
      <c r="Z359" s="469"/>
      <c r="AA359" s="467"/>
      <c r="AC359" s="425"/>
      <c r="AF359" s="469">
        <f>COUNTIFS(Podcasts!$E$2131:'Podcasts'!$E$2367,"&lt;="&amp;$C359)</f>
        <v>40</v>
      </c>
      <c r="AH359" s="243">
        <f t="shared" si="5"/>
        <v>3754.1833333333334</v>
      </c>
      <c r="AI359" s="243">
        <f>SUMIFS(Podcasts!$F$10:'Podcasts'!$F$107,Podcasts!$D$10:'Podcasts'!$D$107,"&gt;0",Podcasts!$E$10:'Podcasts'!$E$107,"&gt;"&amp;$C358,Podcasts!$E$10:'Podcasts'!$E$107,"&lt;="&amp;$C359)*24*60</f>
        <v>0</v>
      </c>
      <c r="AJ359" s="243">
        <f>SUMIFS(Podcasts!$F$113:'Podcasts'!$F$238,Podcasts!$D$113:'Podcasts'!$D$238,"&gt;0",Podcasts!$E$113:'Podcasts'!$E$238,"&gt;"&amp;$C358,Podcasts!$E$113:'Podcasts'!$E$238,"&lt;="&amp;$C359)*24*60</f>
        <v>2.3666666666666667</v>
      </c>
      <c r="AK359" s="243">
        <f>SUMIFS(Podcasts!$F$244:'Podcasts'!$F$299,Podcasts!$D$244:'Podcasts'!$D$299,"&gt;0",Podcasts!$E$244:'Podcasts'!$E$299,"&gt;"&amp;$C358,Podcasts!$E$244:'Podcasts'!$E$299,"&lt;="&amp;$C359)*24*60</f>
        <v>28.45</v>
      </c>
      <c r="AL359" s="243">
        <f>SUMIFS(Podcasts!$F$305:'Podcasts'!$F$473,Podcasts!$D$305:'Podcasts'!$D$473,"&gt;0",Podcasts!$E$305:'Podcasts'!$E$473,"&gt;"&amp;$C358,Podcasts!$E$305:'Podcasts'!$E$473,"&lt;="&amp;$C359)*24*60</f>
        <v>0</v>
      </c>
      <c r="AM359" s="243">
        <f>SUMIFS(Podcasts!$F$479:'Podcasts'!$F$488,Podcasts!$D$479:'Podcasts'!$D$488,"&gt;0",Podcasts!$E$479:'Podcasts'!$E$488,"&gt;"&amp;$C358,Podcasts!$E$479:'Podcasts'!$E$488,"&lt;="&amp;$C359)*24*60</f>
        <v>0</v>
      </c>
      <c r="AN359" s="243">
        <f>SUMIFS(Podcasts!$F$494:'Podcasts'!$F$518,Podcasts!$D$494:'Podcasts'!$D$518,"&gt;0",Podcasts!$E$494:'Podcasts'!$E$518,"&gt;"&amp;$C358,Podcasts!$E$494:'Podcasts'!$E$518,"&lt;="&amp;$C359)*24*60</f>
        <v>0</v>
      </c>
      <c r="AO359" s="243">
        <f>SUMIFS(Podcasts!$F$524:'Podcasts'!$F$532,Podcasts!$D$524:'Podcasts'!$D$532,"&gt;0",Podcasts!$E$524:'Podcasts'!$E$532,"&gt;"&amp;$C358,Podcasts!$E$524:'Podcasts'!$E$532,"&lt;="&amp;$C359)*24*60</f>
        <v>0</v>
      </c>
      <c r="AP359" s="243">
        <f>SUMIFS(Podcasts!$F$538:'Podcasts'!$F$909,Podcasts!$D$538:'Podcasts'!$D$909,"&gt;0",Podcasts!$E$538:'Podcasts'!$E$909,"&gt;"&amp;$C358,Podcasts!$E$538:'Podcasts'!$E$909,"&lt;="&amp;$C359)*24*60</f>
        <v>1141.5</v>
      </c>
      <c r="AQ359" s="243">
        <f>SUMIFS(Podcasts!$F$915:'Podcasts'!$F$981,Podcasts!$D$915:'Podcasts'!$D$981,"&gt;0",Podcasts!$E$915:'Podcasts'!$E$981,"&gt;"&amp;$C358,Podcasts!$E$915:'Podcasts'!$E$981,"&lt;="&amp;$C359)*24*60</f>
        <v>426.48333333333335</v>
      </c>
      <c r="AR359" s="243">
        <f>SUMIFS(Podcasts!$F$987:'Podcasts'!$F$995,Podcasts!$D$987:'Podcasts'!$D$995,"&gt;0",Podcasts!$E$987:'Podcasts'!$E$995,"&gt;"&amp;$C358,Podcasts!$E$987:'Podcasts'!$E$995,"&lt;="&amp;$C359)*24*60</f>
        <v>0</v>
      </c>
      <c r="AS359" s="243">
        <f>SUMIFS(Podcasts!$F$1001:'Podcasts'!$F$1251,Podcasts!$D$1001:'Podcasts'!$D$1251,"&gt;0",Podcasts!$E$1001:'Podcasts'!$E$1251,"&gt;"&amp;$C358,Podcasts!$E$1001:'Podcasts'!$E$1251,"&lt;="&amp;$C359)*24*60</f>
        <v>458.51666666666665</v>
      </c>
      <c r="AT359" s="243">
        <f>SUMIFS(Podcasts!$F$1257:'Podcasts'!$F$1267,Podcasts!$D$1257:'Podcasts'!$D$1267,"&gt;0",Podcasts!$E$1257:'Podcasts'!$E$1267,"&gt;"&amp;$C358,Podcasts!$E$1257:'Podcasts'!$E$1267,"&lt;="&amp;$C359)*24*60</f>
        <v>0</v>
      </c>
      <c r="AU359" s="243">
        <f>SUMIFS(Podcasts!$F$1273:'Podcasts'!$F$1283,Podcasts!$D$1273:'Podcasts'!$D$1283,"&gt;0",Podcasts!$E$1273:'Podcasts'!$E$1283,"&gt;"&amp;$C358,Podcasts!$E$1273:'Podcasts'!$E$1283,"&lt;="&amp;$C359)*24*60</f>
        <v>0</v>
      </c>
      <c r="AV359" s="243">
        <f>SUMIFS(Podcasts!$F$1289:'Podcasts'!$F$1295,Podcasts!$D$1289:'Podcasts'!$D$1295,"&gt;0",Podcasts!$E$1289:'Podcasts'!$E$1295,"&gt;"&amp;$C358,Podcasts!$E$1289:'Podcasts'!$E$1295,"&lt;="&amp;$C359)*24*60</f>
        <v>141.44999999999999</v>
      </c>
      <c r="AW359" s="243">
        <f>SUMIFS(Podcasts!$F$1301:'Podcasts'!$F$1356,Podcasts!$D$1301:'Podcasts'!$D$1356,"&gt;0",Podcasts!$E$1301:'Podcasts'!$E$1356,"&gt;"&amp;$C358,Podcasts!$E$1301:'Podcasts'!$E$1356,"&lt;="&amp;$C359)*24*60</f>
        <v>241.15000000000003</v>
      </c>
      <c r="AX359" s="243">
        <f>SUMIFS(Podcasts!$F$1362:'Podcasts'!$F$1364,Podcasts!$D$1362:'Podcasts'!$D$1364,"&gt;0",Podcasts!$E$1362:'Podcasts'!$E$1364,"&gt;"&amp;$C358,Podcasts!$E$1362:'Podcasts'!$E$1364,"&lt;="&amp;$C359)*24*60</f>
        <v>44.816666666666663</v>
      </c>
      <c r="AY359" s="243">
        <f>SUMIFS(Podcasts!$F$1370:'Podcasts'!$F$1419,Podcasts!$D$1370:'Podcasts'!$D$1419,"&gt;0",Podcasts!$E$1370:'Podcasts'!$E$1419,"&gt;"&amp;$C358,Podcasts!$E$1370:'Podcasts'!$E$1419,"&lt;="&amp;$C359)*24*60</f>
        <v>329.2166666666667</v>
      </c>
      <c r="AZ359" s="243">
        <f>SUMIFS(Podcasts!$F$1425:'Podcasts'!$F$1446,Podcasts!$D$1425:'Podcasts'!$D$1446,"&gt;0",Podcasts!$E$1425:'Podcasts'!$E$1446,"&gt;"&amp;$C358,Podcasts!$E$1425:'Podcasts'!$E$1446,"&lt;="&amp;$C359)*24*60</f>
        <v>349.08333333333337</v>
      </c>
      <c r="BA359" s="243">
        <f>SUMIFS(Podcasts!$F$1452:'Podcasts'!$F$1574,Podcasts!$D$1452:'Podcasts'!$D$1574,"&gt;0",Podcasts!$E$1452:'Podcasts'!$E$1574,"&gt;"&amp;$C358,Podcasts!$E$1452:'Podcasts'!$E$1574,"&lt;="&amp;$C359)*24*60</f>
        <v>173.15</v>
      </c>
      <c r="BB359" s="243">
        <f>SUMIFS(Podcasts!$F$1580:'Podcasts'!$F$1705,Podcasts!$D$1580:'Podcasts'!$D$1705,"&gt;0",Podcasts!$E$1580:'Podcasts'!$E$1705,"&gt;"&amp;$C358,Podcasts!$E$1580:'Podcasts'!$E$1705,"&lt;="&amp;$C359)*24*60</f>
        <v>418</v>
      </c>
      <c r="BC359" s="243">
        <f>SUMIFS(Podcasts!$F$1711:'Podcasts'!$F$1833,Podcasts!$D$1711:'Podcasts'!$D$1833,"&gt;0",Podcasts!$E$1711:'Podcasts'!$E$1833,"&gt;"&amp;$C358,Podcasts!$E$1711:'Podcasts'!$E$1833,"&lt;="&amp;$C359)*24*60</f>
        <v>0</v>
      </c>
      <c r="BD359" s="243">
        <f>SUMIFS(Podcasts!$F$1839:'Podcasts'!$F$1855,Podcasts!$D$1839:'Podcasts'!$D$1855,"&gt;0",Podcasts!$E$1839:'Podcasts'!$E$1855,"&gt;"&amp;$C358,Podcasts!$E$1839:'Podcasts'!$E$1855,"&lt;="&amp;$C359)*24*60</f>
        <v>0</v>
      </c>
      <c r="BE359" s="243">
        <f>SUMIFS(Podcasts!$F$1861:'Podcasts'!$F$1994,Podcasts!$D$1861:'Podcasts'!$D$1994,"&gt;0",Podcasts!$E$1861:'Podcasts'!$E$1994,"&gt;"&amp;$C358,Podcasts!$E$1861:'Podcasts'!$E$1994,"&lt;="&amp;$C359)*24*60</f>
        <v>0</v>
      </c>
      <c r="BF359" s="243">
        <f>SUMIFS(Podcasts!$F$2000:'Podcasts'!$F$2057,Podcasts!$D$2000:'Podcasts'!$D$2057,"&gt;0",Podcasts!$E$2000:'Podcasts'!$E$2057,"&gt;"&amp;$C358,Podcasts!$E$2000:'Podcasts'!$E$2057,"&lt;="&amp;$C359)*24*60</f>
        <v>0</v>
      </c>
      <c r="BG359" s="243">
        <f>SUMIFS(Podcasts!$F$2063:'Podcasts'!$F$2071,Podcasts!$D$2063:'Podcasts'!$D$2071,"&gt;0",Podcasts!$E$2063:'Podcasts'!$E$2071,"&gt;"&amp;$C358,Podcasts!$E$2063:'Podcasts'!$E$2071,"&lt;="&amp;$C359)*24*60</f>
        <v>0</v>
      </c>
      <c r="BH359" s="243">
        <f>SUMIFS(Podcasts!$F$2131:'Podcasts'!$F$2367,Podcasts!$D$2131:'Podcasts'!$D$2367,"&gt;0",Podcasts!$E$2131:'Podcasts'!$E$2367,"&gt;"&amp;$C358,Podcasts!$E$2131:'Podcasts'!$E$2367,"&lt;="&amp;$C359)*24*60</f>
        <v>58.45</v>
      </c>
    </row>
    <row r="360" spans="1:60" outlineLevel="1">
      <c r="A360" s="163">
        <f t="shared" si="7"/>
        <v>525</v>
      </c>
      <c r="B360" s="164">
        <f t="shared" si="8"/>
        <v>45</v>
      </c>
      <c r="C360" s="73">
        <v>44286</v>
      </c>
      <c r="D360" s="167" t="str">
        <f>A360&amp;" (+"&amp;B360&amp;")"</f>
        <v>525 (+45)</v>
      </c>
      <c r="E360" s="470">
        <f>COUNTIFS(Podcasts!$D$10:'Podcasts'!$D$107,"&gt;0",Podcasts!$E$10:'Podcasts'!$E$107,"&lt;="&amp;$C360)-2</f>
        <v>43</v>
      </c>
      <c r="F360" s="471">
        <f>COUNTIFS(Podcasts!$D$113:'Podcasts'!$D$238,"&gt;0",Podcasts!$E$113:'Podcasts'!$E$238,"&lt;="&amp;$C360)</f>
        <v>59</v>
      </c>
      <c r="G360" s="472">
        <f>COUNTIFS(Podcasts!$D$244:'Podcasts'!$D$299,"&gt;0",Podcasts!$E$244:'Podcasts'!$E$299,"&lt;="&amp;$C360)</f>
        <v>36</v>
      </c>
      <c r="H360" s="471">
        <v>135</v>
      </c>
      <c r="I360" s="471">
        <f>COUNTIFS(Podcasts!$D$479:'Podcasts'!$D$488,"&gt;0",Podcasts!$E$479:'Podcasts'!$E$488,"&lt;="&amp;$C360)</f>
        <v>3</v>
      </c>
      <c r="J360" s="472">
        <f>COUNTIFS(Podcasts!$D$494:'Podcasts'!$D$518,"&gt;0",Podcasts!$E$494:'Podcasts'!$E$518,"&lt;="&amp;$C360)</f>
        <v>16</v>
      </c>
      <c r="K360" s="473">
        <f>COUNTIFS(Podcasts!$D$524:'Podcasts'!$D$532,"&gt;0",Podcasts!$E$524:'Podcasts'!$E$532,"&lt;="&amp;$C360)</f>
        <v>7</v>
      </c>
      <c r="L360" s="471">
        <f>COUNTIFS(Podcasts!$D$538:'Podcasts'!$D$909,"&gt;0",Podcasts!$E$538:'Podcasts'!$E$909,"&lt;="&amp;$C360)-6</f>
        <v>79</v>
      </c>
      <c r="M360" s="471">
        <f>COUNTIFS(Podcasts!$D$915:'Podcasts'!$D$981,"&gt;0",Podcasts!$E$915:'Podcasts'!$E$981,"&lt;="&amp;$C360)</f>
        <v>39</v>
      </c>
      <c r="N360" s="473">
        <v>8</v>
      </c>
      <c r="O360" s="471">
        <f>COUNTIFS(Podcasts!$D$1001:'Podcasts'!$D$1251,"&gt;0",Podcasts!$E$1001:'Podcasts'!$E$1251,"&lt;="&amp;$C360)-3</f>
        <v>32</v>
      </c>
      <c r="P360" s="471">
        <f>COUNTIFS(Podcasts!$D$1257:'Podcasts'!$D$1267,"&gt;0",Podcasts!$E$1257:'Podcasts'!$E$1267,"&lt;="&amp;$C360)-1</f>
        <v>4</v>
      </c>
      <c r="Q360" s="473">
        <f>COUNTIFS(Podcasts!$D$1273:'Podcasts'!$D$1283,"&gt;0",Podcasts!$E$1273:'Podcasts'!$E$1283,"&lt;="&amp;$C360)-5</f>
        <v>5</v>
      </c>
      <c r="R360" s="471">
        <f>COUNTIFS(Podcasts!$D$1289:'Podcasts'!$D$1295,"&gt;0",Podcasts!$E$1289:'Podcasts'!$E$1295,"&lt;="&amp;$C360)</f>
        <v>5</v>
      </c>
      <c r="S360" s="472">
        <f>COUNTIFS(Podcasts!$D$1301:'Podcasts'!$D$1356,"&gt;0",Podcasts!$E$1301:'Podcasts'!$E$1356,"&lt;="&amp;$C360)-5</f>
        <v>11</v>
      </c>
      <c r="T360" s="473">
        <f>COUNTIFS(Podcasts!$D$1362:'Podcasts'!$D$1364,"&gt;0",Podcasts!$E$1362:'Podcasts'!$E$1364,"&lt;="&amp;$C360)</f>
        <v>3</v>
      </c>
      <c r="U360" s="471">
        <f>COUNTIFS(Podcasts!$D$1370:'Podcasts'!$D$1419,"&gt;0",Podcasts!$E$1370:'Podcasts'!$E$1419,"&lt;="&amp;$C360)</f>
        <v>8</v>
      </c>
      <c r="V360" s="471">
        <f>COUNTIFS(Podcasts!$D$1425:'Podcasts'!$D$1446,"&gt;0",Podcasts!$E$1425:'Podcasts'!$E$1446,"&lt;="&amp;$C360)</f>
        <v>5</v>
      </c>
      <c r="W360" s="469">
        <f>COUNTIFS(Podcasts!$D$1452:'Podcasts'!$D$1574,"&gt;0",Podcasts!$E$1452:'Podcasts'!$E$1574,"&lt;="&amp;$C360)</f>
        <v>15</v>
      </c>
      <c r="X360" s="471">
        <f>COUNTIFS(Podcasts!$D$1580:'Podcasts'!$D$1705,"&gt;0",Podcasts!$E$1580:'Podcasts'!$E$1705,"&lt;="&amp;$C360)</f>
        <v>17</v>
      </c>
      <c r="Y360" s="471">
        <f>COUNTIFS(Podcasts!$D$1711:'Podcasts'!$D$1833,"&gt;0",Podcasts!$E$1711:'Podcasts'!$E$1833,"&lt;="&amp;$C360)</f>
        <v>3</v>
      </c>
      <c r="Z360" s="473">
        <f>COUNTIFS(Podcasts!$D$1839:'Podcasts'!$D$1855,"&gt;0",Podcasts!$E$1839:'Podcasts'!$E$1855,"&lt;="&amp;$C360)</f>
        <v>0</v>
      </c>
      <c r="AA360" s="471"/>
      <c r="AB360" s="471"/>
      <c r="AC360" s="473"/>
      <c r="AD360" s="471"/>
      <c r="AE360" s="471"/>
      <c r="AF360" s="473">
        <f>COUNTIFS(Podcasts!$E$2131:'Podcasts'!$E$2367,"&lt;="&amp;$C360)</f>
        <v>42</v>
      </c>
      <c r="AH360" s="243">
        <f t="shared" si="5"/>
        <v>3740.55</v>
      </c>
      <c r="AI360" s="243">
        <f>SUMIFS(Podcasts!$F$10:'Podcasts'!$F$107,Podcasts!$D$10:'Podcasts'!$D$107,"&gt;0",Podcasts!$E$10:'Podcasts'!$E$107,"&gt;"&amp;$C359,Podcasts!$E$10:'Podcasts'!$E$107,"&lt;="&amp;$C360)*24*60</f>
        <v>85.416666666666671</v>
      </c>
      <c r="AJ360" s="243">
        <f>SUMIFS(Podcasts!$F$113:'Podcasts'!$F$238,Podcasts!$D$113:'Podcasts'!$D$238,"&gt;0",Podcasts!$E$113:'Podcasts'!$E$238,"&gt;"&amp;$C359,Podcasts!$E$113:'Podcasts'!$E$238,"&lt;="&amp;$C360)*24*60</f>
        <v>5.5166666666666666</v>
      </c>
      <c r="AK360" s="243">
        <f>SUMIFS(Podcasts!$F$244:'Podcasts'!$F$299,Podcasts!$D$244:'Podcasts'!$D$299,"&gt;0",Podcasts!$E$244:'Podcasts'!$E$299,"&gt;"&amp;$C359,Podcasts!$E$244:'Podcasts'!$E$299,"&lt;="&amp;$C360)*24*60</f>
        <v>0</v>
      </c>
      <c r="AL360" s="243">
        <f>SUMIFS(Podcasts!$F$305:'Podcasts'!$F$473,Podcasts!$D$305:'Podcasts'!$D$473,"&gt;0",Podcasts!$E$305:'Podcasts'!$E$473,"&gt;"&amp;$C359,Podcasts!$E$305:'Podcasts'!$E$473,"&lt;="&amp;$C360)*24*60</f>
        <v>0</v>
      </c>
      <c r="AM360" s="243">
        <f>SUMIFS(Podcasts!$F$479:'Podcasts'!$F$488,Podcasts!$D$479:'Podcasts'!$D$488,"&gt;0",Podcasts!$E$479:'Podcasts'!$E$488,"&gt;"&amp;$C359,Podcasts!$E$479:'Podcasts'!$E$488,"&lt;="&amp;$C360)*24*60</f>
        <v>0</v>
      </c>
      <c r="AN360" s="243">
        <f>SUMIFS(Podcasts!$F$494:'Podcasts'!$F$518,Podcasts!$D$494:'Podcasts'!$D$518,"&gt;0",Podcasts!$E$494:'Podcasts'!$E$518,"&gt;"&amp;$C359,Podcasts!$E$494:'Podcasts'!$E$518,"&lt;="&amp;$C360)*24*60</f>
        <v>98.833333333333329</v>
      </c>
      <c r="AO360" s="243">
        <f>SUMIFS(Podcasts!$F$524:'Podcasts'!$F$532,Podcasts!$D$524:'Podcasts'!$D$532,"&gt;0",Podcasts!$E$524:'Podcasts'!$E$532,"&gt;"&amp;$C359,Podcasts!$E$524:'Podcasts'!$E$532,"&lt;="&amp;$C360)*24*60</f>
        <v>0</v>
      </c>
      <c r="AP360" s="243">
        <f>SUMIFS(Podcasts!$F$538:'Podcasts'!$F$909,Podcasts!$D$538:'Podcasts'!$D$909,"&gt;0",Podcasts!$E$538:'Podcasts'!$E$909,"&gt;"&amp;$C359,Podcasts!$E$538:'Podcasts'!$E$909,"&lt;="&amp;$C360)*24*60</f>
        <v>497.36666666666673</v>
      </c>
      <c r="AQ360" s="243">
        <f>SUMIFS(Podcasts!$F$915:'Podcasts'!$F$981,Podcasts!$D$915:'Podcasts'!$D$981,"&gt;0",Podcasts!$E$915:'Podcasts'!$E$981,"&gt;"&amp;$C359,Podcasts!$E$915:'Podcasts'!$E$981,"&lt;="&amp;$C360)*24*60</f>
        <v>400.73333333333335</v>
      </c>
      <c r="AR360" s="243">
        <f>SUMIFS(Podcasts!$F$987:'Podcasts'!$F$995,Podcasts!$D$987:'Podcasts'!$D$995,"&gt;0",Podcasts!$E$987:'Podcasts'!$E$995,"&gt;"&amp;$C359,Podcasts!$E$987:'Podcasts'!$E$995,"&lt;="&amp;$C360)*24*60</f>
        <v>0</v>
      </c>
      <c r="AS360" s="243">
        <f>SUMIFS(Podcasts!$F$1001:'Podcasts'!$F$1251,Podcasts!$D$1001:'Podcasts'!$D$1251,"&gt;0",Podcasts!$E$1001:'Podcasts'!$E$1251,"&gt;"&amp;$C359,Podcasts!$E$1001:'Podcasts'!$E$1251,"&lt;="&amp;$C360)*24*60</f>
        <v>413.7166666666667</v>
      </c>
      <c r="AT360" s="243">
        <f>SUMIFS(Podcasts!$F$1257:'Podcasts'!$F$1267,Podcasts!$D$1257:'Podcasts'!$D$1267,"&gt;0",Podcasts!$E$1257:'Podcasts'!$E$1267,"&gt;"&amp;$C359,Podcasts!$E$1257:'Podcasts'!$E$1267,"&lt;="&amp;$C360)*24*60</f>
        <v>0</v>
      </c>
      <c r="AU360" s="243">
        <f>SUMIFS(Podcasts!$F$1273:'Podcasts'!$F$1283,Podcasts!$D$1273:'Podcasts'!$D$1283,"&gt;0",Podcasts!$E$1273:'Podcasts'!$E$1283,"&gt;"&amp;$C359,Podcasts!$E$1273:'Podcasts'!$E$1283,"&lt;="&amp;$C360)*24*60</f>
        <v>0</v>
      </c>
      <c r="AV360" s="243">
        <f>SUMIFS(Podcasts!$F$1289:'Podcasts'!$F$1295,Podcasts!$D$1289:'Podcasts'!$D$1295,"&gt;0",Podcasts!$E$1289:'Podcasts'!$E$1295,"&gt;"&amp;$C359,Podcasts!$E$1289:'Podcasts'!$E$1295,"&lt;="&amp;$C360)*24*60</f>
        <v>107.03333333333333</v>
      </c>
      <c r="AW360" s="243">
        <f>SUMIFS(Podcasts!$F$1301:'Podcasts'!$F$1356,Podcasts!$D$1301:'Podcasts'!$D$1356,"&gt;0",Podcasts!$E$1301:'Podcasts'!$E$1356,"&gt;"&amp;$C359,Podcasts!$E$1301:'Podcasts'!$E$1356,"&lt;="&amp;$C360)*24*60</f>
        <v>263.55</v>
      </c>
      <c r="AX360" s="243">
        <f>SUMIFS(Podcasts!$F$1362:'Podcasts'!$F$1364,Podcasts!$D$1362:'Podcasts'!$D$1364,"&gt;0",Podcasts!$E$1362:'Podcasts'!$E$1364,"&gt;"&amp;$C359,Podcasts!$E$1362:'Podcasts'!$E$1364,"&lt;="&amp;$C360)*24*60</f>
        <v>0</v>
      </c>
      <c r="AY360" s="243">
        <f>SUMIFS(Podcasts!$F$1370:'Podcasts'!$F$1419,Podcasts!$D$1370:'Podcasts'!$D$1419,"&gt;0",Podcasts!$E$1370:'Podcasts'!$E$1419,"&gt;"&amp;$C359,Podcasts!$E$1370:'Podcasts'!$E$1419,"&lt;="&amp;$C360)*24*60</f>
        <v>342.06666666666666</v>
      </c>
      <c r="AZ360" s="243">
        <f>SUMIFS(Podcasts!$F$1425:'Podcasts'!$F$1446,Podcasts!$D$1425:'Podcasts'!$D$1446,"&gt;0",Podcasts!$E$1425:'Podcasts'!$E$1446,"&gt;"&amp;$C359,Podcasts!$E$1425:'Podcasts'!$E$1446,"&lt;="&amp;$C360)*24*60</f>
        <v>233.3666666666667</v>
      </c>
      <c r="BA360" s="243">
        <f>SUMIFS(Podcasts!$F$1452:'Podcasts'!$F$1574,Podcasts!$D$1452:'Podcasts'!$D$1574,"&gt;0",Podcasts!$E$1452:'Podcasts'!$E$1574,"&gt;"&amp;$C359,Podcasts!$E$1452:'Podcasts'!$E$1574,"&lt;="&amp;$C360)*24*60</f>
        <v>274.01666666666665</v>
      </c>
      <c r="BB360" s="243">
        <f>SUMIFS(Podcasts!$F$1580:'Podcasts'!$F$1705,Podcasts!$D$1580:'Podcasts'!$D$1705,"&gt;0",Podcasts!$E$1580:'Podcasts'!$E$1705,"&gt;"&amp;$C359,Podcasts!$E$1580:'Podcasts'!$E$1705,"&lt;="&amp;$C360)*24*60</f>
        <v>945.4666666666667</v>
      </c>
      <c r="BC360" s="243">
        <f>SUMIFS(Podcasts!$F$1711:'Podcasts'!$F$1833,Podcasts!$D$1711:'Podcasts'!$D$1833,"&gt;0",Podcasts!$E$1711:'Podcasts'!$E$1833,"&gt;"&amp;$C359,Podcasts!$E$1711:'Podcasts'!$E$1833,"&lt;="&amp;$C360)*24*60</f>
        <v>73.466666666666669</v>
      </c>
      <c r="BD360" s="243">
        <f>SUMIFS(Podcasts!$F$1839:'Podcasts'!$F$1855,Podcasts!$D$1839:'Podcasts'!$D$1855,"&gt;0",Podcasts!$E$1839:'Podcasts'!$E$1855,"&gt;"&amp;$C359,Podcasts!$E$1839:'Podcasts'!$E$1855,"&lt;="&amp;$C360)*24*60</f>
        <v>0</v>
      </c>
      <c r="BE360" s="243">
        <f>SUMIFS(Podcasts!$F$1861:'Podcasts'!$F$1994,Podcasts!$D$1861:'Podcasts'!$D$1994,"&gt;0",Podcasts!$E$1861:'Podcasts'!$E$1994,"&gt;"&amp;$C359,Podcasts!$E$1861:'Podcasts'!$E$1994,"&lt;="&amp;$C360)*24*60</f>
        <v>0</v>
      </c>
      <c r="BF360" s="243">
        <f>SUMIFS(Podcasts!$F$2000:'Podcasts'!$F$2057,Podcasts!$D$2000:'Podcasts'!$D$2057,"&gt;0",Podcasts!$E$2000:'Podcasts'!$E$2057,"&gt;"&amp;$C359,Podcasts!$E$2000:'Podcasts'!$E$2057,"&lt;="&amp;$C360)*24*60</f>
        <v>0</v>
      </c>
      <c r="BG360" s="243">
        <f>SUMIFS(Podcasts!$F$2063:'Podcasts'!$F$2071,Podcasts!$D$2063:'Podcasts'!$D$2071,"&gt;0",Podcasts!$E$2063:'Podcasts'!$E$2071,"&gt;"&amp;$C359,Podcasts!$E$2063:'Podcasts'!$E$2071,"&lt;="&amp;$C360)*24*60</f>
        <v>0</v>
      </c>
      <c r="BH360" s="243">
        <f>SUMIFS(Podcasts!$F$2131:'Podcasts'!$F$2367,Podcasts!$D$2131:'Podcasts'!$D$2367,"&gt;0",Podcasts!$E$2131:'Podcasts'!$E$2367,"&gt;"&amp;$C359,Podcasts!$E$2131:'Podcasts'!$E$2367,"&lt;="&amp;$C360)*24*60</f>
        <v>0</v>
      </c>
    </row>
    <row r="361" spans="1:60" outlineLevel="1">
      <c r="A361" s="163">
        <f t="shared" si="7"/>
        <v>575</v>
      </c>
      <c r="B361" s="164">
        <f t="shared" ref="B361:B367" si="12">A361-A360</f>
        <v>50</v>
      </c>
      <c r="C361" s="72">
        <v>44377</v>
      </c>
      <c r="D361" s="166" t="str">
        <f>A361&amp;" (+"&amp;B361&amp;")"</f>
        <v>575 (+50)</v>
      </c>
      <c r="E361" s="106">
        <f>COUNTIFS(Podcasts!$D$10:'Podcasts'!$D$107,"&gt;0",Podcasts!$E$10:'Podcasts'!$E$107,"&lt;="&amp;$C361)-2</f>
        <v>43</v>
      </c>
      <c r="F361" s="467">
        <f>COUNTIFS(Podcasts!$D$113:'Podcasts'!$D$238,"&gt;0",Podcasts!$E$113:'Podcasts'!$E$238,"&lt;="&amp;$C361)</f>
        <v>60</v>
      </c>
      <c r="G361" s="468">
        <f>COUNTIFS(Podcasts!$D$244:'Podcasts'!$D$299,"&gt;0",Podcasts!$E$244:'Podcasts'!$E$299,"&lt;="&amp;$C361)</f>
        <v>36</v>
      </c>
      <c r="H361" s="467">
        <v>135</v>
      </c>
      <c r="I361" s="467">
        <f>COUNTIFS(Podcasts!$D$479:'Podcasts'!$D$488,"&gt;0",Podcasts!$E$479:'Podcasts'!$E$488,"&lt;="&amp;$C361)</f>
        <v>3</v>
      </c>
      <c r="J361" s="468">
        <f>COUNTIFS(Podcasts!$D$494:'Podcasts'!$D$518,"&gt;0",Podcasts!$E$494:'Podcasts'!$E$518,"&lt;="&amp;$C361)</f>
        <v>16</v>
      </c>
      <c r="K361" s="469">
        <f>COUNTIFS(Podcasts!$D$524:'Podcasts'!$D$532,"&gt;0",Podcasts!$E$524:'Podcasts'!$E$532,"&lt;="&amp;$C361)</f>
        <v>7</v>
      </c>
      <c r="L361" s="467">
        <f>COUNTIFS(Podcasts!$D$538:'Podcasts'!$D$909,"&gt;0",Podcasts!$E$538:'Podcasts'!$E$909,"&lt;="&amp;$C361)-6</f>
        <v>83</v>
      </c>
      <c r="M361" s="467">
        <f>COUNTIFS(Podcasts!$D$915:'Podcasts'!$D$981,"&gt;0",Podcasts!$E$915:'Podcasts'!$E$981,"&lt;="&amp;$C361)</f>
        <v>42</v>
      </c>
      <c r="N361" s="469">
        <v>8</v>
      </c>
      <c r="O361" s="467">
        <f>COUNTIFS(Podcasts!$D$1001:'Podcasts'!$D$1251,"&gt;0",Podcasts!$E$1001:'Podcasts'!$E$1251,"&lt;="&amp;$C361)-3</f>
        <v>34</v>
      </c>
      <c r="P361" s="467">
        <f>COUNTIFS(Podcasts!$D$1257:'Podcasts'!$D$1267,"&gt;0",Podcasts!$E$1257:'Podcasts'!$E$1267,"&lt;="&amp;$C361)-1</f>
        <v>4</v>
      </c>
      <c r="Q361" s="469">
        <f>COUNTIFS(Podcasts!$D$1273:'Podcasts'!$D$1283,"&gt;0",Podcasts!$E$1273:'Podcasts'!$E$1283,"&lt;="&amp;$C361)-5</f>
        <v>5</v>
      </c>
      <c r="R361" s="467">
        <f>COUNTIFS(Podcasts!$D$1289:'Podcasts'!$D$1295,"&gt;0",Podcasts!$E$1289:'Podcasts'!$E$1295,"&lt;="&amp;$C361)</f>
        <v>7</v>
      </c>
      <c r="S361" s="467">
        <f>COUNTIFS(Podcasts!$D$1301:'Podcasts'!$D$1356,"&gt;0",Podcasts!$E$1301:'Podcasts'!$E$1356,"&lt;="&amp;$C361)-5</f>
        <v>14</v>
      </c>
      <c r="T361" s="469">
        <f>COUNTIFS(Podcasts!$D$1362:'Podcasts'!$D$1364,"&gt;0",Podcasts!$E$1362:'Podcasts'!$E$1364,"&lt;="&amp;$C361)</f>
        <v>3</v>
      </c>
      <c r="U361" s="467">
        <f>COUNTIFS(Podcasts!$D$1370:'Podcasts'!$D$1419,"&gt;0",Podcasts!$E$1370:'Podcasts'!$E$1419,"&lt;="&amp;$C361)</f>
        <v>11</v>
      </c>
      <c r="V361" s="467">
        <f>COUNTIFS(Podcasts!$D$1425:'Podcasts'!$D$1446,"&gt;0",Podcasts!$E$1425:'Podcasts'!$E$1446,"&lt;="&amp;$C361)</f>
        <v>8</v>
      </c>
      <c r="W361" s="469">
        <f>COUNTIFS(Podcasts!$D$1452:'Podcasts'!$D$1574,"&gt;0",Podcasts!$E$1452:'Podcasts'!$E$1574,"&lt;="&amp;$C361)</f>
        <v>24</v>
      </c>
      <c r="X361" s="467">
        <f>COUNTIFS(Podcasts!$D$1580:'Podcasts'!$D$1705,"&gt;0",Podcasts!$E$1580:'Podcasts'!$E$1705,"&lt;="&amp;$C361)</f>
        <v>30</v>
      </c>
      <c r="Y361" s="467">
        <f>COUNTIFS(Podcasts!$D$1711:'Podcasts'!$D$1833,"&gt;0",Podcasts!$E$1711:'Podcasts'!$E$1833,"&lt;="&amp;$C361)</f>
        <v>9</v>
      </c>
      <c r="Z361" s="469">
        <f>COUNTIFS(Podcasts!$D$1839:'Podcasts'!$D$1855,"&gt;0",Podcasts!$E$1839:'Podcasts'!$E$1855,"&lt;="&amp;$C361)</f>
        <v>1</v>
      </c>
      <c r="AA361" s="467">
        <f>COUNTIFS(Podcasts!$D$1861:'Podcasts'!$D$1994,"&gt;0",Podcasts!$E$1861:'Podcasts'!$E$1994,"&lt;="&amp;$C361)</f>
        <v>0</v>
      </c>
      <c r="AC361" s="425"/>
      <c r="AF361" s="469">
        <f>COUNTIFS(Podcasts!$E$2131:'Podcasts'!$E$2367,"&lt;="&amp;$C361)</f>
        <v>45</v>
      </c>
      <c r="AH361" s="243">
        <f t="shared" si="5"/>
        <v>4119.4166666666661</v>
      </c>
      <c r="AI361" s="243">
        <f>SUMIFS(Podcasts!$F$10:'Podcasts'!$F$107,Podcasts!$D$10:'Podcasts'!$D$107,"&gt;0",Podcasts!$E$10:'Podcasts'!$E$107,"&gt;"&amp;$C360,Podcasts!$E$10:'Podcasts'!$E$107,"&lt;="&amp;$C361)*24*60</f>
        <v>0</v>
      </c>
      <c r="AJ361" s="243">
        <f>SUMIFS(Podcasts!$F$113:'Podcasts'!$F$238,Podcasts!$D$113:'Podcasts'!$D$238,"&gt;0",Podcasts!$E$113:'Podcasts'!$E$238,"&gt;"&amp;$C360,Podcasts!$E$113:'Podcasts'!$E$238,"&lt;="&amp;$C361)*24*60</f>
        <v>2.4166666666666665</v>
      </c>
      <c r="AK361" s="243">
        <f>SUMIFS(Podcasts!$F$244:'Podcasts'!$F$299,Podcasts!$D$244:'Podcasts'!$D$299,"&gt;0",Podcasts!$E$244:'Podcasts'!$E$299,"&gt;"&amp;$C360,Podcasts!$E$244:'Podcasts'!$E$299,"&lt;="&amp;$C361)*24*60</f>
        <v>0</v>
      </c>
      <c r="AL361" s="243">
        <f>SUMIFS(Podcasts!$F$305:'Podcasts'!$F$473,Podcasts!$D$305:'Podcasts'!$D$473,"&gt;0",Podcasts!$E$305:'Podcasts'!$E$473,"&gt;"&amp;$C360,Podcasts!$E$305:'Podcasts'!$E$473,"&lt;="&amp;$C361)*24*60</f>
        <v>0</v>
      </c>
      <c r="AM361" s="243">
        <f>SUMIFS(Podcasts!$F$479:'Podcasts'!$F$488,Podcasts!$D$479:'Podcasts'!$D$488,"&gt;0",Podcasts!$E$479:'Podcasts'!$E$488,"&gt;"&amp;$C360,Podcasts!$E$479:'Podcasts'!$E$488,"&lt;="&amp;$C361)*24*60</f>
        <v>0</v>
      </c>
      <c r="AN361" s="243">
        <f>SUMIFS(Podcasts!$F$494:'Podcasts'!$F$518,Podcasts!$D$494:'Podcasts'!$D$518,"&gt;0",Podcasts!$E$494:'Podcasts'!$E$518,"&gt;"&amp;$C360,Podcasts!$E$494:'Podcasts'!$E$518,"&lt;="&amp;$C361)*24*60</f>
        <v>0</v>
      </c>
      <c r="AO361" s="243">
        <f>SUMIFS(Podcasts!$F$524:'Podcasts'!$F$532,Podcasts!$D$524:'Podcasts'!$D$532,"&gt;0",Podcasts!$E$524:'Podcasts'!$E$532,"&gt;"&amp;$C360,Podcasts!$E$524:'Podcasts'!$E$532,"&lt;="&amp;$C361)*24*60</f>
        <v>0</v>
      </c>
      <c r="AP361" s="243">
        <f>SUMIFS(Podcasts!$F$538:'Podcasts'!$F$909,Podcasts!$D$538:'Podcasts'!$D$909,"&gt;0",Podcasts!$E$538:'Podcasts'!$E$909,"&gt;"&amp;$C360,Podcasts!$E$538:'Podcasts'!$E$909,"&lt;="&amp;$C361)*24*60</f>
        <v>459.23333333333329</v>
      </c>
      <c r="AQ361" s="243">
        <f>SUMIFS(Podcasts!$F$915:'Podcasts'!$F$981,Podcasts!$D$915:'Podcasts'!$D$981,"&gt;0",Podcasts!$E$915:'Podcasts'!$E$981,"&gt;"&amp;$C360,Podcasts!$E$915:'Podcasts'!$E$981,"&lt;="&amp;$C361)*24*60</f>
        <v>422.2</v>
      </c>
      <c r="AR361" s="243">
        <f>SUMIFS(Podcasts!$F$987:'Podcasts'!$F$995,Podcasts!$D$987:'Podcasts'!$D$995,"&gt;0",Podcasts!$E$987:'Podcasts'!$E$995,"&gt;"&amp;$C360,Podcasts!$E$987:'Podcasts'!$E$995,"&lt;="&amp;$C361)*24*60</f>
        <v>0</v>
      </c>
      <c r="AS361" s="243">
        <f>SUMIFS(Podcasts!$F$1001:'Podcasts'!$F$1251,Podcasts!$D$1001:'Podcasts'!$D$1251,"&gt;0",Podcasts!$E$1001:'Podcasts'!$E$1251,"&gt;"&amp;$C360,Podcasts!$E$1001:'Podcasts'!$E$1251,"&lt;="&amp;$C361)*24*60</f>
        <v>412.16666666666663</v>
      </c>
      <c r="AT361" s="243">
        <f>SUMIFS(Podcasts!$F$1257:'Podcasts'!$F$1267,Podcasts!$D$1257:'Podcasts'!$D$1267,"&gt;0",Podcasts!$E$1257:'Podcasts'!$E$1267,"&gt;"&amp;$C360,Podcasts!$E$1257:'Podcasts'!$E$1267,"&lt;="&amp;$C361)*24*60</f>
        <v>0</v>
      </c>
      <c r="AU361" s="243">
        <f>SUMIFS(Podcasts!$F$1273:'Podcasts'!$F$1283,Podcasts!$D$1273:'Podcasts'!$D$1283,"&gt;0",Podcasts!$E$1273:'Podcasts'!$E$1283,"&gt;"&amp;$C360,Podcasts!$E$1273:'Podcasts'!$E$1283,"&lt;="&amp;$C361)*24*60</f>
        <v>0</v>
      </c>
      <c r="AV361" s="243">
        <f>SUMIFS(Podcasts!$F$1289:'Podcasts'!$F$1295,Podcasts!$D$1289:'Podcasts'!$D$1295,"&gt;0",Podcasts!$E$1289:'Podcasts'!$E$1295,"&gt;"&amp;$C360,Podcasts!$E$1289:'Podcasts'!$E$1295,"&lt;="&amp;$C361)*24*60</f>
        <v>181.55</v>
      </c>
      <c r="AW361" s="243">
        <f>SUMIFS(Podcasts!$F$1301:'Podcasts'!$F$1356,Podcasts!$D$1301:'Podcasts'!$D$1356,"&gt;0",Podcasts!$E$1301:'Podcasts'!$E$1356,"&gt;"&amp;$C360,Podcasts!$E$1301:'Podcasts'!$E$1356,"&lt;="&amp;$C361)*24*60</f>
        <v>234.96666666666667</v>
      </c>
      <c r="AX361" s="243">
        <f>SUMIFS(Podcasts!$F$1362:'Podcasts'!$F$1364,Podcasts!$D$1362:'Podcasts'!$D$1364,"&gt;0",Podcasts!$E$1362:'Podcasts'!$E$1364,"&gt;"&amp;$C360,Podcasts!$E$1362:'Podcasts'!$E$1364,"&lt;="&amp;$C361)*24*60</f>
        <v>0</v>
      </c>
      <c r="AY361" s="243">
        <f>SUMIFS(Podcasts!$F$1370:'Podcasts'!$F$1419,Podcasts!$D$1370:'Podcasts'!$D$1419,"&gt;0",Podcasts!$E$1370:'Podcasts'!$E$1419,"&gt;"&amp;$C360,Podcasts!$E$1370:'Podcasts'!$E$1419,"&lt;="&amp;$C361)*24*60</f>
        <v>415.85</v>
      </c>
      <c r="AZ361" s="243">
        <f>SUMIFS(Podcasts!$F$1425:'Podcasts'!$F$1446,Podcasts!$D$1425:'Podcasts'!$D$1446,"&gt;0",Podcasts!$E$1425:'Podcasts'!$E$1446,"&gt;"&amp;$C360,Podcasts!$E$1425:'Podcasts'!$E$1446,"&lt;="&amp;$C361)*24*60</f>
        <v>309.5</v>
      </c>
      <c r="BA361" s="243">
        <f>SUMIFS(Podcasts!$F$1452:'Podcasts'!$F$1574,Podcasts!$D$1452:'Podcasts'!$D$1574,"&gt;0",Podcasts!$E$1452:'Podcasts'!$E$1574,"&gt;"&amp;$C360,Podcasts!$E$1452:'Podcasts'!$E$1574,"&lt;="&amp;$C361)*24*60</f>
        <v>345.83333333333337</v>
      </c>
      <c r="BB361" s="243">
        <f>SUMIFS(Podcasts!$F$1580:'Podcasts'!$F$1705,Podcasts!$D$1580:'Podcasts'!$D$1705,"&gt;0",Podcasts!$E$1580:'Podcasts'!$E$1705,"&gt;"&amp;$C360,Podcasts!$E$1580:'Podcasts'!$E$1705,"&lt;="&amp;$C361)*24*60</f>
        <v>1111.383333333333</v>
      </c>
      <c r="BC361" s="243">
        <f>SUMIFS(Podcasts!$F$1711:'Podcasts'!$F$1833,Podcasts!$D$1711:'Podcasts'!$D$1833,"&gt;0",Podcasts!$E$1711:'Podcasts'!$E$1833,"&gt;"&amp;$C360,Podcasts!$E$1711:'Podcasts'!$E$1833,"&lt;="&amp;$C361)*24*60</f>
        <v>182.98333333333332</v>
      </c>
      <c r="BD361" s="243">
        <f>SUMIFS(Podcasts!$F$1839:'Podcasts'!$F$1855,Podcasts!$D$1839:'Podcasts'!$D$1855,"&gt;0",Podcasts!$E$1839:'Podcasts'!$E$1855,"&gt;"&amp;$C360,Podcasts!$E$1839:'Podcasts'!$E$1855,"&lt;="&amp;$C361)*24*60</f>
        <v>41.333333333333336</v>
      </c>
      <c r="BE361" s="243">
        <f>SUMIFS(Podcasts!$F$1861:'Podcasts'!$F$1994,Podcasts!$D$1861:'Podcasts'!$D$1994,"&gt;0",Podcasts!$E$1861:'Podcasts'!$E$1994,"&gt;"&amp;$C360,Podcasts!$E$1861:'Podcasts'!$E$1994,"&lt;="&amp;$C361)*24*60</f>
        <v>0</v>
      </c>
      <c r="BF361" s="243">
        <f>SUMIFS(Podcasts!$F$2000:'Podcasts'!$F$2057,Podcasts!$D$2000:'Podcasts'!$D$2057,"&gt;0",Podcasts!$E$2000:'Podcasts'!$E$2057,"&gt;"&amp;$C360,Podcasts!$E$2000:'Podcasts'!$E$2057,"&lt;="&amp;$C361)*24*60</f>
        <v>0</v>
      </c>
      <c r="BG361" s="243">
        <f>SUMIFS(Podcasts!$F$2063:'Podcasts'!$F$2071,Podcasts!$D$2063:'Podcasts'!$D$2071,"&gt;0",Podcasts!$E$2063:'Podcasts'!$E$2071,"&gt;"&amp;$C360,Podcasts!$E$2063:'Podcasts'!$E$2071,"&lt;="&amp;$C361)*24*60</f>
        <v>0</v>
      </c>
      <c r="BH361" s="243">
        <f>SUMIFS(Podcasts!$F$2131:'Podcasts'!$F$2367,Podcasts!$D$2131:'Podcasts'!$D$2367,"&gt;0",Podcasts!$E$2131:'Podcasts'!$E$2367,"&gt;"&amp;$C360,Podcasts!$E$2131:'Podcasts'!$E$2367,"&lt;="&amp;$C361)*24*60</f>
        <v>0</v>
      </c>
    </row>
    <row r="362" spans="1:60" outlineLevel="1">
      <c r="A362" s="163">
        <f t="shared" si="7"/>
        <v>619</v>
      </c>
      <c r="B362" s="164">
        <f t="shared" si="12"/>
        <v>44</v>
      </c>
      <c r="C362" s="72">
        <v>44469</v>
      </c>
      <c r="D362" s="166" t="str">
        <f t="shared" ref="D362:D364" si="13">A362&amp;" (+"&amp;B362&amp;")"</f>
        <v>619 (+44)</v>
      </c>
      <c r="E362" s="106">
        <f>COUNTIFS(Podcasts!$D$10:'Podcasts'!$D$107,"&gt;0",Podcasts!$E$10:'Podcasts'!$E$107,"&lt;="&amp;$C362)-2</f>
        <v>43</v>
      </c>
      <c r="F362" s="467">
        <f>COUNTIFS(Podcasts!$D$113:'Podcasts'!$D$238,"&gt;0",Podcasts!$E$113:'Podcasts'!$E$238,"&lt;="&amp;$C362)</f>
        <v>62</v>
      </c>
      <c r="G362" s="468">
        <f>COUNTIFS(Podcasts!$D$244:'Podcasts'!$D$299,"&gt;0",Podcasts!$E$244:'Podcasts'!$E$299,"&lt;="&amp;$C362)</f>
        <v>36</v>
      </c>
      <c r="H362" s="467">
        <v>135</v>
      </c>
      <c r="I362" s="467">
        <f>COUNTIFS(Podcasts!$D$479:'Podcasts'!$D$488,"&gt;0",Podcasts!$E$479:'Podcasts'!$E$488,"&lt;="&amp;$C362)</f>
        <v>3</v>
      </c>
      <c r="J362" s="468">
        <f>COUNTIFS(Podcasts!$D$494:'Podcasts'!$D$518,"&gt;0",Podcasts!$E$494:'Podcasts'!$E$518,"&lt;="&amp;$C362)</f>
        <v>16</v>
      </c>
      <c r="K362" s="469">
        <f>COUNTIFS(Podcasts!$D$524:'Podcasts'!$D$532,"&gt;0",Podcasts!$E$524:'Podcasts'!$E$532,"&lt;="&amp;$C362)</f>
        <v>7</v>
      </c>
      <c r="L362" s="467">
        <f>COUNTIFS(Podcasts!$D$538:'Podcasts'!$D$909,"&gt;0",Podcasts!$E$538:'Podcasts'!$E$909,"&lt;="&amp;$C362)-6</f>
        <v>89</v>
      </c>
      <c r="M362" s="467">
        <f>COUNTIFS(Podcasts!$D$915:'Podcasts'!$D$981,"&gt;0",Podcasts!$E$915:'Podcasts'!$E$981,"&lt;="&amp;$C362)</f>
        <v>45</v>
      </c>
      <c r="N362" s="469">
        <v>8</v>
      </c>
      <c r="O362" s="467">
        <f>COUNTIFS(Podcasts!$D$1001:'Podcasts'!$D$1251,"&gt;0",Podcasts!$E$1001:'Podcasts'!$E$1251,"&lt;="&amp;$C362)-3</f>
        <v>36</v>
      </c>
      <c r="P362" s="467">
        <f>COUNTIFS(Podcasts!$D$1257:'Podcasts'!$D$1267,"&gt;0",Podcasts!$E$1257:'Podcasts'!$E$1267,"&lt;="&amp;$C362)-1</f>
        <v>4</v>
      </c>
      <c r="Q362" s="469">
        <f>COUNTIFS(Podcasts!$D$1273:'Podcasts'!$D$1283,"&gt;0",Podcasts!$E$1273:'Podcasts'!$E$1283,"&lt;="&amp;$C362)-5</f>
        <v>5</v>
      </c>
      <c r="R362" s="467">
        <f>COUNTIFS(Podcasts!$D$1289:'Podcasts'!$D$1295,"&gt;0",Podcasts!$E$1289:'Podcasts'!$E$1295,"&lt;="&amp;$C362)</f>
        <v>7</v>
      </c>
      <c r="S362" s="467">
        <f>COUNTIFS(Podcasts!$D$1301:'Podcasts'!$D$1356,"&gt;0",Podcasts!$E$1301:'Podcasts'!$E$1356,"&lt;="&amp;$C362)-5</f>
        <v>17</v>
      </c>
      <c r="T362" s="469">
        <f>COUNTIFS(Podcasts!$D$1362:'Podcasts'!$D$1364,"&gt;0",Podcasts!$E$1362:'Podcasts'!$E$1364,"&lt;="&amp;$C362)</f>
        <v>3</v>
      </c>
      <c r="U362" s="467">
        <f>COUNTIFS(Podcasts!$D$1370:'Podcasts'!$D$1419,"&gt;0",Podcasts!$E$1370:'Podcasts'!$E$1419,"&lt;="&amp;$C362)</f>
        <v>14</v>
      </c>
      <c r="V362" s="467">
        <f>COUNTIFS(Podcasts!$D$1425:'Podcasts'!$D$1446,"&gt;0",Podcasts!$E$1425:'Podcasts'!$E$1446,"&lt;="&amp;$C362)</f>
        <v>11</v>
      </c>
      <c r="W362" s="469">
        <f>COUNTIFS(Podcasts!$D$1452:'Podcasts'!$D$1574,"&gt;0",Podcasts!$E$1452:'Podcasts'!$E$1574,"&lt;="&amp;$C362)</f>
        <v>28</v>
      </c>
      <c r="X362" s="467">
        <f>COUNTIFS(Podcasts!$D$1580:'Podcasts'!$D$1705,"&gt;0",Podcasts!$E$1580:'Podcasts'!$E$1705,"&lt;="&amp;$C362)</f>
        <v>34</v>
      </c>
      <c r="Y362" s="467">
        <f>COUNTIFS(Podcasts!$D$1711:'Podcasts'!$D$1833,"&gt;0",Podcasts!$E$1711:'Podcasts'!$E$1833,"&lt;="&amp;$C362)</f>
        <v>14</v>
      </c>
      <c r="Z362" s="469">
        <f>COUNTIFS(Podcasts!$D$1839:'Podcasts'!$D$1855,"&gt;0",Podcasts!$E$1839:'Podcasts'!$E$1855,"&lt;="&amp;$C362)</f>
        <v>1</v>
      </c>
      <c r="AA362" s="467">
        <f>COUNTIFS(Podcasts!$D$1861:'Podcasts'!$D$1994,"&gt;0",Podcasts!$E$1861:'Podcasts'!$E$1994,"&lt;="&amp;$C362)</f>
        <v>9</v>
      </c>
      <c r="AC362" s="425"/>
      <c r="AF362" s="469">
        <f>COUNTIFS(Podcasts!$E$2131:'Podcasts'!$E$2367,"&lt;="&amp;$C362)</f>
        <v>46</v>
      </c>
      <c r="AH362" s="243">
        <f t="shared" si="5"/>
        <v>3695.2333333333327</v>
      </c>
      <c r="AI362" s="243">
        <f>SUMIFS(Podcasts!$F$10:'Podcasts'!$F$107,Podcasts!$D$10:'Podcasts'!$D$107,"&gt;0",Podcasts!$E$10:'Podcasts'!$E$107,"&gt;"&amp;$C361,Podcasts!$E$10:'Podcasts'!$E$107,"&lt;="&amp;$C362)*24*60</f>
        <v>0</v>
      </c>
      <c r="AJ362" s="243">
        <f>SUMIFS(Podcasts!$F$113:'Podcasts'!$F$238,Podcasts!$D$113:'Podcasts'!$D$238,"&gt;0",Podcasts!$E$113:'Podcasts'!$E$238,"&gt;"&amp;$C361,Podcasts!$E$113:'Podcasts'!$E$238,"&lt;="&amp;$C362)*24*60</f>
        <v>9.2666666666666675</v>
      </c>
      <c r="AK362" s="243">
        <f>SUMIFS(Podcasts!$F$244:'Podcasts'!$F$299,Podcasts!$D$244:'Podcasts'!$D$299,"&gt;0",Podcasts!$E$244:'Podcasts'!$E$299,"&gt;"&amp;$C361,Podcasts!$E$244:'Podcasts'!$E$299,"&lt;="&amp;$C362)*24*60</f>
        <v>0</v>
      </c>
      <c r="AL362" s="243">
        <f>SUMIFS(Podcasts!$F$305:'Podcasts'!$F$473,Podcasts!$D$305:'Podcasts'!$D$473,"&gt;0",Podcasts!$E$305:'Podcasts'!$E$473,"&gt;"&amp;$C361,Podcasts!$E$305:'Podcasts'!$E$473,"&lt;="&amp;$C362)*24*60</f>
        <v>0</v>
      </c>
      <c r="AM362" s="243">
        <f>SUMIFS(Podcasts!$F$479:'Podcasts'!$F$488,Podcasts!$D$479:'Podcasts'!$D$488,"&gt;0",Podcasts!$E$479:'Podcasts'!$E$488,"&gt;"&amp;$C361,Podcasts!$E$479:'Podcasts'!$E$488,"&lt;="&amp;$C362)*24*60</f>
        <v>0</v>
      </c>
      <c r="AN362" s="243">
        <f>SUMIFS(Podcasts!$F$494:'Podcasts'!$F$518,Podcasts!$D$494:'Podcasts'!$D$518,"&gt;0",Podcasts!$E$494:'Podcasts'!$E$518,"&gt;"&amp;$C361,Podcasts!$E$494:'Podcasts'!$E$518,"&lt;="&amp;$C362)*24*60</f>
        <v>0</v>
      </c>
      <c r="AO362" s="243">
        <f>SUMIFS(Podcasts!$F$524:'Podcasts'!$F$532,Podcasts!$D$524:'Podcasts'!$D$532,"&gt;0",Podcasts!$E$524:'Podcasts'!$E$532,"&gt;"&amp;$C361,Podcasts!$E$524:'Podcasts'!$E$532,"&lt;="&amp;$C362)*24*60</f>
        <v>0</v>
      </c>
      <c r="AP362" s="243">
        <f>SUMIFS(Podcasts!$F$538:'Podcasts'!$F$909,Podcasts!$D$538:'Podcasts'!$D$909,"&gt;0",Podcasts!$E$538:'Podcasts'!$E$909,"&gt;"&amp;$C361,Podcasts!$E$538:'Podcasts'!$E$909,"&lt;="&amp;$C362)*24*60</f>
        <v>677.46666666666658</v>
      </c>
      <c r="AQ362" s="243">
        <f>SUMIFS(Podcasts!$F$915:'Podcasts'!$F$981,Podcasts!$D$915:'Podcasts'!$D$981,"&gt;0",Podcasts!$E$915:'Podcasts'!$E$981,"&gt;"&amp;$C361,Podcasts!$E$915:'Podcasts'!$E$981,"&lt;="&amp;$C362)*24*60</f>
        <v>419.48333333333329</v>
      </c>
      <c r="AR362" s="243">
        <f>SUMIFS(Podcasts!$F$987:'Podcasts'!$F$995,Podcasts!$D$987:'Podcasts'!$D$995,"&gt;0",Podcasts!$E$987:'Podcasts'!$E$995,"&gt;"&amp;$C361,Podcasts!$E$987:'Podcasts'!$E$995,"&lt;="&amp;$C362)*24*60</f>
        <v>0</v>
      </c>
      <c r="AS362" s="243">
        <f>SUMIFS(Podcasts!$F$1001:'Podcasts'!$F$1251,Podcasts!$D$1001:'Podcasts'!$D$1251,"&gt;0",Podcasts!$E$1001:'Podcasts'!$E$1251,"&gt;"&amp;$C361,Podcasts!$E$1001:'Podcasts'!$E$1251,"&lt;="&amp;$C362)*24*60</f>
        <v>300.81666666666661</v>
      </c>
      <c r="AT362" s="243">
        <f>SUMIFS(Podcasts!$F$1257:'Podcasts'!$F$1267,Podcasts!$D$1257:'Podcasts'!$D$1267,"&gt;0",Podcasts!$E$1257:'Podcasts'!$E$1267,"&gt;"&amp;$C361,Podcasts!$E$1257:'Podcasts'!$E$1267,"&lt;="&amp;$C362)*24*60</f>
        <v>0</v>
      </c>
      <c r="AU362" s="243">
        <f>SUMIFS(Podcasts!$F$1273:'Podcasts'!$F$1283,Podcasts!$D$1273:'Podcasts'!$D$1283,"&gt;0",Podcasts!$E$1273:'Podcasts'!$E$1283,"&gt;"&amp;$C361,Podcasts!$E$1273:'Podcasts'!$E$1283,"&lt;="&amp;$C362)*24*60</f>
        <v>0</v>
      </c>
      <c r="AV362" s="243">
        <f>SUMIFS(Podcasts!$F$1289:'Podcasts'!$F$1295,Podcasts!$D$1289:'Podcasts'!$D$1295,"&gt;0",Podcasts!$E$1289:'Podcasts'!$E$1295,"&gt;"&amp;$C361,Podcasts!$E$1289:'Podcasts'!$E$1295,"&lt;="&amp;$C362)*24*60</f>
        <v>0</v>
      </c>
      <c r="AW362" s="243">
        <f>SUMIFS(Podcasts!$F$1301:'Podcasts'!$F$1356,Podcasts!$D$1301:'Podcasts'!$D$1356,"&gt;0",Podcasts!$E$1301:'Podcasts'!$E$1356,"&gt;"&amp;$C361,Podcasts!$E$1301:'Podcasts'!$E$1356,"&lt;="&amp;$C362)*24*60</f>
        <v>242.88333333333335</v>
      </c>
      <c r="AX362" s="243">
        <f>SUMIFS(Podcasts!$F$1362:'Podcasts'!$F$1364,Podcasts!$D$1362:'Podcasts'!$D$1364,"&gt;0",Podcasts!$E$1362:'Podcasts'!$E$1364,"&gt;"&amp;$C361,Podcasts!$E$1362:'Podcasts'!$E$1364,"&lt;="&amp;$C362)*24*60</f>
        <v>0</v>
      </c>
      <c r="AY362" s="243">
        <f>SUMIFS(Podcasts!$F$1370:'Podcasts'!$F$1419,Podcasts!$D$1370:'Podcasts'!$D$1419,"&gt;0",Podcasts!$E$1370:'Podcasts'!$E$1419,"&gt;"&amp;$C361,Podcasts!$E$1370:'Podcasts'!$E$1419,"&lt;="&amp;$C362)*24*60</f>
        <v>353.50000000000006</v>
      </c>
      <c r="AZ362" s="243">
        <f>SUMIFS(Podcasts!$F$1425:'Podcasts'!$F$1446,Podcasts!$D$1425:'Podcasts'!$D$1446,"&gt;0",Podcasts!$E$1425:'Podcasts'!$E$1446,"&gt;"&amp;$C361,Podcasts!$E$1425:'Podcasts'!$E$1446,"&lt;="&amp;$C362)*24*60</f>
        <v>354.1</v>
      </c>
      <c r="BA362" s="243">
        <f>SUMIFS(Podcasts!$F$1452:'Podcasts'!$F$1574,Podcasts!$D$1452:'Podcasts'!$D$1574,"&gt;0",Podcasts!$E$1452:'Podcasts'!$E$1574,"&gt;"&amp;$C361,Podcasts!$E$1452:'Podcasts'!$E$1574,"&lt;="&amp;$C362)*24*60</f>
        <v>126.03333333333332</v>
      </c>
      <c r="BB362" s="243">
        <f>SUMIFS(Podcasts!$F$1580:'Podcasts'!$F$1705,Podcasts!$D$1580:'Podcasts'!$D$1705,"&gt;0",Podcasts!$E$1580:'Podcasts'!$E$1705,"&gt;"&amp;$C361,Podcasts!$E$1580:'Podcasts'!$E$1705,"&lt;="&amp;$C362)*24*60</f>
        <v>349.7833333333333</v>
      </c>
      <c r="BC362" s="243">
        <f>SUMIFS(Podcasts!$F$1711:'Podcasts'!$F$1833,Podcasts!$D$1711:'Podcasts'!$D$1833,"&gt;0",Podcasts!$E$1711:'Podcasts'!$E$1833,"&gt;"&amp;$C361,Podcasts!$E$1711:'Podcasts'!$E$1833,"&lt;="&amp;$C362)*24*60</f>
        <v>168.73333333333332</v>
      </c>
      <c r="BD362" s="243">
        <f>SUMIFS(Podcasts!$F$1839:'Podcasts'!$F$1855,Podcasts!$D$1839:'Podcasts'!$D$1855,"&gt;0",Podcasts!$E$1839:'Podcasts'!$E$1855,"&gt;"&amp;$C361,Podcasts!$E$1839:'Podcasts'!$E$1855,"&lt;="&amp;$C362)*24*60</f>
        <v>0</v>
      </c>
      <c r="BE362" s="243">
        <f>SUMIFS(Podcasts!$F$1861:'Podcasts'!$F$1994,Podcasts!$D$1861:'Podcasts'!$D$1994,"&gt;0",Podcasts!$E$1861:'Podcasts'!$E$1994,"&gt;"&amp;$C361,Podcasts!$E$1861:'Podcasts'!$E$1994,"&lt;="&amp;$C362)*24*60</f>
        <v>693.16666666666674</v>
      </c>
      <c r="BF362" s="243">
        <f>SUMIFS(Podcasts!$F$2000:'Podcasts'!$F$2057,Podcasts!$D$2000:'Podcasts'!$D$2057,"&gt;0",Podcasts!$E$2000:'Podcasts'!$E$2057,"&gt;"&amp;$C361,Podcasts!$E$2000:'Podcasts'!$E$2057,"&lt;="&amp;$C362)*24*60</f>
        <v>0</v>
      </c>
      <c r="BG362" s="243">
        <f>SUMIFS(Podcasts!$F$2063:'Podcasts'!$F$2071,Podcasts!$D$2063:'Podcasts'!$D$2071,"&gt;0",Podcasts!$E$2063:'Podcasts'!$E$2071,"&gt;"&amp;$C361,Podcasts!$E$2063:'Podcasts'!$E$2071,"&lt;="&amp;$C362)*24*60</f>
        <v>0</v>
      </c>
      <c r="BH362" s="243">
        <f>SUMIFS(Podcasts!$F$2131:'Podcasts'!$F$2367,Podcasts!$D$2131:'Podcasts'!$D$2367,"&gt;0",Podcasts!$E$2131:'Podcasts'!$E$2367,"&gt;"&amp;$C361,Podcasts!$E$2131:'Podcasts'!$E$2367,"&lt;="&amp;$C362)*24*60</f>
        <v>0</v>
      </c>
    </row>
    <row r="363" spans="1:60" outlineLevel="1">
      <c r="A363" s="163">
        <f t="shared" si="7"/>
        <v>669</v>
      </c>
      <c r="B363" s="164">
        <f t="shared" si="12"/>
        <v>50</v>
      </c>
      <c r="C363" s="72">
        <v>44561</v>
      </c>
      <c r="D363" s="166" t="str">
        <f t="shared" si="13"/>
        <v>669 (+50)</v>
      </c>
      <c r="E363" s="106">
        <f>COUNTIFS(Podcasts!$D$10:'Podcasts'!$D$107,"&gt;0",Podcasts!$E$10:'Podcasts'!$E$107,"&lt;="&amp;$C363)-2</f>
        <v>43</v>
      </c>
      <c r="F363" s="467">
        <f>COUNTIFS(Podcasts!$D$113:'Podcasts'!$D$238,"&gt;0",Podcasts!$E$113:'Podcasts'!$E$238,"&lt;="&amp;$C363)</f>
        <v>64</v>
      </c>
      <c r="G363" s="468">
        <f>COUNTIFS(Podcasts!$D$244:'Podcasts'!$D$299,"&gt;0",Podcasts!$E$244:'Podcasts'!$E$299,"&lt;="&amp;$C363)</f>
        <v>37</v>
      </c>
      <c r="H363" s="467">
        <v>135</v>
      </c>
      <c r="I363" s="467">
        <f>COUNTIFS(Podcasts!$D$479:'Podcasts'!$D$488,"&gt;0",Podcasts!$E$479:'Podcasts'!$E$488,"&lt;="&amp;$C363)</f>
        <v>3</v>
      </c>
      <c r="J363" s="468">
        <f>COUNTIFS(Podcasts!$D$494:'Podcasts'!$D$518,"&gt;0",Podcasts!$E$494:'Podcasts'!$E$518,"&lt;="&amp;$C363)</f>
        <v>17</v>
      </c>
      <c r="K363" s="469">
        <f>COUNTIFS(Podcasts!$D$524:'Podcasts'!$D$532,"&gt;0",Podcasts!$E$524:'Podcasts'!$E$532,"&lt;="&amp;$C363)</f>
        <v>7</v>
      </c>
      <c r="L363" s="467">
        <f>COUNTIFS(Podcasts!$D$538:'Podcasts'!$D$909,"&gt;0",Podcasts!$E$538:'Podcasts'!$E$909,"&lt;="&amp;$C363)-9</f>
        <v>97</v>
      </c>
      <c r="M363" s="467">
        <f>COUNTIFS(Podcasts!$D$915:'Podcasts'!$D$981,"&gt;0",Podcasts!$E$915:'Podcasts'!$E$981,"&lt;="&amp;$C363)</f>
        <v>47</v>
      </c>
      <c r="N363" s="469">
        <v>8</v>
      </c>
      <c r="O363" s="467">
        <f>COUNTIFS(Podcasts!$D$1001:'Podcasts'!$D$1251,"&gt;0",Podcasts!$E$1001:'Podcasts'!$E$1251,"&lt;="&amp;$C363)-3</f>
        <v>39</v>
      </c>
      <c r="P363" s="467">
        <f>COUNTIFS(Podcasts!$D$1257:'Podcasts'!$D$1267,"&gt;0",Podcasts!$E$1257:'Podcasts'!$E$1267,"&lt;="&amp;$C363)-1</f>
        <v>4</v>
      </c>
      <c r="Q363" s="469">
        <f>COUNTIFS(Podcasts!$D$1273:'Podcasts'!$D$1283,"&gt;0",Podcasts!$E$1273:'Podcasts'!$E$1283,"&lt;="&amp;$C363)-5</f>
        <v>5</v>
      </c>
      <c r="R363" s="467">
        <f>COUNTIFS(Podcasts!$D$1289:'Podcasts'!$D$1295,"&gt;0",Podcasts!$E$1289:'Podcasts'!$E$1295,"&lt;="&amp;$C363)</f>
        <v>7</v>
      </c>
      <c r="S363" s="467">
        <f>COUNTIFS(Podcasts!$D$1301:'Podcasts'!$D$1356,"&gt;0",Podcasts!$E$1301:'Podcasts'!$E$1356,"&lt;="&amp;$C363)-5</f>
        <v>20</v>
      </c>
      <c r="T363" s="469">
        <f>COUNTIFS(Podcasts!$D$1362:'Podcasts'!$D$1364,"&gt;0",Podcasts!$E$1362:'Podcasts'!$E$1364,"&lt;="&amp;$C363)</f>
        <v>3</v>
      </c>
      <c r="U363" s="467">
        <f>COUNTIFS(Podcasts!$D$1370:'Podcasts'!$D$1419,"&gt;0",Podcasts!$E$1370:'Podcasts'!$E$1419,"&lt;="&amp;$C363)</f>
        <v>17</v>
      </c>
      <c r="V363" s="467">
        <f>COUNTIFS(Podcasts!$D$1425:'Podcasts'!$D$1446,"&gt;0",Podcasts!$E$1425:'Podcasts'!$E$1446,"&lt;="&amp;$C363)</f>
        <v>12</v>
      </c>
      <c r="W363" s="469">
        <f>COUNTIFS(Podcasts!$D$1452:'Podcasts'!$D$1574,"&gt;0",Podcasts!$E$1452:'Podcasts'!$E$1574,"&lt;="&amp;$C363)</f>
        <v>36</v>
      </c>
      <c r="X363" s="467">
        <f>COUNTIFS(Podcasts!$D$1580:'Podcasts'!$D$1705,"&gt;0",Podcasts!$E$1580:'Podcasts'!$E$1705,"&lt;="&amp;$C363)</f>
        <v>40</v>
      </c>
      <c r="Y363" s="467">
        <f>COUNTIFS(Podcasts!$D$1711:'Podcasts'!$D$1833,"&gt;0",Podcasts!$E$1711:'Podcasts'!$E$1833,"&lt;="&amp;$C363)</f>
        <v>20</v>
      </c>
      <c r="Z363" s="469">
        <f>COUNTIFS(Podcasts!$D$1839:'Podcasts'!$D$1855,"&gt;0",Podcasts!$E$1839:'Podcasts'!$E$1855,"&lt;="&amp;$C363)</f>
        <v>2</v>
      </c>
      <c r="AA363" s="467">
        <f>COUNTIFS(Podcasts!$D$1861:'Podcasts'!$D$1994,"&gt;0",Podcasts!$E$1861:'Podcasts'!$E$1994,"&lt;="&amp;$C363)</f>
        <v>14</v>
      </c>
      <c r="AC363" s="425"/>
      <c r="AF363" s="469">
        <f>COUNTIFS(Podcasts!$E$2131:'Podcasts'!$E$2367,"&lt;="&amp;$C363)</f>
        <v>52</v>
      </c>
      <c r="AH363" s="243">
        <f t="shared" si="5"/>
        <v>4249.5666666666657</v>
      </c>
      <c r="AI363" s="243">
        <f>SUMIFS(Podcasts!$F$10:'Podcasts'!$F$107,Podcasts!$D$10:'Podcasts'!$D$107,"&gt;0",Podcasts!$E$10:'Podcasts'!$E$107,"&gt;"&amp;$C362,Podcasts!$E$10:'Podcasts'!$E$107,"&lt;="&amp;$C363)*24*60</f>
        <v>0</v>
      </c>
      <c r="AJ363" s="243">
        <f>SUMIFS(Podcasts!$F$113:'Podcasts'!$F$238,Podcasts!$D$113:'Podcasts'!$D$238,"&gt;0",Podcasts!$E$113:'Podcasts'!$E$238,"&gt;"&amp;$C362,Podcasts!$E$113:'Podcasts'!$E$238,"&lt;="&amp;$C363)*24*60</f>
        <v>8.5333333333333332</v>
      </c>
      <c r="AK363" s="243">
        <f>SUMIFS(Podcasts!$F$244:'Podcasts'!$F$299,Podcasts!$D$244:'Podcasts'!$D$299,"&gt;0",Podcasts!$E$244:'Podcasts'!$E$299,"&gt;"&amp;$C362,Podcasts!$E$244:'Podcasts'!$E$299,"&lt;="&amp;$C363)*24*60</f>
        <v>40.233333333333334</v>
      </c>
      <c r="AL363" s="243">
        <f>SUMIFS(Podcasts!$F$305:'Podcasts'!$F$473,Podcasts!$D$305:'Podcasts'!$D$473,"&gt;0",Podcasts!$E$305:'Podcasts'!$E$473,"&gt;"&amp;$C362,Podcasts!$E$305:'Podcasts'!$E$473,"&lt;="&amp;$C363)*24*60</f>
        <v>0</v>
      </c>
      <c r="AM363" s="243">
        <f>SUMIFS(Podcasts!$F$479:'Podcasts'!$F$488,Podcasts!$D$479:'Podcasts'!$D$488,"&gt;0",Podcasts!$E$479:'Podcasts'!$E$488,"&gt;"&amp;$C362,Podcasts!$E$479:'Podcasts'!$E$488,"&lt;="&amp;$C363)*24*60</f>
        <v>0</v>
      </c>
      <c r="AN363" s="243">
        <f>SUMIFS(Podcasts!$F$494:'Podcasts'!$F$518,Podcasts!$D$494:'Podcasts'!$D$518,"&gt;0",Podcasts!$E$494:'Podcasts'!$E$518,"&gt;"&amp;$C362,Podcasts!$E$494:'Podcasts'!$E$518,"&lt;="&amp;$C363)*24*60</f>
        <v>90.633333333333326</v>
      </c>
      <c r="AO363" s="243">
        <f>SUMIFS(Podcasts!$F$524:'Podcasts'!$F$532,Podcasts!$D$524:'Podcasts'!$D$532,"&gt;0",Podcasts!$E$524:'Podcasts'!$E$532,"&gt;"&amp;$C362,Podcasts!$E$524:'Podcasts'!$E$532,"&lt;="&amp;$C363)*24*60</f>
        <v>0</v>
      </c>
      <c r="AP363" s="243">
        <f>SUMIFS(Podcasts!$F$538:'Podcasts'!$F$909,Podcasts!$D$538:'Podcasts'!$D$909,"&gt;0",Podcasts!$E$538:'Podcasts'!$E$909,"&gt;"&amp;$C362,Podcasts!$E$538:'Podcasts'!$E$909,"&lt;="&amp;$C363)*24*60</f>
        <v>1065.5999999999997</v>
      </c>
      <c r="AQ363" s="243">
        <f>SUMIFS(Podcasts!$F$915:'Podcasts'!$F$981,Podcasts!$D$915:'Podcasts'!$D$981,"&gt;0",Podcasts!$E$915:'Podcasts'!$E$981,"&gt;"&amp;$C362,Podcasts!$E$915:'Podcasts'!$E$981,"&lt;="&amp;$C363)*24*60</f>
        <v>309.03333333333336</v>
      </c>
      <c r="AR363" s="243">
        <f>SUMIFS(Podcasts!$F$987:'Podcasts'!$F$995,Podcasts!$D$987:'Podcasts'!$D$995,"&gt;0",Podcasts!$E$987:'Podcasts'!$E$995,"&gt;"&amp;$C362,Podcasts!$E$987:'Podcasts'!$E$995,"&lt;="&amp;$C363)*24*60</f>
        <v>0</v>
      </c>
      <c r="AS363" s="243">
        <f>SUMIFS(Podcasts!$F$1001:'Podcasts'!$F$1251,Podcasts!$D$1001:'Podcasts'!$D$1251,"&gt;0",Podcasts!$E$1001:'Podcasts'!$E$1251,"&gt;"&amp;$C362,Podcasts!$E$1001:'Podcasts'!$E$1251,"&lt;="&amp;$C363)*24*60</f>
        <v>495.63333333333333</v>
      </c>
      <c r="AT363" s="243">
        <f>SUMIFS(Podcasts!$F$1257:'Podcasts'!$F$1267,Podcasts!$D$1257:'Podcasts'!$D$1267,"&gt;0",Podcasts!$E$1257:'Podcasts'!$E$1267,"&gt;"&amp;$C362,Podcasts!$E$1257:'Podcasts'!$E$1267,"&lt;="&amp;$C363)*24*60</f>
        <v>0</v>
      </c>
      <c r="AU363" s="243">
        <f>SUMIFS(Podcasts!$F$1273:'Podcasts'!$F$1283,Podcasts!$D$1273:'Podcasts'!$D$1283,"&gt;0",Podcasts!$E$1273:'Podcasts'!$E$1283,"&gt;"&amp;$C362,Podcasts!$E$1273:'Podcasts'!$E$1283,"&lt;="&amp;$C363)*24*60</f>
        <v>0</v>
      </c>
      <c r="AV363" s="243">
        <f>SUMIFS(Podcasts!$F$1289:'Podcasts'!$F$1295,Podcasts!$D$1289:'Podcasts'!$D$1295,"&gt;0",Podcasts!$E$1289:'Podcasts'!$E$1295,"&gt;"&amp;$C362,Podcasts!$E$1289:'Podcasts'!$E$1295,"&lt;="&amp;$C363)*24*60</f>
        <v>0</v>
      </c>
      <c r="AW363" s="243">
        <f>SUMIFS(Podcasts!$F$1301:'Podcasts'!$F$1356,Podcasts!$D$1301:'Podcasts'!$D$1356,"&gt;0",Podcasts!$E$1301:'Podcasts'!$E$1356,"&gt;"&amp;$C362,Podcasts!$E$1301:'Podcasts'!$E$1356,"&lt;="&amp;$C363)*24*60</f>
        <v>233.56666666666666</v>
      </c>
      <c r="AX363" s="243">
        <f>SUMIFS(Podcasts!$F$1362:'Podcasts'!$F$1364,Podcasts!$D$1362:'Podcasts'!$D$1364,"&gt;0",Podcasts!$E$1362:'Podcasts'!$E$1364,"&gt;"&amp;$C362,Podcasts!$E$1362:'Podcasts'!$E$1364,"&lt;="&amp;$C363)*24*60</f>
        <v>0</v>
      </c>
      <c r="AY363" s="243">
        <f>SUMIFS(Podcasts!$F$1370:'Podcasts'!$F$1419,Podcasts!$D$1370:'Podcasts'!$D$1419,"&gt;0",Podcasts!$E$1370:'Podcasts'!$E$1419,"&gt;"&amp;$C362,Podcasts!$E$1370:'Podcasts'!$E$1419,"&lt;="&amp;$C363)*24*60</f>
        <v>322.16666666666669</v>
      </c>
      <c r="AZ363" s="243">
        <f>SUMIFS(Podcasts!$F$1425:'Podcasts'!$F$1446,Podcasts!$D$1425:'Podcasts'!$D$1446,"&gt;0",Podcasts!$E$1425:'Podcasts'!$E$1446,"&gt;"&amp;$C362,Podcasts!$E$1425:'Podcasts'!$E$1446,"&lt;="&amp;$C363)*24*60</f>
        <v>72</v>
      </c>
      <c r="BA363" s="243">
        <f>SUMIFS(Podcasts!$F$1452:'Podcasts'!$F$1574,Podcasts!$D$1452:'Podcasts'!$D$1574,"&gt;0",Podcasts!$E$1452:'Podcasts'!$E$1574,"&gt;"&amp;$C362,Podcasts!$E$1452:'Podcasts'!$E$1574,"&lt;="&amp;$C363)*24*60</f>
        <v>293.45</v>
      </c>
      <c r="BB363" s="243">
        <f>SUMIFS(Podcasts!$F$1580:'Podcasts'!$F$1705,Podcasts!$D$1580:'Podcasts'!$D$1705,"&gt;0",Podcasts!$E$1580:'Podcasts'!$E$1705,"&gt;"&amp;$C362,Podcasts!$E$1580:'Podcasts'!$E$1705,"&lt;="&amp;$C363)*24*60</f>
        <v>595.43333333333339</v>
      </c>
      <c r="BC363" s="243">
        <f>SUMIFS(Podcasts!$F$1711:'Podcasts'!$F$1833,Podcasts!$D$1711:'Podcasts'!$D$1833,"&gt;0",Podcasts!$E$1711:'Podcasts'!$E$1833,"&gt;"&amp;$C362,Podcasts!$E$1711:'Podcasts'!$E$1833,"&lt;="&amp;$C363)*24*60</f>
        <v>199.20000000000002</v>
      </c>
      <c r="BD363" s="243">
        <f>SUMIFS(Podcasts!$F$1839:'Podcasts'!$F$1855,Podcasts!$D$1839:'Podcasts'!$D$1855,"&gt;0",Podcasts!$E$1839:'Podcasts'!$E$1855,"&gt;"&amp;$C362,Podcasts!$E$1839:'Podcasts'!$E$1855,"&lt;="&amp;$C363)*24*60</f>
        <v>61.533333333333331</v>
      </c>
      <c r="BE363" s="243">
        <f>SUMIFS(Podcasts!$F$1861:'Podcasts'!$F$1994,Podcasts!$D$1861:'Podcasts'!$D$1994,"&gt;0",Podcasts!$E$1861:'Podcasts'!$E$1994,"&gt;"&amp;$C362,Podcasts!$E$1861:'Podcasts'!$E$1994,"&lt;="&amp;$C363)*24*60</f>
        <v>462.55000000000007</v>
      </c>
      <c r="BF363" s="243">
        <f>SUMIFS(Podcasts!$F$2000:'Podcasts'!$F$2057,Podcasts!$D$2000:'Podcasts'!$D$2057,"&gt;0",Podcasts!$E$2000:'Podcasts'!$E$2057,"&gt;"&amp;$C362,Podcasts!$E$2000:'Podcasts'!$E$2057,"&lt;="&amp;$C363)*24*60</f>
        <v>0</v>
      </c>
      <c r="BG363" s="243">
        <f>SUMIFS(Podcasts!$F$2063:'Podcasts'!$F$2071,Podcasts!$D$2063:'Podcasts'!$D$2071,"&gt;0",Podcasts!$E$2063:'Podcasts'!$E$2071,"&gt;"&amp;$C362,Podcasts!$E$2063:'Podcasts'!$E$2071,"&lt;="&amp;$C363)*24*60</f>
        <v>0</v>
      </c>
      <c r="BH363" s="243">
        <f>SUMIFS(Podcasts!$F$2131:'Podcasts'!$F$2367,Podcasts!$D$2131:'Podcasts'!$D$2367,"&gt;0",Podcasts!$E$2131:'Podcasts'!$E$2367,"&gt;"&amp;$C362,Podcasts!$E$2131:'Podcasts'!$E$2367,"&lt;="&amp;$C363)*24*60</f>
        <v>0</v>
      </c>
    </row>
    <row r="364" spans="1:60">
      <c r="A364" s="163">
        <f t="shared" si="7"/>
        <v>712</v>
      </c>
      <c r="B364" s="164">
        <f t="shared" si="12"/>
        <v>43</v>
      </c>
      <c r="C364" s="73">
        <v>44651</v>
      </c>
      <c r="D364" s="167" t="str">
        <f t="shared" si="13"/>
        <v>712 (+43)</v>
      </c>
      <c r="E364" s="470">
        <f>COUNTIFS(Podcasts!$D$10:'Podcasts'!$D$107,"&gt;0",Podcasts!$E$10:'Podcasts'!$E$107,"&lt;="&amp;$C364)-2</f>
        <v>44</v>
      </c>
      <c r="F364" s="471">
        <f>COUNTIFS(Podcasts!$D$113:'Podcasts'!$D$238,"&gt;0",Podcasts!$E$113:'Podcasts'!$E$238,"&lt;="&amp;$C364)</f>
        <v>65</v>
      </c>
      <c r="G364" s="472">
        <f>COUNTIFS(Podcasts!$D$244:'Podcasts'!$D$299,"&gt;0",Podcasts!$E$244:'Podcasts'!$E$299,"&lt;="&amp;$C364)</f>
        <v>37</v>
      </c>
      <c r="H364" s="471">
        <v>135</v>
      </c>
      <c r="I364" s="471">
        <f>COUNTIFS(Podcasts!$D$479:'Podcasts'!$D$488,"&gt;0",Podcasts!$E$479:'Podcasts'!$E$488,"&lt;="&amp;$C364)</f>
        <v>3</v>
      </c>
      <c r="J364" s="472">
        <f>COUNTIFS(Podcasts!$D$494:'Podcasts'!$D$518,"&gt;0",Podcasts!$E$494:'Podcasts'!$E$518,"&lt;="&amp;$C364)</f>
        <v>17</v>
      </c>
      <c r="K364" s="473">
        <f>COUNTIFS(Podcasts!$D$524:'Podcasts'!$D$532,"&gt;0",Podcasts!$E$524:'Podcasts'!$E$532,"&lt;="&amp;$C364)</f>
        <v>7</v>
      </c>
      <c r="L364" s="471">
        <f>COUNTIFS(Podcasts!$D$538:'Podcasts'!$D$909,"&gt;0",Podcasts!$E$538:'Podcasts'!$E$909,"&lt;="&amp;$C364)-9</f>
        <v>102</v>
      </c>
      <c r="M364" s="471">
        <f>COUNTIFS(Podcasts!$D$915:'Podcasts'!$D$981,"&gt;0",Podcasts!$E$915:'Podcasts'!$E$981,"&lt;="&amp;$C364)</f>
        <v>49</v>
      </c>
      <c r="N364" s="473">
        <v>8</v>
      </c>
      <c r="O364" s="471">
        <f>COUNTIFS(Podcasts!$D$1001:'Podcasts'!$D$1251,"&gt;0",Podcasts!$E$1001:'Podcasts'!$E$1251,"&lt;="&amp;$C364)-3</f>
        <v>41</v>
      </c>
      <c r="P364" s="471">
        <f>COUNTIFS(Podcasts!$D$1257:'Podcasts'!$D$1267,"&gt;0",Podcasts!$E$1257:'Podcasts'!$E$1267,"&lt;="&amp;$C364)-1</f>
        <v>4</v>
      </c>
      <c r="Q364" s="473">
        <f>COUNTIFS(Podcasts!$D$1273:'Podcasts'!$D$1283,"&gt;0",Podcasts!$E$1273:'Podcasts'!$E$1283,"&lt;="&amp;$C364)-5</f>
        <v>5</v>
      </c>
      <c r="R364" s="471">
        <f>COUNTIFS(Podcasts!$D$1289:'Podcasts'!$D$1295,"&gt;0",Podcasts!$E$1289:'Podcasts'!$E$1295,"&lt;="&amp;$C364)</f>
        <v>7</v>
      </c>
      <c r="S364" s="472">
        <f>COUNTIFS(Podcasts!$D$1301:'Podcasts'!$D$1356,"&gt;0",Podcasts!$E$1301:'Podcasts'!$E$1356,"&lt;="&amp;$C364)-5</f>
        <v>23</v>
      </c>
      <c r="T364" s="473">
        <f>COUNTIFS(Podcasts!$D$1362:'Podcasts'!$D$1364,"&gt;0",Podcasts!$E$1362:'Podcasts'!$E$1364,"&lt;="&amp;$C364)</f>
        <v>3</v>
      </c>
      <c r="U364" s="471">
        <f>COUNTIFS(Podcasts!$D$1370:'Podcasts'!$D$1419,"&gt;0",Podcasts!$E$1370:'Podcasts'!$E$1419,"&lt;="&amp;$C364)</f>
        <v>20</v>
      </c>
      <c r="V364" s="471">
        <f>COUNTIFS(Podcasts!$D$1425:'Podcasts'!$D$1446,"&gt;0",Podcasts!$E$1425:'Podcasts'!$E$1446,"&lt;="&amp;$C364)</f>
        <v>13</v>
      </c>
      <c r="W364" s="473">
        <f>COUNTIFS(Podcasts!$D$1452:'Podcasts'!$D$1574,"&gt;0",Podcasts!$E$1452:'Podcasts'!$E$1574,"&lt;="&amp;$C364)</f>
        <v>43</v>
      </c>
      <c r="X364" s="471">
        <f>COUNTIFS(Podcasts!$D$1580:'Podcasts'!$D$1705,"&gt;0",Podcasts!$E$1580:'Podcasts'!$E$1705,"&lt;="&amp;$C364)</f>
        <v>46</v>
      </c>
      <c r="Y364" s="471">
        <f>COUNTIFS(Podcasts!$D$1711:'Podcasts'!$D$1833,"&gt;0",Podcasts!$E$1711:'Podcasts'!$E$1833,"&lt;="&amp;$C364)</f>
        <v>26</v>
      </c>
      <c r="Z364" s="473">
        <f>COUNTIFS(Podcasts!$D$1839:'Podcasts'!$D$1855,"&gt;0",Podcasts!$E$1839:'Podcasts'!$E$1855,"&lt;="&amp;$C364)</f>
        <v>3</v>
      </c>
      <c r="AA364" s="471">
        <f>COUNTIFS(Podcasts!$D$1861:'Podcasts'!$D$1994,"&gt;0",Podcasts!$E$1861:'Podcasts'!$E$1994,"&lt;="&amp;$C364)</f>
        <v>19</v>
      </c>
      <c r="AB364" s="19"/>
      <c r="AC364" s="473"/>
      <c r="AD364" s="19"/>
      <c r="AE364" s="19"/>
      <c r="AF364" s="473">
        <f>COUNTIFS(Podcasts!$E$2131:'Podcasts'!$E$2367,"&lt;="&amp;$C364)</f>
        <v>59</v>
      </c>
      <c r="AH364" s="243">
        <f t="shared" si="5"/>
        <v>3904.25</v>
      </c>
      <c r="AI364" s="243">
        <f>SUMIFS(Podcasts!$F$10:'Podcasts'!$F$107,Podcasts!$D$10:'Podcasts'!$D$107,"&gt;0",Podcasts!$E$10:'Podcasts'!$E$107,"&gt;"&amp;$C363,Podcasts!$E$10:'Podcasts'!$E$107,"&lt;="&amp;$C364)*24*60</f>
        <v>90.2</v>
      </c>
      <c r="AJ364" s="243">
        <f>SUMIFS(Podcasts!$F$113:'Podcasts'!$F$238,Podcasts!$D$113:'Podcasts'!$D$238,"&gt;0",Podcasts!$E$113:'Podcasts'!$E$238,"&gt;"&amp;$C363,Podcasts!$E$113:'Podcasts'!$E$238,"&lt;="&amp;$C364)*24*60</f>
        <v>3.8666666666666667</v>
      </c>
      <c r="AK364" s="243">
        <f>SUMIFS(Podcasts!$F$244:'Podcasts'!$F$299,Podcasts!$D$244:'Podcasts'!$D$299,"&gt;0",Podcasts!$E$244:'Podcasts'!$E$299,"&gt;"&amp;$C363,Podcasts!$E$244:'Podcasts'!$E$299,"&lt;="&amp;$C364)*24*60</f>
        <v>0</v>
      </c>
      <c r="AL364" s="243">
        <f>SUMIFS(Podcasts!$F$305:'Podcasts'!$F$473,Podcasts!$D$305:'Podcasts'!$D$473,"&gt;0",Podcasts!$E$305:'Podcasts'!$E$473,"&gt;"&amp;$C363,Podcasts!$E$305:'Podcasts'!$E$473,"&lt;="&amp;$C364)*24*60</f>
        <v>0</v>
      </c>
      <c r="AM364" s="243">
        <f>SUMIFS(Podcasts!$F$479:'Podcasts'!$F$488,Podcasts!$D$479:'Podcasts'!$D$488,"&gt;0",Podcasts!$E$479:'Podcasts'!$E$488,"&gt;"&amp;$C363,Podcasts!$E$479:'Podcasts'!$E$488,"&lt;="&amp;$C364)*24*60</f>
        <v>0</v>
      </c>
      <c r="AN364" s="243">
        <f>SUMIFS(Podcasts!$F$494:'Podcasts'!$F$518,Podcasts!$D$494:'Podcasts'!$D$518,"&gt;0",Podcasts!$E$494:'Podcasts'!$E$518,"&gt;"&amp;$C363,Podcasts!$E$494:'Podcasts'!$E$518,"&lt;="&amp;$C364)*24*60</f>
        <v>0</v>
      </c>
      <c r="AO364" s="243">
        <f>SUMIFS(Podcasts!$F$524:'Podcasts'!$F$532,Podcasts!$D$524:'Podcasts'!$D$532,"&gt;0",Podcasts!$E$524:'Podcasts'!$E$532,"&gt;"&amp;$C363,Podcasts!$E$524:'Podcasts'!$E$532,"&lt;="&amp;$C364)*24*60</f>
        <v>0</v>
      </c>
      <c r="AP364" s="243">
        <f>SUMIFS(Podcasts!$F$538:'Podcasts'!$F$909,Podcasts!$D$538:'Podcasts'!$D$909,"&gt;0",Podcasts!$E$538:'Podcasts'!$E$909,"&gt;"&amp;$C363,Podcasts!$E$538:'Podcasts'!$E$909,"&lt;="&amp;$C364)*24*60</f>
        <v>634.01666666666665</v>
      </c>
      <c r="AQ364" s="243">
        <f>SUMIFS(Podcasts!$F$915:'Podcasts'!$F$981,Podcasts!$D$915:'Podcasts'!$D$981,"&gt;0",Podcasts!$E$915:'Podcasts'!$E$981,"&gt;"&amp;$C363,Podcasts!$E$915:'Podcasts'!$E$981,"&lt;="&amp;$C364)*24*60</f>
        <v>301.4666666666667</v>
      </c>
      <c r="AR364" s="243">
        <f>SUMIFS(Podcasts!$F$987:'Podcasts'!$F$995,Podcasts!$D$987:'Podcasts'!$D$995,"&gt;0",Podcasts!$E$987:'Podcasts'!$E$995,"&gt;"&amp;$C363,Podcasts!$E$987:'Podcasts'!$E$995,"&lt;="&amp;$C364)*24*60</f>
        <v>0</v>
      </c>
      <c r="AS364" s="243">
        <f>SUMIFS(Podcasts!$F$1001:'Podcasts'!$F$1251,Podcasts!$D$1001:'Podcasts'!$D$1251,"&gt;0",Podcasts!$E$1001:'Podcasts'!$E$1251,"&gt;"&amp;$C363,Podcasts!$E$1001:'Podcasts'!$E$1251,"&lt;="&amp;$C364)*24*60</f>
        <v>317.74999999999994</v>
      </c>
      <c r="AT364" s="243">
        <f>SUMIFS(Podcasts!$F$1257:'Podcasts'!$F$1267,Podcasts!$D$1257:'Podcasts'!$D$1267,"&gt;0",Podcasts!$E$1257:'Podcasts'!$E$1267,"&gt;"&amp;$C363,Podcasts!$E$1257:'Podcasts'!$E$1267,"&lt;="&amp;$C364)*24*60</f>
        <v>0</v>
      </c>
      <c r="AU364" s="243">
        <f>SUMIFS(Podcasts!$F$1273:'Podcasts'!$F$1283,Podcasts!$D$1273:'Podcasts'!$D$1283,"&gt;0",Podcasts!$E$1273:'Podcasts'!$E$1283,"&gt;"&amp;$C363,Podcasts!$E$1273:'Podcasts'!$E$1283,"&lt;="&amp;$C364)*24*60</f>
        <v>0</v>
      </c>
      <c r="AV364" s="243">
        <f>SUMIFS(Podcasts!$F$1289:'Podcasts'!$F$1295,Podcasts!$D$1289:'Podcasts'!$D$1295,"&gt;0",Podcasts!$E$1289:'Podcasts'!$E$1295,"&gt;"&amp;$C363,Podcasts!$E$1289:'Podcasts'!$E$1295,"&lt;="&amp;$C364)*24*60</f>
        <v>0</v>
      </c>
      <c r="AW364" s="243">
        <f>SUMIFS(Podcasts!$F$1301:'Podcasts'!$F$1356,Podcasts!$D$1301:'Podcasts'!$D$1356,"&gt;0",Podcasts!$E$1301:'Podcasts'!$E$1356,"&gt;"&amp;$C363,Podcasts!$E$1301:'Podcasts'!$E$1356,"&lt;="&amp;$C364)*24*60</f>
        <v>241.68333333333334</v>
      </c>
      <c r="AX364" s="243">
        <f>SUMIFS(Podcasts!$F$1362:'Podcasts'!$F$1364,Podcasts!$D$1362:'Podcasts'!$D$1364,"&gt;0",Podcasts!$E$1362:'Podcasts'!$E$1364,"&gt;"&amp;$C363,Podcasts!$E$1362:'Podcasts'!$E$1364,"&lt;="&amp;$C364)*24*60</f>
        <v>0</v>
      </c>
      <c r="AY364" s="243">
        <f>SUMIFS(Podcasts!$F$1370:'Podcasts'!$F$1419,Podcasts!$D$1370:'Podcasts'!$D$1419,"&gt;0",Podcasts!$E$1370:'Podcasts'!$E$1419,"&gt;"&amp;$C363,Podcasts!$E$1370:'Podcasts'!$E$1419,"&lt;="&amp;$C364)*24*60</f>
        <v>342.66666666666669</v>
      </c>
      <c r="AZ364" s="243">
        <f>SUMIFS(Podcasts!$F$1425:'Podcasts'!$F$1446,Podcasts!$D$1425:'Podcasts'!$D$1446,"&gt;0",Podcasts!$E$1425:'Podcasts'!$E$1446,"&gt;"&amp;$C363,Podcasts!$E$1425:'Podcasts'!$E$1446,"&lt;="&amp;$C364)*24*60</f>
        <v>89.899999999999991</v>
      </c>
      <c r="BA364" s="243">
        <f>SUMIFS(Podcasts!$F$1452:'Podcasts'!$F$1574,Podcasts!$D$1452:'Podcasts'!$D$1574,"&gt;0",Podcasts!$E$1452:'Podcasts'!$E$1574,"&gt;"&amp;$C363,Podcasts!$E$1452:'Podcasts'!$E$1574,"&lt;="&amp;$C364)*24*60</f>
        <v>291.23333333333323</v>
      </c>
      <c r="BB364" s="243">
        <f>SUMIFS(Podcasts!$F$1580:'Podcasts'!$F$1705,Podcasts!$D$1580:'Podcasts'!$D$1705,"&gt;0",Podcasts!$E$1580:'Podcasts'!$E$1705,"&gt;"&amp;$C363,Podcasts!$E$1580:'Podcasts'!$E$1705,"&lt;="&amp;$C364)*24*60</f>
        <v>615.4666666666667</v>
      </c>
      <c r="BC364" s="243">
        <f>SUMIFS(Podcasts!$F$1711:'Podcasts'!$F$1833,Podcasts!$D$1711:'Podcasts'!$D$1833,"&gt;0",Podcasts!$E$1711:'Podcasts'!$E$1833,"&gt;"&amp;$C363,Podcasts!$E$1711:'Podcasts'!$E$1833,"&lt;="&amp;$C364)*24*60</f>
        <v>199.73333333333335</v>
      </c>
      <c r="BD364" s="243">
        <f>SUMIFS(Podcasts!$F$1839:'Podcasts'!$F$1855,Podcasts!$D$1839:'Podcasts'!$D$1855,"&gt;0",Podcasts!$E$1839:'Podcasts'!$E$1855,"&gt;"&amp;$C363,Podcasts!$E$1839:'Podcasts'!$E$1855,"&lt;="&amp;$C364)*24*60</f>
        <v>67.25</v>
      </c>
      <c r="BE364" s="243">
        <f>SUMIFS(Podcasts!$F$1861:'Podcasts'!$F$1994,Podcasts!$D$1861:'Podcasts'!$D$1994,"&gt;0",Podcasts!$E$1861:'Podcasts'!$E$1994,"&gt;"&amp;$C363,Podcasts!$E$1861:'Podcasts'!$E$1994,"&lt;="&amp;$C364)*24*60</f>
        <v>709.01666666666665</v>
      </c>
      <c r="BF364" s="243">
        <f>SUMIFS(Podcasts!$F$2000:'Podcasts'!$F$2057,Podcasts!$D$2000:'Podcasts'!$D$2057,"&gt;0",Podcasts!$E$2000:'Podcasts'!$E$2057,"&gt;"&amp;$C363,Podcasts!$E$2000:'Podcasts'!$E$2057,"&lt;="&amp;$C364)*24*60</f>
        <v>0</v>
      </c>
      <c r="BG364" s="243">
        <f>SUMIFS(Podcasts!$F$2063:'Podcasts'!$F$2071,Podcasts!$D$2063:'Podcasts'!$D$2071,"&gt;0",Podcasts!$E$2063:'Podcasts'!$E$2071,"&gt;"&amp;$C363,Podcasts!$E$2063:'Podcasts'!$E$2071,"&lt;="&amp;$C364)*24*60</f>
        <v>0</v>
      </c>
      <c r="BH364" s="243">
        <f>SUMIFS(Podcasts!$F$2131:'Podcasts'!$F$2367,Podcasts!$D$2131:'Podcasts'!$D$2367,"&gt;0",Podcasts!$E$2131:'Podcasts'!$E$2367,"&gt;"&amp;$C363,Podcasts!$E$2131:'Podcasts'!$E$2367,"&lt;="&amp;$C364)*24*60</f>
        <v>0</v>
      </c>
    </row>
    <row r="365" spans="1:60">
      <c r="A365" s="163">
        <f t="shared" si="7"/>
        <v>753</v>
      </c>
      <c r="B365" s="164">
        <f t="shared" si="12"/>
        <v>41</v>
      </c>
      <c r="C365" s="72">
        <v>44742</v>
      </c>
      <c r="D365" s="166" t="str">
        <f t="shared" ref="D365:D367" si="14">A365&amp;" (+"&amp;B365&amp;")"</f>
        <v>753 (+41)</v>
      </c>
      <c r="E365" s="106">
        <f>COUNTIFS(Podcasts!$D$10:'Podcasts'!$D$107,"&gt;0",Podcasts!$E$10:'Podcasts'!$E$107,"&lt;="&amp;$C365)-2</f>
        <v>44</v>
      </c>
      <c r="F365" s="467">
        <f>COUNTIFS(Podcasts!$D$113:'Podcasts'!$D$238,"&gt;0",Podcasts!$E$113:'Podcasts'!$E$238,"&lt;="&amp;$C365)</f>
        <v>66</v>
      </c>
      <c r="G365" s="468">
        <f>COUNTIFS(Podcasts!$D$244:'Podcasts'!$D$299,"&gt;0",Podcasts!$E$244:'Podcasts'!$E$299,"&lt;="&amp;$C365)</f>
        <v>37</v>
      </c>
      <c r="H365" s="467">
        <v>135</v>
      </c>
      <c r="I365" s="467">
        <f>COUNTIFS(Podcasts!$D$479:'Podcasts'!$D$488,"&gt;0",Podcasts!$E$479:'Podcasts'!$E$488,"&lt;="&amp;$C365)</f>
        <v>3</v>
      </c>
      <c r="J365" s="468">
        <f>COUNTIFS(Podcasts!$D$494:'Podcasts'!$D$518,"&gt;0",Podcasts!$E$494:'Podcasts'!$E$518,"&lt;="&amp;$C365)</f>
        <v>18</v>
      </c>
      <c r="K365" s="469">
        <f>COUNTIFS(Podcasts!$D$524:'Podcasts'!$D$532,"&gt;0",Podcasts!$E$524:'Podcasts'!$E$532,"&lt;="&amp;$C365)</f>
        <v>7</v>
      </c>
      <c r="L365" s="467">
        <f>COUNTIFS(Podcasts!$D$538:'Podcasts'!$D$909,"&gt;0",Podcasts!$E$538:'Podcasts'!$E$909,"&lt;="&amp;$C365)-9</f>
        <v>106</v>
      </c>
      <c r="M365" s="467">
        <f>COUNTIFS(Podcasts!$D$915:'Podcasts'!$D$981,"&gt;0",Podcasts!$E$915:'Podcasts'!$E$981,"&lt;="&amp;$C365)</f>
        <v>52</v>
      </c>
      <c r="N365" s="469">
        <v>8</v>
      </c>
      <c r="O365" s="467">
        <f>COUNTIFS(Podcasts!$D$1001:'Podcasts'!$D$1251,"&gt;0",Podcasts!$E$1001:'Podcasts'!$E$1251,"&lt;="&amp;$C365)-5</f>
        <v>45</v>
      </c>
      <c r="P365" s="467">
        <f>COUNTIFS(Podcasts!$D$1257:'Podcasts'!$D$1267,"&gt;0",Podcasts!$E$1257:'Podcasts'!$E$1267,"&lt;="&amp;$C365)-1</f>
        <v>4</v>
      </c>
      <c r="Q365" s="469">
        <f>COUNTIFS(Podcasts!$D$1273:'Podcasts'!$D$1283,"&gt;0",Podcasts!$E$1273:'Podcasts'!$E$1283,"&lt;="&amp;$C365)-5</f>
        <v>5</v>
      </c>
      <c r="R365" s="467">
        <f>COUNTIFS(Podcasts!$D$1289:'Podcasts'!$D$1295,"&gt;0",Podcasts!$E$1289:'Podcasts'!$E$1295,"&lt;="&amp;$C365)</f>
        <v>7</v>
      </c>
      <c r="S365" s="467">
        <f>COUNTIFS(Podcasts!$D$1301:'Podcasts'!$D$1356,"&gt;0",Podcasts!$E$1301:'Podcasts'!$E$1356,"&lt;="&amp;$C365)-5</f>
        <v>26</v>
      </c>
      <c r="T365" s="469">
        <f>COUNTIFS(Podcasts!$D$1362:'Podcasts'!$D$1364,"&gt;0",Podcasts!$E$1362:'Podcasts'!$E$1364,"&lt;="&amp;$C365)</f>
        <v>3</v>
      </c>
      <c r="U365" s="467">
        <f>COUNTIFS(Podcasts!$D$1370:'Podcasts'!$D$1419,"&gt;0",Podcasts!$E$1370:'Podcasts'!$E$1419,"&lt;="&amp;$C365)</f>
        <v>23</v>
      </c>
      <c r="V365" s="467">
        <f>COUNTIFS(Podcasts!$D$1425:'Podcasts'!$D$1446,"&gt;0",Podcasts!$E$1425:'Podcasts'!$E$1446,"&lt;="&amp;$C365)</f>
        <v>13</v>
      </c>
      <c r="W365" s="469">
        <f>COUNTIFS(Podcasts!$D$1452:'Podcasts'!$D$1574,"&gt;0",Podcasts!$E$1452:'Podcasts'!$E$1574,"&lt;="&amp;$C365)</f>
        <v>47</v>
      </c>
      <c r="X365" s="467">
        <f>COUNTIFS(Podcasts!$D$1580:'Podcasts'!$D$1705,"&gt;0",Podcasts!$E$1580:'Podcasts'!$E$1705,"&lt;="&amp;$C365)-1</f>
        <v>53</v>
      </c>
      <c r="Y365" s="467">
        <f>COUNTIFS(Podcasts!$D$1711:'Podcasts'!$D$1833,"&gt;0",Podcasts!$E$1711:'Podcasts'!$E$1833,"&lt;="&amp;$C365)</f>
        <v>32</v>
      </c>
      <c r="Z365" s="469">
        <f>COUNTIFS(Podcasts!$D$1839:'Podcasts'!$D$1855,"&gt;0",Podcasts!$E$1839:'Podcasts'!$E$1855,"&lt;="&amp;$C365)</f>
        <v>3</v>
      </c>
      <c r="AA365" s="467">
        <f>COUNTIFS(Podcasts!$D$1861:'Podcasts'!$D$1994,"&gt;0",Podcasts!$E$1861:'Podcasts'!$E$1994,"&lt;="&amp;$C365)</f>
        <v>24</v>
      </c>
      <c r="AB365" s="467">
        <f>COUNTIFS(Podcasts!$D$2000:'Podcasts'!$D$2057,"&gt;0",Podcasts!$E$2000:'Podcasts'!$E$2057,"&lt;="&amp;$C365)</f>
        <v>0</v>
      </c>
      <c r="AC365" s="469">
        <f>COUNTIFS(Podcasts!$D$2063:'Podcasts'!$D$2071,"&gt;0",Podcasts!$E$2063:'Podcasts'!$E$2071,"&lt;="&amp;$C365)</f>
        <v>0</v>
      </c>
      <c r="AD365" s="467"/>
      <c r="AE365" s="467"/>
      <c r="AF365" s="469">
        <f>COUNTIFS(Podcasts!$E$2131:'Podcasts'!$E$2367,"&lt;="&amp;$C365)</f>
        <v>67</v>
      </c>
      <c r="AH365" s="243">
        <f t="shared" si="5"/>
        <v>4672.6499999999996</v>
      </c>
      <c r="AI365" s="243">
        <f>SUMIFS(Podcasts!$F$10:'Podcasts'!$F$107,Podcasts!$D$10:'Podcasts'!$D$107,"&gt;0",Podcasts!$E$10:'Podcasts'!$E$107,"&gt;"&amp;$C364,Podcasts!$E$10:'Podcasts'!$E$107,"&lt;="&amp;$C365)*24*60</f>
        <v>0</v>
      </c>
      <c r="AJ365" s="243">
        <f>SUMIFS(Podcasts!$F$113:'Podcasts'!$F$238,Podcasts!$D$113:'Podcasts'!$D$238,"&gt;0",Podcasts!$E$113:'Podcasts'!$E$238,"&gt;"&amp;$C364,Podcasts!$E$113:'Podcasts'!$E$238,"&lt;="&amp;$C365)*24*60</f>
        <v>3.9500000000000006</v>
      </c>
      <c r="AK365" s="243">
        <f>SUMIFS(Podcasts!$F$244:'Podcasts'!$F$299,Podcasts!$D$244:'Podcasts'!$D$299,"&gt;0",Podcasts!$E$244:'Podcasts'!$E$299,"&gt;"&amp;$C364,Podcasts!$E$244:'Podcasts'!$E$299,"&lt;="&amp;$C365)*24*60</f>
        <v>0</v>
      </c>
      <c r="AL365" s="243">
        <f>SUMIFS(Podcasts!$F$305:'Podcasts'!$F$473,Podcasts!$D$305:'Podcasts'!$D$473,"&gt;0",Podcasts!$E$305:'Podcasts'!$E$473,"&gt;"&amp;$C364,Podcasts!$E$305:'Podcasts'!$E$473,"&lt;="&amp;$C365)*24*60</f>
        <v>0</v>
      </c>
      <c r="AM365" s="243">
        <f>SUMIFS(Podcasts!$F$479:'Podcasts'!$F$488,Podcasts!$D$479:'Podcasts'!$D$488,"&gt;0",Podcasts!$E$479:'Podcasts'!$E$488,"&gt;"&amp;$C364,Podcasts!$E$479:'Podcasts'!$E$488,"&lt;="&amp;$C365)*24*60</f>
        <v>0</v>
      </c>
      <c r="AN365" s="243">
        <f>SUMIFS(Podcasts!$F$494:'Podcasts'!$F$518,Podcasts!$D$494:'Podcasts'!$D$518,"&gt;0",Podcasts!$E$494:'Podcasts'!$E$518,"&gt;"&amp;$C364,Podcasts!$E$494:'Podcasts'!$E$518,"&lt;="&amp;$C365)*24*60</f>
        <v>108.38333333333333</v>
      </c>
      <c r="AO365" s="243">
        <f>SUMIFS(Podcasts!$F$524:'Podcasts'!$F$532,Podcasts!$D$524:'Podcasts'!$D$532,"&gt;0",Podcasts!$E$524:'Podcasts'!$E$532,"&gt;"&amp;$C364,Podcasts!$E$524:'Podcasts'!$E$532,"&lt;="&amp;$C365)*24*60</f>
        <v>0</v>
      </c>
      <c r="AP365" s="243">
        <f>SUMIFS(Podcasts!$F$538:'Podcasts'!$F$909,Podcasts!$D$538:'Podcasts'!$D$909,"&gt;0",Podcasts!$E$538:'Podcasts'!$E$909,"&gt;"&amp;$C364,Podcasts!$E$538:'Podcasts'!$E$909,"&lt;="&amp;$C365)*24*60</f>
        <v>613.38333333333333</v>
      </c>
      <c r="AQ365" s="243">
        <f>SUMIFS(Podcasts!$F$915:'Podcasts'!$F$981,Podcasts!$D$915:'Podcasts'!$D$981,"&gt;0",Podcasts!$E$915:'Podcasts'!$E$981,"&gt;"&amp;$C364,Podcasts!$E$915:'Podcasts'!$E$981,"&lt;="&amp;$C365)*24*60</f>
        <v>421.13333333333333</v>
      </c>
      <c r="AR365" s="243">
        <f>SUMIFS(Podcasts!$F$987:'Podcasts'!$F$995,Podcasts!$D$987:'Podcasts'!$D$995,"&gt;0",Podcasts!$E$987:'Podcasts'!$E$995,"&gt;"&amp;$C364,Podcasts!$E$987:'Podcasts'!$E$995,"&lt;="&amp;$C365)*24*60</f>
        <v>0</v>
      </c>
      <c r="AS365" s="243">
        <f>SUMIFS(Podcasts!$F$1001:'Podcasts'!$F$1251,Podcasts!$D$1001:'Podcasts'!$D$1251,"&gt;0",Podcasts!$E$1001:'Podcasts'!$E$1251,"&gt;"&amp;$C364,Podcasts!$E$1001:'Podcasts'!$E$1251,"&lt;="&amp;$C365)*24*60</f>
        <v>1149.5333333333333</v>
      </c>
      <c r="AT365" s="243">
        <f>SUMIFS(Podcasts!$F$1257:'Podcasts'!$F$1267,Podcasts!$D$1257:'Podcasts'!$D$1267,"&gt;0",Podcasts!$E$1257:'Podcasts'!$E$1267,"&gt;"&amp;$C364,Podcasts!$E$1257:'Podcasts'!$E$1267,"&lt;="&amp;$C365)*24*60</f>
        <v>0</v>
      </c>
      <c r="AU365" s="243">
        <f>SUMIFS(Podcasts!$F$1273:'Podcasts'!$F$1283,Podcasts!$D$1273:'Podcasts'!$D$1283,"&gt;0",Podcasts!$E$1273:'Podcasts'!$E$1283,"&gt;"&amp;$C364,Podcasts!$E$1273:'Podcasts'!$E$1283,"&lt;="&amp;$C365)*24*60</f>
        <v>0</v>
      </c>
      <c r="AV365" s="243">
        <f>SUMIFS(Podcasts!$F$1289:'Podcasts'!$F$1295,Podcasts!$D$1289:'Podcasts'!$D$1295,"&gt;0",Podcasts!$E$1289:'Podcasts'!$E$1295,"&gt;"&amp;$C364,Podcasts!$E$1289:'Podcasts'!$E$1295,"&lt;="&amp;$C365)*24*60</f>
        <v>0</v>
      </c>
      <c r="AW365" s="243">
        <f>SUMIFS(Podcasts!$F$1301:'Podcasts'!$F$1356,Podcasts!$D$1301:'Podcasts'!$D$1356,"&gt;0",Podcasts!$E$1301:'Podcasts'!$E$1356,"&gt;"&amp;$C364,Podcasts!$E$1301:'Podcasts'!$E$1356,"&lt;="&amp;$C365)*24*60</f>
        <v>274.05</v>
      </c>
      <c r="AX365" s="243">
        <f>SUMIFS(Podcasts!$F$1362:'Podcasts'!$F$1364,Podcasts!$D$1362:'Podcasts'!$D$1364,"&gt;0",Podcasts!$E$1362:'Podcasts'!$E$1364,"&gt;"&amp;$C364,Podcasts!$E$1362:'Podcasts'!$E$1364,"&lt;="&amp;$C365)*24*60</f>
        <v>0</v>
      </c>
      <c r="AY365" s="243">
        <f>SUMIFS(Podcasts!$F$1370:'Podcasts'!$F$1419,Podcasts!$D$1370:'Podcasts'!$D$1419,"&gt;0",Podcasts!$E$1370:'Podcasts'!$E$1419,"&gt;"&amp;$C364,Podcasts!$E$1370:'Podcasts'!$E$1419,"&lt;="&amp;$C365)*24*60</f>
        <v>339.31666666666666</v>
      </c>
      <c r="AZ365" s="243">
        <f>SUMIFS(Podcasts!$F$1425:'Podcasts'!$F$1446,Podcasts!$D$1425:'Podcasts'!$D$1446,"&gt;0",Podcasts!$E$1425:'Podcasts'!$E$1446,"&gt;"&amp;$C364,Podcasts!$E$1425:'Podcasts'!$E$1446,"&lt;="&amp;$C365)*24*60</f>
        <v>0</v>
      </c>
      <c r="BA365" s="243">
        <f>SUMIFS(Podcasts!$F$1452:'Podcasts'!$F$1574,Podcasts!$D$1452:'Podcasts'!$D$1574,"&gt;0",Podcasts!$E$1452:'Podcasts'!$E$1574,"&gt;"&amp;$C364,Podcasts!$E$1452:'Podcasts'!$E$1574,"&lt;="&amp;$C365)*24*60</f>
        <v>154.75</v>
      </c>
      <c r="BB365" s="243">
        <f>SUMIFS(Podcasts!$F$1580:'Podcasts'!$F$1705,Podcasts!$D$1580:'Podcasts'!$D$1705,"&gt;0",Podcasts!$E$1580:'Podcasts'!$E$1705,"&gt;"&amp;$C364,Podcasts!$E$1580:'Podcasts'!$E$1705,"&lt;="&amp;$C365)*24*60</f>
        <v>901.6</v>
      </c>
      <c r="BC365" s="243">
        <f>SUMIFS(Podcasts!$F$1711:'Podcasts'!$F$1833,Podcasts!$D$1711:'Podcasts'!$D$1833,"&gt;0",Podcasts!$E$1711:'Podcasts'!$E$1833,"&gt;"&amp;$C364,Podcasts!$E$1711:'Podcasts'!$E$1833,"&lt;="&amp;$C365)*24*60</f>
        <v>196.41666666666669</v>
      </c>
      <c r="BD365" s="243">
        <f>SUMIFS(Podcasts!$F$1839:'Podcasts'!$F$1855,Podcasts!$D$1839:'Podcasts'!$D$1855,"&gt;0",Podcasts!$E$1839:'Podcasts'!$E$1855,"&gt;"&amp;$C364,Podcasts!$E$1839:'Podcasts'!$E$1855,"&lt;="&amp;$C365)*24*60</f>
        <v>0</v>
      </c>
      <c r="BE365" s="243">
        <f>SUMIFS(Podcasts!$F$1861:'Podcasts'!$F$1994,Podcasts!$D$1861:'Podcasts'!$D$1994,"&gt;0",Podcasts!$E$1861:'Podcasts'!$E$1994,"&gt;"&amp;$C364,Podcasts!$E$1861:'Podcasts'!$E$1994,"&lt;="&amp;$C365)*24*60</f>
        <v>510.13333333333333</v>
      </c>
      <c r="BF365" s="243">
        <f>SUMIFS(Podcasts!$F$2000:'Podcasts'!$F$2057,Podcasts!$D$2000:'Podcasts'!$D$2057,"&gt;0",Podcasts!$E$2000:'Podcasts'!$E$2057,"&gt;"&amp;$C364,Podcasts!$E$2000:'Podcasts'!$E$2057,"&lt;="&amp;$C365)*24*60</f>
        <v>0</v>
      </c>
      <c r="BG365" s="243">
        <f>SUMIFS(Podcasts!$F$2063:'Podcasts'!$F$2071,Podcasts!$D$2063:'Podcasts'!$D$2071,"&gt;0",Podcasts!$E$2063:'Podcasts'!$E$2071,"&gt;"&amp;$C364,Podcasts!$E$2063:'Podcasts'!$E$2071,"&lt;="&amp;$C365)*24*60</f>
        <v>0</v>
      </c>
      <c r="BH365" s="243">
        <f>SUMIFS(Podcasts!$F$2131:'Podcasts'!$F$2367,Podcasts!$D$2131:'Podcasts'!$D$2367,"&gt;0",Podcasts!$E$2131:'Podcasts'!$E$2367,"&gt;"&amp;$C364,Podcasts!$E$2131:'Podcasts'!$E$2367,"&lt;="&amp;$C365)*24*60</f>
        <v>0</v>
      </c>
    </row>
    <row r="366" spans="1:60">
      <c r="A366" s="163">
        <f t="shared" si="7"/>
        <v>794</v>
      </c>
      <c r="B366" s="164">
        <f t="shared" si="12"/>
        <v>41</v>
      </c>
      <c r="C366" s="72">
        <v>44834</v>
      </c>
      <c r="D366" s="166" t="str">
        <f t="shared" si="14"/>
        <v>794 (+41)</v>
      </c>
      <c r="E366" s="106">
        <f>COUNTIFS(Podcasts!$D$10:'Podcasts'!$D$107,"&gt;0",Podcasts!$E$10:'Podcasts'!$E$107,"&lt;="&amp;$C366)-2</f>
        <v>44</v>
      </c>
      <c r="F366" s="467">
        <f>COUNTIFS(Podcasts!$D$113:'Podcasts'!$D$238,"&gt;0",Podcasts!$E$113:'Podcasts'!$E$238,"&lt;="&amp;$C366)</f>
        <v>68</v>
      </c>
      <c r="G366" s="468">
        <f>COUNTIFS(Podcasts!$D$244:'Podcasts'!$D$299,"&gt;0",Podcasts!$E$244:'Podcasts'!$E$299,"&lt;="&amp;$C366)</f>
        <v>37</v>
      </c>
      <c r="H366" s="467">
        <v>135</v>
      </c>
      <c r="I366" s="467">
        <f>COUNTIFS(Podcasts!$D$479:'Podcasts'!$D$488,"&gt;0",Podcasts!$E$479:'Podcasts'!$E$488,"&lt;="&amp;$C366)</f>
        <v>3</v>
      </c>
      <c r="J366" s="468">
        <f>COUNTIFS(Podcasts!$D$494:'Podcasts'!$D$518,"&gt;0",Podcasts!$E$494:'Podcasts'!$E$518,"&lt;="&amp;$C366)</f>
        <v>18</v>
      </c>
      <c r="K366" s="469">
        <f>COUNTIFS(Podcasts!$D$524:'Podcasts'!$D$532,"&gt;0",Podcasts!$E$524:'Podcasts'!$E$532,"&lt;="&amp;$C366)</f>
        <v>7</v>
      </c>
      <c r="L366" s="467">
        <f>COUNTIFS(Podcasts!$D$538:'Podcasts'!$D$909,"&gt;0",Podcasts!$E$538:'Podcasts'!$E$909,"&lt;="&amp;$C366)-9</f>
        <v>108</v>
      </c>
      <c r="M366" s="467">
        <f>COUNTIFS(Podcasts!$D$915:'Podcasts'!$D$981,"&gt;0",Podcasts!$E$915:'Podcasts'!$E$981,"&lt;="&amp;$C366)</f>
        <v>55</v>
      </c>
      <c r="N366" s="469">
        <v>8</v>
      </c>
      <c r="O366" s="467">
        <f>COUNTIFS(Podcasts!$D$1001:'Podcasts'!$D$1251,"&gt;0",Podcasts!$E$1001:'Podcasts'!$E$1251,"&lt;="&amp;$C366)-5</f>
        <v>47</v>
      </c>
      <c r="P366" s="467">
        <f>COUNTIFS(Podcasts!$D$1257:'Podcasts'!$D$1267,"&gt;0",Podcasts!$E$1257:'Podcasts'!$E$1267,"&lt;="&amp;$C366)-1</f>
        <v>6</v>
      </c>
      <c r="Q366" s="469">
        <f>COUNTIFS(Podcasts!$D$1273:'Podcasts'!$D$1283,"&gt;0",Podcasts!$E$1273:'Podcasts'!$E$1283,"&lt;="&amp;$C366)-5</f>
        <v>5</v>
      </c>
      <c r="R366" s="467">
        <f>COUNTIFS(Podcasts!$D$1289:'Podcasts'!$D$1295,"&gt;0",Podcasts!$E$1289:'Podcasts'!$E$1295,"&lt;="&amp;$C366)</f>
        <v>7</v>
      </c>
      <c r="S366" s="467">
        <f>COUNTIFS(Podcasts!$D$1301:'Podcasts'!$D$1356,"&gt;0",Podcasts!$E$1301:'Podcasts'!$E$1356,"&lt;="&amp;$C366)-5</f>
        <v>29</v>
      </c>
      <c r="T366" s="469">
        <f>COUNTIFS(Podcasts!$D$1362:'Podcasts'!$D$1364,"&gt;0",Podcasts!$E$1362:'Podcasts'!$E$1364,"&lt;="&amp;$C366)</f>
        <v>3</v>
      </c>
      <c r="U366" s="467">
        <f>COUNTIFS(Podcasts!$D$1370:'Podcasts'!$D$1419,"&gt;0",Podcasts!$E$1370:'Podcasts'!$E$1419,"&lt;="&amp;$C366)</f>
        <v>25</v>
      </c>
      <c r="V366" s="467">
        <f>COUNTIFS(Podcasts!$D$1425:'Podcasts'!$D$1446,"&gt;0",Podcasts!$E$1425:'Podcasts'!$E$1446,"&lt;="&amp;$C366)</f>
        <v>13</v>
      </c>
      <c r="W366" s="469">
        <f>COUNTIFS(Podcasts!$D$1452:'Podcasts'!$D$1574,"&gt;0",Podcasts!$E$1452:'Podcasts'!$E$1574,"&lt;="&amp;$C366)</f>
        <v>53</v>
      </c>
      <c r="X366" s="467">
        <f>COUNTIFS(Podcasts!$D$1580:'Podcasts'!$D$1705,"&gt;0",Podcasts!$E$1580:'Podcasts'!$E$1705,"&lt;="&amp;$C366)-1</f>
        <v>59</v>
      </c>
      <c r="Y366" s="467">
        <f>COUNTIFS(Podcasts!$D$1711:'Podcasts'!$D$1833,"&gt;0",Podcasts!$E$1711:'Podcasts'!$E$1833,"&lt;="&amp;$C366)</f>
        <v>38</v>
      </c>
      <c r="Z366" s="469">
        <f>COUNTIFS(Podcasts!$D$1839:'Podcasts'!$D$1855,"&gt;0",Podcasts!$E$1839:'Podcasts'!$E$1855,"&lt;="&amp;$C366)</f>
        <v>4</v>
      </c>
      <c r="AA366" s="467">
        <f>COUNTIFS(Podcasts!$D$1861:'Podcasts'!$D$1994,"&gt;0",Podcasts!$E$1861:'Podcasts'!$E$1994,"&lt;="&amp;$C366)</f>
        <v>27</v>
      </c>
      <c r="AB366" s="467">
        <f>COUNTIFS(Podcasts!$D$2000:'Podcasts'!$D$2057,"&gt;0",Podcasts!$E$2000:'Podcasts'!$E$2057,"&lt;="&amp;$C366)</f>
        <v>3</v>
      </c>
      <c r="AC366" s="469">
        <f>COUNTIFS(Podcasts!$D$2063:'Podcasts'!$D$2071,"&gt;0",Podcasts!$E$2063:'Podcasts'!$E$2071,"&lt;="&amp;$C366)</f>
        <v>0</v>
      </c>
      <c r="AD366" s="467">
        <f>COUNTIFS(Podcasts!$D$2077:'Podcasts'!$D$2092,"&gt;0",Podcasts!$E$2077:'Podcasts'!$E$2092,"&lt;="&amp;$C366)</f>
        <v>0</v>
      </c>
      <c r="AE366" s="467">
        <f>COUNTIFS(Podcasts!$D$2098:'Podcasts'!$D$2114,"&gt;0",Podcasts!$E$2098:'Podcasts'!$E$2114,"&lt;="&amp;$C366)</f>
        <v>0</v>
      </c>
      <c r="AF366" s="469">
        <f>COUNTIFS(Podcasts!$E$2131:'Podcasts'!$E$2367,"&lt;="&amp;$C366)</f>
        <v>90</v>
      </c>
      <c r="AH366" s="243">
        <f t="shared" si="5"/>
        <v>3517.7000000000003</v>
      </c>
      <c r="AI366" s="243">
        <f>SUMIFS(Podcasts!$F$10:'Podcasts'!$F$107,Podcasts!$D$10:'Podcasts'!$D$107,"&gt;0",Podcasts!$E$10:'Podcasts'!$E$107,"&gt;"&amp;$C365,Podcasts!$E$10:'Podcasts'!$E$107,"&lt;="&amp;$C366)*24*60</f>
        <v>0</v>
      </c>
      <c r="AJ366" s="243">
        <f>SUMIFS(Podcasts!$F$113:'Podcasts'!$F$238,Podcasts!$D$113:'Podcasts'!$D$238,"&gt;0",Podcasts!$E$113:'Podcasts'!$E$238,"&gt;"&amp;$C365,Podcasts!$E$113:'Podcasts'!$E$238,"&lt;="&amp;$C366)*24*60</f>
        <v>10.166666666666668</v>
      </c>
      <c r="AK366" s="243">
        <f>SUMIFS(Podcasts!$F$244:'Podcasts'!$F$299,Podcasts!$D$244:'Podcasts'!$D$299,"&gt;0",Podcasts!$E$244:'Podcasts'!$E$299,"&gt;"&amp;$C365,Podcasts!$E$244:'Podcasts'!$E$299,"&lt;="&amp;$C366)*24*60</f>
        <v>0</v>
      </c>
      <c r="AL366" s="243">
        <f>SUMIFS(Podcasts!$F$305:'Podcasts'!$F$473,Podcasts!$D$305:'Podcasts'!$D$473,"&gt;0",Podcasts!$E$305:'Podcasts'!$E$473,"&gt;"&amp;$C365,Podcasts!$E$305:'Podcasts'!$E$473,"&lt;="&amp;$C366)*24*60</f>
        <v>0</v>
      </c>
      <c r="AM366" s="243">
        <f>SUMIFS(Podcasts!$F$479:'Podcasts'!$F$488,Podcasts!$D$479:'Podcasts'!$D$488,"&gt;0",Podcasts!$E$479:'Podcasts'!$E$488,"&gt;"&amp;$C365,Podcasts!$E$479:'Podcasts'!$E$488,"&lt;="&amp;$C366)*24*60</f>
        <v>0</v>
      </c>
      <c r="AN366" s="243">
        <f>SUMIFS(Podcasts!$F$494:'Podcasts'!$F$518,Podcasts!$D$494:'Podcasts'!$D$518,"&gt;0",Podcasts!$E$494:'Podcasts'!$E$518,"&gt;"&amp;$C365,Podcasts!$E$494:'Podcasts'!$E$518,"&lt;="&amp;$C366)*24*60</f>
        <v>0</v>
      </c>
      <c r="AO366" s="243">
        <f>SUMIFS(Podcasts!$F$524:'Podcasts'!$F$532,Podcasts!$D$524:'Podcasts'!$D$532,"&gt;0",Podcasts!$E$524:'Podcasts'!$E$532,"&gt;"&amp;$C365,Podcasts!$E$524:'Podcasts'!$E$532,"&lt;="&amp;$C366)*24*60</f>
        <v>0</v>
      </c>
      <c r="AP366" s="243">
        <f>SUMIFS(Podcasts!$F$538:'Podcasts'!$F$909,Podcasts!$D$538:'Podcasts'!$D$909,"&gt;0",Podcasts!$E$538:'Podcasts'!$E$909,"&gt;"&amp;$C365,Podcasts!$E$538:'Podcasts'!$E$909,"&lt;="&amp;$C366)*24*60</f>
        <v>313.26666666666665</v>
      </c>
      <c r="AQ366" s="243">
        <f>SUMIFS(Podcasts!$F$915:'Podcasts'!$F$981,Podcasts!$D$915:'Podcasts'!$D$981,"&gt;0",Podcasts!$E$915:'Podcasts'!$E$981,"&gt;"&amp;$C365,Podcasts!$E$915:'Podcasts'!$E$981,"&lt;="&amp;$C366)*24*60</f>
        <v>399.73333333333335</v>
      </c>
      <c r="AR366" s="243">
        <f>SUMIFS(Podcasts!$F$987:'Podcasts'!$F$995,Podcasts!$D$987:'Podcasts'!$D$995,"&gt;0",Podcasts!$E$987:'Podcasts'!$E$995,"&gt;"&amp;$C365,Podcasts!$E$987:'Podcasts'!$E$995,"&lt;="&amp;$C366)*24*60</f>
        <v>0</v>
      </c>
      <c r="AS366" s="243">
        <f>SUMIFS(Podcasts!$F$1001:'Podcasts'!$F$1251,Podcasts!$D$1001:'Podcasts'!$D$1251,"&gt;0",Podcasts!$E$1001:'Podcasts'!$E$1251,"&gt;"&amp;$C365,Podcasts!$E$1001:'Podcasts'!$E$1251,"&lt;="&amp;$C366)*24*60</f>
        <v>429.13333333333333</v>
      </c>
      <c r="AT366" s="243">
        <f>SUMIFS(Podcasts!$F$1257:'Podcasts'!$F$1267,Podcasts!$D$1257:'Podcasts'!$D$1267,"&gt;0",Podcasts!$E$1257:'Podcasts'!$E$1267,"&gt;"&amp;$C365,Podcasts!$E$1257:'Podcasts'!$E$1267,"&lt;="&amp;$C366)*24*60</f>
        <v>156.13333333333333</v>
      </c>
      <c r="AU366" s="243">
        <f>SUMIFS(Podcasts!$F$1273:'Podcasts'!$F$1283,Podcasts!$D$1273:'Podcasts'!$D$1283,"&gt;0",Podcasts!$E$1273:'Podcasts'!$E$1283,"&gt;"&amp;$C365,Podcasts!$E$1273:'Podcasts'!$E$1283,"&lt;="&amp;$C366)*24*60</f>
        <v>0</v>
      </c>
      <c r="AV366" s="243">
        <f>SUMIFS(Podcasts!$F$1289:'Podcasts'!$F$1295,Podcasts!$D$1289:'Podcasts'!$D$1295,"&gt;0",Podcasts!$E$1289:'Podcasts'!$E$1295,"&gt;"&amp;$C365,Podcasts!$E$1289:'Podcasts'!$E$1295,"&lt;="&amp;$C366)*24*60</f>
        <v>0</v>
      </c>
      <c r="AW366" s="243">
        <f>SUMIFS(Podcasts!$F$1301:'Podcasts'!$F$1356,Podcasts!$D$1301:'Podcasts'!$D$1356,"&gt;0",Podcasts!$E$1301:'Podcasts'!$E$1356,"&gt;"&amp;$C365,Podcasts!$E$1301:'Podcasts'!$E$1356,"&lt;="&amp;$C366)*24*60</f>
        <v>243.73333333333338</v>
      </c>
      <c r="AX366" s="243">
        <f>SUMIFS(Podcasts!$F$1362:'Podcasts'!$F$1364,Podcasts!$D$1362:'Podcasts'!$D$1364,"&gt;0",Podcasts!$E$1362:'Podcasts'!$E$1364,"&gt;"&amp;$C365,Podcasts!$E$1362:'Podcasts'!$E$1364,"&lt;="&amp;$C366)*24*60</f>
        <v>0</v>
      </c>
      <c r="AY366" s="243">
        <f>SUMIFS(Podcasts!$F$1370:'Podcasts'!$F$1419,Podcasts!$D$1370:'Podcasts'!$D$1419,"&gt;0",Podcasts!$E$1370:'Podcasts'!$E$1419,"&gt;"&amp;$C365,Podcasts!$E$1370:'Podcasts'!$E$1419,"&lt;="&amp;$C366)*24*60</f>
        <v>239.7</v>
      </c>
      <c r="AZ366" s="243">
        <f>SUMIFS(Podcasts!$F$1425:'Podcasts'!$F$1446,Podcasts!$D$1425:'Podcasts'!$D$1446,"&gt;0",Podcasts!$E$1425:'Podcasts'!$E$1446,"&gt;"&amp;$C365,Podcasts!$E$1425:'Podcasts'!$E$1446,"&lt;="&amp;$C366)*24*60</f>
        <v>0</v>
      </c>
      <c r="BA366" s="243">
        <f>SUMIFS(Podcasts!$F$1452:'Podcasts'!$F$1574,Podcasts!$D$1452:'Podcasts'!$D$1574,"&gt;0",Podcasts!$E$1452:'Podcasts'!$E$1574,"&gt;"&amp;$C365,Podcasts!$E$1452:'Podcasts'!$E$1574,"&lt;="&amp;$C366)*24*60</f>
        <v>252.33333333333334</v>
      </c>
      <c r="BB366" s="243">
        <f>SUMIFS(Podcasts!$F$1580:'Podcasts'!$F$1705,Podcasts!$D$1580:'Podcasts'!$D$1705,"&gt;0",Podcasts!$E$1580:'Podcasts'!$E$1705,"&gt;"&amp;$C365,Podcasts!$E$1580:'Podcasts'!$E$1705,"&lt;="&amp;$C366)*24*60</f>
        <v>638.66666666666663</v>
      </c>
      <c r="BC366" s="243">
        <f>SUMIFS(Podcasts!$F$1711:'Podcasts'!$F$1833,Podcasts!$D$1711:'Podcasts'!$D$1833,"&gt;0",Podcasts!$E$1711:'Podcasts'!$E$1833,"&gt;"&amp;$C365,Podcasts!$E$1711:'Podcasts'!$E$1833,"&lt;="&amp;$C366)*24*60</f>
        <v>194.15000000000003</v>
      </c>
      <c r="BD366" s="243">
        <f>SUMIFS(Podcasts!$F$1839:'Podcasts'!$F$1855,Podcasts!$D$1839:'Podcasts'!$D$1855,"&gt;0",Podcasts!$E$1839:'Podcasts'!$E$1855,"&gt;"&amp;$C365,Podcasts!$E$1839:'Podcasts'!$E$1855,"&lt;="&amp;$C366)*24*60</f>
        <v>72.516666666666666</v>
      </c>
      <c r="BE366" s="243">
        <f>SUMIFS(Podcasts!$F$1861:'Podcasts'!$F$1994,Podcasts!$D$1861:'Podcasts'!$D$1994,"&gt;0",Podcasts!$E$1861:'Podcasts'!$E$1994,"&gt;"&amp;$C365,Podcasts!$E$1861:'Podcasts'!$E$1994,"&lt;="&amp;$C366)*24*60</f>
        <v>389.41666666666663</v>
      </c>
      <c r="BF366" s="243">
        <f>SUMIFS(Podcasts!$F$2000:'Podcasts'!$F$2057,Podcasts!$D$2000:'Podcasts'!$D$2057,"&gt;0",Podcasts!$E$2000:'Podcasts'!$E$2057,"&gt;"&amp;$C365,Podcasts!$E$2000:'Podcasts'!$E$2057,"&lt;="&amp;$C366)*24*60</f>
        <v>178.75000000000003</v>
      </c>
      <c r="BG366" s="243">
        <f>SUMIFS(Podcasts!$F$2063:'Podcasts'!$F$2071,Podcasts!$D$2063:'Podcasts'!$D$2071,"&gt;0",Podcasts!$E$2063:'Podcasts'!$E$2071,"&gt;"&amp;$C365,Podcasts!$E$2063:'Podcasts'!$E$2071,"&lt;="&amp;$C366)*24*60</f>
        <v>0</v>
      </c>
      <c r="BH366" s="243">
        <f>SUMIFS(Podcasts!$F$2131:'Podcasts'!$F$2367,Podcasts!$D$2131:'Podcasts'!$D$2367,"&gt;0",Podcasts!$E$2131:'Podcasts'!$E$2367,"&gt;"&amp;$C365,Podcasts!$E$2131:'Podcasts'!$E$2367,"&lt;="&amp;$C366)*24*60</f>
        <v>106.48333333333332</v>
      </c>
    </row>
    <row r="367" spans="1:60">
      <c r="A367" s="163">
        <f t="shared" si="7"/>
        <v>843</v>
      </c>
      <c r="B367" s="164">
        <f t="shared" si="12"/>
        <v>49</v>
      </c>
      <c r="C367" s="630">
        <v>44926</v>
      </c>
      <c r="D367" s="631" t="str">
        <f t="shared" si="14"/>
        <v>843 (+49)</v>
      </c>
      <c r="E367" s="632">
        <f>COUNTIFS(Podcasts!$D$10:'Podcasts'!$D$107,"&gt;0",Podcasts!$E$10:'Podcasts'!$E$107,"&lt;="&amp;$C367)-2</f>
        <v>44</v>
      </c>
      <c r="F367" s="474">
        <f>COUNTIFS(Podcasts!$D$113:'Podcasts'!$D$238,"&gt;0",Podcasts!$E$113:'Podcasts'!$E$238,"&lt;="&amp;$C367)</f>
        <v>70</v>
      </c>
      <c r="G367" s="633">
        <f>COUNTIFS(Podcasts!$D$244:'Podcasts'!$D$299,"&gt;0",Podcasts!$E$244:'Podcasts'!$E$299,"&lt;="&amp;$C367)</f>
        <v>37</v>
      </c>
      <c r="H367" s="474">
        <v>135</v>
      </c>
      <c r="I367" s="474">
        <f>COUNTIFS(Podcasts!$D$479:'Podcasts'!$D$488,"&gt;0",Podcasts!$E$479:'Podcasts'!$E$488,"&lt;="&amp;$C367)</f>
        <v>3</v>
      </c>
      <c r="J367" s="633">
        <f>COUNTIFS(Podcasts!$D$494:'Podcasts'!$D$518,"&gt;0",Podcasts!$E$494:'Podcasts'!$E$518,"&lt;="&amp;$C367)</f>
        <v>18</v>
      </c>
      <c r="K367" s="475">
        <f>COUNTIFS(Podcasts!$D$524:'Podcasts'!$D$532,"&gt;0",Podcasts!$E$524:'Podcasts'!$E$532,"&lt;="&amp;$C367)</f>
        <v>7</v>
      </c>
      <c r="L367" s="474">
        <f>COUNTIFS(Podcasts!$D$538:'Podcasts'!$D$909,"&gt;0",Podcasts!$E$538:'Podcasts'!$E$909,"&lt;="&amp;$C367)-9</f>
        <v>112</v>
      </c>
      <c r="M367" s="474">
        <f>COUNTIFS(Podcasts!$D$915:'Podcasts'!$D$981,"&gt;0",Podcasts!$E$915:'Podcasts'!$E$981,"&lt;="&amp;$C367)</f>
        <v>57</v>
      </c>
      <c r="N367" s="475">
        <v>8</v>
      </c>
      <c r="O367" s="474">
        <f>COUNTIFS(Podcasts!$D$1001:'Podcasts'!$D$1251,"&gt;0",Podcasts!$E$1001:'Podcasts'!$E$1251,"&lt;="&amp;$C367)-5</f>
        <v>49</v>
      </c>
      <c r="P367" s="474">
        <f>COUNTIFS(Podcasts!$D$1257:'Podcasts'!$D$1267,"&gt;0",Podcasts!$E$1257:'Podcasts'!$E$1267,"&lt;="&amp;$C367)-1</f>
        <v>7</v>
      </c>
      <c r="Q367" s="475">
        <f>COUNTIFS(Podcasts!$D$1273:'Podcasts'!$D$1283,"&gt;0",Podcasts!$E$1273:'Podcasts'!$E$1283,"&lt;="&amp;$C367)-5</f>
        <v>5</v>
      </c>
      <c r="R367" s="474">
        <f>COUNTIFS(Podcasts!$D$1289:'Podcasts'!$D$1295,"&gt;0",Podcasts!$E$1289:'Podcasts'!$E$1295,"&lt;="&amp;$C367)</f>
        <v>7</v>
      </c>
      <c r="S367" s="474">
        <f>COUNTIFS(Podcasts!$D$1301:'Podcasts'!$D$1356,"&gt;0",Podcasts!$E$1301:'Podcasts'!$E$1356,"&lt;="&amp;$C367)-5</f>
        <v>31</v>
      </c>
      <c r="T367" s="475">
        <f>COUNTIFS(Podcasts!$D$1362:'Podcasts'!$D$1364,"&gt;0",Podcasts!$E$1362:'Podcasts'!$E$1364,"&lt;="&amp;$C367)</f>
        <v>3</v>
      </c>
      <c r="U367" s="474">
        <f>COUNTIFS(Podcasts!$D$1370:'Podcasts'!$D$1419,"&gt;0",Podcasts!$E$1370:'Podcasts'!$E$1419,"&lt;="&amp;$C367)</f>
        <v>26</v>
      </c>
      <c r="V367" s="474">
        <f>COUNTIFS(Podcasts!$D$1425:'Podcasts'!$D$1446,"&gt;0",Podcasts!$E$1425:'Podcasts'!$E$1446,"&lt;="&amp;$C367)</f>
        <v>13</v>
      </c>
      <c r="W367" s="475">
        <f>COUNTIFS(Podcasts!$D$1452:'Podcasts'!$D$1574,"&gt;0",Podcasts!$E$1452:'Podcasts'!$E$1574,"&lt;="&amp;$C367)-1</f>
        <v>58</v>
      </c>
      <c r="X367" s="474">
        <f>COUNTIFS(Podcasts!$D$1580:'Podcasts'!$D$1705,"&gt;0",Podcasts!$E$1580:'Podcasts'!$E$1705,"&lt;="&amp;$C367)-1</f>
        <v>65</v>
      </c>
      <c r="Y367" s="474">
        <f>COUNTIFS(Podcasts!$D$1711:'Podcasts'!$D$1833,"&gt;0",Podcasts!$E$1711:'Podcasts'!$E$1833,"&lt;="&amp;$C367)</f>
        <v>44</v>
      </c>
      <c r="Z367" s="475">
        <f>COUNTIFS(Podcasts!$D$1839:'Podcasts'!$D$1855,"&gt;0",Podcasts!$E$1839:'Podcasts'!$E$1855,"&lt;="&amp;$C367)</f>
        <v>5</v>
      </c>
      <c r="AA367" s="467">
        <f>COUNTIFS(Podcasts!$D$1861:'Podcasts'!$D$1994,"&gt;0",Podcasts!$E$1861:'Podcasts'!$E$1994,"&lt;="&amp;$C367)</f>
        <v>32</v>
      </c>
      <c r="AB367" s="474">
        <f>COUNTIFS(Podcasts!$D$2000:'Podcasts'!$D$2057,"&gt;0",Podcasts!$E$2000:'Podcasts'!$E$2057,"&lt;="&amp;$C367)</f>
        <v>13</v>
      </c>
      <c r="AC367" s="475">
        <f>COUNTIFS(Podcasts!$D$2063:'Podcasts'!$D$2071,"&gt;0",Podcasts!$E$2063:'Podcasts'!$E$2071,"&lt;="&amp;$C367)</f>
        <v>2</v>
      </c>
      <c r="AD367" s="474">
        <f>COUNTIFS(Podcasts!$D$2077:'Podcasts'!$D$2092,"&gt;0",Podcasts!$E$2077:'Podcasts'!$E$2092,"&lt;="&amp;$C367)</f>
        <v>0</v>
      </c>
      <c r="AE367" s="474">
        <f>COUNTIFS(Podcasts!$D$2098:'Podcasts'!$D$2114,"&gt;0",Podcasts!$E$2098:'Podcasts'!$E$2114,"&lt;="&amp;$C367)</f>
        <v>0</v>
      </c>
      <c r="AF367" s="475">
        <f>COUNTIFS(Podcasts!$E$2131:'Podcasts'!$E$2367,"&lt;="&amp;$C367)</f>
        <v>105</v>
      </c>
      <c r="AH367" s="243">
        <f t="shared" si="5"/>
        <v>4396.0499999999993</v>
      </c>
      <c r="AI367" s="243">
        <f>SUMIFS(Podcasts!$F$10:'Podcasts'!$F$107,Podcasts!$D$10:'Podcasts'!$D$107,"&gt;0",Podcasts!$E$10:'Podcasts'!$E$107,"&gt;"&amp;$C366,Podcasts!$E$10:'Podcasts'!$E$107,"&lt;="&amp;$C367)*24*60</f>
        <v>0</v>
      </c>
      <c r="AJ367" s="243">
        <f>SUMIFS(Podcasts!$F$113:'Podcasts'!$F$238,Podcasts!$D$113:'Podcasts'!$D$238,"&gt;0",Podcasts!$E$113:'Podcasts'!$E$238,"&gt;"&amp;$C366,Podcasts!$E$113:'Podcasts'!$E$238,"&lt;="&amp;$C367)*24*60</f>
        <v>8.5</v>
      </c>
      <c r="AK367" s="243">
        <f>SUMIFS(Podcasts!$F$244:'Podcasts'!$F$299,Podcasts!$D$244:'Podcasts'!$D$299,"&gt;0",Podcasts!$E$244:'Podcasts'!$E$299,"&gt;"&amp;$C366,Podcasts!$E$244:'Podcasts'!$E$299,"&lt;="&amp;$C367)*24*60</f>
        <v>0</v>
      </c>
      <c r="AL367" s="243">
        <f>SUMIFS(Podcasts!$F$305:'Podcasts'!$F$473,Podcasts!$D$305:'Podcasts'!$D$473,"&gt;0",Podcasts!$E$305:'Podcasts'!$E$473,"&gt;"&amp;$C366,Podcasts!$E$305:'Podcasts'!$E$473,"&lt;="&amp;$C367)*24*60</f>
        <v>0</v>
      </c>
      <c r="AM367" s="243">
        <f>SUMIFS(Podcasts!$F$479:'Podcasts'!$F$488,Podcasts!$D$479:'Podcasts'!$D$488,"&gt;0",Podcasts!$E$479:'Podcasts'!$E$488,"&gt;"&amp;$C366,Podcasts!$E$479:'Podcasts'!$E$488,"&lt;="&amp;$C367)*24*60</f>
        <v>0</v>
      </c>
      <c r="AN367" s="243">
        <f>SUMIFS(Podcasts!$F$494:'Podcasts'!$F$518,Podcasts!$D$494:'Podcasts'!$D$518,"&gt;0",Podcasts!$E$494:'Podcasts'!$E$518,"&gt;"&amp;$C366,Podcasts!$E$494:'Podcasts'!$E$518,"&lt;="&amp;$C367)*24*60</f>
        <v>0</v>
      </c>
      <c r="AO367" s="243">
        <f>SUMIFS(Podcasts!$F$524:'Podcasts'!$F$532,Podcasts!$D$524:'Podcasts'!$D$532,"&gt;0",Podcasts!$E$524:'Podcasts'!$E$532,"&gt;"&amp;$C366,Podcasts!$E$524:'Podcasts'!$E$532,"&lt;="&amp;$C367)*24*60</f>
        <v>0</v>
      </c>
      <c r="AP367" s="243">
        <f>SUMIFS(Podcasts!$F$538:'Podcasts'!$F$909,Podcasts!$D$538:'Podcasts'!$D$909,"&gt;0",Podcasts!$E$538:'Podcasts'!$E$909,"&gt;"&amp;$C366,Podcasts!$E$538:'Podcasts'!$E$909,"&lt;="&amp;$C367)*24*60</f>
        <v>551.78333333333342</v>
      </c>
      <c r="AQ367" s="243">
        <f>SUMIFS(Podcasts!$F$915:'Podcasts'!$F$981,Podcasts!$D$915:'Podcasts'!$D$981,"&gt;0",Podcasts!$E$915:'Podcasts'!$E$981,"&gt;"&amp;$C366,Podcasts!$E$915:'Podcasts'!$E$981,"&lt;="&amp;$C367)*24*60</f>
        <v>310.06666666666666</v>
      </c>
      <c r="AR367" s="243">
        <f>SUMIFS(Podcasts!$F$987:'Podcasts'!$F$995,Podcasts!$D$987:'Podcasts'!$D$995,"&gt;0",Podcasts!$E$987:'Podcasts'!$E$995,"&gt;"&amp;$C366,Podcasts!$E$987:'Podcasts'!$E$995,"&lt;="&amp;$C367)*24*60</f>
        <v>0</v>
      </c>
      <c r="AS367" s="243">
        <f>SUMIFS(Podcasts!$F$1001:'Podcasts'!$F$1251,Podcasts!$D$1001:'Podcasts'!$D$1251,"&gt;0",Podcasts!$E$1001:'Podcasts'!$E$1251,"&gt;"&amp;$C366,Podcasts!$E$1001:'Podcasts'!$E$1251,"&lt;="&amp;$C367)*24*60</f>
        <v>479.43333333333334</v>
      </c>
      <c r="AT367" s="243">
        <f>SUMIFS(Podcasts!$F$1257:'Podcasts'!$F$1267,Podcasts!$D$1257:'Podcasts'!$D$1267,"&gt;0",Podcasts!$E$1257:'Podcasts'!$E$1267,"&gt;"&amp;$C366,Podcasts!$E$1257:'Podcasts'!$E$1267,"&lt;="&amp;$C367)*24*60</f>
        <v>65.533333333333331</v>
      </c>
      <c r="AU367" s="243">
        <f>SUMIFS(Podcasts!$F$1273:'Podcasts'!$F$1283,Podcasts!$D$1273:'Podcasts'!$D$1283,"&gt;0",Podcasts!$E$1273:'Podcasts'!$E$1283,"&gt;"&amp;$C366,Podcasts!$E$1273:'Podcasts'!$E$1283,"&lt;="&amp;$C367)*24*60</f>
        <v>0</v>
      </c>
      <c r="AV367" s="243">
        <f>SUMIFS(Podcasts!$F$1289:'Podcasts'!$F$1295,Podcasts!$D$1289:'Podcasts'!$D$1295,"&gt;0",Podcasts!$E$1289:'Podcasts'!$E$1295,"&gt;"&amp;$C366,Podcasts!$E$1289:'Podcasts'!$E$1295,"&lt;="&amp;$C367)*24*60</f>
        <v>0</v>
      </c>
      <c r="AW367" s="243">
        <f>SUMIFS(Podcasts!$F$1301:'Podcasts'!$F$1356,Podcasts!$D$1301:'Podcasts'!$D$1356,"&gt;0",Podcasts!$E$1301:'Podcasts'!$E$1356,"&gt;"&amp;$C366,Podcasts!$E$1301:'Podcasts'!$E$1356,"&lt;="&amp;$C367)*24*60</f>
        <v>179.83333333333331</v>
      </c>
      <c r="AX367" s="243">
        <f>SUMIFS(Podcasts!$F$1362:'Podcasts'!$F$1364,Podcasts!$D$1362:'Podcasts'!$D$1364,"&gt;0",Podcasts!$E$1362:'Podcasts'!$E$1364,"&gt;"&amp;$C366,Podcasts!$E$1362:'Podcasts'!$E$1364,"&lt;="&amp;$C367)*24*60</f>
        <v>0</v>
      </c>
      <c r="AY367" s="243">
        <f>SUMIFS(Podcasts!$F$1370:'Podcasts'!$F$1419,Podcasts!$D$1370:'Podcasts'!$D$1419,"&gt;0",Podcasts!$E$1370:'Podcasts'!$E$1419,"&gt;"&amp;$C366,Podcasts!$E$1370:'Podcasts'!$E$1419,"&lt;="&amp;$C367)*24*60</f>
        <v>105.58333333333334</v>
      </c>
      <c r="AZ367" s="243">
        <f>SUMIFS(Podcasts!$F$1425:'Podcasts'!$F$1446,Podcasts!$D$1425:'Podcasts'!$D$1446,"&gt;0",Podcasts!$E$1425:'Podcasts'!$E$1446,"&gt;"&amp;$C366,Podcasts!$E$1425:'Podcasts'!$E$1446,"&lt;="&amp;$C367)*24*60</f>
        <v>0</v>
      </c>
      <c r="BA367" s="243">
        <f>SUMIFS(Podcasts!$F$1452:'Podcasts'!$F$1574,Podcasts!$D$1452:'Podcasts'!$D$1574,"&gt;0",Podcasts!$E$1452:'Podcasts'!$E$1574,"&gt;"&amp;$C366,Podcasts!$E$1452:'Podcasts'!$E$1574,"&lt;="&amp;$C367)*24*60</f>
        <v>325.63333333333333</v>
      </c>
      <c r="BB367" s="243">
        <f>SUMIFS(Podcasts!$F$1580:'Podcasts'!$F$1705,Podcasts!$D$1580:'Podcasts'!$D$1705,"&gt;0",Podcasts!$E$1580:'Podcasts'!$E$1705,"&gt;"&amp;$C366,Podcasts!$E$1580:'Podcasts'!$E$1705,"&lt;="&amp;$C367)*24*60</f>
        <v>577.88333333333333</v>
      </c>
      <c r="BC367" s="243">
        <f>SUMIFS(Podcasts!$F$1711:'Podcasts'!$F$1833,Podcasts!$D$1711:'Podcasts'!$D$1833,"&gt;0",Podcasts!$E$1711:'Podcasts'!$E$1833,"&gt;"&amp;$C366,Podcasts!$E$1711:'Podcasts'!$E$1833,"&lt;="&amp;$C367)*24*60</f>
        <v>194.66666666666666</v>
      </c>
      <c r="BD367" s="243">
        <f>SUMIFS(Podcasts!$F$1839:'Podcasts'!$F$1855,Podcasts!$D$1839:'Podcasts'!$D$1855,"&gt;0",Podcasts!$E$1839:'Podcasts'!$E$1855,"&gt;"&amp;$C366,Podcasts!$E$1839:'Podcasts'!$E$1855,"&lt;="&amp;$C367)*24*60</f>
        <v>78.25</v>
      </c>
      <c r="BE367" s="243">
        <f>SUMIFS(Podcasts!$F$1861:'Podcasts'!$F$1994,Podcasts!$D$1861:'Podcasts'!$D$1994,"&gt;0",Podcasts!$E$1861:'Podcasts'!$E$1994,"&gt;"&amp;$C366,Podcasts!$E$1861:'Podcasts'!$E$1994,"&lt;="&amp;$C367)*24*60</f>
        <v>797.9</v>
      </c>
      <c r="BF367" s="243">
        <f>SUMIFS(Podcasts!$F$2000:'Podcasts'!$F$2057,Podcasts!$D$2000:'Podcasts'!$D$2057,"&gt;0",Podcasts!$E$2000:'Podcasts'!$E$2057,"&gt;"&amp;$C366,Podcasts!$E$2000:'Podcasts'!$E$2057,"&lt;="&amp;$C367)*24*60</f>
        <v>600.09999999999991</v>
      </c>
      <c r="BG367" s="243">
        <f>SUMIFS(Podcasts!$F$2063:'Podcasts'!$F$2071,Podcasts!$D$2063:'Podcasts'!$D$2071,"&gt;0",Podcasts!$E$2063:'Podcasts'!$E$2071,"&gt;"&amp;$C366,Podcasts!$E$2063:'Podcasts'!$E$2071,"&lt;="&amp;$C367)*24*60</f>
        <v>120.88333333333334</v>
      </c>
      <c r="BH367" s="243">
        <f>SUMIFS(Podcasts!$F$2131:'Podcasts'!$F$2367,Podcasts!$D$2131:'Podcasts'!$D$2367,"&gt;0",Podcasts!$E$2131:'Podcasts'!$E$2367,"&gt;"&amp;$C366,Podcasts!$E$2131:'Podcasts'!$E$2367,"&lt;="&amp;$C367)*24*60</f>
        <v>0</v>
      </c>
    </row>
    <row r="368" spans="1:60">
      <c r="A368" s="28"/>
      <c r="B368" s="28"/>
      <c r="C368" s="28"/>
      <c r="D368" s="28"/>
      <c r="E368" s="28"/>
      <c r="F368" s="28"/>
      <c r="G368" s="28"/>
      <c r="H368" s="28"/>
      <c r="I368" s="28"/>
      <c r="J368" s="28"/>
      <c r="K368" s="28"/>
      <c r="L368" s="28"/>
      <c r="M368" s="28"/>
      <c r="N368" s="28"/>
      <c r="AA368" s="19"/>
      <c r="AB368" s="19"/>
      <c r="AC368" s="19"/>
      <c r="AD368" s="19"/>
      <c r="AE368" s="19"/>
    </row>
    <row r="369" spans="1:234">
      <c r="A369" s="28"/>
      <c r="B369" s="28"/>
      <c r="C369" s="28"/>
      <c r="D369" s="28"/>
      <c r="E369" s="28"/>
      <c r="F369" s="28"/>
      <c r="G369" s="28"/>
      <c r="H369" s="28"/>
      <c r="I369" s="28"/>
      <c r="J369" s="28"/>
      <c r="K369" s="28"/>
      <c r="L369" s="28"/>
      <c r="M369" s="28"/>
      <c r="N369" s="28"/>
    </row>
    <row r="370" spans="1:234">
      <c r="A370" s="28"/>
      <c r="B370" s="28"/>
      <c r="C370" s="28"/>
      <c r="D370" s="28"/>
      <c r="E370" s="28"/>
      <c r="F370" s="28"/>
      <c r="G370" s="28"/>
      <c r="H370" s="28"/>
      <c r="I370" s="28"/>
      <c r="J370" s="28"/>
      <c r="K370" s="28"/>
      <c r="L370" s="28"/>
      <c r="M370" s="28"/>
      <c r="N370" s="28"/>
    </row>
    <row r="371" spans="1:234">
      <c r="A371" s="28"/>
      <c r="B371" s="770" t="s">
        <v>1232</v>
      </c>
      <c r="C371" s="771"/>
      <c r="D371" s="771"/>
      <c r="E371" s="771"/>
      <c r="F371" s="771"/>
      <c r="G371" s="771"/>
      <c r="H371" s="771"/>
      <c r="I371" s="772"/>
      <c r="J371" s="28"/>
      <c r="K371" s="28"/>
      <c r="L371" s="28"/>
      <c r="M371" s="28"/>
      <c r="N371" s="28"/>
    </row>
    <row r="372" spans="1:234">
      <c r="A372" s="28"/>
      <c r="B372" s="28"/>
      <c r="C372" s="28"/>
      <c r="D372" s="28"/>
      <c r="M372" s="28"/>
      <c r="N372" s="28"/>
    </row>
    <row r="373" spans="1:234">
      <c r="A373" s="28"/>
      <c r="B373" s="28"/>
      <c r="C373" s="28"/>
      <c r="D373" s="28"/>
      <c r="E373" s="243">
        <v>1</v>
      </c>
      <c r="F373" s="243">
        <v>2</v>
      </c>
      <c r="G373" s="243">
        <v>3</v>
      </c>
      <c r="H373" s="243">
        <v>4</v>
      </c>
      <c r="I373" s="243">
        <v>5</v>
      </c>
      <c r="J373" s="243">
        <v>6</v>
      </c>
      <c r="K373" s="243">
        <v>7</v>
      </c>
      <c r="L373" s="243">
        <v>8</v>
      </c>
      <c r="M373" s="285">
        <v>9</v>
      </c>
      <c r="N373" s="285">
        <v>10</v>
      </c>
      <c r="O373" s="243">
        <v>11</v>
      </c>
      <c r="P373" s="243">
        <v>12</v>
      </c>
      <c r="Q373" s="243">
        <v>13</v>
      </c>
      <c r="R373" s="243">
        <v>14</v>
      </c>
      <c r="S373" s="243">
        <v>15</v>
      </c>
      <c r="T373" s="243">
        <v>16</v>
      </c>
      <c r="U373" s="243">
        <v>17</v>
      </c>
      <c r="V373" s="243">
        <v>18</v>
      </c>
      <c r="W373" s="243">
        <v>19</v>
      </c>
      <c r="X373" s="243">
        <v>20</v>
      </c>
      <c r="Y373" s="243">
        <v>21</v>
      </c>
      <c r="Z373" s="243">
        <v>22</v>
      </c>
      <c r="AA373" s="243">
        <v>23</v>
      </c>
      <c r="AB373" s="243">
        <v>24</v>
      </c>
      <c r="AC373" s="243">
        <v>25</v>
      </c>
      <c r="AD373" s="243">
        <v>26</v>
      </c>
      <c r="AE373" s="243">
        <v>27</v>
      </c>
      <c r="AF373" s="243">
        <v>28</v>
      </c>
      <c r="AG373" s="243">
        <v>29</v>
      </c>
      <c r="AH373" s="243">
        <v>30</v>
      </c>
      <c r="AI373" s="243">
        <v>31</v>
      </c>
      <c r="AJ373" s="243">
        <v>32</v>
      </c>
      <c r="AK373" s="243">
        <v>33</v>
      </c>
      <c r="AL373" s="243">
        <v>34</v>
      </c>
      <c r="AM373" s="243">
        <v>35</v>
      </c>
      <c r="AN373" s="243">
        <v>36</v>
      </c>
      <c r="AO373" s="243">
        <v>37</v>
      </c>
      <c r="AP373" s="243">
        <v>38</v>
      </c>
      <c r="AQ373" s="243">
        <v>39</v>
      </c>
      <c r="AR373" s="243">
        <v>40</v>
      </c>
      <c r="AS373" s="243">
        <v>41</v>
      </c>
      <c r="AT373" s="243">
        <v>42</v>
      </c>
      <c r="AU373" s="243">
        <v>43</v>
      </c>
      <c r="AV373" s="243">
        <v>44</v>
      </c>
      <c r="AW373" s="243">
        <v>45</v>
      </c>
      <c r="AX373" s="243">
        <v>46</v>
      </c>
      <c r="AY373" s="243">
        <v>47</v>
      </c>
      <c r="AZ373" s="243">
        <v>48</v>
      </c>
      <c r="BA373" s="243">
        <v>49</v>
      </c>
      <c r="BB373" s="243">
        <v>50</v>
      </c>
      <c r="BC373" s="243">
        <v>51</v>
      </c>
      <c r="BD373" s="243">
        <v>52</v>
      </c>
      <c r="BE373" s="243">
        <v>53</v>
      </c>
      <c r="BF373" s="243">
        <v>54</v>
      </c>
      <c r="BG373" s="243">
        <v>55</v>
      </c>
      <c r="BH373" s="243">
        <v>56</v>
      </c>
      <c r="BI373" s="243">
        <v>57</v>
      </c>
      <c r="BJ373" s="243">
        <v>58</v>
      </c>
      <c r="BK373" s="243">
        <v>59</v>
      </c>
      <c r="BL373" s="243">
        <v>60</v>
      </c>
      <c r="BM373" s="243">
        <v>61</v>
      </c>
      <c r="BN373" s="243">
        <v>62</v>
      </c>
      <c r="BO373" s="243">
        <v>63</v>
      </c>
      <c r="BP373" s="243">
        <v>64</v>
      </c>
      <c r="BQ373" s="243">
        <v>65</v>
      </c>
      <c r="BR373" s="243">
        <v>66</v>
      </c>
      <c r="BS373" s="243">
        <v>67</v>
      </c>
      <c r="BT373" s="243">
        <v>68</v>
      </c>
      <c r="BU373" s="243">
        <v>69</v>
      </c>
      <c r="BV373" s="243">
        <v>70</v>
      </c>
      <c r="BW373" s="243">
        <v>71</v>
      </c>
      <c r="BX373" s="243">
        <v>72</v>
      </c>
      <c r="BY373" s="243">
        <v>73</v>
      </c>
      <c r="BZ373" s="243">
        <v>74</v>
      </c>
      <c r="CA373" s="243">
        <v>75</v>
      </c>
      <c r="CB373" s="243">
        <v>76</v>
      </c>
      <c r="CC373" s="243">
        <v>77</v>
      </c>
      <c r="CD373" s="243">
        <v>78</v>
      </c>
      <c r="CE373" s="243">
        <v>79</v>
      </c>
      <c r="CF373" s="243">
        <v>80</v>
      </c>
      <c r="CG373" s="243">
        <v>81</v>
      </c>
      <c r="CH373" s="243">
        <v>82</v>
      </c>
      <c r="CI373" s="243">
        <v>83</v>
      </c>
      <c r="CJ373" s="243">
        <v>84</v>
      </c>
      <c r="CK373" s="243">
        <v>85</v>
      </c>
      <c r="CL373" s="243">
        <v>86</v>
      </c>
      <c r="CM373" s="243">
        <v>87</v>
      </c>
      <c r="CN373" s="243">
        <v>88</v>
      </c>
      <c r="CO373" s="243">
        <v>89</v>
      </c>
      <c r="CP373" s="243">
        <v>90</v>
      </c>
      <c r="CQ373" s="243">
        <v>91</v>
      </c>
      <c r="CR373" s="243">
        <v>92</v>
      </c>
      <c r="CS373" s="243">
        <v>93</v>
      </c>
      <c r="CT373" s="243">
        <v>94</v>
      </c>
      <c r="CU373" s="243">
        <v>95</v>
      </c>
      <c r="CV373" s="243">
        <v>96</v>
      </c>
      <c r="CW373" s="243">
        <v>97</v>
      </c>
      <c r="CX373" s="243">
        <v>98</v>
      </c>
      <c r="CY373" s="243">
        <v>99</v>
      </c>
      <c r="CZ373" s="243">
        <v>100</v>
      </c>
      <c r="DA373" s="243">
        <v>101</v>
      </c>
      <c r="DB373" s="243">
        <v>102</v>
      </c>
      <c r="DC373" s="243">
        <v>103</v>
      </c>
      <c r="DD373" s="243">
        <v>104</v>
      </c>
      <c r="DE373" s="243">
        <v>105</v>
      </c>
      <c r="DF373" s="243">
        <v>106</v>
      </c>
      <c r="DG373" s="243">
        <v>107</v>
      </c>
      <c r="DH373" s="243">
        <v>108</v>
      </c>
      <c r="DI373" s="243">
        <v>109</v>
      </c>
      <c r="DJ373" s="243">
        <v>110</v>
      </c>
      <c r="DK373" s="243">
        <v>111</v>
      </c>
      <c r="DL373" s="243">
        <v>112</v>
      </c>
      <c r="DM373" s="243">
        <v>113</v>
      </c>
      <c r="DN373" s="243">
        <v>114</v>
      </c>
      <c r="DO373" s="243">
        <v>115</v>
      </c>
      <c r="DP373" s="243">
        <v>116</v>
      </c>
      <c r="DQ373" s="243">
        <v>117</v>
      </c>
      <c r="DR373" s="243">
        <v>118</v>
      </c>
      <c r="DS373" s="243">
        <v>119</v>
      </c>
      <c r="DT373" s="243">
        <v>120</v>
      </c>
      <c r="DU373" s="243">
        <v>121</v>
      </c>
      <c r="DV373" s="243">
        <v>122</v>
      </c>
      <c r="DW373" s="243">
        <v>123</v>
      </c>
      <c r="DX373" s="243">
        <v>124</v>
      </c>
      <c r="DY373" s="243">
        <v>125</v>
      </c>
      <c r="DZ373" s="243">
        <v>126</v>
      </c>
      <c r="EA373" s="243">
        <v>127</v>
      </c>
      <c r="EB373" s="243">
        <v>128</v>
      </c>
      <c r="EC373" s="243">
        <v>129</v>
      </c>
      <c r="ED373" s="243">
        <v>130</v>
      </c>
      <c r="EE373" s="243">
        <v>131</v>
      </c>
      <c r="EF373" s="243">
        <v>132</v>
      </c>
      <c r="EG373" s="243">
        <v>133</v>
      </c>
      <c r="EH373" s="243">
        <v>134</v>
      </c>
      <c r="EI373" s="243">
        <v>135</v>
      </c>
      <c r="EJ373" s="243">
        <v>136</v>
      </c>
      <c r="EK373" s="243">
        <v>137</v>
      </c>
      <c r="EL373" s="243">
        <v>138</v>
      </c>
      <c r="EM373" s="243">
        <v>139</v>
      </c>
      <c r="EN373" s="243">
        <v>140</v>
      </c>
      <c r="EO373" s="243">
        <v>141</v>
      </c>
      <c r="EP373" s="243">
        <v>142</v>
      </c>
      <c r="EQ373" s="243">
        <v>143</v>
      </c>
      <c r="ER373" s="243">
        <v>144</v>
      </c>
      <c r="ES373" s="243">
        <v>145</v>
      </c>
      <c r="ET373" s="243">
        <v>146</v>
      </c>
      <c r="EU373" s="243">
        <v>147</v>
      </c>
      <c r="EV373" s="243">
        <v>148</v>
      </c>
      <c r="EW373" s="243">
        <v>149</v>
      </c>
      <c r="EX373" s="243">
        <v>150</v>
      </c>
      <c r="EY373" s="243">
        <v>151</v>
      </c>
      <c r="EZ373" s="243">
        <v>152</v>
      </c>
      <c r="FA373" s="243">
        <v>153</v>
      </c>
      <c r="FB373" s="243">
        <v>154</v>
      </c>
      <c r="FC373" s="243">
        <v>155</v>
      </c>
      <c r="FD373" s="243">
        <v>156</v>
      </c>
      <c r="FE373" s="243">
        <v>157</v>
      </c>
      <c r="FF373" s="243">
        <v>158</v>
      </c>
      <c r="FG373" s="243">
        <v>159</v>
      </c>
      <c r="FH373" s="243">
        <v>160</v>
      </c>
      <c r="FI373" s="243">
        <v>161</v>
      </c>
      <c r="FJ373" s="243">
        <v>162</v>
      </c>
      <c r="FK373" s="243">
        <v>163</v>
      </c>
      <c r="FL373" s="243">
        <v>164</v>
      </c>
      <c r="FM373" s="243">
        <v>165</v>
      </c>
      <c r="FN373" s="243">
        <v>166</v>
      </c>
      <c r="FO373" s="243">
        <v>167</v>
      </c>
      <c r="FP373" s="243">
        <v>168</v>
      </c>
      <c r="FQ373" s="243">
        <v>169</v>
      </c>
      <c r="FR373" s="243">
        <v>170</v>
      </c>
      <c r="FS373" s="243">
        <v>171</v>
      </c>
      <c r="FT373" s="243">
        <v>172</v>
      </c>
      <c r="FU373" s="243">
        <v>173</v>
      </c>
      <c r="FV373" s="243">
        <v>174</v>
      </c>
      <c r="FW373" s="243">
        <v>175</v>
      </c>
      <c r="FX373" s="243">
        <v>176</v>
      </c>
      <c r="FY373" s="243">
        <v>177</v>
      </c>
      <c r="FZ373" s="243">
        <v>178</v>
      </c>
      <c r="GA373" s="243">
        <v>179</v>
      </c>
      <c r="GB373" s="243">
        <v>180</v>
      </c>
      <c r="GC373" s="243">
        <v>181</v>
      </c>
      <c r="GD373" s="243">
        <v>182</v>
      </c>
      <c r="GE373" s="243">
        <v>183</v>
      </c>
      <c r="GF373" s="243">
        <v>184</v>
      </c>
      <c r="GG373" s="243">
        <v>185</v>
      </c>
      <c r="GH373" s="243">
        <v>186</v>
      </c>
      <c r="GI373" s="243">
        <v>187</v>
      </c>
      <c r="GJ373" s="243">
        <v>188</v>
      </c>
      <c r="GK373" s="243">
        <v>189</v>
      </c>
      <c r="GL373" s="243">
        <v>190</v>
      </c>
      <c r="GM373" s="243">
        <v>191</v>
      </c>
      <c r="GN373" s="243">
        <v>192</v>
      </c>
      <c r="GO373" s="243">
        <v>193</v>
      </c>
      <c r="GP373" s="243">
        <v>194</v>
      </c>
      <c r="GQ373" s="243">
        <v>195</v>
      </c>
      <c r="GR373" s="243">
        <v>196</v>
      </c>
      <c r="GS373" s="243">
        <v>197</v>
      </c>
      <c r="GT373" s="243">
        <v>198</v>
      </c>
      <c r="GU373" s="243">
        <v>199</v>
      </c>
      <c r="GV373" s="243">
        <v>200</v>
      </c>
      <c r="GW373" s="243">
        <v>201</v>
      </c>
      <c r="GX373" s="243">
        <v>202</v>
      </c>
      <c r="GY373" s="243">
        <v>203</v>
      </c>
      <c r="GZ373" s="243">
        <v>204</v>
      </c>
      <c r="HA373" s="243">
        <v>205</v>
      </c>
      <c r="HB373" s="243">
        <v>206</v>
      </c>
      <c r="HC373" s="243">
        <v>207</v>
      </c>
      <c r="HD373" s="243">
        <v>208</v>
      </c>
      <c r="HE373" s="243">
        <v>209</v>
      </c>
      <c r="HF373" s="243">
        <v>210</v>
      </c>
      <c r="HG373" s="243">
        <v>211</v>
      </c>
      <c r="HH373" s="243">
        <v>212</v>
      </c>
      <c r="HI373" s="243">
        <v>213</v>
      </c>
      <c r="HJ373" s="243">
        <v>214</v>
      </c>
      <c r="HK373" s="243">
        <v>215</v>
      </c>
      <c r="HL373" s="243">
        <v>216</v>
      </c>
      <c r="HM373" s="243">
        <v>217</v>
      </c>
      <c r="HN373" s="243">
        <v>218</v>
      </c>
      <c r="HO373" s="243">
        <v>219</v>
      </c>
      <c r="HP373" s="243">
        <v>220</v>
      </c>
      <c r="HQ373" s="243">
        <v>221</v>
      </c>
      <c r="HR373" s="243">
        <v>222</v>
      </c>
      <c r="HS373" s="243">
        <v>223</v>
      </c>
      <c r="HT373" s="243">
        <v>224</v>
      </c>
      <c r="HU373" s="243">
        <v>225</v>
      </c>
      <c r="HV373" s="243">
        <v>226</v>
      </c>
      <c r="HW373" s="243">
        <v>227</v>
      </c>
      <c r="HX373" s="243">
        <v>228</v>
      </c>
      <c r="HY373" s="243">
        <v>229</v>
      </c>
      <c r="HZ373" s="243">
        <v>230</v>
      </c>
    </row>
    <row r="374" spans="1:234">
      <c r="A374" s="28"/>
      <c r="B374" s="28"/>
      <c r="C374" s="466">
        <v>2022</v>
      </c>
      <c r="D374" s="28"/>
      <c r="E374" s="243">
        <f>COUNTIFS(Podcasts!$D$10:$D$2535,"="&amp;E$373,Podcasts!$E$10:$E$2535,"&gt;=1.1.2011",Podcasts!$E$10:$E$2535,"&lt;01.01.2012")</f>
        <v>0</v>
      </c>
      <c r="F374" s="243">
        <f>COUNTIFS(Podcasts!$D$10:$D$2535,"="&amp;F$373,Podcasts!$E$10:$E$2535,"&gt;=1.1.2011",Podcasts!$E$10:$E$2535,"&lt;01.01.2012")</f>
        <v>0</v>
      </c>
      <c r="G374" s="243">
        <f>COUNTIFS(Podcasts!$D$10:$D$2535,"="&amp;G$373,Podcasts!$E$10:$E$2535,"&gt;=1.1.2011",Podcasts!$E$10:$E$2535,"&lt;01.01.2012")</f>
        <v>0</v>
      </c>
      <c r="H374" s="243">
        <f>COUNTIFS(Podcasts!$D$10:$D$2535,"="&amp;H$373,Podcasts!$E$10:$E$2535,"&gt;=1.1.2011",Podcasts!$E$10:$E$2535,"&lt;01.01.2012")</f>
        <v>0</v>
      </c>
      <c r="I374" s="243">
        <f>COUNTIFS(Podcasts!$D$10:$D$2535,"="&amp;I$373,Podcasts!$E$10:$E$2535,"&gt;=1.1.2011",Podcasts!$E$10:$E$2535,"&lt;01.01.2012")</f>
        <v>0</v>
      </c>
      <c r="J374" s="243">
        <f>COUNTIFS(Podcasts!$D$10:$D$2535,"="&amp;J$373,Podcasts!$E$10:$E$2535,"&gt;=1.1.2011",Podcasts!$E$10:$E$2535,"&lt;01.01.2012")</f>
        <v>0</v>
      </c>
      <c r="K374" s="243">
        <f>COUNTIFS(Podcasts!$D$10:$D$2535,"="&amp;K$373,Podcasts!$E$10:$E$2535,"&gt;=1.1.2011",Podcasts!$E$10:$E$2535,"&lt;01.01.2012")</f>
        <v>0</v>
      </c>
      <c r="L374" s="243">
        <f>COUNTIFS(Podcasts!$D$10:$D$2535,"="&amp;L$373,Podcasts!$E$10:$E$2535,"&gt;=1.1.2011",Podcasts!$E$10:$E$2535,"&lt;01.01.2012")</f>
        <v>0</v>
      </c>
      <c r="M374" s="285">
        <f>COUNTIFS(Podcasts!$D$10:$D$2535,"="&amp;M$373,Podcasts!$E$10:$E$2535,"&gt;=1.1.2011",Podcasts!$E$10:$E$2535,"&lt;01.01.2012")</f>
        <v>0</v>
      </c>
      <c r="N374" s="285">
        <f>COUNTIFS(Podcasts!$D$10:$D$2535,"="&amp;N$373,Podcasts!$E$10:$E$2535,"&gt;=1.1.2011",Podcasts!$E$10:$E$2535,"&lt;01.01.2012")</f>
        <v>0</v>
      </c>
      <c r="O374" s="243">
        <f>COUNTIFS(Podcasts!$D$10:$D$2535,"="&amp;O$373,Podcasts!$E$10:$E$2535,"&gt;=1.1.2011",Podcasts!$E$10:$E$2535,"&lt;01.01.2012")</f>
        <v>0</v>
      </c>
      <c r="P374" s="243">
        <f>COUNTIFS(Podcasts!$D$10:$D$2535,"="&amp;P$373,Podcasts!$E$10:$E$2535,"&gt;=1.1.2011",Podcasts!$E$10:$E$2535,"&lt;01.01.2012")</f>
        <v>1</v>
      </c>
      <c r="Q374" s="243">
        <f>COUNTIFS(Podcasts!$D$10:$D$2535,"="&amp;Q$373,Podcasts!$E$10:$E$2535,"&gt;=1.1.2011",Podcasts!$E$10:$E$2535,"&lt;01.01.2012")</f>
        <v>0</v>
      </c>
      <c r="R374" s="243">
        <f>COUNTIFS(Podcasts!$D$10:$D$2535,"="&amp;R$373,Podcasts!$E$10:$E$2535,"&gt;=1.1.2011",Podcasts!$E$10:$E$2535,"&lt;01.01.2012")</f>
        <v>0</v>
      </c>
      <c r="S374" s="243">
        <f>COUNTIFS(Podcasts!$D$10:$D$2535,"="&amp;S$373,Podcasts!$E$10:$E$2535,"&gt;=1.1.2011",Podcasts!$E$10:$E$2535,"&lt;01.01.2012")</f>
        <v>0</v>
      </c>
      <c r="T374" s="243">
        <f>COUNTIFS(Podcasts!$D$10:$D$2535,"="&amp;T$373,Podcasts!$E$10:$E$2535,"&gt;=1.1.2011",Podcasts!$E$10:$E$2535,"&lt;01.01.2012")</f>
        <v>0</v>
      </c>
      <c r="U374" s="243">
        <f>COUNTIFS(Podcasts!$D$10:$D$2535,"="&amp;U$373,Podcasts!$E$10:$E$2535,"&gt;=1.1.2011",Podcasts!$E$10:$E$2535,"&lt;01.01.2012")</f>
        <v>1</v>
      </c>
      <c r="V374" s="243">
        <f>COUNTIFS(Podcasts!$D$10:$D$2535,"="&amp;V$373,Podcasts!$E$10:$E$2535,"&gt;=1.1.2011",Podcasts!$E$10:$E$2535,"&lt;01.01.2012")</f>
        <v>0</v>
      </c>
      <c r="W374" s="243">
        <f>COUNTIFS(Podcasts!$D$10:$D$2535,"="&amp;W$373,Podcasts!$E$10:$E$2535,"&gt;=1.1.2011",Podcasts!$E$10:$E$2535,"&lt;01.01.2012")</f>
        <v>0</v>
      </c>
      <c r="X374" s="243">
        <f>COUNTIFS(Podcasts!$D$10:$D$2535,"="&amp;X$373,Podcasts!$E$10:$E$2535,"&gt;=1.1.2011",Podcasts!$E$10:$E$2535,"&lt;01.01.2012")</f>
        <v>0</v>
      </c>
      <c r="Y374" s="243">
        <f>COUNTIFS(Podcasts!$D$10:$D$2535,"="&amp;Y$373,Podcasts!$E$10:$E$2535,"&gt;=1.1.2011",Podcasts!$E$10:$E$2535,"&lt;01.01.2012")</f>
        <v>0</v>
      </c>
      <c r="Z374" s="243">
        <f>COUNTIFS(Podcasts!$D$10:$D$2535,"="&amp;Z$373,Podcasts!$E$10:$E$2535,"&gt;=1.1.2011",Podcasts!$E$10:$E$2535,"&lt;01.01.2012")</f>
        <v>0</v>
      </c>
      <c r="AA374" s="243">
        <f>COUNTIFS(Podcasts!$D$10:$D$2535,"="&amp;AA$373,Podcasts!$E$10:$E$2535,"&gt;=1.1.2011",Podcasts!$E$10:$E$2535,"&lt;01.01.2012")</f>
        <v>0</v>
      </c>
      <c r="AB374" s="243">
        <f>COUNTIFS(Podcasts!$D$10:$D$2535,"="&amp;AB$373,Podcasts!$E$10:$E$2535,"&gt;=1.1.2011",Podcasts!$E$10:$E$2535,"&lt;01.01.2012")</f>
        <v>0</v>
      </c>
      <c r="AC374" s="243">
        <f>COUNTIFS(Podcasts!$D$10:$D$2535,"="&amp;AC$373,Podcasts!$E$10:$E$2535,"&gt;=1.1.2011",Podcasts!$E$10:$E$2535,"&lt;01.01.2012")</f>
        <v>0</v>
      </c>
      <c r="AD374" s="243">
        <f>COUNTIFS(Podcasts!$D$10:$D$2535,"="&amp;AD$373,Podcasts!$E$10:$E$2535,"&gt;=1.1.2011",Podcasts!$E$10:$E$2535,"&lt;01.01.2012")</f>
        <v>0</v>
      </c>
      <c r="AE374" s="243">
        <f>COUNTIFS(Podcasts!$D$10:$D$2535,"="&amp;AE$373,Podcasts!$E$10:$E$2535,"&gt;=1.1.2011",Podcasts!$E$10:$E$2535,"&lt;01.01.2012")</f>
        <v>0</v>
      </c>
      <c r="AF374" s="243">
        <f>COUNTIFS(Podcasts!$D$10:$D$2535,"="&amp;AF$373,Podcasts!$E$10:$E$2535,"&gt;=1.1.2011",Podcasts!$E$10:$E$2535,"&lt;01.01.2012")</f>
        <v>0</v>
      </c>
      <c r="AG374" s="243">
        <f>COUNTIFS(Podcasts!$D$10:$D$2535,"="&amp;AG$373,Podcasts!$E$10:$E$2535,"&gt;=1.1.2011",Podcasts!$E$10:$E$2535,"&lt;01.01.2012")</f>
        <v>0</v>
      </c>
      <c r="AH374" s="243">
        <f>COUNTIFS(Podcasts!$D$10:$D$2535,"="&amp;AH$373,Podcasts!$E$10:$E$2535,"&gt;=1.1.2011",Podcasts!$E$10:$E$2535,"&lt;01.01.2012")</f>
        <v>0</v>
      </c>
      <c r="AI374" s="243">
        <f>COUNTIFS(Podcasts!$D$10:$D$2535,"="&amp;AI$373,Podcasts!$E$10:$E$2535,"&gt;=1.1.2011",Podcasts!$E$10:$E$2535,"&lt;01.01.2012")</f>
        <v>0</v>
      </c>
      <c r="AJ374" s="243">
        <f>COUNTIFS(Podcasts!$D$10:$D$2535,"="&amp;AJ$373,Podcasts!$E$10:$E$2535,"&gt;=1.1.2011",Podcasts!$E$10:$E$2535,"&lt;01.01.2012")</f>
        <v>0</v>
      </c>
      <c r="AK374" s="243">
        <f>COUNTIFS(Podcasts!$D$10:$D$2535,"="&amp;AK$373,Podcasts!$E$10:$E$2535,"&gt;=1.1.2011",Podcasts!$E$10:$E$2535,"&lt;01.01.2012")</f>
        <v>0</v>
      </c>
      <c r="AL374" s="243">
        <f>COUNTIFS(Podcasts!$D$10:$D$2535,"="&amp;AL$373,Podcasts!$E$10:$E$2535,"&gt;=1.1.2011",Podcasts!$E$10:$E$2535,"&lt;01.01.2012")</f>
        <v>0</v>
      </c>
      <c r="AM374" s="243">
        <f>COUNTIFS(Podcasts!$D$10:$D$2535,"="&amp;AM$373,Podcasts!$E$10:$E$2535,"&gt;=1.1.2011",Podcasts!$E$10:$E$2535,"&lt;01.01.2012")</f>
        <v>0</v>
      </c>
      <c r="AN374" s="243">
        <f>COUNTIFS(Podcasts!$D$10:$D$2535,"="&amp;AN$373,Podcasts!$E$10:$E$2535,"&gt;=1.1.2011",Podcasts!$E$10:$E$2535,"&lt;01.01.2012")</f>
        <v>0</v>
      </c>
      <c r="AO374" s="243">
        <f>COUNTIFS(Podcasts!$D$10:$D$2535,"="&amp;AO$373,Podcasts!$E$10:$E$2535,"&gt;=1.1.2011",Podcasts!$E$10:$E$2535,"&lt;01.01.2012")</f>
        <v>0</v>
      </c>
      <c r="AP374" s="243">
        <f>COUNTIFS(Podcasts!$D$10:$D$2535,"="&amp;AP$373,Podcasts!$E$10:$E$2535,"&gt;=1.1.2011",Podcasts!$E$10:$E$2535,"&lt;01.01.2012")</f>
        <v>0</v>
      </c>
      <c r="AQ374" s="243">
        <f>COUNTIFS(Podcasts!$D$10:$D$2535,"="&amp;AQ$373,Podcasts!$E$10:$E$2535,"&gt;=1.1.2011",Podcasts!$E$10:$E$2535,"&lt;01.01.2012")</f>
        <v>0</v>
      </c>
      <c r="AR374" s="243">
        <f>COUNTIFS(Podcasts!$D$10:$D$2535,"="&amp;AR$373,Podcasts!$E$10:$E$2535,"&gt;=1.1.2011",Podcasts!$E$10:$E$2535,"&lt;01.01.2012")</f>
        <v>0</v>
      </c>
      <c r="AS374" s="243">
        <f>COUNTIFS(Podcasts!$D$10:$D$2535,"="&amp;AS$373,Podcasts!$E$10:$E$2535,"&gt;=1.1.2011",Podcasts!$E$10:$E$2535,"&lt;01.01.2012")</f>
        <v>0</v>
      </c>
      <c r="AT374" s="243">
        <f>COUNTIFS(Podcasts!$D$10:$D$2535,"="&amp;AT$373,Podcasts!$E$10:$E$2535,"&gt;=1.1.2011",Podcasts!$E$10:$E$2535,"&lt;01.01.2012")</f>
        <v>0</v>
      </c>
      <c r="AU374" s="243">
        <f>COUNTIFS(Podcasts!$D$10:$D$2535,"="&amp;AU$373,Podcasts!$E$10:$E$2535,"&gt;=1.1.2011",Podcasts!$E$10:$E$2535,"&lt;01.01.2012")</f>
        <v>0</v>
      </c>
      <c r="AV374" s="243">
        <f>COUNTIFS(Podcasts!$D$10:$D$2535,"="&amp;AV$373,Podcasts!$E$10:$E$2535,"&gt;=1.1.2011",Podcasts!$E$10:$E$2535,"&lt;01.01.2012")</f>
        <v>0</v>
      </c>
      <c r="AW374" s="243">
        <f>COUNTIFS(Podcasts!$D$10:$D$2535,"="&amp;AW$373,Podcasts!$E$10:$E$2535,"&gt;=1.1.2011",Podcasts!$E$10:$E$2535,"&lt;01.01.2012")</f>
        <v>0</v>
      </c>
      <c r="AX374" s="243">
        <f>COUNTIFS(Podcasts!$D$10:$D$2535,"="&amp;AX$373,Podcasts!$E$10:$E$2535,"&gt;=1.1.2011",Podcasts!$E$10:$E$2535,"&lt;01.01.2012")</f>
        <v>0</v>
      </c>
      <c r="AY374" s="243">
        <f>COUNTIFS(Podcasts!$D$10:$D$2535,"="&amp;AY$373,Podcasts!$E$10:$E$2535,"&gt;=1.1.2011",Podcasts!$E$10:$E$2535,"&lt;01.01.2012")</f>
        <v>0</v>
      </c>
      <c r="AZ374" s="243">
        <f>COUNTIFS(Podcasts!$D$10:$D$2535,"="&amp;AZ$373,Podcasts!$E$10:$E$2535,"&gt;=1.1.2011",Podcasts!$E$10:$E$2535,"&lt;01.01.2012")</f>
        <v>0</v>
      </c>
      <c r="BA374" s="243">
        <f>COUNTIFS(Podcasts!$D$10:$D$2535,"="&amp;BA$373,Podcasts!$E$10:$E$2535,"&gt;=1.1.2011",Podcasts!$E$10:$E$2535,"&lt;01.01.2012")</f>
        <v>0</v>
      </c>
      <c r="BB374" s="243">
        <f>COUNTIFS(Podcasts!$D$10:$D$2535,"="&amp;BB$373,Podcasts!$E$10:$E$2535,"&gt;=1.1.2011",Podcasts!$E$10:$E$2535,"&lt;01.01.2012")</f>
        <v>0</v>
      </c>
      <c r="BC374" s="243">
        <f>COUNTIFS(Podcasts!$D$10:$D$2535,"="&amp;BC$373,Podcasts!$E$10:$E$2535,"&gt;=1.1.2011",Podcasts!$E$10:$E$2535,"&lt;01.01.2012")</f>
        <v>0</v>
      </c>
      <c r="BD374" s="243">
        <f>COUNTIFS(Podcasts!$D$10:$D$2535,"="&amp;BD$373,Podcasts!$E$10:$E$2535,"&gt;=1.1.2011",Podcasts!$E$10:$E$2535,"&lt;01.01.2012")</f>
        <v>0</v>
      </c>
      <c r="BE374" s="243">
        <f>COUNTIFS(Podcasts!$D$10:$D$2535,"="&amp;BE$373,Podcasts!$E$10:$E$2535,"&gt;=1.1.2011",Podcasts!$E$10:$E$2535,"&lt;01.01.2012")</f>
        <v>0</v>
      </c>
      <c r="BF374" s="243">
        <f>COUNTIFS(Podcasts!$D$10:$D$2535,"="&amp;BF$373,Podcasts!$E$10:$E$2535,"&gt;=1.1.2011",Podcasts!$E$10:$E$2535,"&lt;01.01.2012")</f>
        <v>0</v>
      </c>
      <c r="BG374" s="243">
        <f>COUNTIFS(Podcasts!$D$10:$D$2535,"="&amp;BG$373,Podcasts!$E$10:$E$2535,"&gt;=1.1.2011",Podcasts!$E$10:$E$2535,"&lt;01.01.2012")</f>
        <v>0</v>
      </c>
      <c r="BH374" s="243">
        <f>COUNTIFS(Podcasts!$D$10:$D$2535,"="&amp;BH$373,Podcasts!$E$10:$E$2535,"&gt;=1.1.2011",Podcasts!$E$10:$E$2535,"&lt;01.01.2012")</f>
        <v>0</v>
      </c>
      <c r="BI374" s="243">
        <f>COUNTIFS(Podcasts!$D$10:$D$2535,"="&amp;BI$373,Podcasts!$E$10:$E$2535,"&gt;=1.1.2011",Podcasts!$E$10:$E$2535,"&lt;01.01.2012")</f>
        <v>0</v>
      </c>
      <c r="BJ374" s="243">
        <f>COUNTIFS(Podcasts!$D$10:$D$2535,"="&amp;BJ$373,Podcasts!$E$10:$E$2535,"&gt;=1.1.2011",Podcasts!$E$10:$E$2535,"&lt;01.01.2012")</f>
        <v>0</v>
      </c>
      <c r="BK374" s="243">
        <f>COUNTIFS(Podcasts!$D$10:$D$2535,"="&amp;BK$373,Podcasts!$E$10:$E$2535,"&gt;=1.1.2011",Podcasts!$E$10:$E$2535,"&lt;01.01.2012")</f>
        <v>0</v>
      </c>
      <c r="BL374" s="243">
        <f>COUNTIFS(Podcasts!$D$10:$D$2535,"="&amp;BL$373,Podcasts!$E$10:$E$2535,"&gt;=1.1.2011",Podcasts!$E$10:$E$2535,"&lt;01.01.2012")</f>
        <v>0</v>
      </c>
      <c r="BM374" s="243">
        <f>COUNTIFS(Podcasts!$D$10:$D$2535,"="&amp;BM$373,Podcasts!$E$10:$E$2535,"&gt;=1.1.2011",Podcasts!$E$10:$E$2535,"&lt;01.01.2012")</f>
        <v>0</v>
      </c>
      <c r="BN374" s="243">
        <f>COUNTIFS(Podcasts!$D$10:$D$2535,"="&amp;BN$373,Podcasts!$E$10:$E$2535,"&gt;=1.1.2011",Podcasts!$E$10:$E$2535,"&lt;01.01.2012")</f>
        <v>0</v>
      </c>
      <c r="BO374" s="243">
        <f>COUNTIFS(Podcasts!$D$10:$D$2535,"="&amp;BO$373,Podcasts!$E$10:$E$2535,"&gt;=1.1.2011",Podcasts!$E$10:$E$2535,"&lt;01.01.2012")</f>
        <v>0</v>
      </c>
      <c r="BP374" s="243">
        <f>COUNTIFS(Podcasts!$D$10:$D$2535,"="&amp;BP$373,Podcasts!$E$10:$E$2535,"&gt;=1.1.2011",Podcasts!$E$10:$E$2535,"&lt;01.01.2012")</f>
        <v>0</v>
      </c>
      <c r="BQ374" s="243">
        <f>COUNTIFS(Podcasts!$D$10:$D$2535,"="&amp;BQ$373,Podcasts!$E$10:$E$2535,"&gt;=1.1.2011",Podcasts!$E$10:$E$2535,"&lt;01.01.2012")</f>
        <v>0</v>
      </c>
      <c r="BR374" s="243">
        <f>COUNTIFS(Podcasts!$D$10:$D$2535,"="&amp;BR$373,Podcasts!$E$10:$E$2535,"&gt;=1.1.2011",Podcasts!$E$10:$E$2535,"&lt;01.01.2012")</f>
        <v>0</v>
      </c>
      <c r="BS374" s="243">
        <f>COUNTIFS(Podcasts!$D$10:$D$2535,"="&amp;BS$373,Podcasts!$E$10:$E$2535,"&gt;=1.1.2011",Podcasts!$E$10:$E$2535,"&lt;01.01.2012")</f>
        <v>0</v>
      </c>
      <c r="BT374" s="243">
        <f>COUNTIFS(Podcasts!$D$10:$D$2535,"="&amp;BT$373,Podcasts!$E$10:$E$2535,"&gt;=1.1.2011",Podcasts!$E$10:$E$2535,"&lt;01.01.2012")</f>
        <v>0</v>
      </c>
      <c r="BU374" s="243">
        <f>COUNTIFS(Podcasts!$D$10:$D$2535,"="&amp;BU$373,Podcasts!$E$10:$E$2535,"&gt;=1.1.2011",Podcasts!$E$10:$E$2535,"&lt;01.01.2012")</f>
        <v>0</v>
      </c>
      <c r="BV374" s="243">
        <f>COUNTIFS(Podcasts!$D$10:$D$2535,"="&amp;BV$373,Podcasts!$E$10:$E$2535,"&gt;=1.1.2011",Podcasts!$E$10:$E$2535,"&lt;01.01.2012")</f>
        <v>0</v>
      </c>
      <c r="BW374" s="243">
        <f>COUNTIFS(Podcasts!$D$10:$D$2535,"="&amp;BW$373,Podcasts!$E$10:$E$2535,"&gt;=1.1.2011",Podcasts!$E$10:$E$2535,"&lt;01.01.2012")</f>
        <v>0</v>
      </c>
      <c r="BX374" s="243">
        <f>COUNTIFS(Podcasts!$D$10:$D$2535,"="&amp;BX$373,Podcasts!$E$10:$E$2535,"&gt;=1.1.2011",Podcasts!$E$10:$E$2535,"&lt;01.01.2012")</f>
        <v>0</v>
      </c>
      <c r="BY374" s="243">
        <f>COUNTIFS(Podcasts!$D$10:$D$2535,"="&amp;BY$373,Podcasts!$E$10:$E$2535,"&gt;=1.1.2011",Podcasts!$E$10:$E$2535,"&lt;01.01.2012")</f>
        <v>0</v>
      </c>
      <c r="BZ374" s="243">
        <f>COUNTIFS(Podcasts!$D$10:$D$2535,"="&amp;BZ$373,Podcasts!$E$10:$E$2535,"&gt;=1.1.2011",Podcasts!$E$10:$E$2535,"&lt;01.01.2012")</f>
        <v>0</v>
      </c>
      <c r="CA374" s="243">
        <f>COUNTIFS(Podcasts!$D$10:$D$2535,"="&amp;CA$373,Podcasts!$E$10:$E$2535,"&gt;=1.1.2011",Podcasts!$E$10:$E$2535,"&lt;01.01.2012")</f>
        <v>0</v>
      </c>
      <c r="CB374" s="243">
        <f>COUNTIFS(Podcasts!$D$10:$D$2535,"="&amp;CB$373,Podcasts!$E$10:$E$2535,"&gt;=1.1.2011",Podcasts!$E$10:$E$2535,"&lt;01.01.2012")</f>
        <v>0</v>
      </c>
      <c r="CC374" s="243">
        <f>COUNTIFS(Podcasts!$D$10:$D$2535,"="&amp;CC$373,Podcasts!$E$10:$E$2535,"&gt;=1.1.2011",Podcasts!$E$10:$E$2535,"&lt;01.01.2012")</f>
        <v>0</v>
      </c>
      <c r="CD374" s="243">
        <f>COUNTIFS(Podcasts!$D$10:$D$2535,"="&amp;CD$373,Podcasts!$E$10:$E$2535,"&gt;=1.1.2011",Podcasts!$E$10:$E$2535,"&lt;01.01.2012")</f>
        <v>0</v>
      </c>
      <c r="CE374" s="243">
        <f>COUNTIFS(Podcasts!$D$10:$D$2535,"="&amp;CE$373,Podcasts!$E$10:$E$2535,"&gt;=1.1.2011",Podcasts!$E$10:$E$2535,"&lt;01.01.2012")</f>
        <v>0</v>
      </c>
      <c r="CF374" s="243">
        <f>COUNTIFS(Podcasts!$D$10:$D$2535,"="&amp;CF$373,Podcasts!$E$10:$E$2535,"&gt;=1.1.2011",Podcasts!$E$10:$E$2535,"&lt;01.01.2012")</f>
        <v>0</v>
      </c>
      <c r="CG374" s="243">
        <f>COUNTIFS(Podcasts!$D$10:$D$2535,"="&amp;CG$373,Podcasts!$E$10:$E$2535,"&gt;=1.1.2011",Podcasts!$E$10:$E$2535,"&lt;01.01.2012")</f>
        <v>0</v>
      </c>
      <c r="CH374" s="243">
        <f>COUNTIFS(Podcasts!$D$10:$D$2535,"="&amp;CH$373,Podcasts!$E$10:$E$2535,"&gt;=1.1.2011",Podcasts!$E$10:$E$2535,"&lt;01.01.2012")</f>
        <v>0</v>
      </c>
      <c r="CI374" s="243">
        <f>COUNTIFS(Podcasts!$D$10:$D$2535,"="&amp;CI$373,Podcasts!$E$10:$E$2535,"&gt;=1.1.2011",Podcasts!$E$10:$E$2535,"&lt;01.01.2012")</f>
        <v>0</v>
      </c>
      <c r="CJ374" s="243">
        <f>COUNTIFS(Podcasts!$D$10:$D$2535,"="&amp;CJ$373,Podcasts!$E$10:$E$2535,"&gt;=1.1.2011",Podcasts!$E$10:$E$2535,"&lt;01.01.2012")</f>
        <v>0</v>
      </c>
      <c r="CK374" s="243">
        <f>COUNTIFS(Podcasts!$D$10:$D$2535,"="&amp;CK$373,Podcasts!$E$10:$E$2535,"&gt;=1.1.2011",Podcasts!$E$10:$E$2535,"&lt;01.01.2012")</f>
        <v>0</v>
      </c>
      <c r="CL374" s="243">
        <f>COUNTIFS(Podcasts!$D$10:$D$2535,"="&amp;CL$373,Podcasts!$E$10:$E$2535,"&gt;=1.1.2011",Podcasts!$E$10:$E$2535,"&lt;01.01.2012")</f>
        <v>0</v>
      </c>
      <c r="CM374" s="243">
        <f>COUNTIFS(Podcasts!$D$10:$D$2535,"="&amp;CM$373,Podcasts!$E$10:$E$2535,"&gt;=1.1.2011",Podcasts!$E$10:$E$2535,"&lt;01.01.2012")</f>
        <v>0</v>
      </c>
      <c r="CN374" s="243">
        <f>COUNTIFS(Podcasts!$D$10:$D$2535,"="&amp;CN$373,Podcasts!$E$10:$E$2535,"&gt;=1.1.2011",Podcasts!$E$10:$E$2535,"&lt;01.01.2012")</f>
        <v>0</v>
      </c>
      <c r="CO374" s="243">
        <f>COUNTIFS(Podcasts!$D$10:$D$2535,"="&amp;CO$373,Podcasts!$E$10:$E$2535,"&gt;=1.1.2011",Podcasts!$E$10:$E$2535,"&lt;01.01.2012")</f>
        <v>0</v>
      </c>
      <c r="CP374" s="243">
        <f>COUNTIFS(Podcasts!$D$10:$D$2535,"="&amp;CP$373,Podcasts!$E$10:$E$2535,"&gt;=1.1.2011",Podcasts!$E$10:$E$2535,"&lt;01.01.2012")</f>
        <v>0</v>
      </c>
      <c r="CQ374" s="243">
        <f>COUNTIFS(Podcasts!$D$10:$D$2535,"="&amp;CQ$373,Podcasts!$E$10:$E$2535,"&gt;=1.1.2011",Podcasts!$E$10:$E$2535,"&lt;01.01.2012")</f>
        <v>0</v>
      </c>
      <c r="CR374" s="243">
        <f>COUNTIFS(Podcasts!$D$10:$D$2535,"="&amp;CR$373,Podcasts!$E$10:$E$2535,"&gt;=1.1.2011",Podcasts!$E$10:$E$2535,"&lt;01.01.2012")</f>
        <v>0</v>
      </c>
      <c r="CS374" s="243">
        <f>COUNTIFS(Podcasts!$D$10:$D$2535,"="&amp;CS$373,Podcasts!$E$10:$E$2535,"&gt;=1.1.2011",Podcasts!$E$10:$E$2535,"&lt;01.01.2012")</f>
        <v>0</v>
      </c>
      <c r="CT374" s="243">
        <f>COUNTIFS(Podcasts!$D$10:$D$2535,"="&amp;CT$373,Podcasts!$E$10:$E$2535,"&gt;=1.1.2011",Podcasts!$E$10:$E$2535,"&lt;01.01.2012")</f>
        <v>0</v>
      </c>
      <c r="CU374" s="243">
        <f>COUNTIFS(Podcasts!$D$10:$D$2535,"="&amp;CU$373,Podcasts!$E$10:$E$2535,"&gt;=1.1.2011",Podcasts!$E$10:$E$2535,"&lt;01.01.2012")</f>
        <v>0</v>
      </c>
      <c r="CV374" s="243">
        <f>COUNTIFS(Podcasts!$D$10:$D$2535,"="&amp;CV$373,Podcasts!$E$10:$E$2535,"&gt;=1.1.2011",Podcasts!$E$10:$E$2535,"&lt;01.01.2012")</f>
        <v>0</v>
      </c>
      <c r="CW374" s="243">
        <f>COUNTIFS(Podcasts!$D$10:$D$2535,"="&amp;CW$373,Podcasts!$E$10:$E$2535,"&gt;=1.1.2011",Podcasts!$E$10:$E$2535,"&lt;01.01.2012")</f>
        <v>0</v>
      </c>
      <c r="CX374" s="243">
        <f>COUNTIFS(Podcasts!$D$10:$D$2535,"="&amp;CX$373,Podcasts!$E$10:$E$2535,"&gt;=1.1.2011",Podcasts!$E$10:$E$2535,"&lt;01.01.2012")</f>
        <v>0</v>
      </c>
      <c r="CY374" s="243">
        <f>COUNTIFS(Podcasts!$D$10:$D$2535,"="&amp;CY$373,Podcasts!$E$10:$E$2535,"&gt;=1.1.2011",Podcasts!$E$10:$E$2535,"&lt;01.01.2012")</f>
        <v>0</v>
      </c>
      <c r="CZ374" s="243">
        <f>COUNTIFS(Podcasts!$D$10:$D$2535,"="&amp;CZ$373,Podcasts!$E$10:$E$2535,"&gt;=1.1.2011",Podcasts!$E$10:$E$2535,"&lt;01.01.2012")</f>
        <v>0</v>
      </c>
      <c r="DA374" s="243">
        <f>COUNTIFS(Podcasts!$D$10:$D$2535,"="&amp;DA$373,Podcasts!$E$10:$E$2535,"&gt;=1.1.2011",Podcasts!$E$10:$E$2535,"&lt;01.01.2012")</f>
        <v>0</v>
      </c>
      <c r="DB374" s="243">
        <f>COUNTIFS(Podcasts!$D$10:$D$2535,"="&amp;DB$373,Podcasts!$E$10:$E$2535,"&gt;=1.1.2011",Podcasts!$E$10:$E$2535,"&lt;01.01.2012")</f>
        <v>0</v>
      </c>
      <c r="DC374" s="243">
        <f>COUNTIFS(Podcasts!$D$10:$D$2535,"="&amp;DC$373,Podcasts!$E$10:$E$2535,"&gt;=1.1.2011",Podcasts!$E$10:$E$2535,"&lt;01.01.2012")</f>
        <v>0</v>
      </c>
      <c r="DD374" s="243">
        <f>COUNTIFS(Podcasts!$D$10:$D$2535,"="&amp;DD$373,Podcasts!$E$10:$E$2535,"&gt;=1.1.2011",Podcasts!$E$10:$E$2535,"&lt;01.01.2012")</f>
        <v>0</v>
      </c>
      <c r="DE374" s="243">
        <f>COUNTIFS(Podcasts!$D$10:$D$2535,"="&amp;DE$373,Podcasts!$E$10:$E$2535,"&gt;=1.1.2011",Podcasts!$E$10:$E$2535,"&lt;01.01.2012")</f>
        <v>0</v>
      </c>
      <c r="DF374" s="243">
        <f>COUNTIFS(Podcasts!$D$10:$D$2535,"="&amp;DF$373,Podcasts!$E$10:$E$2535,"&gt;=1.1.2011",Podcasts!$E$10:$E$2535,"&lt;01.01.2012")</f>
        <v>0</v>
      </c>
      <c r="DG374" s="243">
        <f>COUNTIFS(Podcasts!$D$10:$D$2535,"="&amp;DG$373,Podcasts!$E$10:$E$2535,"&gt;=1.1.2011",Podcasts!$E$10:$E$2535,"&lt;01.01.2012")</f>
        <v>0</v>
      </c>
      <c r="DH374" s="243">
        <f>COUNTIFS(Podcasts!$D$10:$D$2535,"="&amp;DH$373,Podcasts!$E$10:$E$2535,"&gt;=1.1.2011",Podcasts!$E$10:$E$2535,"&lt;01.01.2012")</f>
        <v>0</v>
      </c>
      <c r="DI374" s="243">
        <f>COUNTIFS(Podcasts!$D$10:$D$2535,"="&amp;DI$373,Podcasts!$E$10:$E$2535,"&gt;=1.1.2011",Podcasts!$E$10:$E$2535,"&lt;01.01.2012")</f>
        <v>0</v>
      </c>
      <c r="DJ374" s="243">
        <f>COUNTIFS(Podcasts!$D$10:$D$2535,"="&amp;DJ$373,Podcasts!$E$10:$E$2535,"&gt;=1.1.2011",Podcasts!$E$10:$E$2535,"&lt;01.01.2012")</f>
        <v>0</v>
      </c>
      <c r="DK374" s="243">
        <f>COUNTIFS(Podcasts!$D$10:$D$2535,"="&amp;DK$373,Podcasts!$E$10:$E$2535,"&gt;=1.1.2011",Podcasts!$E$10:$E$2535,"&lt;01.01.2012")</f>
        <v>0</v>
      </c>
      <c r="DL374" s="243">
        <f>COUNTIFS(Podcasts!$D$10:$D$2535,"="&amp;DL$373,Podcasts!$E$10:$E$2535,"&gt;=1.1.2011",Podcasts!$E$10:$E$2535,"&lt;01.01.2012")</f>
        <v>0</v>
      </c>
      <c r="DM374" s="243">
        <f>COUNTIFS(Podcasts!$D$10:$D$2535,"="&amp;DM$373,Podcasts!$E$10:$E$2535,"&gt;=1.1.2011",Podcasts!$E$10:$E$2535,"&lt;01.01.2012")</f>
        <v>0</v>
      </c>
      <c r="DN374" s="243">
        <f>COUNTIFS(Podcasts!$D$10:$D$2535,"="&amp;DN$373,Podcasts!$E$10:$E$2535,"&gt;=1.1.2011",Podcasts!$E$10:$E$2535,"&lt;01.01.2012")</f>
        <v>0</v>
      </c>
      <c r="DO374" s="243">
        <f>COUNTIFS(Podcasts!$D$10:$D$2535,"="&amp;DO$373,Podcasts!$E$10:$E$2535,"&gt;=1.1.2011",Podcasts!$E$10:$E$2535,"&lt;01.01.2012")</f>
        <v>0</v>
      </c>
      <c r="DP374" s="243">
        <f>COUNTIFS(Podcasts!$D$10:$D$2535,"="&amp;DP$373,Podcasts!$E$10:$E$2535,"&gt;=1.1.2011",Podcasts!$E$10:$E$2535,"&lt;01.01.2012")</f>
        <v>0</v>
      </c>
      <c r="DQ374" s="243">
        <f>COUNTIFS(Podcasts!$D$10:$D$2535,"="&amp;DQ$373,Podcasts!$E$10:$E$2535,"&gt;=1.1.2011",Podcasts!$E$10:$E$2535,"&lt;01.01.2012")</f>
        <v>0</v>
      </c>
      <c r="DR374" s="243">
        <f>COUNTIFS(Podcasts!$D$10:$D$2535,"="&amp;DR$373,Podcasts!$E$10:$E$2535,"&gt;=1.1.2011",Podcasts!$E$10:$E$2535,"&lt;01.01.2012")</f>
        <v>0</v>
      </c>
      <c r="DS374" s="243">
        <f>COUNTIFS(Podcasts!$D$10:$D$2535,"="&amp;DS$373,Podcasts!$E$10:$E$2535,"&gt;=1.1.2011",Podcasts!$E$10:$E$2535,"&lt;01.01.2012")</f>
        <v>0</v>
      </c>
      <c r="DT374" s="243">
        <f>COUNTIFS(Podcasts!$D$10:$D$2535,"="&amp;DT$373,Podcasts!$E$10:$E$2535,"&gt;=1.1.2011",Podcasts!$E$10:$E$2535,"&lt;01.01.2012")</f>
        <v>0</v>
      </c>
      <c r="DU374" s="243">
        <f>COUNTIFS(Podcasts!$D$10:$D$2535,"="&amp;DU$373,Podcasts!$E$10:$E$2535,"&gt;=1.1.2011",Podcasts!$E$10:$E$2535,"&lt;01.01.2012")</f>
        <v>0</v>
      </c>
      <c r="DV374" s="243">
        <f>COUNTIFS(Podcasts!$D$10:$D$2535,"="&amp;DV$373,Podcasts!$E$10:$E$2535,"&gt;=1.1.2011",Podcasts!$E$10:$E$2535,"&lt;01.01.2012")</f>
        <v>0</v>
      </c>
      <c r="DW374" s="243">
        <f>COUNTIFS(Podcasts!$D$10:$D$2535,"="&amp;DW$373,Podcasts!$E$10:$E$2535,"&gt;=1.1.2011",Podcasts!$E$10:$E$2535,"&lt;01.01.2012")</f>
        <v>0</v>
      </c>
      <c r="DX374" s="243">
        <f>COUNTIFS(Podcasts!$D$10:$D$2535,"="&amp;DX$373,Podcasts!$E$10:$E$2535,"&gt;=1.1.2011",Podcasts!$E$10:$E$2535,"&lt;01.01.2012")</f>
        <v>0</v>
      </c>
      <c r="DY374" s="243">
        <f>COUNTIFS(Podcasts!$D$10:$D$2535,"="&amp;DY$373,Podcasts!$E$10:$E$2535,"&gt;=1.1.2011",Podcasts!$E$10:$E$2535,"&lt;01.01.2012")</f>
        <v>0</v>
      </c>
      <c r="DZ374" s="243">
        <f>COUNTIFS(Podcasts!$D$10:$D$2535,"="&amp;DZ$373,Podcasts!$E$10:$E$2535,"&gt;=1.1.2011",Podcasts!$E$10:$E$2535,"&lt;01.01.2012")</f>
        <v>0</v>
      </c>
      <c r="EA374" s="243">
        <f>COUNTIFS(Podcasts!$D$10:$D$2535,"="&amp;EA$373,Podcasts!$E$10:$E$2535,"&gt;=1.1.2011",Podcasts!$E$10:$E$2535,"&lt;01.01.2012")</f>
        <v>0</v>
      </c>
      <c r="EB374" s="243">
        <f>COUNTIFS(Podcasts!$D$10:$D$2535,"="&amp;EB$373,Podcasts!$E$10:$E$2535,"&gt;=1.1.2011",Podcasts!$E$10:$E$2535,"&lt;01.01.2012")</f>
        <v>0</v>
      </c>
      <c r="EC374" s="243">
        <f>COUNTIFS(Podcasts!$D$10:$D$2535,"="&amp;EC$373,Podcasts!$E$10:$E$2535,"&gt;=1.1.2011",Podcasts!$E$10:$E$2535,"&lt;01.01.2012")</f>
        <v>0</v>
      </c>
      <c r="ED374" s="243">
        <f>COUNTIFS(Podcasts!$D$10:$D$2535,"="&amp;ED$373,Podcasts!$E$10:$E$2535,"&gt;=1.1.2011",Podcasts!$E$10:$E$2535,"&lt;01.01.2012")</f>
        <v>0</v>
      </c>
      <c r="EE374" s="243">
        <f>COUNTIFS(Podcasts!$D$10:$D$2535,"="&amp;EE$373,Podcasts!$E$10:$E$2535,"&gt;=1.1.2011",Podcasts!$E$10:$E$2535,"&lt;01.01.2012")</f>
        <v>0</v>
      </c>
      <c r="EF374" s="243">
        <f>COUNTIFS(Podcasts!$D$10:$D$2535,"="&amp;EF$373,Podcasts!$E$10:$E$2535,"&gt;=1.1.2011",Podcasts!$E$10:$E$2535,"&lt;01.01.2012")</f>
        <v>0</v>
      </c>
      <c r="EG374" s="243">
        <f>COUNTIFS(Podcasts!$D$10:$D$2535,"="&amp;EG$373,Podcasts!$E$10:$E$2535,"&gt;=1.1.2011",Podcasts!$E$10:$E$2535,"&lt;01.01.2012")</f>
        <v>0</v>
      </c>
      <c r="EH374" s="243">
        <f>COUNTIFS(Podcasts!$D$10:$D$2535,"="&amp;EH$373,Podcasts!$E$10:$E$2535,"&gt;=1.1.2011",Podcasts!$E$10:$E$2535,"&lt;01.01.2012")</f>
        <v>0</v>
      </c>
      <c r="EI374" s="243">
        <f>COUNTIFS(Podcasts!$D$10:$D$2535,"="&amp;EI$373,Podcasts!$E$10:$E$2535,"&gt;=1.1.2011",Podcasts!$E$10:$E$2535,"&lt;01.01.2012")</f>
        <v>0</v>
      </c>
      <c r="EJ374" s="243">
        <f>COUNTIFS(Podcasts!$D$10:$D$2535,"="&amp;EJ$373,Podcasts!$E$10:$E$2535,"&gt;=1.1.2011",Podcasts!$E$10:$E$2535,"&lt;01.01.2012")</f>
        <v>0</v>
      </c>
      <c r="EK374" s="243">
        <f>COUNTIFS(Podcasts!$D$10:$D$2535,"="&amp;EK$373,Podcasts!$E$10:$E$2535,"&gt;=1.1.2011",Podcasts!$E$10:$E$2535,"&lt;01.01.2012")</f>
        <v>0</v>
      </c>
      <c r="EL374" s="243">
        <f>COUNTIFS(Podcasts!$D$10:$D$2535,"="&amp;EL$373,Podcasts!$E$10:$E$2535,"&gt;=1.1.2011",Podcasts!$E$10:$E$2535,"&lt;01.01.2012")</f>
        <v>0</v>
      </c>
      <c r="EM374" s="243">
        <f>COUNTIFS(Podcasts!$D$10:$D$2535,"="&amp;EM$373,Podcasts!$E$10:$E$2535,"&gt;=1.1.2011",Podcasts!$E$10:$E$2535,"&lt;01.01.2012")</f>
        <v>0</v>
      </c>
      <c r="EN374" s="243">
        <f>COUNTIFS(Podcasts!$D$10:$D$2535,"="&amp;EN$373,Podcasts!$E$10:$E$2535,"&gt;=1.1.2011",Podcasts!$E$10:$E$2535,"&lt;01.01.2012")</f>
        <v>0</v>
      </c>
      <c r="EO374" s="243">
        <f>COUNTIFS(Podcasts!$D$10:$D$2535,"="&amp;EO$373,Podcasts!$E$10:$E$2535,"&gt;=1.1.2011",Podcasts!$E$10:$E$2535,"&lt;01.01.2012")</f>
        <v>0</v>
      </c>
      <c r="EP374" s="243">
        <f>COUNTIFS(Podcasts!$D$10:$D$2535,"="&amp;EP$373,Podcasts!$E$10:$E$2535,"&gt;=1.1.2011",Podcasts!$E$10:$E$2535,"&lt;01.01.2012")</f>
        <v>0</v>
      </c>
      <c r="EQ374" s="243">
        <f>COUNTIFS(Podcasts!$D$10:$D$2535,"="&amp;EQ$373,Podcasts!$E$10:$E$2535,"&gt;=1.1.2011",Podcasts!$E$10:$E$2535,"&lt;01.01.2012")</f>
        <v>0</v>
      </c>
      <c r="ER374" s="243">
        <f>COUNTIFS(Podcasts!$D$10:$D$2535,"="&amp;ER$373,Podcasts!$E$10:$E$2535,"&gt;=1.1.2011",Podcasts!$E$10:$E$2535,"&lt;01.01.2012")</f>
        <v>0</v>
      </c>
      <c r="ES374" s="243">
        <f>COUNTIFS(Podcasts!$D$10:$D$2535,"="&amp;ES$373,Podcasts!$E$10:$E$2535,"&gt;=1.1.2011",Podcasts!$E$10:$E$2535,"&lt;01.01.2012")</f>
        <v>0</v>
      </c>
      <c r="ET374" s="243">
        <f>COUNTIFS(Podcasts!$D$10:$D$2535,"="&amp;ET$373,Podcasts!$E$10:$E$2535,"&gt;=1.1.2011",Podcasts!$E$10:$E$2535,"&lt;01.01.2012")</f>
        <v>0</v>
      </c>
      <c r="EU374" s="243">
        <f>COUNTIFS(Podcasts!$D$10:$D$2535,"="&amp;EU$373,Podcasts!$E$10:$E$2535,"&gt;=1.1.2011",Podcasts!$E$10:$E$2535,"&lt;01.01.2012")</f>
        <v>0</v>
      </c>
      <c r="EV374" s="243">
        <f>COUNTIFS(Podcasts!$D$10:$D$2535,"="&amp;EV$373,Podcasts!$E$10:$E$2535,"&gt;=1.1.2011",Podcasts!$E$10:$E$2535,"&lt;01.01.2012")</f>
        <v>0</v>
      </c>
      <c r="EW374" s="243">
        <f>COUNTIFS(Podcasts!$D$10:$D$2535,"="&amp;EW$373,Podcasts!$E$10:$E$2535,"&gt;=1.1.2011",Podcasts!$E$10:$E$2535,"&lt;01.01.2012")</f>
        <v>1</v>
      </c>
      <c r="EX374" s="243">
        <f>COUNTIFS(Podcasts!$D$10:$D$2535,"="&amp;EX$373,Podcasts!$E$10:$E$2535,"&gt;=1.1.2011",Podcasts!$E$10:$E$2535,"&lt;01.01.2012")</f>
        <v>1</v>
      </c>
      <c r="EY374" s="243">
        <f>COUNTIFS(Podcasts!$D$10:$D$2535,"="&amp;EY$373,Podcasts!$E$10:$E$2535,"&gt;=1.1.2011",Podcasts!$E$10:$E$2535,"&lt;01.01.2012")</f>
        <v>0</v>
      </c>
      <c r="EZ374" s="243">
        <f>COUNTIFS(Podcasts!$D$10:$D$2535,"="&amp;EZ$373,Podcasts!$E$10:$E$2535,"&gt;=1.1.2011",Podcasts!$E$10:$E$2535,"&lt;01.01.2012")</f>
        <v>0</v>
      </c>
      <c r="FA374" s="243">
        <f>COUNTIFS(Podcasts!$D$10:$D$2535,"="&amp;FA$373,Podcasts!$E$10:$E$2535,"&gt;=1.1.2011",Podcasts!$E$10:$E$2535,"&lt;01.01.2012")</f>
        <v>0</v>
      </c>
      <c r="FB374" s="243">
        <f>COUNTIFS(Podcasts!$D$10:$D$2535,"="&amp;FB$373,Podcasts!$E$10:$E$2535,"&gt;=1.1.2011",Podcasts!$E$10:$E$2535,"&lt;01.01.2012")</f>
        <v>0</v>
      </c>
      <c r="FC374" s="243">
        <f>COUNTIFS(Podcasts!$D$10:$D$2535,"="&amp;FC$373,Podcasts!$E$10:$E$2535,"&gt;=1.1.2011",Podcasts!$E$10:$E$2535,"&lt;01.01.2012")</f>
        <v>0</v>
      </c>
      <c r="FD374" s="243">
        <f>COUNTIFS(Podcasts!$D$10:$D$2535,"="&amp;FD$373,Podcasts!$E$10:$E$2535,"&gt;=1.1.2011",Podcasts!$E$10:$E$2535,"&lt;01.01.2012")</f>
        <v>0</v>
      </c>
      <c r="FE374" s="243">
        <f>COUNTIFS(Podcasts!$D$10:$D$2535,"="&amp;FE$373,Podcasts!$E$10:$E$2535,"&gt;=1.1.2011",Podcasts!$E$10:$E$2535,"&lt;01.01.2012")</f>
        <v>0</v>
      </c>
      <c r="FF374" s="243">
        <f>COUNTIFS(Podcasts!$D$10:$D$2535,"="&amp;FF$373,Podcasts!$E$10:$E$2535,"&gt;=1.1.2011",Podcasts!$E$10:$E$2535,"&lt;01.01.2012")</f>
        <v>0</v>
      </c>
      <c r="FG374" s="243">
        <f>COUNTIFS(Podcasts!$D$10:$D$2535,"="&amp;FG$373,Podcasts!$E$10:$E$2535,"&gt;=1.1.2011",Podcasts!$E$10:$E$2535,"&lt;01.01.2012")</f>
        <v>0</v>
      </c>
      <c r="FH374" s="243">
        <f>COUNTIFS(Podcasts!$D$10:$D$2535,"="&amp;FH$373,Podcasts!$E$10:$E$2535,"&gt;=1.1.2011",Podcasts!$E$10:$E$2535,"&lt;01.01.2012")</f>
        <v>0</v>
      </c>
      <c r="FI374" s="243">
        <f>COUNTIFS(Podcasts!$D$10:$D$2535,"="&amp;FI$373,Podcasts!$E$10:$E$2535,"&gt;=1.1.2011",Podcasts!$E$10:$E$2535,"&lt;01.01.2012")</f>
        <v>0</v>
      </c>
      <c r="FJ374" s="243">
        <f>COUNTIFS(Podcasts!$D$10:$D$2535,"="&amp;FJ$373,Podcasts!$E$10:$E$2535,"&gt;=1.1.2011",Podcasts!$E$10:$E$2535,"&lt;01.01.2012")</f>
        <v>0</v>
      </c>
      <c r="FK374" s="243">
        <f>COUNTIFS(Podcasts!$D$10:$D$2535,"="&amp;FK$373,Podcasts!$E$10:$E$2535,"&gt;=1.1.2011",Podcasts!$E$10:$E$2535,"&lt;01.01.2012")</f>
        <v>0</v>
      </c>
      <c r="FL374" s="243">
        <f>COUNTIFS(Podcasts!$D$10:$D$2535,"="&amp;FL$373,Podcasts!$E$10:$E$2535,"&gt;=1.1.2011",Podcasts!$E$10:$E$2535,"&lt;01.01.2012")</f>
        <v>0</v>
      </c>
      <c r="FM374" s="243">
        <f>COUNTIFS(Podcasts!$D$10:$D$2535,"="&amp;FM$373,Podcasts!$E$10:$E$2535,"&gt;=1.1.2011",Podcasts!$E$10:$E$2535,"&lt;01.01.2012")</f>
        <v>0</v>
      </c>
      <c r="FN374" s="243">
        <f>COUNTIFS(Podcasts!$D$10:$D$2535,"="&amp;FN$373,Podcasts!$E$10:$E$2535,"&gt;=1.1.2011",Podcasts!$E$10:$E$2535,"&lt;01.01.2012")</f>
        <v>0</v>
      </c>
      <c r="FO374" s="243">
        <f>COUNTIFS(Podcasts!$D$10:$D$2535,"="&amp;FO$373,Podcasts!$E$10:$E$2535,"&gt;=1.1.2011",Podcasts!$E$10:$E$2535,"&lt;01.01.2012")</f>
        <v>0</v>
      </c>
      <c r="FP374" s="243">
        <f>COUNTIFS(Podcasts!$D$10:$D$2535,"="&amp;FP$373,Podcasts!$E$10:$E$2535,"&gt;=1.1.2011",Podcasts!$E$10:$E$2535,"&lt;01.01.2012")</f>
        <v>0</v>
      </c>
      <c r="FQ374" s="243">
        <f>COUNTIFS(Podcasts!$D$10:$D$2535,"="&amp;FQ$373,Podcasts!$E$10:$E$2535,"&gt;=1.1.2011",Podcasts!$E$10:$E$2535,"&lt;01.01.2012")</f>
        <v>0</v>
      </c>
      <c r="FR374" s="243">
        <f>COUNTIFS(Podcasts!$D$10:$D$2535,"="&amp;FR$373,Podcasts!$E$10:$E$2535,"&gt;=1.1.2011",Podcasts!$E$10:$E$2535,"&lt;01.01.2012")</f>
        <v>0</v>
      </c>
      <c r="FS374" s="243">
        <f>COUNTIFS(Podcasts!$D$10:$D$2535,"="&amp;FS$373,Podcasts!$E$10:$E$2535,"&gt;=1.1.2011",Podcasts!$E$10:$E$2535,"&lt;01.01.2012")</f>
        <v>0</v>
      </c>
      <c r="FT374" s="243">
        <f>COUNTIFS(Podcasts!$D$10:$D$2535,"="&amp;FT$373,Podcasts!$E$10:$E$2535,"&gt;=1.1.2011",Podcasts!$E$10:$E$2535,"&lt;01.01.2012")</f>
        <v>0</v>
      </c>
      <c r="FU374" s="243">
        <f>COUNTIFS(Podcasts!$D$10:$D$2535,"="&amp;FU$373,Podcasts!$E$10:$E$2535,"&gt;=1.1.2011",Podcasts!$E$10:$E$2535,"&lt;01.01.2012")</f>
        <v>0</v>
      </c>
      <c r="FV374" s="243">
        <f>COUNTIFS(Podcasts!$D$10:$D$2535,"="&amp;FV$373,Podcasts!$E$10:$E$2535,"&gt;=1.1.2011",Podcasts!$E$10:$E$2535,"&lt;01.01.2012")</f>
        <v>0</v>
      </c>
      <c r="FW374" s="243">
        <f>COUNTIFS(Podcasts!$D$10:$D$2535,"="&amp;FW$373,Podcasts!$E$10:$E$2535,"&gt;=1.1.2011",Podcasts!$E$10:$E$2535,"&lt;01.01.2012")</f>
        <v>0</v>
      </c>
      <c r="FX374" s="243">
        <f>COUNTIFS(Podcasts!$D$10:$D$2535,"="&amp;FX$373,Podcasts!$E$10:$E$2535,"&gt;=1.1.2011",Podcasts!$E$10:$E$2535,"&lt;01.01.2012")</f>
        <v>0</v>
      </c>
      <c r="FY374" s="243">
        <f>COUNTIFS(Podcasts!$D$10:$D$2535,"="&amp;FY$373,Podcasts!$E$10:$E$2535,"&gt;=1.1.2011",Podcasts!$E$10:$E$2535,"&lt;01.01.2012")</f>
        <v>0</v>
      </c>
      <c r="FZ374" s="243">
        <f>COUNTIFS(Podcasts!$D$10:$D$2535,"="&amp;FZ$373,Podcasts!$E$10:$E$2535,"&gt;=1.1.2011",Podcasts!$E$10:$E$2535,"&lt;01.01.2012")</f>
        <v>0</v>
      </c>
      <c r="GA374" s="243">
        <f>COUNTIFS(Podcasts!$D$10:$D$2535,"="&amp;GA$373,Podcasts!$E$10:$E$2535,"&gt;=1.1.2011",Podcasts!$E$10:$E$2535,"&lt;01.01.2012")</f>
        <v>0</v>
      </c>
      <c r="GB374" s="243">
        <f>COUNTIFS(Podcasts!$D$10:$D$2535,"="&amp;GB$373,Podcasts!$E$10:$E$2535,"&gt;=1.1.2011",Podcasts!$E$10:$E$2535,"&lt;01.01.2012")</f>
        <v>0</v>
      </c>
      <c r="GC374" s="243">
        <f>COUNTIFS(Podcasts!$D$10:$D$2535,"="&amp;GC$373,Podcasts!$E$10:$E$2535,"&gt;=1.1.2011",Podcasts!$E$10:$E$2535,"&lt;01.01.2012")</f>
        <v>0</v>
      </c>
      <c r="GD374" s="243">
        <f>COUNTIFS(Podcasts!$D$10:$D$2535,"="&amp;GD$373,Podcasts!$E$10:$E$2535,"&gt;=1.1.2011",Podcasts!$E$10:$E$2535,"&lt;01.01.2012")</f>
        <v>0</v>
      </c>
      <c r="GE374" s="243">
        <f>COUNTIFS(Podcasts!$D$10:$D$2535,"="&amp;GE$373,Podcasts!$E$10:$E$2535,"&gt;=1.1.2011",Podcasts!$E$10:$E$2535,"&lt;01.01.2012")</f>
        <v>0</v>
      </c>
      <c r="GF374" s="243">
        <f>COUNTIFS(Podcasts!$D$10:$D$2535,"="&amp;GF$373,Podcasts!$E$10:$E$2535,"&gt;=1.1.2011",Podcasts!$E$10:$E$2535,"&lt;01.01.2012")</f>
        <v>0</v>
      </c>
      <c r="GG374" s="243">
        <f>COUNTIFS(Podcasts!$D$10:$D$2535,"="&amp;GG$373,Podcasts!$E$10:$E$2535,"&gt;=1.1.2011",Podcasts!$E$10:$E$2535,"&lt;01.01.2012")</f>
        <v>0</v>
      </c>
      <c r="GH374" s="243">
        <f>COUNTIFS(Podcasts!$D$10:$D$2535,"="&amp;GH$373,Podcasts!$E$10:$E$2535,"&gt;=1.1.2011",Podcasts!$E$10:$E$2535,"&lt;01.01.2012")</f>
        <v>0</v>
      </c>
      <c r="GI374" s="243">
        <f>COUNTIFS(Podcasts!$D$10:$D$2535,"="&amp;GI$373,Podcasts!$E$10:$E$2535,"&gt;=1.1.2011",Podcasts!$E$10:$E$2535,"&lt;01.01.2012")</f>
        <v>0</v>
      </c>
      <c r="GJ374" s="243">
        <f>COUNTIFS(Podcasts!$D$10:$D$2535,"="&amp;GJ$373,Podcasts!$E$10:$E$2535,"&gt;=1.1.2011",Podcasts!$E$10:$E$2535,"&lt;01.01.2012")</f>
        <v>0</v>
      </c>
      <c r="GK374" s="243">
        <f>COUNTIFS(Podcasts!$D$10:$D$2535,"="&amp;GK$373,Podcasts!$E$10:$E$2535,"&gt;=1.1.2011",Podcasts!$E$10:$E$2535,"&lt;01.01.2012")</f>
        <v>0</v>
      </c>
      <c r="GL374" s="243">
        <f>COUNTIFS(Podcasts!$D$10:$D$2535,"="&amp;GL$373,Podcasts!$E$10:$E$2535,"&gt;=1.1.2011",Podcasts!$E$10:$E$2535,"&lt;01.01.2012")</f>
        <v>0</v>
      </c>
      <c r="GM374" s="243">
        <f>COUNTIFS(Podcasts!$D$10:$D$2535,"="&amp;GM$373,Podcasts!$E$10:$E$2535,"&gt;=1.1.2011",Podcasts!$E$10:$E$2535,"&lt;01.01.2012")</f>
        <v>0</v>
      </c>
      <c r="GN374" s="243">
        <f>COUNTIFS(Podcasts!$D$10:$D$2535,"="&amp;GN$373,Podcasts!$E$10:$E$2535,"&gt;=1.1.2011",Podcasts!$E$10:$E$2535,"&lt;01.01.2012")</f>
        <v>0</v>
      </c>
      <c r="GO374" s="243">
        <f>COUNTIFS(Podcasts!$D$10:$D$2535,"="&amp;GO$373,Podcasts!$E$10:$E$2535,"&gt;=1.1.2011",Podcasts!$E$10:$E$2535,"&lt;01.01.2012")</f>
        <v>0</v>
      </c>
      <c r="GP374" s="243">
        <f>COUNTIFS(Podcasts!$D$10:$D$2535,"="&amp;GP$373,Podcasts!$E$10:$E$2535,"&gt;=1.1.2011",Podcasts!$E$10:$E$2535,"&lt;01.01.2012")</f>
        <v>0</v>
      </c>
      <c r="GQ374" s="243">
        <f>COUNTIFS(Podcasts!$D$10:$D$2535,"="&amp;GQ$373,Podcasts!$E$10:$E$2535,"&gt;=1.1.2011",Podcasts!$E$10:$E$2535,"&lt;01.01.2012")</f>
        <v>0</v>
      </c>
      <c r="GR374" s="243">
        <f>COUNTIFS(Podcasts!$D$10:$D$2535,"="&amp;GR$373,Podcasts!$E$10:$E$2535,"&gt;=1.1.2011",Podcasts!$E$10:$E$2535,"&lt;01.01.2012")</f>
        <v>0</v>
      </c>
      <c r="GS374" s="243">
        <f>COUNTIFS(Podcasts!$D$10:$D$2535,"="&amp;GS$373,Podcasts!$E$10:$E$2535,"&gt;=1.1.2011",Podcasts!$E$10:$E$2535,"&lt;01.01.2012")</f>
        <v>0</v>
      </c>
      <c r="GT374" s="243">
        <f>COUNTIFS(Podcasts!$D$10:$D$2535,"="&amp;GT$373,Podcasts!$E$10:$E$2535,"&gt;=1.1.2011",Podcasts!$E$10:$E$2535,"&lt;01.01.2012")</f>
        <v>0</v>
      </c>
      <c r="GU374" s="243">
        <f>COUNTIFS(Podcasts!$D$10:$D$2535,"="&amp;GU$373,Podcasts!$E$10:$E$2535,"&gt;=1.1.2011",Podcasts!$E$10:$E$2535,"&lt;01.01.2012")</f>
        <v>0</v>
      </c>
      <c r="GV374" s="243">
        <f>COUNTIFS(Podcasts!$D$10:$D$2535,"="&amp;GV$373,Podcasts!$E$10:$E$2535,"&gt;=1.1.2011",Podcasts!$E$10:$E$2535,"&lt;01.01.2012")</f>
        <v>0</v>
      </c>
      <c r="GW374" s="243">
        <f>COUNTIFS(Podcasts!$D$10:$D$2535,"="&amp;GW$373,Podcasts!$E$10:$E$2535,"&gt;=1.1.2011",Podcasts!$E$10:$E$2535,"&lt;01.01.2012")</f>
        <v>0</v>
      </c>
      <c r="GX374" s="243">
        <f>COUNTIFS(Podcasts!$D$10:$D$2535,"="&amp;GX$373,Podcasts!$E$10:$E$2535,"&gt;=1.1.2011",Podcasts!$E$10:$E$2535,"&lt;01.01.2012")</f>
        <v>0</v>
      </c>
      <c r="GY374" s="243">
        <f>COUNTIFS(Podcasts!$D$10:$D$2535,"="&amp;GY$373,Podcasts!$E$10:$E$2535,"&gt;=1.1.2011",Podcasts!$E$10:$E$2535,"&lt;01.01.2012")</f>
        <v>0</v>
      </c>
      <c r="GZ374" s="243">
        <f>COUNTIFS(Podcasts!$D$10:$D$2535,"="&amp;GZ$373,Podcasts!$E$10:$E$2535,"&gt;=1.1.2011",Podcasts!$E$10:$E$2535,"&lt;01.01.2012")</f>
        <v>0</v>
      </c>
      <c r="HA374" s="243">
        <f>COUNTIFS(Podcasts!$D$10:$D$2535,"="&amp;HA$373,Podcasts!$E$10:$E$2535,"&gt;=1.1.2011",Podcasts!$E$10:$E$2535,"&lt;01.01.2012")</f>
        <v>0</v>
      </c>
      <c r="HB374" s="243">
        <f>COUNTIFS(Podcasts!$D$10:$D$2535,"="&amp;HB$373,Podcasts!$E$10:$E$2535,"&gt;=1.1.2011",Podcasts!$E$10:$E$2535,"&lt;01.01.2012")</f>
        <v>0</v>
      </c>
      <c r="HC374" s="243">
        <f>COUNTIFS(Podcasts!$D$10:$D$2535,"="&amp;HC$373,Podcasts!$E$10:$E$2535,"&gt;=1.1.2011",Podcasts!$E$10:$E$2535,"&lt;01.01.2012")</f>
        <v>0</v>
      </c>
      <c r="HD374" s="243">
        <f>COUNTIFS(Podcasts!$D$10:$D$2535,"="&amp;HD$373,Podcasts!$E$10:$E$2535,"&gt;=1.1.2011",Podcasts!$E$10:$E$2535,"&lt;01.01.2012")</f>
        <v>0</v>
      </c>
      <c r="HE374" s="243">
        <f>COUNTIFS(Podcasts!$D$10:$D$2535,"="&amp;HE$373,Podcasts!$E$10:$E$2535,"&gt;=1.1.2011",Podcasts!$E$10:$E$2535,"&lt;01.01.2012")</f>
        <v>0</v>
      </c>
      <c r="HF374" s="243">
        <f>COUNTIFS(Podcasts!$D$10:$D$2535,"="&amp;HF$373,Podcasts!$E$10:$E$2535,"&gt;=1.1.2011",Podcasts!$E$10:$E$2535,"&lt;01.01.2012")</f>
        <v>0</v>
      </c>
      <c r="HG374" s="243">
        <f>COUNTIFS(Podcasts!$D$10:$D$2535,"="&amp;HG$373,Podcasts!$E$10:$E$2535,"&gt;=1.1.2011",Podcasts!$E$10:$E$2535,"&lt;01.01.2012")</f>
        <v>0</v>
      </c>
      <c r="HH374" s="243">
        <f>COUNTIFS(Podcasts!$D$10:$D$2535,"="&amp;HH$373,Podcasts!$E$10:$E$2535,"&gt;=1.1.2011",Podcasts!$E$10:$E$2535,"&lt;01.01.2012")</f>
        <v>0</v>
      </c>
      <c r="HI374" s="243">
        <f>COUNTIFS(Podcasts!$D$10:$D$2535,"="&amp;HI$373,Podcasts!$E$10:$E$2535,"&gt;=1.1.2011",Podcasts!$E$10:$E$2535,"&lt;01.01.2012")</f>
        <v>0</v>
      </c>
      <c r="HJ374" s="243">
        <f>COUNTIFS(Podcasts!$D$10:$D$2535,"="&amp;HJ$373,Podcasts!$E$10:$E$2535,"&gt;=1.1.2011",Podcasts!$E$10:$E$2535,"&lt;01.01.2012")</f>
        <v>0</v>
      </c>
      <c r="HK374" s="243">
        <f>COUNTIFS(Podcasts!$D$10:$D$2535,"="&amp;HK$373,Podcasts!$E$10:$E$2535,"&gt;=1.1.2011",Podcasts!$E$10:$E$2535,"&lt;01.01.2012")</f>
        <v>0</v>
      </c>
      <c r="HL374" s="243">
        <f>COUNTIFS(Podcasts!$D$10:$D$2535,"="&amp;HL$373,Podcasts!$E$10:$E$2535,"&gt;=1.1.2011",Podcasts!$E$10:$E$2535,"&lt;01.01.2012")</f>
        <v>0</v>
      </c>
      <c r="HM374" s="243">
        <f>COUNTIFS(Podcasts!$D$10:$D$2535,"="&amp;HM$373,Podcasts!$E$10:$E$2535,"&gt;=1.1.2011",Podcasts!$E$10:$E$2535,"&lt;01.01.2012")</f>
        <v>0</v>
      </c>
      <c r="HN374" s="243">
        <f>COUNTIFS(Podcasts!$D$10:$D$2535,"="&amp;HN$373,Podcasts!$E$10:$E$2535,"&gt;=1.1.2011",Podcasts!$E$10:$E$2535,"&lt;01.01.2012")</f>
        <v>0</v>
      </c>
      <c r="HO374" s="243">
        <f>COUNTIFS(Podcasts!$D$10:$D$2535,"="&amp;HO$373,Podcasts!$E$10:$E$2535,"&gt;=1.1.2011",Podcasts!$E$10:$E$2535,"&lt;01.01.2012")</f>
        <v>0</v>
      </c>
      <c r="HP374" s="243">
        <f>COUNTIFS(Podcasts!$D$10:$D$2535,"="&amp;HP$373,Podcasts!$E$10:$E$2535,"&gt;=1.1.2011",Podcasts!$E$10:$E$2535,"&lt;01.01.2012")</f>
        <v>0</v>
      </c>
      <c r="HQ374" s="243">
        <f>COUNTIFS(Podcasts!$D$10:$D$2535,"="&amp;HQ$373,Podcasts!$E$10:$E$2535,"&gt;=1.1.2011",Podcasts!$E$10:$E$2535,"&lt;01.01.2012")</f>
        <v>0</v>
      </c>
      <c r="HR374" s="243">
        <f>COUNTIFS(Podcasts!$D$10:$D$2535,"="&amp;HR$373,Podcasts!$E$10:$E$2535,"&gt;=1.1.2011",Podcasts!$E$10:$E$2535,"&lt;01.01.2012")</f>
        <v>0</v>
      </c>
      <c r="HS374" s="243">
        <f>COUNTIFS(Podcasts!$D$10:$D$2535,"="&amp;HS$373,Podcasts!$E$10:$E$2535,"&gt;=1.1.2011",Podcasts!$E$10:$E$2535,"&lt;01.01.2012")</f>
        <v>0</v>
      </c>
      <c r="HT374" s="243">
        <f>COUNTIFS(Podcasts!$D$10:$D$2535,"="&amp;HT$373,Podcasts!$E$10:$E$2535,"&gt;=1.1.2011",Podcasts!$E$10:$E$2535,"&lt;01.01.2012")</f>
        <v>0</v>
      </c>
      <c r="HU374" s="243">
        <f>COUNTIFS(Podcasts!$D$10:$D$2535,"="&amp;HU$373,Podcasts!$E$10:$E$2535,"&gt;=1.1.2011",Podcasts!$E$10:$E$2535,"&lt;01.01.2012")</f>
        <v>0</v>
      </c>
      <c r="HV374" s="243">
        <f>COUNTIFS(Podcasts!$D$10:$D$2535,"="&amp;HV$373,Podcasts!$E$10:$E$2535,"&gt;=1.1.2011",Podcasts!$E$10:$E$2535,"&lt;01.01.2012")</f>
        <v>0</v>
      </c>
      <c r="HW374" s="243">
        <f>COUNTIFS(Podcasts!$D$10:$D$2535,"="&amp;HW$373,Podcasts!$E$10:$E$2535,"&gt;=1.1.2011",Podcasts!$E$10:$E$2535,"&lt;01.01.2012")</f>
        <v>0</v>
      </c>
      <c r="HX374" s="243">
        <f>COUNTIFS(Podcasts!$D$10:$D$2535,"="&amp;HX$373,Podcasts!$E$10:$E$2535,"&gt;=1.1.2011",Podcasts!$E$10:$E$2535,"&lt;01.01.2012")</f>
        <v>0</v>
      </c>
      <c r="HY374" s="243">
        <f>COUNTIFS(Podcasts!$D$10:$D$2535,"="&amp;HY$373,Podcasts!$E$10:$E$2535,"&gt;=1.1.2011",Podcasts!$E$10:$E$2535,"&lt;01.01.2012")</f>
        <v>0</v>
      </c>
      <c r="HZ374" s="243">
        <f>COUNTIFS(Podcasts!$D$10:$D$2535,"="&amp;HZ$373,Podcasts!$E$10:$E$2535,"&gt;=1.1.2011",Podcasts!$E$10:$E$2535,"&lt;01.01.2012")</f>
        <v>0</v>
      </c>
    </row>
    <row r="375" spans="1:234">
      <c r="A375" s="28"/>
      <c r="B375" s="28"/>
      <c r="C375" s="465">
        <v>2021</v>
      </c>
      <c r="D375" s="28"/>
      <c r="E375" s="243">
        <f>COUNTIFS(Podcasts!$D$10:$D$2535,"="&amp;E$373,Podcasts!$E$10:$E$2535,"&gt;=1.1.2012",Podcasts!$E$10:$E$2535,"&lt;01.01.2013")</f>
        <v>1</v>
      </c>
      <c r="F375" s="243">
        <f>COUNTIFS(Podcasts!$D$10:$D$2535,"="&amp;F$373,Podcasts!$E$10:$E$2535,"&gt;=1.1.2012",Podcasts!$E$10:$E$2535,"&lt;01.01.2013")</f>
        <v>1</v>
      </c>
      <c r="G375" s="243">
        <f>COUNTIFS(Podcasts!$D$10:$D$2535,"="&amp;G$373,Podcasts!$E$10:$E$2535,"&gt;=1.1.2012",Podcasts!$E$10:$E$2535,"&lt;01.01.2013")</f>
        <v>1</v>
      </c>
      <c r="H375" s="243">
        <f>COUNTIFS(Podcasts!$D$10:$D$2535,"="&amp;H$373,Podcasts!$E$10:$E$2535,"&gt;=1.1.2012",Podcasts!$E$10:$E$2535,"&lt;01.01.2013")</f>
        <v>0</v>
      </c>
      <c r="I375" s="243">
        <f>COUNTIFS(Podcasts!$D$10:$D$2535,"="&amp;I$373,Podcasts!$E$10:$E$2535,"&gt;=1.1.2012",Podcasts!$E$10:$E$2535,"&lt;01.01.2013")</f>
        <v>0</v>
      </c>
      <c r="J375" s="243">
        <f>COUNTIFS(Podcasts!$D$10:$D$2535,"="&amp;J$373,Podcasts!$E$10:$E$2535,"&gt;=1.1.2012",Podcasts!$E$10:$E$2535,"&lt;01.01.2013")</f>
        <v>0</v>
      </c>
      <c r="K375" s="243">
        <f>COUNTIFS(Podcasts!$D$10:$D$2535,"="&amp;K$373,Podcasts!$E$10:$E$2535,"&gt;=1.1.2012",Podcasts!$E$10:$E$2535,"&lt;01.01.2013")</f>
        <v>0</v>
      </c>
      <c r="L375" s="243">
        <f>COUNTIFS(Podcasts!$D$10:$D$2535,"="&amp;L$373,Podcasts!$E$10:$E$2535,"&gt;=1.1.2012",Podcasts!$E$10:$E$2535,"&lt;01.01.2013")</f>
        <v>1</v>
      </c>
      <c r="M375" s="285">
        <f>COUNTIFS(Podcasts!$D$10:$D$2535,"="&amp;M$373,Podcasts!$E$10:$E$2535,"&gt;=1.1.2012",Podcasts!$E$10:$E$2535,"&lt;01.01.2013")</f>
        <v>0</v>
      </c>
      <c r="N375" s="285">
        <f>COUNTIFS(Podcasts!$D$10:$D$2535,"="&amp;N$373,Podcasts!$E$10:$E$2535,"&gt;=1.1.2012",Podcasts!$E$10:$E$2535,"&lt;01.01.2013")</f>
        <v>0</v>
      </c>
      <c r="O375" s="243">
        <f>COUNTIFS(Podcasts!$D$10:$D$2535,"="&amp;O$373,Podcasts!$E$10:$E$2535,"&gt;=1.1.2012",Podcasts!$E$10:$E$2535,"&lt;01.01.2013")</f>
        <v>0</v>
      </c>
      <c r="P375" s="243">
        <f>COUNTIFS(Podcasts!$D$10:$D$2535,"="&amp;P$373,Podcasts!$E$10:$E$2535,"&gt;=1.1.2012",Podcasts!$E$10:$E$2535,"&lt;01.01.2013")</f>
        <v>0</v>
      </c>
      <c r="Q375" s="243">
        <f>COUNTIFS(Podcasts!$D$10:$D$2535,"="&amp;Q$373,Podcasts!$E$10:$E$2535,"&gt;=1.1.2012",Podcasts!$E$10:$E$2535,"&lt;01.01.2013")</f>
        <v>0</v>
      </c>
      <c r="R375" s="243">
        <f>COUNTIFS(Podcasts!$D$10:$D$2535,"="&amp;R$373,Podcasts!$E$10:$E$2535,"&gt;=1.1.2012",Podcasts!$E$10:$E$2535,"&lt;01.01.2013")</f>
        <v>0</v>
      </c>
      <c r="S375" s="243">
        <f>COUNTIFS(Podcasts!$D$10:$D$2535,"="&amp;S$373,Podcasts!$E$10:$E$2535,"&gt;=1.1.2012",Podcasts!$E$10:$E$2535,"&lt;01.01.2013")</f>
        <v>1</v>
      </c>
      <c r="T375" s="243">
        <f>COUNTIFS(Podcasts!$D$10:$D$2535,"="&amp;T$373,Podcasts!$E$10:$E$2535,"&gt;=1.1.2012",Podcasts!$E$10:$E$2535,"&lt;01.01.2013")</f>
        <v>0</v>
      </c>
      <c r="U375" s="243">
        <f>COUNTIFS(Podcasts!$D$10:$D$2535,"="&amp;U$373,Podcasts!$E$10:$E$2535,"&gt;=1.1.2012",Podcasts!$E$10:$E$2535,"&lt;01.01.2013")</f>
        <v>0</v>
      </c>
      <c r="V375" s="243">
        <f>COUNTIFS(Podcasts!$D$10:$D$2535,"="&amp;V$373,Podcasts!$E$10:$E$2535,"&gt;=1.1.2012",Podcasts!$E$10:$E$2535,"&lt;01.01.2013")</f>
        <v>0</v>
      </c>
      <c r="W375" s="243">
        <f>COUNTIFS(Podcasts!$D$10:$D$2535,"="&amp;W$373,Podcasts!$E$10:$E$2535,"&gt;=1.1.2012",Podcasts!$E$10:$E$2535,"&lt;01.01.2013")</f>
        <v>0</v>
      </c>
      <c r="X375" s="243">
        <f>COUNTIFS(Podcasts!$D$10:$D$2535,"="&amp;X$373,Podcasts!$E$10:$E$2535,"&gt;=1.1.2012",Podcasts!$E$10:$E$2535,"&lt;01.01.2013")</f>
        <v>0</v>
      </c>
      <c r="Y375" s="243">
        <f>COUNTIFS(Podcasts!$D$10:$D$2535,"="&amp;Y$373,Podcasts!$E$10:$E$2535,"&gt;=1.1.2012",Podcasts!$E$10:$E$2535,"&lt;01.01.2013")</f>
        <v>1</v>
      </c>
      <c r="Z375" s="243">
        <f>COUNTIFS(Podcasts!$D$10:$D$2535,"="&amp;Z$373,Podcasts!$E$10:$E$2535,"&gt;=1.1.2012",Podcasts!$E$10:$E$2535,"&lt;01.01.2013")</f>
        <v>0</v>
      </c>
      <c r="AA375" s="243">
        <f>COUNTIFS(Podcasts!$D$10:$D$2535,"="&amp;AA$373,Podcasts!$E$10:$E$2535,"&gt;=1.1.2012",Podcasts!$E$10:$E$2535,"&lt;01.01.2013")</f>
        <v>0</v>
      </c>
      <c r="AB375" s="243">
        <f>COUNTIFS(Podcasts!$D$10:$D$2535,"="&amp;AB$373,Podcasts!$E$10:$E$2535,"&gt;=1.1.2012",Podcasts!$E$10:$E$2535,"&lt;01.01.2013")</f>
        <v>0</v>
      </c>
      <c r="AC375" s="243">
        <f>COUNTIFS(Podcasts!$D$10:$D$2535,"="&amp;AC$373,Podcasts!$E$10:$E$2535,"&gt;=1.1.2012",Podcasts!$E$10:$E$2535,"&lt;01.01.2013")</f>
        <v>0</v>
      </c>
      <c r="AD375" s="243">
        <f>COUNTIFS(Podcasts!$D$10:$D$2535,"="&amp;AD$373,Podcasts!$E$10:$E$2535,"&gt;=1.1.2012",Podcasts!$E$10:$E$2535,"&lt;01.01.2013")</f>
        <v>0</v>
      </c>
      <c r="AE375" s="243">
        <f>COUNTIFS(Podcasts!$D$10:$D$2535,"="&amp;AE$373,Podcasts!$E$10:$E$2535,"&gt;=1.1.2012",Podcasts!$E$10:$E$2535,"&lt;01.01.2013")</f>
        <v>0</v>
      </c>
      <c r="AF375" s="243">
        <f>COUNTIFS(Podcasts!$D$10:$D$2535,"="&amp;AF$373,Podcasts!$E$10:$E$2535,"&gt;=1.1.2012",Podcasts!$E$10:$E$2535,"&lt;01.01.2013")</f>
        <v>1</v>
      </c>
      <c r="AG375" s="243">
        <f>COUNTIFS(Podcasts!$D$10:$D$2535,"="&amp;AG$373,Podcasts!$E$10:$E$2535,"&gt;=1.1.2012",Podcasts!$E$10:$E$2535,"&lt;01.01.2013")</f>
        <v>0</v>
      </c>
      <c r="AH375" s="243">
        <f>COUNTIFS(Podcasts!$D$10:$D$2535,"="&amp;AH$373,Podcasts!$E$10:$E$2535,"&gt;=1.1.2012",Podcasts!$E$10:$E$2535,"&lt;01.01.2013")</f>
        <v>0</v>
      </c>
      <c r="AI375" s="243">
        <f>COUNTIFS(Podcasts!$D$10:$D$2535,"="&amp;AI$373,Podcasts!$E$10:$E$2535,"&gt;=1.1.2012",Podcasts!$E$10:$E$2535,"&lt;01.01.2013")</f>
        <v>0</v>
      </c>
      <c r="AJ375" s="243">
        <f>COUNTIFS(Podcasts!$D$10:$D$2535,"="&amp;AJ$373,Podcasts!$E$10:$E$2535,"&gt;=1.1.2012",Podcasts!$E$10:$E$2535,"&lt;01.01.2013")</f>
        <v>0</v>
      </c>
      <c r="AK375" s="243">
        <f>COUNTIFS(Podcasts!$D$10:$D$2535,"="&amp;AK$373,Podcasts!$E$10:$E$2535,"&gt;=1.1.2012",Podcasts!$E$10:$E$2535,"&lt;01.01.2013")</f>
        <v>1</v>
      </c>
      <c r="AL375" s="243">
        <f>COUNTIFS(Podcasts!$D$10:$D$2535,"="&amp;AL$373,Podcasts!$E$10:$E$2535,"&gt;=1.1.2012",Podcasts!$E$10:$E$2535,"&lt;01.01.2013")</f>
        <v>0</v>
      </c>
      <c r="AM375" s="243">
        <f>COUNTIFS(Podcasts!$D$10:$D$2535,"="&amp;AM$373,Podcasts!$E$10:$E$2535,"&gt;=1.1.2012",Podcasts!$E$10:$E$2535,"&lt;01.01.2013")</f>
        <v>0</v>
      </c>
      <c r="AN375" s="243">
        <f>COUNTIFS(Podcasts!$D$10:$D$2535,"="&amp;AN$373,Podcasts!$E$10:$E$2535,"&gt;=1.1.2012",Podcasts!$E$10:$E$2535,"&lt;01.01.2013")</f>
        <v>0</v>
      </c>
      <c r="AO375" s="243">
        <f>COUNTIFS(Podcasts!$D$10:$D$2535,"="&amp;AO$373,Podcasts!$E$10:$E$2535,"&gt;=1.1.2012",Podcasts!$E$10:$E$2535,"&lt;01.01.2013")</f>
        <v>0</v>
      </c>
      <c r="AP375" s="243">
        <f>COUNTIFS(Podcasts!$D$10:$D$2535,"="&amp;AP$373,Podcasts!$E$10:$E$2535,"&gt;=1.1.2012",Podcasts!$E$10:$E$2535,"&lt;01.01.2013")</f>
        <v>0</v>
      </c>
      <c r="AQ375" s="243">
        <f>COUNTIFS(Podcasts!$D$10:$D$2535,"="&amp;AQ$373,Podcasts!$E$10:$E$2535,"&gt;=1.1.2012",Podcasts!$E$10:$E$2535,"&lt;01.01.2013")</f>
        <v>0</v>
      </c>
      <c r="AR375" s="243">
        <f>COUNTIFS(Podcasts!$D$10:$D$2535,"="&amp;AR$373,Podcasts!$E$10:$E$2535,"&gt;=1.1.2012",Podcasts!$E$10:$E$2535,"&lt;01.01.2013")</f>
        <v>0</v>
      </c>
      <c r="AS375" s="243">
        <f>COUNTIFS(Podcasts!$D$10:$D$2535,"="&amp;AS$373,Podcasts!$E$10:$E$2535,"&gt;=1.1.2012",Podcasts!$E$10:$E$2535,"&lt;01.01.2013")</f>
        <v>0</v>
      </c>
      <c r="AT375" s="243">
        <f>COUNTIFS(Podcasts!$D$10:$D$2535,"="&amp;AT$373,Podcasts!$E$10:$E$2535,"&gt;=1.1.2012",Podcasts!$E$10:$E$2535,"&lt;01.01.2013")</f>
        <v>0</v>
      </c>
      <c r="AU375" s="243">
        <f>COUNTIFS(Podcasts!$D$10:$D$2535,"="&amp;AU$373,Podcasts!$E$10:$E$2535,"&gt;=1.1.2012",Podcasts!$E$10:$E$2535,"&lt;01.01.2013")</f>
        <v>0</v>
      </c>
      <c r="AV375" s="243">
        <f>COUNTIFS(Podcasts!$D$10:$D$2535,"="&amp;AV$373,Podcasts!$E$10:$E$2535,"&gt;=1.1.2012",Podcasts!$E$10:$E$2535,"&lt;01.01.2013")</f>
        <v>0</v>
      </c>
      <c r="AW375" s="243">
        <f>COUNTIFS(Podcasts!$D$10:$D$2535,"="&amp;AW$373,Podcasts!$E$10:$E$2535,"&gt;=1.1.2012",Podcasts!$E$10:$E$2535,"&lt;01.01.2013")</f>
        <v>1</v>
      </c>
      <c r="AX375" s="243">
        <f>COUNTIFS(Podcasts!$D$10:$D$2535,"="&amp;AX$373,Podcasts!$E$10:$E$2535,"&gt;=1.1.2012",Podcasts!$E$10:$E$2535,"&lt;01.01.2013")</f>
        <v>0</v>
      </c>
      <c r="AY375" s="243">
        <f>COUNTIFS(Podcasts!$D$10:$D$2535,"="&amp;AY$373,Podcasts!$E$10:$E$2535,"&gt;=1.1.2012",Podcasts!$E$10:$E$2535,"&lt;01.01.2013")</f>
        <v>1</v>
      </c>
      <c r="AZ375" s="243">
        <f>COUNTIFS(Podcasts!$D$10:$D$2535,"="&amp;AZ$373,Podcasts!$E$10:$E$2535,"&gt;=1.1.2012",Podcasts!$E$10:$E$2535,"&lt;01.01.2013")</f>
        <v>0</v>
      </c>
      <c r="BA375" s="243">
        <f>COUNTIFS(Podcasts!$D$10:$D$2535,"="&amp;BA$373,Podcasts!$E$10:$E$2535,"&gt;=1.1.2012",Podcasts!$E$10:$E$2535,"&lt;01.01.2013")</f>
        <v>1</v>
      </c>
      <c r="BB375" s="243">
        <f>COUNTIFS(Podcasts!$D$10:$D$2535,"="&amp;BB$373,Podcasts!$E$10:$E$2535,"&gt;=1.1.2012",Podcasts!$E$10:$E$2535,"&lt;01.01.2013")</f>
        <v>0</v>
      </c>
      <c r="BC375" s="243">
        <f>COUNTIFS(Podcasts!$D$10:$D$2535,"="&amp;BC$373,Podcasts!$E$10:$E$2535,"&gt;=1.1.2012",Podcasts!$E$10:$E$2535,"&lt;01.01.2013")</f>
        <v>0</v>
      </c>
      <c r="BD375" s="243">
        <f>COUNTIFS(Podcasts!$D$10:$D$2535,"="&amp;BD$373,Podcasts!$E$10:$E$2535,"&gt;=1.1.2012",Podcasts!$E$10:$E$2535,"&lt;01.01.2013")</f>
        <v>0</v>
      </c>
      <c r="BE375" s="243">
        <f>COUNTIFS(Podcasts!$D$10:$D$2535,"="&amp;BE$373,Podcasts!$E$10:$E$2535,"&gt;=1.1.2012",Podcasts!$E$10:$E$2535,"&lt;01.01.2013")</f>
        <v>0</v>
      </c>
      <c r="BF375" s="243">
        <f>COUNTIFS(Podcasts!$D$10:$D$2535,"="&amp;BF$373,Podcasts!$E$10:$E$2535,"&gt;=1.1.2012",Podcasts!$E$10:$E$2535,"&lt;01.01.2013")</f>
        <v>0</v>
      </c>
      <c r="BG375" s="243">
        <f>COUNTIFS(Podcasts!$D$10:$D$2535,"="&amp;BG$373,Podcasts!$E$10:$E$2535,"&gt;=1.1.2012",Podcasts!$E$10:$E$2535,"&lt;01.01.2013")</f>
        <v>0</v>
      </c>
      <c r="BH375" s="243">
        <f>COUNTIFS(Podcasts!$D$10:$D$2535,"="&amp;BH$373,Podcasts!$E$10:$E$2535,"&gt;=1.1.2012",Podcasts!$E$10:$E$2535,"&lt;01.01.2013")</f>
        <v>0</v>
      </c>
      <c r="BI375" s="243">
        <f>COUNTIFS(Podcasts!$D$10:$D$2535,"="&amp;BI$373,Podcasts!$E$10:$E$2535,"&gt;=1.1.2012",Podcasts!$E$10:$E$2535,"&lt;01.01.2013")</f>
        <v>0</v>
      </c>
      <c r="BJ375" s="243">
        <f>COUNTIFS(Podcasts!$D$10:$D$2535,"="&amp;BJ$373,Podcasts!$E$10:$E$2535,"&gt;=1.1.2012",Podcasts!$E$10:$E$2535,"&lt;01.01.2013")</f>
        <v>0</v>
      </c>
      <c r="BK375" s="243">
        <f>COUNTIFS(Podcasts!$D$10:$D$2535,"="&amp;BK$373,Podcasts!$E$10:$E$2535,"&gt;=1.1.2012",Podcasts!$E$10:$E$2535,"&lt;01.01.2013")</f>
        <v>0</v>
      </c>
      <c r="BL375" s="243">
        <f>COUNTIFS(Podcasts!$D$10:$D$2535,"="&amp;BL$373,Podcasts!$E$10:$E$2535,"&gt;=1.1.2012",Podcasts!$E$10:$E$2535,"&lt;01.01.2013")</f>
        <v>0</v>
      </c>
      <c r="BM375" s="243">
        <f>COUNTIFS(Podcasts!$D$10:$D$2535,"="&amp;BM$373,Podcasts!$E$10:$E$2535,"&gt;=1.1.2012",Podcasts!$E$10:$E$2535,"&lt;01.01.2013")</f>
        <v>0</v>
      </c>
      <c r="BN375" s="243">
        <f>COUNTIFS(Podcasts!$D$10:$D$2535,"="&amp;BN$373,Podcasts!$E$10:$E$2535,"&gt;=1.1.2012",Podcasts!$E$10:$E$2535,"&lt;01.01.2013")</f>
        <v>0</v>
      </c>
      <c r="BO375" s="243">
        <f>COUNTIFS(Podcasts!$D$10:$D$2535,"="&amp;BO$373,Podcasts!$E$10:$E$2535,"&gt;=1.1.2012",Podcasts!$E$10:$E$2535,"&lt;01.01.2013")</f>
        <v>0</v>
      </c>
      <c r="BP375" s="243">
        <f>COUNTIFS(Podcasts!$D$10:$D$2535,"="&amp;BP$373,Podcasts!$E$10:$E$2535,"&gt;=1.1.2012",Podcasts!$E$10:$E$2535,"&lt;01.01.2013")</f>
        <v>0</v>
      </c>
      <c r="BQ375" s="243">
        <f>COUNTIFS(Podcasts!$D$10:$D$2535,"="&amp;BQ$373,Podcasts!$E$10:$E$2535,"&gt;=1.1.2012",Podcasts!$E$10:$E$2535,"&lt;01.01.2013")</f>
        <v>0</v>
      </c>
      <c r="BR375" s="243">
        <f>COUNTIFS(Podcasts!$D$10:$D$2535,"="&amp;BR$373,Podcasts!$E$10:$E$2535,"&gt;=1.1.2012",Podcasts!$E$10:$E$2535,"&lt;01.01.2013")</f>
        <v>0</v>
      </c>
      <c r="BS375" s="243">
        <f>COUNTIFS(Podcasts!$D$10:$D$2535,"="&amp;BS$373,Podcasts!$E$10:$E$2535,"&gt;=1.1.2012",Podcasts!$E$10:$E$2535,"&lt;01.01.2013")</f>
        <v>0</v>
      </c>
      <c r="BT375" s="243">
        <f>COUNTIFS(Podcasts!$D$10:$D$2535,"="&amp;BT$373,Podcasts!$E$10:$E$2535,"&gt;=1.1.2012",Podcasts!$E$10:$E$2535,"&lt;01.01.2013")</f>
        <v>0</v>
      </c>
      <c r="BU375" s="243">
        <f>COUNTIFS(Podcasts!$D$10:$D$2535,"="&amp;BU$373,Podcasts!$E$10:$E$2535,"&gt;=1.1.2012",Podcasts!$E$10:$E$2535,"&lt;01.01.2013")</f>
        <v>0</v>
      </c>
      <c r="BV375" s="243">
        <f>COUNTIFS(Podcasts!$D$10:$D$2535,"="&amp;BV$373,Podcasts!$E$10:$E$2535,"&gt;=1.1.2012",Podcasts!$E$10:$E$2535,"&lt;01.01.2013")</f>
        <v>0</v>
      </c>
      <c r="BW375" s="243">
        <f>COUNTIFS(Podcasts!$D$10:$D$2535,"="&amp;BW$373,Podcasts!$E$10:$E$2535,"&gt;=1.1.2012",Podcasts!$E$10:$E$2535,"&lt;01.01.2013")</f>
        <v>0</v>
      </c>
      <c r="BX375" s="243">
        <f>COUNTIFS(Podcasts!$D$10:$D$2535,"="&amp;BX$373,Podcasts!$E$10:$E$2535,"&gt;=1.1.2012",Podcasts!$E$10:$E$2535,"&lt;01.01.2013")</f>
        <v>0</v>
      </c>
      <c r="BY375" s="243">
        <f>COUNTIFS(Podcasts!$D$10:$D$2535,"="&amp;BY$373,Podcasts!$E$10:$E$2535,"&gt;=1.1.2012",Podcasts!$E$10:$E$2535,"&lt;01.01.2013")</f>
        <v>0</v>
      </c>
      <c r="BZ375" s="243">
        <f>COUNTIFS(Podcasts!$D$10:$D$2535,"="&amp;BZ$373,Podcasts!$E$10:$E$2535,"&gt;=1.1.2012",Podcasts!$E$10:$E$2535,"&lt;01.01.2013")</f>
        <v>0</v>
      </c>
      <c r="CA375" s="243">
        <f>COUNTIFS(Podcasts!$D$10:$D$2535,"="&amp;CA$373,Podcasts!$E$10:$E$2535,"&gt;=1.1.2012",Podcasts!$E$10:$E$2535,"&lt;01.01.2013")</f>
        <v>0</v>
      </c>
      <c r="CB375" s="243">
        <f>COUNTIFS(Podcasts!$D$10:$D$2535,"="&amp;CB$373,Podcasts!$E$10:$E$2535,"&gt;=1.1.2012",Podcasts!$E$10:$E$2535,"&lt;01.01.2013")</f>
        <v>0</v>
      </c>
      <c r="CC375" s="243">
        <f>COUNTIFS(Podcasts!$D$10:$D$2535,"="&amp;CC$373,Podcasts!$E$10:$E$2535,"&gt;=1.1.2012",Podcasts!$E$10:$E$2535,"&lt;01.01.2013")</f>
        <v>0</v>
      </c>
      <c r="CD375" s="243">
        <f>COUNTIFS(Podcasts!$D$10:$D$2535,"="&amp;CD$373,Podcasts!$E$10:$E$2535,"&gt;=1.1.2012",Podcasts!$E$10:$E$2535,"&lt;01.01.2013")</f>
        <v>0</v>
      </c>
      <c r="CE375" s="243">
        <f>COUNTIFS(Podcasts!$D$10:$D$2535,"="&amp;CE$373,Podcasts!$E$10:$E$2535,"&gt;=1.1.2012",Podcasts!$E$10:$E$2535,"&lt;01.01.2013")</f>
        <v>0</v>
      </c>
      <c r="CF375" s="243">
        <f>COUNTIFS(Podcasts!$D$10:$D$2535,"="&amp;CF$373,Podcasts!$E$10:$E$2535,"&gt;=1.1.2012",Podcasts!$E$10:$E$2535,"&lt;01.01.2013")</f>
        <v>0</v>
      </c>
      <c r="CG375" s="243">
        <f>COUNTIFS(Podcasts!$D$10:$D$2535,"="&amp;CG$373,Podcasts!$E$10:$E$2535,"&gt;=1.1.2012",Podcasts!$E$10:$E$2535,"&lt;01.01.2013")</f>
        <v>0</v>
      </c>
      <c r="CH375" s="243">
        <f>COUNTIFS(Podcasts!$D$10:$D$2535,"="&amp;CH$373,Podcasts!$E$10:$E$2535,"&gt;=1.1.2012",Podcasts!$E$10:$E$2535,"&lt;01.01.2013")</f>
        <v>0</v>
      </c>
      <c r="CI375" s="243">
        <f>COUNTIFS(Podcasts!$D$10:$D$2535,"="&amp;CI$373,Podcasts!$E$10:$E$2535,"&gt;=1.1.2012",Podcasts!$E$10:$E$2535,"&lt;01.01.2013")</f>
        <v>0</v>
      </c>
      <c r="CJ375" s="243">
        <f>COUNTIFS(Podcasts!$D$10:$D$2535,"="&amp;CJ$373,Podcasts!$E$10:$E$2535,"&gt;=1.1.2012",Podcasts!$E$10:$E$2535,"&lt;01.01.2013")</f>
        <v>0</v>
      </c>
      <c r="CK375" s="243">
        <f>COUNTIFS(Podcasts!$D$10:$D$2535,"="&amp;CK$373,Podcasts!$E$10:$E$2535,"&gt;=1.1.2012",Podcasts!$E$10:$E$2535,"&lt;01.01.2013")</f>
        <v>0</v>
      </c>
      <c r="CL375" s="243">
        <f>COUNTIFS(Podcasts!$D$10:$D$2535,"="&amp;CL$373,Podcasts!$E$10:$E$2535,"&gt;=1.1.2012",Podcasts!$E$10:$E$2535,"&lt;01.01.2013")</f>
        <v>0</v>
      </c>
      <c r="CM375" s="243">
        <f>COUNTIFS(Podcasts!$D$10:$D$2535,"="&amp;CM$373,Podcasts!$E$10:$E$2535,"&gt;=1.1.2012",Podcasts!$E$10:$E$2535,"&lt;01.01.2013")</f>
        <v>0</v>
      </c>
      <c r="CN375" s="243">
        <f>COUNTIFS(Podcasts!$D$10:$D$2535,"="&amp;CN$373,Podcasts!$E$10:$E$2535,"&gt;=1.1.2012",Podcasts!$E$10:$E$2535,"&lt;01.01.2013")</f>
        <v>0</v>
      </c>
      <c r="CO375" s="243">
        <f>COUNTIFS(Podcasts!$D$10:$D$2535,"="&amp;CO$373,Podcasts!$E$10:$E$2535,"&gt;=1.1.2012",Podcasts!$E$10:$E$2535,"&lt;01.01.2013")</f>
        <v>0</v>
      </c>
      <c r="CP375" s="243">
        <f>COUNTIFS(Podcasts!$D$10:$D$2535,"="&amp;CP$373,Podcasts!$E$10:$E$2535,"&gt;=1.1.2012",Podcasts!$E$10:$E$2535,"&lt;01.01.2013")</f>
        <v>1</v>
      </c>
      <c r="CQ375" s="243">
        <f>COUNTIFS(Podcasts!$D$10:$D$2535,"="&amp;CQ$373,Podcasts!$E$10:$E$2535,"&gt;=1.1.2012",Podcasts!$E$10:$E$2535,"&lt;01.01.2013")</f>
        <v>0</v>
      </c>
      <c r="CR375" s="243">
        <f>COUNTIFS(Podcasts!$D$10:$D$2535,"="&amp;CR$373,Podcasts!$E$10:$E$2535,"&gt;=1.1.2012",Podcasts!$E$10:$E$2535,"&lt;01.01.2013")</f>
        <v>1</v>
      </c>
      <c r="CS375" s="243">
        <f>COUNTIFS(Podcasts!$D$10:$D$2535,"="&amp;CS$373,Podcasts!$E$10:$E$2535,"&gt;=1.1.2012",Podcasts!$E$10:$E$2535,"&lt;01.01.2013")</f>
        <v>0</v>
      </c>
      <c r="CT375" s="243">
        <f>COUNTIFS(Podcasts!$D$10:$D$2535,"="&amp;CT$373,Podcasts!$E$10:$E$2535,"&gt;=1.1.2012",Podcasts!$E$10:$E$2535,"&lt;01.01.2013")</f>
        <v>0</v>
      </c>
      <c r="CU375" s="243">
        <f>COUNTIFS(Podcasts!$D$10:$D$2535,"="&amp;CU$373,Podcasts!$E$10:$E$2535,"&gt;=1.1.2012",Podcasts!$E$10:$E$2535,"&lt;01.01.2013")</f>
        <v>0</v>
      </c>
      <c r="CV375" s="243">
        <f>COUNTIFS(Podcasts!$D$10:$D$2535,"="&amp;CV$373,Podcasts!$E$10:$E$2535,"&gt;=1.1.2012",Podcasts!$E$10:$E$2535,"&lt;01.01.2013")</f>
        <v>0</v>
      </c>
      <c r="CW375" s="243">
        <f>COUNTIFS(Podcasts!$D$10:$D$2535,"="&amp;CW$373,Podcasts!$E$10:$E$2535,"&gt;=1.1.2012",Podcasts!$E$10:$E$2535,"&lt;01.01.2013")</f>
        <v>0</v>
      </c>
      <c r="CX375" s="243">
        <f>COUNTIFS(Podcasts!$D$10:$D$2535,"="&amp;CX$373,Podcasts!$E$10:$E$2535,"&gt;=1.1.2012",Podcasts!$E$10:$E$2535,"&lt;01.01.2013")</f>
        <v>0</v>
      </c>
      <c r="CY375" s="243">
        <f>COUNTIFS(Podcasts!$D$10:$D$2535,"="&amp;CY$373,Podcasts!$E$10:$E$2535,"&gt;=1.1.2012",Podcasts!$E$10:$E$2535,"&lt;01.01.2013")</f>
        <v>0</v>
      </c>
      <c r="CZ375" s="243">
        <f>COUNTIFS(Podcasts!$D$10:$D$2535,"="&amp;CZ$373,Podcasts!$E$10:$E$2535,"&gt;=1.1.2012",Podcasts!$E$10:$E$2535,"&lt;01.01.2013")</f>
        <v>0</v>
      </c>
      <c r="DA375" s="243">
        <f>COUNTIFS(Podcasts!$D$10:$D$2535,"="&amp;DA$373,Podcasts!$E$10:$E$2535,"&gt;=1.1.2012",Podcasts!$E$10:$E$2535,"&lt;01.01.2013")</f>
        <v>0</v>
      </c>
      <c r="DB375" s="243">
        <f>COUNTIFS(Podcasts!$D$10:$D$2535,"="&amp;DB$373,Podcasts!$E$10:$E$2535,"&gt;=1.1.2012",Podcasts!$E$10:$E$2535,"&lt;01.01.2013")</f>
        <v>0</v>
      </c>
      <c r="DC375" s="243">
        <f>COUNTIFS(Podcasts!$D$10:$D$2535,"="&amp;DC$373,Podcasts!$E$10:$E$2535,"&gt;=1.1.2012",Podcasts!$E$10:$E$2535,"&lt;01.01.2013")</f>
        <v>0</v>
      </c>
      <c r="DD375" s="243">
        <f>COUNTIFS(Podcasts!$D$10:$D$2535,"="&amp;DD$373,Podcasts!$E$10:$E$2535,"&gt;=1.1.2012",Podcasts!$E$10:$E$2535,"&lt;01.01.2013")</f>
        <v>0</v>
      </c>
      <c r="DE375" s="243">
        <f>COUNTIFS(Podcasts!$D$10:$D$2535,"="&amp;DE$373,Podcasts!$E$10:$E$2535,"&gt;=1.1.2012",Podcasts!$E$10:$E$2535,"&lt;01.01.2013")</f>
        <v>0</v>
      </c>
      <c r="DF375" s="243">
        <f>COUNTIFS(Podcasts!$D$10:$D$2535,"="&amp;DF$373,Podcasts!$E$10:$E$2535,"&gt;=1.1.2012",Podcasts!$E$10:$E$2535,"&lt;01.01.2013")</f>
        <v>0</v>
      </c>
      <c r="DG375" s="243">
        <f>COUNTIFS(Podcasts!$D$10:$D$2535,"="&amp;DG$373,Podcasts!$E$10:$E$2535,"&gt;=1.1.2012",Podcasts!$E$10:$E$2535,"&lt;01.01.2013")</f>
        <v>0</v>
      </c>
      <c r="DH375" s="243">
        <f>COUNTIFS(Podcasts!$D$10:$D$2535,"="&amp;DH$373,Podcasts!$E$10:$E$2535,"&gt;=1.1.2012",Podcasts!$E$10:$E$2535,"&lt;01.01.2013")</f>
        <v>0</v>
      </c>
      <c r="DI375" s="243">
        <f>COUNTIFS(Podcasts!$D$10:$D$2535,"="&amp;DI$373,Podcasts!$E$10:$E$2535,"&gt;=1.1.2012",Podcasts!$E$10:$E$2535,"&lt;01.01.2013")</f>
        <v>0</v>
      </c>
      <c r="DJ375" s="243">
        <f>COUNTIFS(Podcasts!$D$10:$D$2535,"="&amp;DJ$373,Podcasts!$E$10:$E$2535,"&gt;=1.1.2012",Podcasts!$E$10:$E$2535,"&lt;01.01.2013")</f>
        <v>0</v>
      </c>
      <c r="DK375" s="243">
        <f>COUNTIFS(Podcasts!$D$10:$D$2535,"="&amp;DK$373,Podcasts!$E$10:$E$2535,"&gt;=1.1.2012",Podcasts!$E$10:$E$2535,"&lt;01.01.2013")</f>
        <v>1</v>
      </c>
      <c r="DL375" s="243">
        <f>COUNTIFS(Podcasts!$D$10:$D$2535,"="&amp;DL$373,Podcasts!$E$10:$E$2535,"&gt;=1.1.2012",Podcasts!$E$10:$E$2535,"&lt;01.01.2013")</f>
        <v>0</v>
      </c>
      <c r="DM375" s="243">
        <f>COUNTIFS(Podcasts!$D$10:$D$2535,"="&amp;DM$373,Podcasts!$E$10:$E$2535,"&gt;=1.1.2012",Podcasts!$E$10:$E$2535,"&lt;01.01.2013")</f>
        <v>0</v>
      </c>
      <c r="DN375" s="243">
        <f>COUNTIFS(Podcasts!$D$10:$D$2535,"="&amp;DN$373,Podcasts!$E$10:$E$2535,"&gt;=1.1.2012",Podcasts!$E$10:$E$2535,"&lt;01.01.2013")</f>
        <v>0</v>
      </c>
      <c r="DO375" s="243">
        <f>COUNTIFS(Podcasts!$D$10:$D$2535,"="&amp;DO$373,Podcasts!$E$10:$E$2535,"&gt;=1.1.2012",Podcasts!$E$10:$E$2535,"&lt;01.01.2013")</f>
        <v>0</v>
      </c>
      <c r="DP375" s="243">
        <f>COUNTIFS(Podcasts!$D$10:$D$2535,"="&amp;DP$373,Podcasts!$E$10:$E$2535,"&gt;=1.1.2012",Podcasts!$E$10:$E$2535,"&lt;01.01.2013")</f>
        <v>1</v>
      </c>
      <c r="DQ375" s="243">
        <f>COUNTIFS(Podcasts!$D$10:$D$2535,"="&amp;DQ$373,Podcasts!$E$10:$E$2535,"&gt;=1.1.2012",Podcasts!$E$10:$E$2535,"&lt;01.01.2013")</f>
        <v>0</v>
      </c>
      <c r="DR375" s="243">
        <f>COUNTIFS(Podcasts!$D$10:$D$2535,"="&amp;DR$373,Podcasts!$E$10:$E$2535,"&gt;=1.1.2012",Podcasts!$E$10:$E$2535,"&lt;01.01.2013")</f>
        <v>0</v>
      </c>
      <c r="DS375" s="243">
        <f>COUNTIFS(Podcasts!$D$10:$D$2535,"="&amp;DS$373,Podcasts!$E$10:$E$2535,"&gt;=1.1.2012",Podcasts!$E$10:$E$2535,"&lt;01.01.2013")</f>
        <v>0</v>
      </c>
      <c r="DT375" s="243">
        <f>COUNTIFS(Podcasts!$D$10:$D$2535,"="&amp;DT$373,Podcasts!$E$10:$E$2535,"&gt;=1.1.2012",Podcasts!$E$10:$E$2535,"&lt;01.01.2013")</f>
        <v>0</v>
      </c>
      <c r="DU375" s="243">
        <f>COUNTIFS(Podcasts!$D$10:$D$2535,"="&amp;DU$373,Podcasts!$E$10:$E$2535,"&gt;=1.1.2012",Podcasts!$E$10:$E$2535,"&lt;01.01.2013")</f>
        <v>0</v>
      </c>
      <c r="DV375" s="243">
        <f>COUNTIFS(Podcasts!$D$10:$D$2535,"="&amp;DV$373,Podcasts!$E$10:$E$2535,"&gt;=1.1.2012",Podcasts!$E$10:$E$2535,"&lt;01.01.2013")</f>
        <v>0</v>
      </c>
      <c r="DW375" s="243">
        <f>COUNTIFS(Podcasts!$D$10:$D$2535,"="&amp;DW$373,Podcasts!$E$10:$E$2535,"&gt;=1.1.2012",Podcasts!$E$10:$E$2535,"&lt;01.01.2013")</f>
        <v>0</v>
      </c>
      <c r="DX375" s="243">
        <f>COUNTIFS(Podcasts!$D$10:$D$2535,"="&amp;DX$373,Podcasts!$E$10:$E$2535,"&gt;=1.1.2012",Podcasts!$E$10:$E$2535,"&lt;01.01.2013")</f>
        <v>0</v>
      </c>
      <c r="DY375" s="243">
        <f>COUNTIFS(Podcasts!$D$10:$D$2535,"="&amp;DY$373,Podcasts!$E$10:$E$2535,"&gt;=1.1.2012",Podcasts!$E$10:$E$2535,"&lt;01.01.2013")</f>
        <v>0</v>
      </c>
      <c r="DZ375" s="243">
        <f>COUNTIFS(Podcasts!$D$10:$D$2535,"="&amp;DZ$373,Podcasts!$E$10:$E$2535,"&gt;=1.1.2012",Podcasts!$E$10:$E$2535,"&lt;01.01.2013")</f>
        <v>0</v>
      </c>
      <c r="EA375" s="243">
        <f>COUNTIFS(Podcasts!$D$10:$D$2535,"="&amp;EA$373,Podcasts!$E$10:$E$2535,"&gt;=1.1.2012",Podcasts!$E$10:$E$2535,"&lt;01.01.2013")</f>
        <v>0</v>
      </c>
      <c r="EB375" s="243">
        <f>COUNTIFS(Podcasts!$D$10:$D$2535,"="&amp;EB$373,Podcasts!$E$10:$E$2535,"&gt;=1.1.2012",Podcasts!$E$10:$E$2535,"&lt;01.01.2013")</f>
        <v>0</v>
      </c>
      <c r="EC375" s="243">
        <f>COUNTIFS(Podcasts!$D$10:$D$2535,"="&amp;EC$373,Podcasts!$E$10:$E$2535,"&gt;=1.1.2012",Podcasts!$E$10:$E$2535,"&lt;01.01.2013")</f>
        <v>0</v>
      </c>
      <c r="ED375" s="243">
        <f>COUNTIFS(Podcasts!$D$10:$D$2535,"="&amp;ED$373,Podcasts!$E$10:$E$2535,"&gt;=1.1.2012",Podcasts!$E$10:$E$2535,"&lt;01.01.2013")</f>
        <v>0</v>
      </c>
      <c r="EE375" s="243">
        <f>COUNTIFS(Podcasts!$D$10:$D$2535,"="&amp;EE$373,Podcasts!$E$10:$E$2535,"&gt;=1.1.2012",Podcasts!$E$10:$E$2535,"&lt;01.01.2013")</f>
        <v>0</v>
      </c>
      <c r="EF375" s="243">
        <f>COUNTIFS(Podcasts!$D$10:$D$2535,"="&amp;EF$373,Podcasts!$E$10:$E$2535,"&gt;=1.1.2012",Podcasts!$E$10:$E$2535,"&lt;01.01.2013")</f>
        <v>0</v>
      </c>
      <c r="EG375" s="243">
        <f>COUNTIFS(Podcasts!$D$10:$D$2535,"="&amp;EG$373,Podcasts!$E$10:$E$2535,"&gt;=1.1.2012",Podcasts!$E$10:$E$2535,"&lt;01.01.2013")</f>
        <v>0</v>
      </c>
      <c r="EH375" s="243">
        <f>COUNTIFS(Podcasts!$D$10:$D$2535,"="&amp;EH$373,Podcasts!$E$10:$E$2535,"&gt;=1.1.2012",Podcasts!$E$10:$E$2535,"&lt;01.01.2013")</f>
        <v>0</v>
      </c>
      <c r="EI375" s="243">
        <f>COUNTIFS(Podcasts!$D$10:$D$2535,"="&amp;EI$373,Podcasts!$E$10:$E$2535,"&gt;=1.1.2012",Podcasts!$E$10:$E$2535,"&lt;01.01.2013")</f>
        <v>0</v>
      </c>
      <c r="EJ375" s="243">
        <f>COUNTIFS(Podcasts!$D$10:$D$2535,"="&amp;EJ$373,Podcasts!$E$10:$E$2535,"&gt;=1.1.2012",Podcasts!$E$10:$E$2535,"&lt;01.01.2013")</f>
        <v>0</v>
      </c>
      <c r="EK375" s="243">
        <f>COUNTIFS(Podcasts!$D$10:$D$2535,"="&amp;EK$373,Podcasts!$E$10:$E$2535,"&gt;=1.1.2012",Podcasts!$E$10:$E$2535,"&lt;01.01.2013")</f>
        <v>0</v>
      </c>
      <c r="EL375" s="243">
        <f>COUNTIFS(Podcasts!$D$10:$D$2535,"="&amp;EL$373,Podcasts!$E$10:$E$2535,"&gt;=1.1.2012",Podcasts!$E$10:$E$2535,"&lt;01.01.2013")</f>
        <v>0</v>
      </c>
      <c r="EM375" s="243">
        <f>COUNTIFS(Podcasts!$D$10:$D$2535,"="&amp;EM$373,Podcasts!$E$10:$E$2535,"&gt;=1.1.2012",Podcasts!$E$10:$E$2535,"&lt;01.01.2013")</f>
        <v>0</v>
      </c>
      <c r="EN375" s="243">
        <f>COUNTIFS(Podcasts!$D$10:$D$2535,"="&amp;EN$373,Podcasts!$E$10:$E$2535,"&gt;=1.1.2012",Podcasts!$E$10:$E$2535,"&lt;01.01.2013")</f>
        <v>0</v>
      </c>
      <c r="EO375" s="243">
        <f>COUNTIFS(Podcasts!$D$10:$D$2535,"="&amp;EO$373,Podcasts!$E$10:$E$2535,"&gt;=1.1.2012",Podcasts!$E$10:$E$2535,"&lt;01.01.2013")</f>
        <v>0</v>
      </c>
      <c r="EP375" s="243">
        <f>COUNTIFS(Podcasts!$D$10:$D$2535,"="&amp;EP$373,Podcasts!$E$10:$E$2535,"&gt;=1.1.2012",Podcasts!$E$10:$E$2535,"&lt;01.01.2013")</f>
        <v>0</v>
      </c>
      <c r="EQ375" s="243">
        <f>COUNTIFS(Podcasts!$D$10:$D$2535,"="&amp;EQ$373,Podcasts!$E$10:$E$2535,"&gt;=1.1.2012",Podcasts!$E$10:$E$2535,"&lt;01.01.2013")</f>
        <v>0</v>
      </c>
      <c r="ER375" s="243">
        <f>COUNTIFS(Podcasts!$D$10:$D$2535,"="&amp;ER$373,Podcasts!$E$10:$E$2535,"&gt;=1.1.2012",Podcasts!$E$10:$E$2535,"&lt;01.01.2013")</f>
        <v>0</v>
      </c>
      <c r="ES375" s="243">
        <f>COUNTIFS(Podcasts!$D$10:$D$2535,"="&amp;ES$373,Podcasts!$E$10:$E$2535,"&gt;=1.1.2012",Podcasts!$E$10:$E$2535,"&lt;01.01.2013")</f>
        <v>0</v>
      </c>
      <c r="ET375" s="243">
        <f>COUNTIFS(Podcasts!$D$10:$D$2535,"="&amp;ET$373,Podcasts!$E$10:$E$2535,"&gt;=1.1.2012",Podcasts!$E$10:$E$2535,"&lt;01.01.2013")</f>
        <v>0</v>
      </c>
      <c r="EU375" s="243">
        <f>COUNTIFS(Podcasts!$D$10:$D$2535,"="&amp;EU$373,Podcasts!$E$10:$E$2535,"&gt;=1.1.2012",Podcasts!$E$10:$E$2535,"&lt;01.01.2013")</f>
        <v>0</v>
      </c>
      <c r="EV375" s="243">
        <f>COUNTIFS(Podcasts!$D$10:$D$2535,"="&amp;EV$373,Podcasts!$E$10:$E$2535,"&gt;=1.1.2012",Podcasts!$E$10:$E$2535,"&lt;01.01.2013")</f>
        <v>0</v>
      </c>
      <c r="EW375" s="243">
        <f>COUNTIFS(Podcasts!$D$10:$D$2535,"="&amp;EW$373,Podcasts!$E$10:$E$2535,"&gt;=1.1.2012",Podcasts!$E$10:$E$2535,"&lt;01.01.2013")</f>
        <v>0</v>
      </c>
      <c r="EX375" s="243">
        <f>COUNTIFS(Podcasts!$D$10:$D$2535,"="&amp;EX$373,Podcasts!$E$10:$E$2535,"&gt;=1.1.2012",Podcasts!$E$10:$E$2535,"&lt;01.01.2013")</f>
        <v>0</v>
      </c>
      <c r="EY375" s="243">
        <f>COUNTIFS(Podcasts!$D$10:$D$2535,"="&amp;EY$373,Podcasts!$E$10:$E$2535,"&gt;=1.1.2012",Podcasts!$E$10:$E$2535,"&lt;01.01.2013")</f>
        <v>2</v>
      </c>
      <c r="EZ375" s="243">
        <f>COUNTIFS(Podcasts!$D$10:$D$2535,"="&amp;EZ$373,Podcasts!$E$10:$E$2535,"&gt;=1.1.2012",Podcasts!$E$10:$E$2535,"&lt;01.01.2013")</f>
        <v>2</v>
      </c>
      <c r="FA375" s="243">
        <f>COUNTIFS(Podcasts!$D$10:$D$2535,"="&amp;FA$373,Podcasts!$E$10:$E$2535,"&gt;=1.1.2012",Podcasts!$E$10:$E$2535,"&lt;01.01.2013")</f>
        <v>2</v>
      </c>
      <c r="FB375" s="243">
        <f>COUNTIFS(Podcasts!$D$10:$D$2535,"="&amp;FB$373,Podcasts!$E$10:$E$2535,"&gt;=1.1.2012",Podcasts!$E$10:$E$2535,"&lt;01.01.2013")</f>
        <v>3</v>
      </c>
      <c r="FC375" s="243">
        <f>COUNTIFS(Podcasts!$D$10:$D$2535,"="&amp;FC$373,Podcasts!$E$10:$E$2535,"&gt;=1.1.2012",Podcasts!$E$10:$E$2535,"&lt;01.01.2013")</f>
        <v>3</v>
      </c>
      <c r="FD375" s="243">
        <f>COUNTIFS(Podcasts!$D$10:$D$2535,"="&amp;FD$373,Podcasts!$E$10:$E$2535,"&gt;=1.1.2012",Podcasts!$E$10:$E$2535,"&lt;01.01.2013")</f>
        <v>2</v>
      </c>
      <c r="FE375" s="243">
        <f>COUNTIFS(Podcasts!$D$10:$D$2535,"="&amp;FE$373,Podcasts!$E$10:$E$2535,"&gt;=1.1.2012",Podcasts!$E$10:$E$2535,"&lt;01.01.2013")</f>
        <v>2</v>
      </c>
      <c r="FF375" s="243">
        <f>COUNTIFS(Podcasts!$D$10:$D$2535,"="&amp;FF$373,Podcasts!$E$10:$E$2535,"&gt;=1.1.2012",Podcasts!$E$10:$E$2535,"&lt;01.01.2013")</f>
        <v>1</v>
      </c>
      <c r="FG375" s="243">
        <f>COUNTIFS(Podcasts!$D$10:$D$2535,"="&amp;FG$373,Podcasts!$E$10:$E$2535,"&gt;=1.1.2012",Podcasts!$E$10:$E$2535,"&lt;01.01.2013")</f>
        <v>0</v>
      </c>
      <c r="FH375" s="243">
        <f>COUNTIFS(Podcasts!$D$10:$D$2535,"="&amp;FH$373,Podcasts!$E$10:$E$2535,"&gt;=1.1.2012",Podcasts!$E$10:$E$2535,"&lt;01.01.2013")</f>
        <v>0</v>
      </c>
      <c r="FI375" s="243">
        <f>COUNTIFS(Podcasts!$D$10:$D$2535,"="&amp;FI$373,Podcasts!$E$10:$E$2535,"&gt;=1.1.2012",Podcasts!$E$10:$E$2535,"&lt;01.01.2013")</f>
        <v>0</v>
      </c>
      <c r="FJ375" s="243">
        <f>COUNTIFS(Podcasts!$D$10:$D$2535,"="&amp;FJ$373,Podcasts!$E$10:$E$2535,"&gt;=1.1.2012",Podcasts!$E$10:$E$2535,"&lt;01.01.2013")</f>
        <v>0</v>
      </c>
      <c r="FK375" s="243">
        <f>COUNTIFS(Podcasts!$D$10:$D$2535,"="&amp;FK$373,Podcasts!$E$10:$E$2535,"&gt;=1.1.2012",Podcasts!$E$10:$E$2535,"&lt;01.01.2013")</f>
        <v>0</v>
      </c>
      <c r="FL375" s="243">
        <f>COUNTIFS(Podcasts!$D$10:$D$2535,"="&amp;FL$373,Podcasts!$E$10:$E$2535,"&gt;=1.1.2012",Podcasts!$E$10:$E$2535,"&lt;01.01.2013")</f>
        <v>0</v>
      </c>
      <c r="FM375" s="243">
        <f>COUNTIFS(Podcasts!$D$10:$D$2535,"="&amp;FM$373,Podcasts!$E$10:$E$2535,"&gt;=1.1.2012",Podcasts!$E$10:$E$2535,"&lt;01.01.2013")</f>
        <v>0</v>
      </c>
      <c r="FN375" s="243">
        <f>COUNTIFS(Podcasts!$D$10:$D$2535,"="&amp;FN$373,Podcasts!$E$10:$E$2535,"&gt;=1.1.2012",Podcasts!$E$10:$E$2535,"&lt;01.01.2013")</f>
        <v>0</v>
      </c>
      <c r="FO375" s="243">
        <f>COUNTIFS(Podcasts!$D$10:$D$2535,"="&amp;FO$373,Podcasts!$E$10:$E$2535,"&gt;=1.1.2012",Podcasts!$E$10:$E$2535,"&lt;01.01.2013")</f>
        <v>0</v>
      </c>
      <c r="FP375" s="243">
        <f>COUNTIFS(Podcasts!$D$10:$D$2535,"="&amp;FP$373,Podcasts!$E$10:$E$2535,"&gt;=1.1.2012",Podcasts!$E$10:$E$2535,"&lt;01.01.2013")</f>
        <v>0</v>
      </c>
      <c r="FQ375" s="243">
        <f>COUNTIFS(Podcasts!$D$10:$D$2535,"="&amp;FQ$373,Podcasts!$E$10:$E$2535,"&gt;=1.1.2012",Podcasts!$E$10:$E$2535,"&lt;01.01.2013")</f>
        <v>0</v>
      </c>
      <c r="FR375" s="243">
        <f>COUNTIFS(Podcasts!$D$10:$D$2535,"="&amp;FR$373,Podcasts!$E$10:$E$2535,"&gt;=1.1.2012",Podcasts!$E$10:$E$2535,"&lt;01.01.2013")</f>
        <v>0</v>
      </c>
      <c r="FS375" s="243">
        <f>COUNTIFS(Podcasts!$D$10:$D$2535,"="&amp;FS$373,Podcasts!$E$10:$E$2535,"&gt;=1.1.2012",Podcasts!$E$10:$E$2535,"&lt;01.01.2013")</f>
        <v>0</v>
      </c>
      <c r="FT375" s="243">
        <f>COUNTIFS(Podcasts!$D$10:$D$2535,"="&amp;FT$373,Podcasts!$E$10:$E$2535,"&gt;=1.1.2012",Podcasts!$E$10:$E$2535,"&lt;01.01.2013")</f>
        <v>0</v>
      </c>
      <c r="FU375" s="243">
        <f>COUNTIFS(Podcasts!$D$10:$D$2535,"="&amp;FU$373,Podcasts!$E$10:$E$2535,"&gt;=1.1.2012",Podcasts!$E$10:$E$2535,"&lt;01.01.2013")</f>
        <v>0</v>
      </c>
      <c r="FV375" s="243">
        <f>COUNTIFS(Podcasts!$D$10:$D$2535,"="&amp;FV$373,Podcasts!$E$10:$E$2535,"&gt;=1.1.2012",Podcasts!$E$10:$E$2535,"&lt;01.01.2013")</f>
        <v>0</v>
      </c>
      <c r="FW375" s="243">
        <f>COUNTIFS(Podcasts!$D$10:$D$2535,"="&amp;FW$373,Podcasts!$E$10:$E$2535,"&gt;=1.1.2012",Podcasts!$E$10:$E$2535,"&lt;01.01.2013")</f>
        <v>0</v>
      </c>
      <c r="FX375" s="243">
        <f>COUNTIFS(Podcasts!$D$10:$D$2535,"="&amp;FX$373,Podcasts!$E$10:$E$2535,"&gt;=1.1.2012",Podcasts!$E$10:$E$2535,"&lt;01.01.2013")</f>
        <v>0</v>
      </c>
      <c r="FY375" s="243">
        <f>COUNTIFS(Podcasts!$D$10:$D$2535,"="&amp;FY$373,Podcasts!$E$10:$E$2535,"&gt;=1.1.2012",Podcasts!$E$10:$E$2535,"&lt;01.01.2013")</f>
        <v>0</v>
      </c>
      <c r="FZ375" s="243">
        <f>COUNTIFS(Podcasts!$D$10:$D$2535,"="&amp;FZ$373,Podcasts!$E$10:$E$2535,"&gt;=1.1.2012",Podcasts!$E$10:$E$2535,"&lt;01.01.2013")</f>
        <v>0</v>
      </c>
      <c r="GA375" s="243">
        <f>COUNTIFS(Podcasts!$D$10:$D$2535,"="&amp;GA$373,Podcasts!$E$10:$E$2535,"&gt;=1.1.2012",Podcasts!$E$10:$E$2535,"&lt;01.01.2013")</f>
        <v>0</v>
      </c>
      <c r="GB375" s="243">
        <f>COUNTIFS(Podcasts!$D$10:$D$2535,"="&amp;GB$373,Podcasts!$E$10:$E$2535,"&gt;=1.1.2012",Podcasts!$E$10:$E$2535,"&lt;01.01.2013")</f>
        <v>0</v>
      </c>
      <c r="GC375" s="243">
        <f>COUNTIFS(Podcasts!$D$10:$D$2535,"="&amp;GC$373,Podcasts!$E$10:$E$2535,"&gt;=1.1.2012",Podcasts!$E$10:$E$2535,"&lt;01.01.2013")</f>
        <v>0</v>
      </c>
      <c r="GD375" s="243">
        <f>COUNTIFS(Podcasts!$D$10:$D$2535,"="&amp;GD$373,Podcasts!$E$10:$E$2535,"&gt;=1.1.2012",Podcasts!$E$10:$E$2535,"&lt;01.01.2013")</f>
        <v>0</v>
      </c>
      <c r="GE375" s="243">
        <f>COUNTIFS(Podcasts!$D$10:$D$2535,"="&amp;GE$373,Podcasts!$E$10:$E$2535,"&gt;=1.1.2012",Podcasts!$E$10:$E$2535,"&lt;01.01.2013")</f>
        <v>0</v>
      </c>
      <c r="GF375" s="243">
        <f>COUNTIFS(Podcasts!$D$10:$D$2535,"="&amp;GF$373,Podcasts!$E$10:$E$2535,"&gt;=1.1.2012",Podcasts!$E$10:$E$2535,"&lt;01.01.2013")</f>
        <v>0</v>
      </c>
      <c r="GG375" s="243">
        <f>COUNTIFS(Podcasts!$D$10:$D$2535,"="&amp;GG$373,Podcasts!$E$10:$E$2535,"&gt;=1.1.2012",Podcasts!$E$10:$E$2535,"&lt;01.01.2013")</f>
        <v>0</v>
      </c>
      <c r="GH375" s="243">
        <f>COUNTIFS(Podcasts!$D$10:$D$2535,"="&amp;GH$373,Podcasts!$E$10:$E$2535,"&gt;=1.1.2012",Podcasts!$E$10:$E$2535,"&lt;01.01.2013")</f>
        <v>0</v>
      </c>
      <c r="GI375" s="243">
        <f>COUNTIFS(Podcasts!$D$10:$D$2535,"="&amp;GI$373,Podcasts!$E$10:$E$2535,"&gt;=1.1.2012",Podcasts!$E$10:$E$2535,"&lt;01.01.2013")</f>
        <v>0</v>
      </c>
      <c r="GJ375" s="243">
        <f>COUNTIFS(Podcasts!$D$10:$D$2535,"="&amp;GJ$373,Podcasts!$E$10:$E$2535,"&gt;=1.1.2012",Podcasts!$E$10:$E$2535,"&lt;01.01.2013")</f>
        <v>0</v>
      </c>
      <c r="GK375" s="243">
        <f>COUNTIFS(Podcasts!$D$10:$D$2535,"="&amp;GK$373,Podcasts!$E$10:$E$2535,"&gt;=1.1.2012",Podcasts!$E$10:$E$2535,"&lt;01.01.2013")</f>
        <v>0</v>
      </c>
      <c r="GL375" s="243">
        <f>COUNTIFS(Podcasts!$D$10:$D$2535,"="&amp;GL$373,Podcasts!$E$10:$E$2535,"&gt;=1.1.2012",Podcasts!$E$10:$E$2535,"&lt;01.01.2013")</f>
        <v>0</v>
      </c>
      <c r="GM375" s="243">
        <f>COUNTIFS(Podcasts!$D$10:$D$2535,"="&amp;GM$373,Podcasts!$E$10:$E$2535,"&gt;=1.1.2012",Podcasts!$E$10:$E$2535,"&lt;01.01.2013")</f>
        <v>0</v>
      </c>
      <c r="GN375" s="243">
        <f>COUNTIFS(Podcasts!$D$10:$D$2535,"="&amp;GN$373,Podcasts!$E$10:$E$2535,"&gt;=1.1.2012",Podcasts!$E$10:$E$2535,"&lt;01.01.2013")</f>
        <v>0</v>
      </c>
      <c r="GO375" s="243">
        <f>COUNTIFS(Podcasts!$D$10:$D$2535,"="&amp;GO$373,Podcasts!$E$10:$E$2535,"&gt;=1.1.2012",Podcasts!$E$10:$E$2535,"&lt;01.01.2013")</f>
        <v>0</v>
      </c>
      <c r="GP375" s="243">
        <f>COUNTIFS(Podcasts!$D$10:$D$2535,"="&amp;GP$373,Podcasts!$E$10:$E$2535,"&gt;=1.1.2012",Podcasts!$E$10:$E$2535,"&lt;01.01.2013")</f>
        <v>0</v>
      </c>
      <c r="GQ375" s="243">
        <f>COUNTIFS(Podcasts!$D$10:$D$2535,"="&amp;GQ$373,Podcasts!$E$10:$E$2535,"&gt;=1.1.2012",Podcasts!$E$10:$E$2535,"&lt;01.01.2013")</f>
        <v>0</v>
      </c>
      <c r="GR375" s="243">
        <f>COUNTIFS(Podcasts!$D$10:$D$2535,"="&amp;GR$373,Podcasts!$E$10:$E$2535,"&gt;=1.1.2012",Podcasts!$E$10:$E$2535,"&lt;01.01.2013")</f>
        <v>0</v>
      </c>
      <c r="GS375" s="243">
        <f>COUNTIFS(Podcasts!$D$10:$D$2535,"="&amp;GS$373,Podcasts!$E$10:$E$2535,"&gt;=1.1.2012",Podcasts!$E$10:$E$2535,"&lt;01.01.2013")</f>
        <v>0</v>
      </c>
      <c r="GT375" s="243">
        <f>COUNTIFS(Podcasts!$D$10:$D$2535,"="&amp;GT$373,Podcasts!$E$10:$E$2535,"&gt;=1.1.2012",Podcasts!$E$10:$E$2535,"&lt;01.01.2013")</f>
        <v>0</v>
      </c>
      <c r="GU375" s="243">
        <f>COUNTIFS(Podcasts!$D$10:$D$2535,"="&amp;GU$373,Podcasts!$E$10:$E$2535,"&gt;=1.1.2012",Podcasts!$E$10:$E$2535,"&lt;01.01.2013")</f>
        <v>0</v>
      </c>
      <c r="GV375" s="243">
        <f>COUNTIFS(Podcasts!$D$10:$D$2535,"="&amp;GV$373,Podcasts!$E$10:$E$2535,"&gt;=1.1.2012",Podcasts!$E$10:$E$2535,"&lt;01.01.2013")</f>
        <v>0</v>
      </c>
      <c r="GW375" s="243">
        <f>COUNTIFS(Podcasts!$D$10:$D$2535,"="&amp;GW$373,Podcasts!$E$10:$E$2535,"&gt;=1.1.2012",Podcasts!$E$10:$E$2535,"&lt;01.01.2013")</f>
        <v>0</v>
      </c>
      <c r="GX375" s="243">
        <f>COUNTIFS(Podcasts!$D$10:$D$2535,"="&amp;GX$373,Podcasts!$E$10:$E$2535,"&gt;=1.1.2012",Podcasts!$E$10:$E$2535,"&lt;01.01.2013")</f>
        <v>0</v>
      </c>
      <c r="GY375" s="243">
        <f>COUNTIFS(Podcasts!$D$10:$D$2535,"="&amp;GY$373,Podcasts!$E$10:$E$2535,"&gt;=1.1.2012",Podcasts!$E$10:$E$2535,"&lt;01.01.2013")</f>
        <v>0</v>
      </c>
      <c r="GZ375" s="243">
        <f>COUNTIFS(Podcasts!$D$10:$D$2535,"="&amp;GZ$373,Podcasts!$E$10:$E$2535,"&gt;=1.1.2012",Podcasts!$E$10:$E$2535,"&lt;01.01.2013")</f>
        <v>0</v>
      </c>
      <c r="HA375" s="243">
        <f>COUNTIFS(Podcasts!$D$10:$D$2535,"="&amp;HA$373,Podcasts!$E$10:$E$2535,"&gt;=1.1.2012",Podcasts!$E$10:$E$2535,"&lt;01.01.2013")</f>
        <v>0</v>
      </c>
      <c r="HB375" s="243">
        <f>COUNTIFS(Podcasts!$D$10:$D$2535,"="&amp;HB$373,Podcasts!$E$10:$E$2535,"&gt;=1.1.2012",Podcasts!$E$10:$E$2535,"&lt;01.01.2013")</f>
        <v>0</v>
      </c>
      <c r="HC375" s="243">
        <f>COUNTIFS(Podcasts!$D$10:$D$2535,"="&amp;HC$373,Podcasts!$E$10:$E$2535,"&gt;=1.1.2012",Podcasts!$E$10:$E$2535,"&lt;01.01.2013")</f>
        <v>0</v>
      </c>
      <c r="HD375" s="243">
        <f>COUNTIFS(Podcasts!$D$10:$D$2535,"="&amp;HD$373,Podcasts!$E$10:$E$2535,"&gt;=1.1.2012",Podcasts!$E$10:$E$2535,"&lt;01.01.2013")</f>
        <v>0</v>
      </c>
      <c r="HE375" s="243">
        <f>COUNTIFS(Podcasts!$D$10:$D$2535,"="&amp;HE$373,Podcasts!$E$10:$E$2535,"&gt;=1.1.2012",Podcasts!$E$10:$E$2535,"&lt;01.01.2013")</f>
        <v>0</v>
      </c>
      <c r="HF375" s="243">
        <f>COUNTIFS(Podcasts!$D$10:$D$2535,"="&amp;HF$373,Podcasts!$E$10:$E$2535,"&gt;=1.1.2012",Podcasts!$E$10:$E$2535,"&lt;01.01.2013")</f>
        <v>0</v>
      </c>
      <c r="HG375" s="243">
        <f>COUNTIFS(Podcasts!$D$10:$D$2535,"="&amp;HG$373,Podcasts!$E$10:$E$2535,"&gt;=1.1.2012",Podcasts!$E$10:$E$2535,"&lt;01.01.2013")</f>
        <v>0</v>
      </c>
      <c r="HH375" s="243">
        <f>COUNTIFS(Podcasts!$D$10:$D$2535,"="&amp;HH$373,Podcasts!$E$10:$E$2535,"&gt;=1.1.2012",Podcasts!$E$10:$E$2535,"&lt;01.01.2013")</f>
        <v>0</v>
      </c>
      <c r="HI375" s="243">
        <f>COUNTIFS(Podcasts!$D$10:$D$2535,"="&amp;HI$373,Podcasts!$E$10:$E$2535,"&gt;=1.1.2012",Podcasts!$E$10:$E$2535,"&lt;01.01.2013")</f>
        <v>0</v>
      </c>
      <c r="HJ375" s="243">
        <f>COUNTIFS(Podcasts!$D$10:$D$2535,"="&amp;HJ$373,Podcasts!$E$10:$E$2535,"&gt;=1.1.2012",Podcasts!$E$10:$E$2535,"&lt;01.01.2013")</f>
        <v>0</v>
      </c>
      <c r="HK375" s="243">
        <f>COUNTIFS(Podcasts!$D$10:$D$2535,"="&amp;HK$373,Podcasts!$E$10:$E$2535,"&gt;=1.1.2012",Podcasts!$E$10:$E$2535,"&lt;01.01.2013")</f>
        <v>0</v>
      </c>
      <c r="HL375" s="243">
        <f>COUNTIFS(Podcasts!$D$10:$D$2535,"="&amp;HL$373,Podcasts!$E$10:$E$2535,"&gt;=1.1.2012",Podcasts!$E$10:$E$2535,"&lt;01.01.2013")</f>
        <v>0</v>
      </c>
      <c r="HM375" s="243">
        <f>COUNTIFS(Podcasts!$D$10:$D$2535,"="&amp;HM$373,Podcasts!$E$10:$E$2535,"&gt;=1.1.2012",Podcasts!$E$10:$E$2535,"&lt;01.01.2013")</f>
        <v>0</v>
      </c>
      <c r="HN375" s="243">
        <f>COUNTIFS(Podcasts!$D$10:$D$2535,"="&amp;HN$373,Podcasts!$E$10:$E$2535,"&gt;=1.1.2012",Podcasts!$E$10:$E$2535,"&lt;01.01.2013")</f>
        <v>0</v>
      </c>
      <c r="HO375" s="243">
        <f>COUNTIFS(Podcasts!$D$10:$D$2535,"="&amp;HO$373,Podcasts!$E$10:$E$2535,"&gt;=1.1.2012",Podcasts!$E$10:$E$2535,"&lt;01.01.2013")</f>
        <v>0</v>
      </c>
      <c r="HP375" s="243">
        <f>COUNTIFS(Podcasts!$D$10:$D$2535,"="&amp;HP$373,Podcasts!$E$10:$E$2535,"&gt;=1.1.2012",Podcasts!$E$10:$E$2535,"&lt;01.01.2013")</f>
        <v>0</v>
      </c>
      <c r="HQ375" s="243">
        <f>COUNTIFS(Podcasts!$D$10:$D$2535,"="&amp;HQ$373,Podcasts!$E$10:$E$2535,"&gt;=1.1.2012",Podcasts!$E$10:$E$2535,"&lt;01.01.2013")</f>
        <v>0</v>
      </c>
      <c r="HR375" s="243">
        <f>COUNTIFS(Podcasts!$D$10:$D$2535,"="&amp;HR$373,Podcasts!$E$10:$E$2535,"&gt;=1.1.2012",Podcasts!$E$10:$E$2535,"&lt;01.01.2013")</f>
        <v>0</v>
      </c>
      <c r="HS375" s="243">
        <f>COUNTIFS(Podcasts!$D$10:$D$2535,"="&amp;HS$373,Podcasts!$E$10:$E$2535,"&gt;=1.1.2012",Podcasts!$E$10:$E$2535,"&lt;01.01.2013")</f>
        <v>0</v>
      </c>
      <c r="HT375" s="243">
        <f>COUNTIFS(Podcasts!$D$10:$D$2535,"="&amp;HT$373,Podcasts!$E$10:$E$2535,"&gt;=1.1.2012",Podcasts!$E$10:$E$2535,"&lt;01.01.2013")</f>
        <v>0</v>
      </c>
      <c r="HU375" s="243">
        <f>COUNTIFS(Podcasts!$D$10:$D$2535,"="&amp;HU$373,Podcasts!$E$10:$E$2535,"&gt;=1.1.2012",Podcasts!$E$10:$E$2535,"&lt;01.01.2013")</f>
        <v>0</v>
      </c>
      <c r="HV375" s="243">
        <f>COUNTIFS(Podcasts!$D$10:$D$2535,"="&amp;HV$373,Podcasts!$E$10:$E$2535,"&gt;=1.1.2012",Podcasts!$E$10:$E$2535,"&lt;01.01.2013")</f>
        <v>0</v>
      </c>
      <c r="HW375" s="243">
        <f>COUNTIFS(Podcasts!$D$10:$D$2535,"="&amp;HW$373,Podcasts!$E$10:$E$2535,"&gt;=1.1.2012",Podcasts!$E$10:$E$2535,"&lt;01.01.2013")</f>
        <v>0</v>
      </c>
      <c r="HX375" s="243">
        <f>COUNTIFS(Podcasts!$D$10:$D$2535,"="&amp;HX$373,Podcasts!$E$10:$E$2535,"&gt;=1.1.2012",Podcasts!$E$10:$E$2535,"&lt;01.01.2013")</f>
        <v>0</v>
      </c>
      <c r="HY375" s="243">
        <f>COUNTIFS(Podcasts!$D$10:$D$2535,"="&amp;HY$373,Podcasts!$E$10:$E$2535,"&gt;=1.1.2012",Podcasts!$E$10:$E$2535,"&lt;01.01.2013")</f>
        <v>0</v>
      </c>
      <c r="HZ375" s="243">
        <f>COUNTIFS(Podcasts!$D$10:$D$2535,"="&amp;HZ$373,Podcasts!$E$10:$E$2535,"&gt;=1.1.2012",Podcasts!$E$10:$E$2535,"&lt;01.01.2013")</f>
        <v>0</v>
      </c>
    </row>
    <row r="376" spans="1:234">
      <c r="A376" s="28"/>
      <c r="B376" s="28"/>
      <c r="C376" s="464">
        <v>2020</v>
      </c>
      <c r="D376" s="28"/>
      <c r="E376" s="243">
        <f>COUNTIFS(Podcasts!$D$10:$D$2535,"="&amp;E$373,Podcasts!$E$10:$E$2535,"&gt;=1.1.2013",Podcasts!$E$10:$E$2535,"&lt;01.01.2014")</f>
        <v>0</v>
      </c>
      <c r="F376" s="243">
        <f>COUNTIFS(Podcasts!$D$10:$D$2535,"="&amp;F$373,Podcasts!$E$10:$E$2535,"&gt;=1.1.2013",Podcasts!$E$10:$E$2535,"&lt;01.01.2014")</f>
        <v>0</v>
      </c>
      <c r="G376" s="243">
        <f>COUNTIFS(Podcasts!$D$10:$D$2535,"="&amp;G$373,Podcasts!$E$10:$E$2535,"&gt;=1.1.2013",Podcasts!$E$10:$E$2535,"&lt;01.01.2014")</f>
        <v>1</v>
      </c>
      <c r="H376" s="243">
        <f>COUNTIFS(Podcasts!$D$10:$D$2535,"="&amp;H$373,Podcasts!$E$10:$E$2535,"&gt;=1.1.2013",Podcasts!$E$10:$E$2535,"&lt;01.01.2014")</f>
        <v>1</v>
      </c>
      <c r="I376" s="243">
        <f>COUNTIFS(Podcasts!$D$10:$D$2535,"="&amp;I$373,Podcasts!$E$10:$E$2535,"&gt;=1.1.2013",Podcasts!$E$10:$E$2535,"&lt;01.01.2014")</f>
        <v>0</v>
      </c>
      <c r="J376" s="243">
        <f>COUNTIFS(Podcasts!$D$10:$D$2535,"="&amp;J$373,Podcasts!$E$10:$E$2535,"&gt;=1.1.2013",Podcasts!$E$10:$E$2535,"&lt;01.01.2014")</f>
        <v>0</v>
      </c>
      <c r="K376" s="243">
        <f>COUNTIFS(Podcasts!$D$10:$D$2535,"="&amp;K$373,Podcasts!$E$10:$E$2535,"&gt;=1.1.2013",Podcasts!$E$10:$E$2535,"&lt;01.01.2014")</f>
        <v>0</v>
      </c>
      <c r="L376" s="243">
        <f>COUNTIFS(Podcasts!$D$10:$D$2535,"="&amp;L$373,Podcasts!$E$10:$E$2535,"&gt;=1.1.2013",Podcasts!$E$10:$E$2535,"&lt;01.01.2014")</f>
        <v>0</v>
      </c>
      <c r="M376" s="285">
        <f>COUNTIFS(Podcasts!$D$10:$D$2535,"="&amp;M$373,Podcasts!$E$10:$E$2535,"&gt;=1.1.2013",Podcasts!$E$10:$E$2535,"&lt;01.01.2014")</f>
        <v>0</v>
      </c>
      <c r="N376" s="285">
        <f>COUNTIFS(Podcasts!$D$10:$D$2535,"="&amp;N$373,Podcasts!$E$10:$E$2535,"&gt;=1.1.2013",Podcasts!$E$10:$E$2535,"&lt;01.01.2014")</f>
        <v>1</v>
      </c>
      <c r="O376" s="243">
        <f>COUNTIFS(Podcasts!$D$10:$D$2535,"="&amp;O$373,Podcasts!$E$10:$E$2535,"&gt;=1.1.2013",Podcasts!$E$10:$E$2535,"&lt;01.01.2014")</f>
        <v>1</v>
      </c>
      <c r="P376" s="243">
        <f>COUNTIFS(Podcasts!$D$10:$D$2535,"="&amp;P$373,Podcasts!$E$10:$E$2535,"&gt;=1.1.2013",Podcasts!$E$10:$E$2535,"&lt;01.01.2014")</f>
        <v>0</v>
      </c>
      <c r="Q376" s="243">
        <f>COUNTIFS(Podcasts!$D$10:$D$2535,"="&amp;Q$373,Podcasts!$E$10:$E$2535,"&gt;=1.1.2013",Podcasts!$E$10:$E$2535,"&lt;01.01.2014")</f>
        <v>0</v>
      </c>
      <c r="R376" s="243">
        <f>COUNTIFS(Podcasts!$D$10:$D$2535,"="&amp;R$373,Podcasts!$E$10:$E$2535,"&gt;=1.1.2013",Podcasts!$E$10:$E$2535,"&lt;01.01.2014")</f>
        <v>0</v>
      </c>
      <c r="S376" s="243">
        <f>COUNTIFS(Podcasts!$D$10:$D$2535,"="&amp;S$373,Podcasts!$E$10:$E$2535,"&gt;=1.1.2013",Podcasts!$E$10:$E$2535,"&lt;01.01.2014")</f>
        <v>0</v>
      </c>
      <c r="T376" s="243">
        <f>COUNTIFS(Podcasts!$D$10:$D$2535,"="&amp;T$373,Podcasts!$E$10:$E$2535,"&gt;=1.1.2013",Podcasts!$E$10:$E$2535,"&lt;01.01.2014")</f>
        <v>0</v>
      </c>
      <c r="U376" s="243">
        <f>COUNTIFS(Podcasts!$D$10:$D$2535,"="&amp;U$373,Podcasts!$E$10:$E$2535,"&gt;=1.1.2013",Podcasts!$E$10:$E$2535,"&lt;01.01.2014")</f>
        <v>0</v>
      </c>
      <c r="V376" s="243">
        <f>COUNTIFS(Podcasts!$D$10:$D$2535,"="&amp;V$373,Podcasts!$E$10:$E$2535,"&gt;=1.1.2013",Podcasts!$E$10:$E$2535,"&lt;01.01.2014")</f>
        <v>0</v>
      </c>
      <c r="W376" s="243">
        <f>COUNTIFS(Podcasts!$D$10:$D$2535,"="&amp;W$373,Podcasts!$E$10:$E$2535,"&gt;=1.1.2013",Podcasts!$E$10:$E$2535,"&lt;01.01.2014")</f>
        <v>0</v>
      </c>
      <c r="X376" s="243">
        <f>COUNTIFS(Podcasts!$D$10:$D$2535,"="&amp;X$373,Podcasts!$E$10:$E$2535,"&gt;=1.1.2013",Podcasts!$E$10:$E$2535,"&lt;01.01.2014")</f>
        <v>0</v>
      </c>
      <c r="Y376" s="243">
        <f>COUNTIFS(Podcasts!$D$10:$D$2535,"="&amp;Y$373,Podcasts!$E$10:$E$2535,"&gt;=1.1.2013",Podcasts!$E$10:$E$2535,"&lt;01.01.2014")</f>
        <v>0</v>
      </c>
      <c r="Z376" s="243">
        <f>COUNTIFS(Podcasts!$D$10:$D$2535,"="&amp;Z$373,Podcasts!$E$10:$E$2535,"&gt;=1.1.2013",Podcasts!$E$10:$E$2535,"&lt;01.01.2014")</f>
        <v>0</v>
      </c>
      <c r="AA376" s="243">
        <f>COUNTIFS(Podcasts!$D$10:$D$2535,"="&amp;AA$373,Podcasts!$E$10:$E$2535,"&gt;=1.1.2013",Podcasts!$E$10:$E$2535,"&lt;01.01.2014")</f>
        <v>0</v>
      </c>
      <c r="AB376" s="243">
        <f>COUNTIFS(Podcasts!$D$10:$D$2535,"="&amp;AB$373,Podcasts!$E$10:$E$2535,"&gt;=1.1.2013",Podcasts!$E$10:$E$2535,"&lt;01.01.2014")</f>
        <v>0</v>
      </c>
      <c r="AC376" s="243">
        <f>COUNTIFS(Podcasts!$D$10:$D$2535,"="&amp;AC$373,Podcasts!$E$10:$E$2535,"&gt;=1.1.2013",Podcasts!$E$10:$E$2535,"&lt;01.01.2014")</f>
        <v>0</v>
      </c>
      <c r="AD376" s="243">
        <f>COUNTIFS(Podcasts!$D$10:$D$2535,"="&amp;AD$373,Podcasts!$E$10:$E$2535,"&gt;=1.1.2013",Podcasts!$E$10:$E$2535,"&lt;01.01.2014")</f>
        <v>0</v>
      </c>
      <c r="AE376" s="243">
        <f>COUNTIFS(Podcasts!$D$10:$D$2535,"="&amp;AE$373,Podcasts!$E$10:$E$2535,"&gt;=1.1.2013",Podcasts!$E$10:$E$2535,"&lt;01.01.2014")</f>
        <v>0</v>
      </c>
      <c r="AF376" s="243">
        <f>COUNTIFS(Podcasts!$D$10:$D$2535,"="&amp;AF$373,Podcasts!$E$10:$E$2535,"&gt;=1.1.2013",Podcasts!$E$10:$E$2535,"&lt;01.01.2014")</f>
        <v>0</v>
      </c>
      <c r="AG376" s="243">
        <f>COUNTIFS(Podcasts!$D$10:$D$2535,"="&amp;AG$373,Podcasts!$E$10:$E$2535,"&gt;=1.1.2013",Podcasts!$E$10:$E$2535,"&lt;01.01.2014")</f>
        <v>0</v>
      </c>
      <c r="AH376" s="243">
        <f>COUNTIFS(Podcasts!$D$10:$D$2535,"="&amp;AH$373,Podcasts!$E$10:$E$2535,"&gt;=1.1.2013",Podcasts!$E$10:$E$2535,"&lt;01.01.2014")</f>
        <v>0</v>
      </c>
      <c r="AI376" s="243">
        <f>COUNTIFS(Podcasts!$D$10:$D$2535,"="&amp;AI$373,Podcasts!$E$10:$E$2535,"&gt;=1.1.2013",Podcasts!$E$10:$E$2535,"&lt;01.01.2014")</f>
        <v>0</v>
      </c>
      <c r="AJ376" s="243">
        <f>COUNTIFS(Podcasts!$D$10:$D$2535,"="&amp;AJ$373,Podcasts!$E$10:$E$2535,"&gt;=1.1.2013",Podcasts!$E$10:$E$2535,"&lt;01.01.2014")</f>
        <v>0</v>
      </c>
      <c r="AK376" s="243">
        <f>COUNTIFS(Podcasts!$D$10:$D$2535,"="&amp;AK$373,Podcasts!$E$10:$E$2535,"&gt;=1.1.2013",Podcasts!$E$10:$E$2535,"&lt;01.01.2014")</f>
        <v>0</v>
      </c>
      <c r="AL376" s="243">
        <f>COUNTIFS(Podcasts!$D$10:$D$2535,"="&amp;AL$373,Podcasts!$E$10:$E$2535,"&gt;=1.1.2013",Podcasts!$E$10:$E$2535,"&lt;01.01.2014")</f>
        <v>0</v>
      </c>
      <c r="AM376" s="243">
        <f>COUNTIFS(Podcasts!$D$10:$D$2535,"="&amp;AM$373,Podcasts!$E$10:$E$2535,"&gt;=1.1.2013",Podcasts!$E$10:$E$2535,"&lt;01.01.2014")</f>
        <v>0</v>
      </c>
      <c r="AN376" s="243">
        <f>COUNTIFS(Podcasts!$D$10:$D$2535,"="&amp;AN$373,Podcasts!$E$10:$E$2535,"&gt;=1.1.2013",Podcasts!$E$10:$E$2535,"&lt;01.01.2014")</f>
        <v>0</v>
      </c>
      <c r="AO376" s="243">
        <f>COUNTIFS(Podcasts!$D$10:$D$2535,"="&amp;AO$373,Podcasts!$E$10:$E$2535,"&gt;=1.1.2013",Podcasts!$E$10:$E$2535,"&lt;01.01.2014")</f>
        <v>1</v>
      </c>
      <c r="AP376" s="243">
        <f>COUNTIFS(Podcasts!$D$10:$D$2535,"="&amp;AP$373,Podcasts!$E$10:$E$2535,"&gt;=1.1.2013",Podcasts!$E$10:$E$2535,"&lt;01.01.2014")</f>
        <v>0</v>
      </c>
      <c r="AQ376" s="243">
        <f>COUNTIFS(Podcasts!$D$10:$D$2535,"="&amp;AQ$373,Podcasts!$E$10:$E$2535,"&gt;=1.1.2013",Podcasts!$E$10:$E$2535,"&lt;01.01.2014")</f>
        <v>0</v>
      </c>
      <c r="AR376" s="243">
        <f>COUNTIFS(Podcasts!$D$10:$D$2535,"="&amp;AR$373,Podcasts!$E$10:$E$2535,"&gt;=1.1.2013",Podcasts!$E$10:$E$2535,"&lt;01.01.2014")</f>
        <v>0</v>
      </c>
      <c r="AS376" s="243">
        <f>COUNTIFS(Podcasts!$D$10:$D$2535,"="&amp;AS$373,Podcasts!$E$10:$E$2535,"&gt;=1.1.2013",Podcasts!$E$10:$E$2535,"&lt;01.01.2014")</f>
        <v>0</v>
      </c>
      <c r="AT376" s="243">
        <f>COUNTIFS(Podcasts!$D$10:$D$2535,"="&amp;AT$373,Podcasts!$E$10:$E$2535,"&gt;=1.1.2013",Podcasts!$E$10:$E$2535,"&lt;01.01.2014")</f>
        <v>0</v>
      </c>
      <c r="AU376" s="243">
        <f>COUNTIFS(Podcasts!$D$10:$D$2535,"="&amp;AU$373,Podcasts!$E$10:$E$2535,"&gt;=1.1.2013",Podcasts!$E$10:$E$2535,"&lt;01.01.2014")</f>
        <v>0</v>
      </c>
      <c r="AV376" s="243">
        <f>COUNTIFS(Podcasts!$D$10:$D$2535,"="&amp;AV$373,Podcasts!$E$10:$E$2535,"&gt;=1.1.2013",Podcasts!$E$10:$E$2535,"&lt;01.01.2014")</f>
        <v>0</v>
      </c>
      <c r="AW376" s="243">
        <f>COUNTIFS(Podcasts!$D$10:$D$2535,"="&amp;AW$373,Podcasts!$E$10:$E$2535,"&gt;=1.1.2013",Podcasts!$E$10:$E$2535,"&lt;01.01.2014")</f>
        <v>0</v>
      </c>
      <c r="AX376" s="243">
        <f>COUNTIFS(Podcasts!$D$10:$D$2535,"="&amp;AX$373,Podcasts!$E$10:$E$2535,"&gt;=1.1.2013",Podcasts!$E$10:$E$2535,"&lt;01.01.2014")</f>
        <v>0</v>
      </c>
      <c r="AY376" s="243">
        <f>COUNTIFS(Podcasts!$D$10:$D$2535,"="&amp;AY$373,Podcasts!$E$10:$E$2535,"&gt;=1.1.2013",Podcasts!$E$10:$E$2535,"&lt;01.01.2014")</f>
        <v>0</v>
      </c>
      <c r="AZ376" s="243">
        <f>COUNTIFS(Podcasts!$D$10:$D$2535,"="&amp;AZ$373,Podcasts!$E$10:$E$2535,"&gt;=1.1.2013",Podcasts!$E$10:$E$2535,"&lt;01.01.2014")</f>
        <v>0</v>
      </c>
      <c r="BA376" s="243">
        <f>COUNTIFS(Podcasts!$D$10:$D$2535,"="&amp;BA$373,Podcasts!$E$10:$E$2535,"&gt;=1.1.2013",Podcasts!$E$10:$E$2535,"&lt;01.01.2014")</f>
        <v>0</v>
      </c>
      <c r="BB376" s="243">
        <f>COUNTIFS(Podcasts!$D$10:$D$2535,"="&amp;BB$373,Podcasts!$E$10:$E$2535,"&gt;=1.1.2013",Podcasts!$E$10:$E$2535,"&lt;01.01.2014")</f>
        <v>0</v>
      </c>
      <c r="BC376" s="243">
        <f>COUNTIFS(Podcasts!$D$10:$D$2535,"="&amp;BC$373,Podcasts!$E$10:$E$2535,"&gt;=1.1.2013",Podcasts!$E$10:$E$2535,"&lt;01.01.2014")</f>
        <v>0</v>
      </c>
      <c r="BD376" s="243">
        <f>COUNTIFS(Podcasts!$D$10:$D$2535,"="&amp;BD$373,Podcasts!$E$10:$E$2535,"&gt;=1.1.2013",Podcasts!$E$10:$E$2535,"&lt;01.01.2014")</f>
        <v>0</v>
      </c>
      <c r="BE376" s="243">
        <f>COUNTIFS(Podcasts!$D$10:$D$2535,"="&amp;BE$373,Podcasts!$E$10:$E$2535,"&gt;=1.1.2013",Podcasts!$E$10:$E$2535,"&lt;01.01.2014")</f>
        <v>0</v>
      </c>
      <c r="BF376" s="243">
        <f>COUNTIFS(Podcasts!$D$10:$D$2535,"="&amp;BF$373,Podcasts!$E$10:$E$2535,"&gt;=1.1.2013",Podcasts!$E$10:$E$2535,"&lt;01.01.2014")</f>
        <v>0</v>
      </c>
      <c r="BG376" s="243">
        <f>COUNTIFS(Podcasts!$D$10:$D$2535,"="&amp;BG$373,Podcasts!$E$10:$E$2535,"&gt;=1.1.2013",Podcasts!$E$10:$E$2535,"&lt;01.01.2014")</f>
        <v>0</v>
      </c>
      <c r="BH376" s="243">
        <f>COUNTIFS(Podcasts!$D$10:$D$2535,"="&amp;BH$373,Podcasts!$E$10:$E$2535,"&gt;=1.1.2013",Podcasts!$E$10:$E$2535,"&lt;01.01.2014")</f>
        <v>0</v>
      </c>
      <c r="BI376" s="243">
        <f>COUNTIFS(Podcasts!$D$10:$D$2535,"="&amp;BI$373,Podcasts!$E$10:$E$2535,"&gt;=1.1.2013",Podcasts!$E$10:$E$2535,"&lt;01.01.2014")</f>
        <v>0</v>
      </c>
      <c r="BJ376" s="243">
        <f>COUNTIFS(Podcasts!$D$10:$D$2535,"="&amp;BJ$373,Podcasts!$E$10:$E$2535,"&gt;=1.1.2013",Podcasts!$E$10:$E$2535,"&lt;01.01.2014")</f>
        <v>0</v>
      </c>
      <c r="BK376" s="243">
        <f>COUNTIFS(Podcasts!$D$10:$D$2535,"="&amp;BK$373,Podcasts!$E$10:$E$2535,"&gt;=1.1.2013",Podcasts!$E$10:$E$2535,"&lt;01.01.2014")</f>
        <v>0</v>
      </c>
      <c r="BL376" s="243">
        <f>COUNTIFS(Podcasts!$D$10:$D$2535,"="&amp;BL$373,Podcasts!$E$10:$E$2535,"&gt;=1.1.2013",Podcasts!$E$10:$E$2535,"&lt;01.01.2014")</f>
        <v>0</v>
      </c>
      <c r="BM376" s="243">
        <f>COUNTIFS(Podcasts!$D$10:$D$2535,"="&amp;BM$373,Podcasts!$E$10:$E$2535,"&gt;=1.1.2013",Podcasts!$E$10:$E$2535,"&lt;01.01.2014")</f>
        <v>0</v>
      </c>
      <c r="BN376" s="243">
        <f>COUNTIFS(Podcasts!$D$10:$D$2535,"="&amp;BN$373,Podcasts!$E$10:$E$2535,"&gt;=1.1.2013",Podcasts!$E$10:$E$2535,"&lt;01.01.2014")</f>
        <v>0</v>
      </c>
      <c r="BO376" s="243">
        <f>COUNTIFS(Podcasts!$D$10:$D$2535,"="&amp;BO$373,Podcasts!$E$10:$E$2535,"&gt;=1.1.2013",Podcasts!$E$10:$E$2535,"&lt;01.01.2014")</f>
        <v>0</v>
      </c>
      <c r="BP376" s="243">
        <f>COUNTIFS(Podcasts!$D$10:$D$2535,"="&amp;BP$373,Podcasts!$E$10:$E$2535,"&gt;=1.1.2013",Podcasts!$E$10:$E$2535,"&lt;01.01.2014")</f>
        <v>0</v>
      </c>
      <c r="BQ376" s="243">
        <f>COUNTIFS(Podcasts!$D$10:$D$2535,"="&amp;BQ$373,Podcasts!$E$10:$E$2535,"&gt;=1.1.2013",Podcasts!$E$10:$E$2535,"&lt;01.01.2014")</f>
        <v>0</v>
      </c>
      <c r="BR376" s="243">
        <f>COUNTIFS(Podcasts!$D$10:$D$2535,"="&amp;BR$373,Podcasts!$E$10:$E$2535,"&gt;=1.1.2013",Podcasts!$E$10:$E$2535,"&lt;01.01.2014")</f>
        <v>0</v>
      </c>
      <c r="BS376" s="243">
        <f>COUNTIFS(Podcasts!$D$10:$D$2535,"="&amp;BS$373,Podcasts!$E$10:$E$2535,"&gt;=1.1.2013",Podcasts!$E$10:$E$2535,"&lt;01.01.2014")</f>
        <v>0</v>
      </c>
      <c r="BT376" s="243">
        <f>COUNTIFS(Podcasts!$D$10:$D$2535,"="&amp;BT$373,Podcasts!$E$10:$E$2535,"&gt;=1.1.2013",Podcasts!$E$10:$E$2535,"&lt;01.01.2014")</f>
        <v>0</v>
      </c>
      <c r="BU376" s="243">
        <f>COUNTIFS(Podcasts!$D$10:$D$2535,"="&amp;BU$373,Podcasts!$E$10:$E$2535,"&gt;=1.1.2013",Podcasts!$E$10:$E$2535,"&lt;01.01.2014")</f>
        <v>0</v>
      </c>
      <c r="BV376" s="243">
        <f>COUNTIFS(Podcasts!$D$10:$D$2535,"="&amp;BV$373,Podcasts!$E$10:$E$2535,"&gt;=1.1.2013",Podcasts!$E$10:$E$2535,"&lt;01.01.2014")</f>
        <v>0</v>
      </c>
      <c r="BW376" s="243">
        <f>COUNTIFS(Podcasts!$D$10:$D$2535,"="&amp;BW$373,Podcasts!$E$10:$E$2535,"&gt;=1.1.2013",Podcasts!$E$10:$E$2535,"&lt;01.01.2014")</f>
        <v>0</v>
      </c>
      <c r="BX376" s="243">
        <f>COUNTIFS(Podcasts!$D$10:$D$2535,"="&amp;BX$373,Podcasts!$E$10:$E$2535,"&gt;=1.1.2013",Podcasts!$E$10:$E$2535,"&lt;01.01.2014")</f>
        <v>0</v>
      </c>
      <c r="BY376" s="243">
        <f>COUNTIFS(Podcasts!$D$10:$D$2535,"="&amp;BY$373,Podcasts!$E$10:$E$2535,"&gt;=1.1.2013",Podcasts!$E$10:$E$2535,"&lt;01.01.2014")</f>
        <v>0</v>
      </c>
      <c r="BZ376" s="243">
        <f>COUNTIFS(Podcasts!$D$10:$D$2535,"="&amp;BZ$373,Podcasts!$E$10:$E$2535,"&gt;=1.1.2013",Podcasts!$E$10:$E$2535,"&lt;01.01.2014")</f>
        <v>0</v>
      </c>
      <c r="CA376" s="243">
        <f>COUNTIFS(Podcasts!$D$10:$D$2535,"="&amp;CA$373,Podcasts!$E$10:$E$2535,"&gt;=1.1.2013",Podcasts!$E$10:$E$2535,"&lt;01.01.2014")</f>
        <v>0</v>
      </c>
      <c r="CB376" s="243">
        <f>COUNTIFS(Podcasts!$D$10:$D$2535,"="&amp;CB$373,Podcasts!$E$10:$E$2535,"&gt;=1.1.2013",Podcasts!$E$10:$E$2535,"&lt;01.01.2014")</f>
        <v>1</v>
      </c>
      <c r="CC376" s="243">
        <f>COUNTIFS(Podcasts!$D$10:$D$2535,"="&amp;CC$373,Podcasts!$E$10:$E$2535,"&gt;=1.1.2013",Podcasts!$E$10:$E$2535,"&lt;01.01.2014")</f>
        <v>0</v>
      </c>
      <c r="CD376" s="243">
        <f>COUNTIFS(Podcasts!$D$10:$D$2535,"="&amp;CD$373,Podcasts!$E$10:$E$2535,"&gt;=1.1.2013",Podcasts!$E$10:$E$2535,"&lt;01.01.2014")</f>
        <v>0</v>
      </c>
      <c r="CE376" s="243">
        <f>COUNTIFS(Podcasts!$D$10:$D$2535,"="&amp;CE$373,Podcasts!$E$10:$E$2535,"&gt;=1.1.2013",Podcasts!$E$10:$E$2535,"&lt;01.01.2014")</f>
        <v>0</v>
      </c>
      <c r="CF376" s="243">
        <f>COUNTIFS(Podcasts!$D$10:$D$2535,"="&amp;CF$373,Podcasts!$E$10:$E$2535,"&gt;=1.1.2013",Podcasts!$E$10:$E$2535,"&lt;01.01.2014")</f>
        <v>0</v>
      </c>
      <c r="CG376" s="243">
        <f>COUNTIFS(Podcasts!$D$10:$D$2535,"="&amp;CG$373,Podcasts!$E$10:$E$2535,"&gt;=1.1.2013",Podcasts!$E$10:$E$2535,"&lt;01.01.2014")</f>
        <v>0</v>
      </c>
      <c r="CH376" s="243">
        <f>COUNTIFS(Podcasts!$D$10:$D$2535,"="&amp;CH$373,Podcasts!$E$10:$E$2535,"&gt;=1.1.2013",Podcasts!$E$10:$E$2535,"&lt;01.01.2014")</f>
        <v>0</v>
      </c>
      <c r="CI376" s="243">
        <f>COUNTIFS(Podcasts!$D$10:$D$2535,"="&amp;CI$373,Podcasts!$E$10:$E$2535,"&gt;=1.1.2013",Podcasts!$E$10:$E$2535,"&lt;01.01.2014")</f>
        <v>0</v>
      </c>
      <c r="CJ376" s="243">
        <f>COUNTIFS(Podcasts!$D$10:$D$2535,"="&amp;CJ$373,Podcasts!$E$10:$E$2535,"&gt;=1.1.2013",Podcasts!$E$10:$E$2535,"&lt;01.01.2014")</f>
        <v>0</v>
      </c>
      <c r="CK376" s="243">
        <f>COUNTIFS(Podcasts!$D$10:$D$2535,"="&amp;CK$373,Podcasts!$E$10:$E$2535,"&gt;=1.1.2013",Podcasts!$E$10:$E$2535,"&lt;01.01.2014")</f>
        <v>0</v>
      </c>
      <c r="CL376" s="243">
        <f>COUNTIFS(Podcasts!$D$10:$D$2535,"="&amp;CL$373,Podcasts!$E$10:$E$2535,"&gt;=1.1.2013",Podcasts!$E$10:$E$2535,"&lt;01.01.2014")</f>
        <v>0</v>
      </c>
      <c r="CM376" s="243">
        <f>COUNTIFS(Podcasts!$D$10:$D$2535,"="&amp;CM$373,Podcasts!$E$10:$E$2535,"&gt;=1.1.2013",Podcasts!$E$10:$E$2535,"&lt;01.01.2014")</f>
        <v>0</v>
      </c>
      <c r="CN376" s="243">
        <f>COUNTIFS(Podcasts!$D$10:$D$2535,"="&amp;CN$373,Podcasts!$E$10:$E$2535,"&gt;=1.1.2013",Podcasts!$E$10:$E$2535,"&lt;01.01.2014")</f>
        <v>0</v>
      </c>
      <c r="CO376" s="243">
        <f>COUNTIFS(Podcasts!$D$10:$D$2535,"="&amp;CO$373,Podcasts!$E$10:$E$2535,"&gt;=1.1.2013",Podcasts!$E$10:$E$2535,"&lt;01.01.2014")</f>
        <v>0</v>
      </c>
      <c r="CP376" s="243">
        <f>COUNTIFS(Podcasts!$D$10:$D$2535,"="&amp;CP$373,Podcasts!$E$10:$E$2535,"&gt;=1.1.2013",Podcasts!$E$10:$E$2535,"&lt;01.01.2014")</f>
        <v>0</v>
      </c>
      <c r="CQ376" s="243">
        <f>COUNTIFS(Podcasts!$D$10:$D$2535,"="&amp;CQ$373,Podcasts!$E$10:$E$2535,"&gt;=1.1.2013",Podcasts!$E$10:$E$2535,"&lt;01.01.2014")</f>
        <v>0</v>
      </c>
      <c r="CR376" s="243">
        <f>COUNTIFS(Podcasts!$D$10:$D$2535,"="&amp;CR$373,Podcasts!$E$10:$E$2535,"&gt;=1.1.2013",Podcasts!$E$10:$E$2535,"&lt;01.01.2014")</f>
        <v>0</v>
      </c>
      <c r="CS376" s="243">
        <f>COUNTIFS(Podcasts!$D$10:$D$2535,"="&amp;CS$373,Podcasts!$E$10:$E$2535,"&gt;=1.1.2013",Podcasts!$E$10:$E$2535,"&lt;01.01.2014")</f>
        <v>0</v>
      </c>
      <c r="CT376" s="243">
        <f>COUNTIFS(Podcasts!$D$10:$D$2535,"="&amp;CT$373,Podcasts!$E$10:$E$2535,"&gt;=1.1.2013",Podcasts!$E$10:$E$2535,"&lt;01.01.2014")</f>
        <v>0</v>
      </c>
      <c r="CU376" s="243">
        <f>COUNTIFS(Podcasts!$D$10:$D$2535,"="&amp;CU$373,Podcasts!$E$10:$E$2535,"&gt;=1.1.2013",Podcasts!$E$10:$E$2535,"&lt;01.01.2014")</f>
        <v>0</v>
      </c>
      <c r="CV376" s="243">
        <f>COUNTIFS(Podcasts!$D$10:$D$2535,"="&amp;CV$373,Podcasts!$E$10:$E$2535,"&gt;=1.1.2013",Podcasts!$E$10:$E$2535,"&lt;01.01.2014")</f>
        <v>0</v>
      </c>
      <c r="CW376" s="243">
        <f>COUNTIFS(Podcasts!$D$10:$D$2535,"="&amp;CW$373,Podcasts!$E$10:$E$2535,"&gt;=1.1.2013",Podcasts!$E$10:$E$2535,"&lt;01.01.2014")</f>
        <v>0</v>
      </c>
      <c r="CX376" s="243">
        <f>COUNTIFS(Podcasts!$D$10:$D$2535,"="&amp;CX$373,Podcasts!$E$10:$E$2535,"&gt;=1.1.2013",Podcasts!$E$10:$E$2535,"&lt;01.01.2014")</f>
        <v>0</v>
      </c>
      <c r="CY376" s="243">
        <f>COUNTIFS(Podcasts!$D$10:$D$2535,"="&amp;CY$373,Podcasts!$E$10:$E$2535,"&gt;=1.1.2013",Podcasts!$E$10:$E$2535,"&lt;01.01.2014")</f>
        <v>1</v>
      </c>
      <c r="CZ376" s="243">
        <f>COUNTIFS(Podcasts!$D$10:$D$2535,"="&amp;CZ$373,Podcasts!$E$10:$E$2535,"&gt;=1.1.2013",Podcasts!$E$10:$E$2535,"&lt;01.01.2014")</f>
        <v>0</v>
      </c>
      <c r="DA376" s="243">
        <f>COUNTIFS(Podcasts!$D$10:$D$2535,"="&amp;DA$373,Podcasts!$E$10:$E$2535,"&gt;=1.1.2013",Podcasts!$E$10:$E$2535,"&lt;01.01.2014")</f>
        <v>1</v>
      </c>
      <c r="DB376" s="243">
        <f>COUNTIFS(Podcasts!$D$10:$D$2535,"="&amp;DB$373,Podcasts!$E$10:$E$2535,"&gt;=1.1.2013",Podcasts!$E$10:$E$2535,"&lt;01.01.2014")</f>
        <v>0</v>
      </c>
      <c r="DC376" s="243">
        <f>COUNTIFS(Podcasts!$D$10:$D$2535,"="&amp;DC$373,Podcasts!$E$10:$E$2535,"&gt;=1.1.2013",Podcasts!$E$10:$E$2535,"&lt;01.01.2014")</f>
        <v>0</v>
      </c>
      <c r="DD376" s="243">
        <f>COUNTIFS(Podcasts!$D$10:$D$2535,"="&amp;DD$373,Podcasts!$E$10:$E$2535,"&gt;=1.1.2013",Podcasts!$E$10:$E$2535,"&lt;01.01.2014")</f>
        <v>0</v>
      </c>
      <c r="DE376" s="243">
        <f>COUNTIFS(Podcasts!$D$10:$D$2535,"="&amp;DE$373,Podcasts!$E$10:$E$2535,"&gt;=1.1.2013",Podcasts!$E$10:$E$2535,"&lt;01.01.2014")</f>
        <v>0</v>
      </c>
      <c r="DF376" s="243">
        <f>COUNTIFS(Podcasts!$D$10:$D$2535,"="&amp;DF$373,Podcasts!$E$10:$E$2535,"&gt;=1.1.2013",Podcasts!$E$10:$E$2535,"&lt;01.01.2014")</f>
        <v>0</v>
      </c>
      <c r="DG376" s="243">
        <f>COUNTIFS(Podcasts!$D$10:$D$2535,"="&amp;DG$373,Podcasts!$E$10:$E$2535,"&gt;=1.1.2013",Podcasts!$E$10:$E$2535,"&lt;01.01.2014")</f>
        <v>0</v>
      </c>
      <c r="DH376" s="243">
        <f>COUNTIFS(Podcasts!$D$10:$D$2535,"="&amp;DH$373,Podcasts!$E$10:$E$2535,"&gt;=1.1.2013",Podcasts!$E$10:$E$2535,"&lt;01.01.2014")</f>
        <v>0</v>
      </c>
      <c r="DI376" s="243">
        <f>COUNTIFS(Podcasts!$D$10:$D$2535,"="&amp;DI$373,Podcasts!$E$10:$E$2535,"&gt;=1.1.2013",Podcasts!$E$10:$E$2535,"&lt;01.01.2014")</f>
        <v>0</v>
      </c>
      <c r="DJ376" s="243">
        <f>COUNTIFS(Podcasts!$D$10:$D$2535,"="&amp;DJ$373,Podcasts!$E$10:$E$2535,"&gt;=1.1.2013",Podcasts!$E$10:$E$2535,"&lt;01.01.2014")</f>
        <v>0</v>
      </c>
      <c r="DK376" s="243">
        <f>COUNTIFS(Podcasts!$D$10:$D$2535,"="&amp;DK$373,Podcasts!$E$10:$E$2535,"&gt;=1.1.2013",Podcasts!$E$10:$E$2535,"&lt;01.01.2014")</f>
        <v>0</v>
      </c>
      <c r="DL376" s="243">
        <f>COUNTIFS(Podcasts!$D$10:$D$2535,"="&amp;DL$373,Podcasts!$E$10:$E$2535,"&gt;=1.1.2013",Podcasts!$E$10:$E$2535,"&lt;01.01.2014")</f>
        <v>0</v>
      </c>
      <c r="DM376" s="243">
        <f>COUNTIFS(Podcasts!$D$10:$D$2535,"="&amp;DM$373,Podcasts!$E$10:$E$2535,"&gt;=1.1.2013",Podcasts!$E$10:$E$2535,"&lt;01.01.2014")</f>
        <v>0</v>
      </c>
      <c r="DN376" s="243">
        <f>COUNTIFS(Podcasts!$D$10:$D$2535,"="&amp;DN$373,Podcasts!$E$10:$E$2535,"&gt;=1.1.2013",Podcasts!$E$10:$E$2535,"&lt;01.01.2014")</f>
        <v>0</v>
      </c>
      <c r="DO376" s="243">
        <f>COUNTIFS(Podcasts!$D$10:$D$2535,"="&amp;DO$373,Podcasts!$E$10:$E$2535,"&gt;=1.1.2013",Podcasts!$E$10:$E$2535,"&lt;01.01.2014")</f>
        <v>0</v>
      </c>
      <c r="DP376" s="243">
        <f>COUNTIFS(Podcasts!$D$10:$D$2535,"="&amp;DP$373,Podcasts!$E$10:$E$2535,"&gt;=1.1.2013",Podcasts!$E$10:$E$2535,"&lt;01.01.2014")</f>
        <v>0</v>
      </c>
      <c r="DQ376" s="243">
        <f>COUNTIFS(Podcasts!$D$10:$D$2535,"="&amp;DQ$373,Podcasts!$E$10:$E$2535,"&gt;=1.1.2013",Podcasts!$E$10:$E$2535,"&lt;01.01.2014")</f>
        <v>0</v>
      </c>
      <c r="DR376" s="243">
        <f>COUNTIFS(Podcasts!$D$10:$D$2535,"="&amp;DR$373,Podcasts!$E$10:$E$2535,"&gt;=1.1.2013",Podcasts!$E$10:$E$2535,"&lt;01.01.2014")</f>
        <v>0</v>
      </c>
      <c r="DS376" s="243">
        <f>COUNTIFS(Podcasts!$D$10:$D$2535,"="&amp;DS$373,Podcasts!$E$10:$E$2535,"&gt;=1.1.2013",Podcasts!$E$10:$E$2535,"&lt;01.01.2014")</f>
        <v>0</v>
      </c>
      <c r="DT376" s="243">
        <f>COUNTIFS(Podcasts!$D$10:$D$2535,"="&amp;DT$373,Podcasts!$E$10:$E$2535,"&gt;=1.1.2013",Podcasts!$E$10:$E$2535,"&lt;01.01.2014")</f>
        <v>0</v>
      </c>
      <c r="DU376" s="243">
        <f>COUNTIFS(Podcasts!$D$10:$D$2535,"="&amp;DU$373,Podcasts!$E$10:$E$2535,"&gt;=1.1.2013",Podcasts!$E$10:$E$2535,"&lt;01.01.2014")</f>
        <v>0</v>
      </c>
      <c r="DV376" s="243">
        <f>COUNTIFS(Podcasts!$D$10:$D$2535,"="&amp;DV$373,Podcasts!$E$10:$E$2535,"&gt;=1.1.2013",Podcasts!$E$10:$E$2535,"&lt;01.01.2014")</f>
        <v>0</v>
      </c>
      <c r="DW376" s="243">
        <f>COUNTIFS(Podcasts!$D$10:$D$2535,"="&amp;DW$373,Podcasts!$E$10:$E$2535,"&gt;=1.1.2013",Podcasts!$E$10:$E$2535,"&lt;01.01.2014")</f>
        <v>0</v>
      </c>
      <c r="DX376" s="243">
        <f>COUNTIFS(Podcasts!$D$10:$D$2535,"="&amp;DX$373,Podcasts!$E$10:$E$2535,"&gt;=1.1.2013",Podcasts!$E$10:$E$2535,"&lt;01.01.2014")</f>
        <v>0</v>
      </c>
      <c r="DY376" s="243">
        <f>COUNTIFS(Podcasts!$D$10:$D$2535,"="&amp;DY$373,Podcasts!$E$10:$E$2535,"&gt;=1.1.2013",Podcasts!$E$10:$E$2535,"&lt;01.01.2014")</f>
        <v>0</v>
      </c>
      <c r="DZ376" s="243">
        <f>COUNTIFS(Podcasts!$D$10:$D$2535,"="&amp;DZ$373,Podcasts!$E$10:$E$2535,"&gt;=1.1.2013",Podcasts!$E$10:$E$2535,"&lt;01.01.2014")</f>
        <v>0</v>
      </c>
      <c r="EA376" s="243">
        <f>COUNTIFS(Podcasts!$D$10:$D$2535,"="&amp;EA$373,Podcasts!$E$10:$E$2535,"&gt;=1.1.2013",Podcasts!$E$10:$E$2535,"&lt;01.01.2014")</f>
        <v>0</v>
      </c>
      <c r="EB376" s="243">
        <f>COUNTIFS(Podcasts!$D$10:$D$2535,"="&amp;EB$373,Podcasts!$E$10:$E$2535,"&gt;=1.1.2013",Podcasts!$E$10:$E$2535,"&lt;01.01.2014")</f>
        <v>0</v>
      </c>
      <c r="EC376" s="243">
        <f>COUNTIFS(Podcasts!$D$10:$D$2535,"="&amp;EC$373,Podcasts!$E$10:$E$2535,"&gt;=1.1.2013",Podcasts!$E$10:$E$2535,"&lt;01.01.2014")</f>
        <v>0</v>
      </c>
      <c r="ED376" s="243">
        <f>COUNTIFS(Podcasts!$D$10:$D$2535,"="&amp;ED$373,Podcasts!$E$10:$E$2535,"&gt;=1.1.2013",Podcasts!$E$10:$E$2535,"&lt;01.01.2014")</f>
        <v>0</v>
      </c>
      <c r="EE376" s="243">
        <f>COUNTIFS(Podcasts!$D$10:$D$2535,"="&amp;EE$373,Podcasts!$E$10:$E$2535,"&gt;=1.1.2013",Podcasts!$E$10:$E$2535,"&lt;01.01.2014")</f>
        <v>0</v>
      </c>
      <c r="EF376" s="243">
        <f>COUNTIFS(Podcasts!$D$10:$D$2535,"="&amp;EF$373,Podcasts!$E$10:$E$2535,"&gt;=1.1.2013",Podcasts!$E$10:$E$2535,"&lt;01.01.2014")</f>
        <v>0</v>
      </c>
      <c r="EG376" s="243">
        <f>COUNTIFS(Podcasts!$D$10:$D$2535,"="&amp;EG$373,Podcasts!$E$10:$E$2535,"&gt;=1.1.2013",Podcasts!$E$10:$E$2535,"&lt;01.01.2014")</f>
        <v>0</v>
      </c>
      <c r="EH376" s="243">
        <f>COUNTIFS(Podcasts!$D$10:$D$2535,"="&amp;EH$373,Podcasts!$E$10:$E$2535,"&gt;=1.1.2013",Podcasts!$E$10:$E$2535,"&lt;01.01.2014")</f>
        <v>0</v>
      </c>
      <c r="EI376" s="243">
        <f>COUNTIFS(Podcasts!$D$10:$D$2535,"="&amp;EI$373,Podcasts!$E$10:$E$2535,"&gt;=1.1.2013",Podcasts!$E$10:$E$2535,"&lt;01.01.2014")</f>
        <v>0</v>
      </c>
      <c r="EJ376" s="243">
        <f>COUNTIFS(Podcasts!$D$10:$D$2535,"="&amp;EJ$373,Podcasts!$E$10:$E$2535,"&gt;=1.1.2013",Podcasts!$E$10:$E$2535,"&lt;01.01.2014")</f>
        <v>0</v>
      </c>
      <c r="EK376" s="243">
        <f>COUNTIFS(Podcasts!$D$10:$D$2535,"="&amp;EK$373,Podcasts!$E$10:$E$2535,"&gt;=1.1.2013",Podcasts!$E$10:$E$2535,"&lt;01.01.2014")</f>
        <v>0</v>
      </c>
      <c r="EL376" s="243">
        <f>COUNTIFS(Podcasts!$D$10:$D$2535,"="&amp;EL$373,Podcasts!$E$10:$E$2535,"&gt;=1.1.2013",Podcasts!$E$10:$E$2535,"&lt;01.01.2014")</f>
        <v>0</v>
      </c>
      <c r="EM376" s="243">
        <f>COUNTIFS(Podcasts!$D$10:$D$2535,"="&amp;EM$373,Podcasts!$E$10:$E$2535,"&gt;=1.1.2013",Podcasts!$E$10:$E$2535,"&lt;01.01.2014")</f>
        <v>0</v>
      </c>
      <c r="EN376" s="243">
        <f>COUNTIFS(Podcasts!$D$10:$D$2535,"="&amp;EN$373,Podcasts!$E$10:$E$2535,"&gt;=1.1.2013",Podcasts!$E$10:$E$2535,"&lt;01.01.2014")</f>
        <v>0</v>
      </c>
      <c r="EO376" s="243">
        <f>COUNTIFS(Podcasts!$D$10:$D$2535,"="&amp;EO$373,Podcasts!$E$10:$E$2535,"&gt;=1.1.2013",Podcasts!$E$10:$E$2535,"&lt;01.01.2014")</f>
        <v>0</v>
      </c>
      <c r="EP376" s="243">
        <f>COUNTIFS(Podcasts!$D$10:$D$2535,"="&amp;EP$373,Podcasts!$E$10:$E$2535,"&gt;=1.1.2013",Podcasts!$E$10:$E$2535,"&lt;01.01.2014")</f>
        <v>0</v>
      </c>
      <c r="EQ376" s="243">
        <f>COUNTIFS(Podcasts!$D$10:$D$2535,"="&amp;EQ$373,Podcasts!$E$10:$E$2535,"&gt;=1.1.2013",Podcasts!$E$10:$E$2535,"&lt;01.01.2014")</f>
        <v>0</v>
      </c>
      <c r="ER376" s="243">
        <f>COUNTIFS(Podcasts!$D$10:$D$2535,"="&amp;ER$373,Podcasts!$E$10:$E$2535,"&gt;=1.1.2013",Podcasts!$E$10:$E$2535,"&lt;01.01.2014")</f>
        <v>0</v>
      </c>
      <c r="ES376" s="243">
        <f>COUNTIFS(Podcasts!$D$10:$D$2535,"="&amp;ES$373,Podcasts!$E$10:$E$2535,"&gt;=1.1.2013",Podcasts!$E$10:$E$2535,"&lt;01.01.2014")</f>
        <v>0</v>
      </c>
      <c r="ET376" s="243">
        <f>COUNTIFS(Podcasts!$D$10:$D$2535,"="&amp;ET$373,Podcasts!$E$10:$E$2535,"&gt;=1.1.2013",Podcasts!$E$10:$E$2535,"&lt;01.01.2014")</f>
        <v>0</v>
      </c>
      <c r="EU376" s="243">
        <f>COUNTIFS(Podcasts!$D$10:$D$2535,"="&amp;EU$373,Podcasts!$E$10:$E$2535,"&gt;=1.1.2013",Podcasts!$E$10:$E$2535,"&lt;01.01.2014")</f>
        <v>0</v>
      </c>
      <c r="EV376" s="243">
        <f>COUNTIFS(Podcasts!$D$10:$D$2535,"="&amp;EV$373,Podcasts!$E$10:$E$2535,"&gt;=1.1.2013",Podcasts!$E$10:$E$2535,"&lt;01.01.2014")</f>
        <v>0</v>
      </c>
      <c r="EW376" s="243">
        <f>COUNTIFS(Podcasts!$D$10:$D$2535,"="&amp;EW$373,Podcasts!$E$10:$E$2535,"&gt;=1.1.2013",Podcasts!$E$10:$E$2535,"&lt;01.01.2014")</f>
        <v>0</v>
      </c>
      <c r="EX376" s="243">
        <f>COUNTIFS(Podcasts!$D$10:$D$2535,"="&amp;EX$373,Podcasts!$E$10:$E$2535,"&gt;=1.1.2013",Podcasts!$E$10:$E$2535,"&lt;01.01.2014")</f>
        <v>0</v>
      </c>
      <c r="EY376" s="243">
        <f>COUNTIFS(Podcasts!$D$10:$D$2535,"="&amp;EY$373,Podcasts!$E$10:$E$2535,"&gt;=1.1.2013",Podcasts!$E$10:$E$2535,"&lt;01.01.2014")</f>
        <v>0</v>
      </c>
      <c r="EZ376" s="243">
        <f>COUNTIFS(Podcasts!$D$10:$D$2535,"="&amp;EZ$373,Podcasts!$E$10:$E$2535,"&gt;=1.1.2013",Podcasts!$E$10:$E$2535,"&lt;01.01.2014")</f>
        <v>0</v>
      </c>
      <c r="FA376" s="243">
        <f>COUNTIFS(Podcasts!$D$10:$D$2535,"="&amp;FA$373,Podcasts!$E$10:$E$2535,"&gt;=1.1.2013",Podcasts!$E$10:$E$2535,"&lt;01.01.2014")</f>
        <v>0</v>
      </c>
      <c r="FB376" s="243">
        <f>COUNTIFS(Podcasts!$D$10:$D$2535,"="&amp;FB$373,Podcasts!$E$10:$E$2535,"&gt;=1.1.2013",Podcasts!$E$10:$E$2535,"&lt;01.01.2014")</f>
        <v>0</v>
      </c>
      <c r="FC376" s="243">
        <f>COUNTIFS(Podcasts!$D$10:$D$2535,"="&amp;FC$373,Podcasts!$E$10:$E$2535,"&gt;=1.1.2013",Podcasts!$E$10:$E$2535,"&lt;01.01.2014")</f>
        <v>0</v>
      </c>
      <c r="FD376" s="243">
        <f>COUNTIFS(Podcasts!$D$10:$D$2535,"="&amp;FD$373,Podcasts!$E$10:$E$2535,"&gt;=1.1.2013",Podcasts!$E$10:$E$2535,"&lt;01.01.2014")</f>
        <v>0</v>
      </c>
      <c r="FE376" s="243">
        <f>COUNTIFS(Podcasts!$D$10:$D$2535,"="&amp;FE$373,Podcasts!$E$10:$E$2535,"&gt;=1.1.2013",Podcasts!$E$10:$E$2535,"&lt;01.01.2014")</f>
        <v>0</v>
      </c>
      <c r="FF376" s="243">
        <f>COUNTIFS(Podcasts!$D$10:$D$2535,"="&amp;FF$373,Podcasts!$E$10:$E$2535,"&gt;=1.1.2013",Podcasts!$E$10:$E$2535,"&lt;01.01.2014")</f>
        <v>1</v>
      </c>
      <c r="FG376" s="243">
        <f>COUNTIFS(Podcasts!$D$10:$D$2535,"="&amp;FG$373,Podcasts!$E$10:$E$2535,"&gt;=1.1.2013",Podcasts!$E$10:$E$2535,"&lt;01.01.2014")</f>
        <v>2</v>
      </c>
      <c r="FH376" s="243">
        <f>COUNTIFS(Podcasts!$D$10:$D$2535,"="&amp;FH$373,Podcasts!$E$10:$E$2535,"&gt;=1.1.2013",Podcasts!$E$10:$E$2535,"&lt;01.01.2014")</f>
        <v>1</v>
      </c>
      <c r="FI376" s="243">
        <f>COUNTIFS(Podcasts!$D$10:$D$2535,"="&amp;FI$373,Podcasts!$E$10:$E$2535,"&gt;=1.1.2013",Podcasts!$E$10:$E$2535,"&lt;01.01.2014")</f>
        <v>1</v>
      </c>
      <c r="FJ376" s="243">
        <f>COUNTIFS(Podcasts!$D$10:$D$2535,"="&amp;FJ$373,Podcasts!$E$10:$E$2535,"&gt;=1.1.2013",Podcasts!$E$10:$E$2535,"&lt;01.01.2014")</f>
        <v>2</v>
      </c>
      <c r="FK376" s="243">
        <f>COUNTIFS(Podcasts!$D$10:$D$2535,"="&amp;FK$373,Podcasts!$E$10:$E$2535,"&gt;=1.1.2013",Podcasts!$E$10:$E$2535,"&lt;01.01.2014")</f>
        <v>2</v>
      </c>
      <c r="FL376" s="243">
        <f>COUNTIFS(Podcasts!$D$10:$D$2535,"="&amp;FL$373,Podcasts!$E$10:$E$2535,"&gt;=1.1.2013",Podcasts!$E$10:$E$2535,"&lt;01.01.2014")</f>
        <v>2</v>
      </c>
      <c r="FM376" s="243">
        <f>COUNTIFS(Podcasts!$D$10:$D$2535,"="&amp;FM$373,Podcasts!$E$10:$E$2535,"&gt;=1.1.2013",Podcasts!$E$10:$E$2535,"&lt;01.01.2014")</f>
        <v>2</v>
      </c>
      <c r="FN376" s="243">
        <f>COUNTIFS(Podcasts!$D$10:$D$2535,"="&amp;FN$373,Podcasts!$E$10:$E$2535,"&gt;=1.1.2013",Podcasts!$E$10:$E$2535,"&lt;01.01.2014")</f>
        <v>0</v>
      </c>
      <c r="FO376" s="243">
        <f>COUNTIFS(Podcasts!$D$10:$D$2535,"="&amp;FO$373,Podcasts!$E$10:$E$2535,"&gt;=1.1.2013",Podcasts!$E$10:$E$2535,"&lt;01.01.2014")</f>
        <v>0</v>
      </c>
      <c r="FP376" s="243">
        <f>COUNTIFS(Podcasts!$D$10:$D$2535,"="&amp;FP$373,Podcasts!$E$10:$E$2535,"&gt;=1.1.2013",Podcasts!$E$10:$E$2535,"&lt;01.01.2014")</f>
        <v>0</v>
      </c>
      <c r="FQ376" s="243">
        <f>COUNTIFS(Podcasts!$D$10:$D$2535,"="&amp;FQ$373,Podcasts!$E$10:$E$2535,"&gt;=1.1.2013",Podcasts!$E$10:$E$2535,"&lt;01.01.2014")</f>
        <v>0</v>
      </c>
      <c r="FR376" s="243">
        <f>COUNTIFS(Podcasts!$D$10:$D$2535,"="&amp;FR$373,Podcasts!$E$10:$E$2535,"&gt;=1.1.2013",Podcasts!$E$10:$E$2535,"&lt;01.01.2014")</f>
        <v>0</v>
      </c>
      <c r="FS376" s="243">
        <f>COUNTIFS(Podcasts!$D$10:$D$2535,"="&amp;FS$373,Podcasts!$E$10:$E$2535,"&gt;=1.1.2013",Podcasts!$E$10:$E$2535,"&lt;01.01.2014")</f>
        <v>0</v>
      </c>
      <c r="FT376" s="243">
        <f>COUNTIFS(Podcasts!$D$10:$D$2535,"="&amp;FT$373,Podcasts!$E$10:$E$2535,"&gt;=1.1.2013",Podcasts!$E$10:$E$2535,"&lt;01.01.2014")</f>
        <v>0</v>
      </c>
      <c r="FU376" s="243">
        <f>COUNTIFS(Podcasts!$D$10:$D$2535,"="&amp;FU$373,Podcasts!$E$10:$E$2535,"&gt;=1.1.2013",Podcasts!$E$10:$E$2535,"&lt;01.01.2014")</f>
        <v>0</v>
      </c>
      <c r="FV376" s="243">
        <f>COUNTIFS(Podcasts!$D$10:$D$2535,"="&amp;FV$373,Podcasts!$E$10:$E$2535,"&gt;=1.1.2013",Podcasts!$E$10:$E$2535,"&lt;01.01.2014")</f>
        <v>0</v>
      </c>
      <c r="FW376" s="243">
        <f>COUNTIFS(Podcasts!$D$10:$D$2535,"="&amp;FW$373,Podcasts!$E$10:$E$2535,"&gt;=1.1.2013",Podcasts!$E$10:$E$2535,"&lt;01.01.2014")</f>
        <v>0</v>
      </c>
      <c r="FX376" s="243">
        <f>COUNTIFS(Podcasts!$D$10:$D$2535,"="&amp;FX$373,Podcasts!$E$10:$E$2535,"&gt;=1.1.2013",Podcasts!$E$10:$E$2535,"&lt;01.01.2014")</f>
        <v>0</v>
      </c>
      <c r="FY376" s="243">
        <f>COUNTIFS(Podcasts!$D$10:$D$2535,"="&amp;FY$373,Podcasts!$E$10:$E$2535,"&gt;=1.1.2013",Podcasts!$E$10:$E$2535,"&lt;01.01.2014")</f>
        <v>0</v>
      </c>
      <c r="FZ376" s="243">
        <f>COUNTIFS(Podcasts!$D$10:$D$2535,"="&amp;FZ$373,Podcasts!$E$10:$E$2535,"&gt;=1.1.2013",Podcasts!$E$10:$E$2535,"&lt;01.01.2014")</f>
        <v>0</v>
      </c>
      <c r="GA376" s="243">
        <f>COUNTIFS(Podcasts!$D$10:$D$2535,"="&amp;GA$373,Podcasts!$E$10:$E$2535,"&gt;=1.1.2013",Podcasts!$E$10:$E$2535,"&lt;01.01.2014")</f>
        <v>0</v>
      </c>
      <c r="GB376" s="243">
        <f>COUNTIFS(Podcasts!$D$10:$D$2535,"="&amp;GB$373,Podcasts!$E$10:$E$2535,"&gt;=1.1.2013",Podcasts!$E$10:$E$2535,"&lt;01.01.2014")</f>
        <v>0</v>
      </c>
      <c r="GC376" s="243">
        <f>COUNTIFS(Podcasts!$D$10:$D$2535,"="&amp;GC$373,Podcasts!$E$10:$E$2535,"&gt;=1.1.2013",Podcasts!$E$10:$E$2535,"&lt;01.01.2014")</f>
        <v>0</v>
      </c>
      <c r="GD376" s="243">
        <f>COUNTIFS(Podcasts!$D$10:$D$2535,"="&amp;GD$373,Podcasts!$E$10:$E$2535,"&gt;=1.1.2013",Podcasts!$E$10:$E$2535,"&lt;01.01.2014")</f>
        <v>0</v>
      </c>
      <c r="GE376" s="243">
        <f>COUNTIFS(Podcasts!$D$10:$D$2535,"="&amp;GE$373,Podcasts!$E$10:$E$2535,"&gt;=1.1.2013",Podcasts!$E$10:$E$2535,"&lt;01.01.2014")</f>
        <v>0</v>
      </c>
      <c r="GF376" s="243">
        <f>COUNTIFS(Podcasts!$D$10:$D$2535,"="&amp;GF$373,Podcasts!$E$10:$E$2535,"&gt;=1.1.2013",Podcasts!$E$10:$E$2535,"&lt;01.01.2014")</f>
        <v>0</v>
      </c>
      <c r="GG376" s="243">
        <f>COUNTIFS(Podcasts!$D$10:$D$2535,"="&amp;GG$373,Podcasts!$E$10:$E$2535,"&gt;=1.1.2013",Podcasts!$E$10:$E$2535,"&lt;01.01.2014")</f>
        <v>0</v>
      </c>
      <c r="GH376" s="243">
        <f>COUNTIFS(Podcasts!$D$10:$D$2535,"="&amp;GH$373,Podcasts!$E$10:$E$2535,"&gt;=1.1.2013",Podcasts!$E$10:$E$2535,"&lt;01.01.2014")</f>
        <v>0</v>
      </c>
      <c r="GI376" s="243">
        <f>COUNTIFS(Podcasts!$D$10:$D$2535,"="&amp;GI$373,Podcasts!$E$10:$E$2535,"&gt;=1.1.2013",Podcasts!$E$10:$E$2535,"&lt;01.01.2014")</f>
        <v>0</v>
      </c>
      <c r="GJ376" s="243">
        <f>COUNTIFS(Podcasts!$D$10:$D$2535,"="&amp;GJ$373,Podcasts!$E$10:$E$2535,"&gt;=1.1.2013",Podcasts!$E$10:$E$2535,"&lt;01.01.2014")</f>
        <v>0</v>
      </c>
      <c r="GK376" s="243">
        <f>COUNTIFS(Podcasts!$D$10:$D$2535,"="&amp;GK$373,Podcasts!$E$10:$E$2535,"&gt;=1.1.2013",Podcasts!$E$10:$E$2535,"&lt;01.01.2014")</f>
        <v>0</v>
      </c>
      <c r="GL376" s="243">
        <f>COUNTIFS(Podcasts!$D$10:$D$2535,"="&amp;GL$373,Podcasts!$E$10:$E$2535,"&gt;=1.1.2013",Podcasts!$E$10:$E$2535,"&lt;01.01.2014")</f>
        <v>0</v>
      </c>
      <c r="GM376" s="243">
        <f>COUNTIFS(Podcasts!$D$10:$D$2535,"="&amp;GM$373,Podcasts!$E$10:$E$2535,"&gt;=1.1.2013",Podcasts!$E$10:$E$2535,"&lt;01.01.2014")</f>
        <v>0</v>
      </c>
      <c r="GN376" s="243">
        <f>COUNTIFS(Podcasts!$D$10:$D$2535,"="&amp;GN$373,Podcasts!$E$10:$E$2535,"&gt;=1.1.2013",Podcasts!$E$10:$E$2535,"&lt;01.01.2014")</f>
        <v>0</v>
      </c>
      <c r="GO376" s="243">
        <f>COUNTIFS(Podcasts!$D$10:$D$2535,"="&amp;GO$373,Podcasts!$E$10:$E$2535,"&gt;=1.1.2013",Podcasts!$E$10:$E$2535,"&lt;01.01.2014")</f>
        <v>0</v>
      </c>
      <c r="GP376" s="243">
        <f>COUNTIFS(Podcasts!$D$10:$D$2535,"="&amp;GP$373,Podcasts!$E$10:$E$2535,"&gt;=1.1.2013",Podcasts!$E$10:$E$2535,"&lt;01.01.2014")</f>
        <v>0</v>
      </c>
      <c r="GQ376" s="243">
        <f>COUNTIFS(Podcasts!$D$10:$D$2535,"="&amp;GQ$373,Podcasts!$E$10:$E$2535,"&gt;=1.1.2013",Podcasts!$E$10:$E$2535,"&lt;01.01.2014")</f>
        <v>0</v>
      </c>
      <c r="GR376" s="243">
        <f>COUNTIFS(Podcasts!$D$10:$D$2535,"="&amp;GR$373,Podcasts!$E$10:$E$2535,"&gt;=1.1.2013",Podcasts!$E$10:$E$2535,"&lt;01.01.2014")</f>
        <v>0</v>
      </c>
      <c r="GS376" s="243">
        <f>COUNTIFS(Podcasts!$D$10:$D$2535,"="&amp;GS$373,Podcasts!$E$10:$E$2535,"&gt;=1.1.2013",Podcasts!$E$10:$E$2535,"&lt;01.01.2014")</f>
        <v>0</v>
      </c>
      <c r="GT376" s="243">
        <f>COUNTIFS(Podcasts!$D$10:$D$2535,"="&amp;GT$373,Podcasts!$E$10:$E$2535,"&gt;=1.1.2013",Podcasts!$E$10:$E$2535,"&lt;01.01.2014")</f>
        <v>0</v>
      </c>
      <c r="GU376" s="243">
        <f>COUNTIFS(Podcasts!$D$10:$D$2535,"="&amp;GU$373,Podcasts!$E$10:$E$2535,"&gt;=1.1.2013",Podcasts!$E$10:$E$2535,"&lt;01.01.2014")</f>
        <v>0</v>
      </c>
      <c r="GV376" s="243">
        <f>COUNTIFS(Podcasts!$D$10:$D$2535,"="&amp;GV$373,Podcasts!$E$10:$E$2535,"&gt;=1.1.2013",Podcasts!$E$10:$E$2535,"&lt;01.01.2014")</f>
        <v>0</v>
      </c>
      <c r="GW376" s="243">
        <f>COUNTIFS(Podcasts!$D$10:$D$2535,"="&amp;GW$373,Podcasts!$E$10:$E$2535,"&gt;=1.1.2013",Podcasts!$E$10:$E$2535,"&lt;01.01.2014")</f>
        <v>0</v>
      </c>
      <c r="GX376" s="243">
        <f>COUNTIFS(Podcasts!$D$10:$D$2535,"="&amp;GX$373,Podcasts!$E$10:$E$2535,"&gt;=1.1.2013",Podcasts!$E$10:$E$2535,"&lt;01.01.2014")</f>
        <v>0</v>
      </c>
      <c r="GY376" s="243">
        <f>COUNTIFS(Podcasts!$D$10:$D$2535,"="&amp;GY$373,Podcasts!$E$10:$E$2535,"&gt;=1.1.2013",Podcasts!$E$10:$E$2535,"&lt;01.01.2014")</f>
        <v>0</v>
      </c>
      <c r="GZ376" s="243">
        <f>COUNTIFS(Podcasts!$D$10:$D$2535,"="&amp;GZ$373,Podcasts!$E$10:$E$2535,"&gt;=1.1.2013",Podcasts!$E$10:$E$2535,"&lt;01.01.2014")</f>
        <v>0</v>
      </c>
      <c r="HA376" s="243">
        <f>COUNTIFS(Podcasts!$D$10:$D$2535,"="&amp;HA$373,Podcasts!$E$10:$E$2535,"&gt;=1.1.2013",Podcasts!$E$10:$E$2535,"&lt;01.01.2014")</f>
        <v>0</v>
      </c>
      <c r="HB376" s="243">
        <f>COUNTIFS(Podcasts!$D$10:$D$2535,"="&amp;HB$373,Podcasts!$E$10:$E$2535,"&gt;=1.1.2013",Podcasts!$E$10:$E$2535,"&lt;01.01.2014")</f>
        <v>0</v>
      </c>
      <c r="HC376" s="243">
        <f>COUNTIFS(Podcasts!$D$10:$D$2535,"="&amp;HC$373,Podcasts!$E$10:$E$2535,"&gt;=1.1.2013",Podcasts!$E$10:$E$2535,"&lt;01.01.2014")</f>
        <v>0</v>
      </c>
      <c r="HD376" s="243">
        <f>COUNTIFS(Podcasts!$D$10:$D$2535,"="&amp;HD$373,Podcasts!$E$10:$E$2535,"&gt;=1.1.2013",Podcasts!$E$10:$E$2535,"&lt;01.01.2014")</f>
        <v>0</v>
      </c>
      <c r="HE376" s="243">
        <f>COUNTIFS(Podcasts!$D$10:$D$2535,"="&amp;HE$373,Podcasts!$E$10:$E$2535,"&gt;=1.1.2013",Podcasts!$E$10:$E$2535,"&lt;01.01.2014")</f>
        <v>0</v>
      </c>
      <c r="HF376" s="243">
        <f>COUNTIFS(Podcasts!$D$10:$D$2535,"="&amp;HF$373,Podcasts!$E$10:$E$2535,"&gt;=1.1.2013",Podcasts!$E$10:$E$2535,"&lt;01.01.2014")</f>
        <v>0</v>
      </c>
      <c r="HG376" s="243">
        <f>COUNTIFS(Podcasts!$D$10:$D$2535,"="&amp;HG$373,Podcasts!$E$10:$E$2535,"&gt;=1.1.2013",Podcasts!$E$10:$E$2535,"&lt;01.01.2014")</f>
        <v>0</v>
      </c>
      <c r="HH376" s="243">
        <f>COUNTIFS(Podcasts!$D$10:$D$2535,"="&amp;HH$373,Podcasts!$E$10:$E$2535,"&gt;=1.1.2013",Podcasts!$E$10:$E$2535,"&lt;01.01.2014")</f>
        <v>0</v>
      </c>
      <c r="HI376" s="243">
        <f>COUNTIFS(Podcasts!$D$10:$D$2535,"="&amp;HI$373,Podcasts!$E$10:$E$2535,"&gt;=1.1.2013",Podcasts!$E$10:$E$2535,"&lt;01.01.2014")</f>
        <v>0</v>
      </c>
      <c r="HJ376" s="243">
        <f>COUNTIFS(Podcasts!$D$10:$D$2535,"="&amp;HJ$373,Podcasts!$E$10:$E$2535,"&gt;=1.1.2013",Podcasts!$E$10:$E$2535,"&lt;01.01.2014")</f>
        <v>0</v>
      </c>
      <c r="HK376" s="243">
        <f>COUNTIFS(Podcasts!$D$10:$D$2535,"="&amp;HK$373,Podcasts!$E$10:$E$2535,"&gt;=1.1.2013",Podcasts!$E$10:$E$2535,"&lt;01.01.2014")</f>
        <v>0</v>
      </c>
      <c r="HL376" s="243">
        <f>COUNTIFS(Podcasts!$D$10:$D$2535,"="&amp;HL$373,Podcasts!$E$10:$E$2535,"&gt;=1.1.2013",Podcasts!$E$10:$E$2535,"&lt;01.01.2014")</f>
        <v>0</v>
      </c>
      <c r="HM376" s="243">
        <f>COUNTIFS(Podcasts!$D$10:$D$2535,"="&amp;HM$373,Podcasts!$E$10:$E$2535,"&gt;=1.1.2013",Podcasts!$E$10:$E$2535,"&lt;01.01.2014")</f>
        <v>0</v>
      </c>
      <c r="HN376" s="243">
        <f>COUNTIFS(Podcasts!$D$10:$D$2535,"="&amp;HN$373,Podcasts!$E$10:$E$2535,"&gt;=1.1.2013",Podcasts!$E$10:$E$2535,"&lt;01.01.2014")</f>
        <v>0</v>
      </c>
      <c r="HO376" s="243">
        <f>COUNTIFS(Podcasts!$D$10:$D$2535,"="&amp;HO$373,Podcasts!$E$10:$E$2535,"&gt;=1.1.2013",Podcasts!$E$10:$E$2535,"&lt;01.01.2014")</f>
        <v>0</v>
      </c>
      <c r="HP376" s="243">
        <f>COUNTIFS(Podcasts!$D$10:$D$2535,"="&amp;HP$373,Podcasts!$E$10:$E$2535,"&gt;=1.1.2013",Podcasts!$E$10:$E$2535,"&lt;01.01.2014")</f>
        <v>0</v>
      </c>
      <c r="HQ376" s="243">
        <f>COUNTIFS(Podcasts!$D$10:$D$2535,"="&amp;HQ$373,Podcasts!$E$10:$E$2535,"&gt;=1.1.2013",Podcasts!$E$10:$E$2535,"&lt;01.01.2014")</f>
        <v>0</v>
      </c>
      <c r="HR376" s="243">
        <f>COUNTIFS(Podcasts!$D$10:$D$2535,"="&amp;HR$373,Podcasts!$E$10:$E$2535,"&gt;=1.1.2013",Podcasts!$E$10:$E$2535,"&lt;01.01.2014")</f>
        <v>0</v>
      </c>
      <c r="HS376" s="243">
        <f>COUNTIFS(Podcasts!$D$10:$D$2535,"="&amp;HS$373,Podcasts!$E$10:$E$2535,"&gt;=1.1.2013",Podcasts!$E$10:$E$2535,"&lt;01.01.2014")</f>
        <v>0</v>
      </c>
      <c r="HT376" s="243">
        <f>COUNTIFS(Podcasts!$D$10:$D$2535,"="&amp;HT$373,Podcasts!$E$10:$E$2535,"&gt;=1.1.2013",Podcasts!$E$10:$E$2535,"&lt;01.01.2014")</f>
        <v>0</v>
      </c>
      <c r="HU376" s="243">
        <f>COUNTIFS(Podcasts!$D$10:$D$2535,"="&amp;HU$373,Podcasts!$E$10:$E$2535,"&gt;=1.1.2013",Podcasts!$E$10:$E$2535,"&lt;01.01.2014")</f>
        <v>0</v>
      </c>
      <c r="HV376" s="243">
        <f>COUNTIFS(Podcasts!$D$10:$D$2535,"="&amp;HV$373,Podcasts!$E$10:$E$2535,"&gt;=1.1.2013",Podcasts!$E$10:$E$2535,"&lt;01.01.2014")</f>
        <v>0</v>
      </c>
      <c r="HW376" s="243">
        <f>COUNTIFS(Podcasts!$D$10:$D$2535,"="&amp;HW$373,Podcasts!$E$10:$E$2535,"&gt;=1.1.2013",Podcasts!$E$10:$E$2535,"&lt;01.01.2014")</f>
        <v>0</v>
      </c>
      <c r="HX376" s="243">
        <f>COUNTIFS(Podcasts!$D$10:$D$2535,"="&amp;HX$373,Podcasts!$E$10:$E$2535,"&gt;=1.1.2013",Podcasts!$E$10:$E$2535,"&lt;01.01.2014")</f>
        <v>0</v>
      </c>
      <c r="HY376" s="243">
        <f>COUNTIFS(Podcasts!$D$10:$D$2535,"="&amp;HY$373,Podcasts!$E$10:$E$2535,"&gt;=1.1.2013",Podcasts!$E$10:$E$2535,"&lt;01.01.2014")</f>
        <v>0</v>
      </c>
      <c r="HZ376" s="243">
        <f>COUNTIFS(Podcasts!$D$10:$D$2535,"="&amp;HZ$373,Podcasts!$E$10:$E$2535,"&gt;=1.1.2013",Podcasts!$E$10:$E$2535,"&lt;01.01.2014")</f>
        <v>0</v>
      </c>
    </row>
    <row r="377" spans="1:234">
      <c r="A377" s="28"/>
      <c r="B377" s="28"/>
      <c r="C377" s="463">
        <v>2019</v>
      </c>
      <c r="D377" s="28"/>
      <c r="E377" s="243">
        <f>COUNTIFS(Podcasts!$D$10:$D$2535,"="&amp;E$373,Podcasts!$E$10:$E$2535,"&gt;=1.1.2014",Podcasts!$E$10:$E$2535,"&lt;01.01.2015")</f>
        <v>1</v>
      </c>
      <c r="F377" s="243">
        <f>COUNTIFS(Podcasts!$D$10:$D$2535,"="&amp;F$373,Podcasts!$E$10:$E$2535,"&gt;=1.1.2014",Podcasts!$E$10:$E$2535,"&lt;01.01.2015")</f>
        <v>0</v>
      </c>
      <c r="G377" s="243">
        <f>COUNTIFS(Podcasts!$D$10:$D$2535,"="&amp;G$373,Podcasts!$E$10:$E$2535,"&gt;=1.1.2014",Podcasts!$E$10:$E$2535,"&lt;01.01.2015")</f>
        <v>0</v>
      </c>
      <c r="H377" s="243">
        <f>COUNTIFS(Podcasts!$D$10:$D$2535,"="&amp;H$373,Podcasts!$E$10:$E$2535,"&gt;=1.1.2014",Podcasts!$E$10:$E$2535,"&lt;01.01.2015")</f>
        <v>1</v>
      </c>
      <c r="I377" s="243">
        <f>COUNTIFS(Podcasts!$D$10:$D$2535,"="&amp;I$373,Podcasts!$E$10:$E$2535,"&gt;=1.1.2014",Podcasts!$E$10:$E$2535,"&lt;01.01.2015")</f>
        <v>2</v>
      </c>
      <c r="J377" s="243">
        <f>COUNTIFS(Podcasts!$D$10:$D$2535,"="&amp;J$373,Podcasts!$E$10:$E$2535,"&gt;=1.1.2014",Podcasts!$E$10:$E$2535,"&lt;01.01.2015")</f>
        <v>2</v>
      </c>
      <c r="K377" s="243">
        <f>COUNTIFS(Podcasts!$D$10:$D$2535,"="&amp;K$373,Podcasts!$E$10:$E$2535,"&gt;=1.1.2014",Podcasts!$E$10:$E$2535,"&lt;01.01.2015")</f>
        <v>0</v>
      </c>
      <c r="L377" s="243">
        <f>COUNTIFS(Podcasts!$D$10:$D$2535,"="&amp;L$373,Podcasts!$E$10:$E$2535,"&gt;=1.1.2014",Podcasts!$E$10:$E$2535,"&lt;01.01.2015")</f>
        <v>0</v>
      </c>
      <c r="M377" s="285">
        <f>COUNTIFS(Podcasts!$D$10:$D$2535,"="&amp;M$373,Podcasts!$E$10:$E$2535,"&gt;=1.1.2014",Podcasts!$E$10:$E$2535,"&lt;01.01.2015")</f>
        <v>1</v>
      </c>
      <c r="N377" s="285">
        <f>COUNTIFS(Podcasts!$D$10:$D$2535,"="&amp;N$373,Podcasts!$E$10:$E$2535,"&gt;=1.1.2014",Podcasts!$E$10:$E$2535,"&lt;01.01.2015")</f>
        <v>1</v>
      </c>
      <c r="O377" s="243">
        <f>COUNTIFS(Podcasts!$D$10:$D$2535,"="&amp;O$373,Podcasts!$E$10:$E$2535,"&gt;=1.1.2014",Podcasts!$E$10:$E$2535,"&lt;01.01.2015")-1</f>
        <v>1</v>
      </c>
      <c r="P377" s="243">
        <f>COUNTIFS(Podcasts!$D$10:$D$2535,"="&amp;P$373,Podcasts!$E$10:$E$2535,"&gt;=1.1.2014",Podcasts!$E$10:$E$2535,"&lt;01.01.2015")</f>
        <v>1</v>
      </c>
      <c r="Q377" s="243">
        <f>COUNTIFS(Podcasts!$D$10:$D$2535,"="&amp;Q$373,Podcasts!$E$10:$E$2535,"&gt;=1.1.2014",Podcasts!$E$10:$E$2535,"&lt;01.01.2015")</f>
        <v>1</v>
      </c>
      <c r="R377" s="243">
        <f>COUNTIFS(Podcasts!$D$10:$D$2535,"="&amp;R$373,Podcasts!$E$10:$E$2535,"&gt;=1.1.2014",Podcasts!$E$10:$E$2535,"&lt;01.01.2015")</f>
        <v>1</v>
      </c>
      <c r="S377" s="243">
        <f>COUNTIFS(Podcasts!$D$10:$D$2535,"="&amp;S$373,Podcasts!$E$10:$E$2535,"&gt;=1.1.2014",Podcasts!$E$10:$E$2535,"&lt;01.01.2015")</f>
        <v>0</v>
      </c>
      <c r="T377" s="243">
        <f>COUNTIFS(Podcasts!$D$10:$D$2535,"="&amp;T$373,Podcasts!$E$10:$E$2535,"&gt;=1.1.2014",Podcasts!$E$10:$E$2535,"&lt;01.01.2015")</f>
        <v>1</v>
      </c>
      <c r="U377" s="243">
        <f>COUNTIFS(Podcasts!$D$10:$D$2535,"="&amp;U$373,Podcasts!$E$10:$E$2535,"&gt;=1.1.2014",Podcasts!$E$10:$E$2535,"&lt;01.01.2015")</f>
        <v>0</v>
      </c>
      <c r="V377" s="243">
        <f>COUNTIFS(Podcasts!$D$10:$D$2535,"="&amp;V$373,Podcasts!$E$10:$E$2535,"&gt;=1.1.2014",Podcasts!$E$10:$E$2535,"&lt;01.01.2015")</f>
        <v>0</v>
      </c>
      <c r="W377" s="243">
        <f>COUNTIFS(Podcasts!$D$10:$D$2535,"="&amp;W$373,Podcasts!$E$10:$E$2535,"&gt;=1.1.2014",Podcasts!$E$10:$E$2535,"&lt;01.01.2015")</f>
        <v>1</v>
      </c>
      <c r="X377" s="243">
        <f>COUNTIFS(Podcasts!$D$10:$D$2535,"="&amp;X$373,Podcasts!$E$10:$E$2535,"&gt;=1.1.2014",Podcasts!$E$10:$E$2535,"&lt;01.01.2015")</f>
        <v>1</v>
      </c>
      <c r="Y377" s="243">
        <f>COUNTIFS(Podcasts!$D$10:$D$2535,"="&amp;Y$373,Podcasts!$E$10:$E$2535,"&gt;=1.1.2014",Podcasts!$E$10:$E$2535,"&lt;01.01.2015")</f>
        <v>0</v>
      </c>
      <c r="Z377" s="243">
        <f>COUNTIFS(Podcasts!$D$10:$D$2535,"="&amp;Z$373,Podcasts!$E$10:$E$2535,"&gt;=1.1.2014",Podcasts!$E$10:$E$2535,"&lt;01.01.2015")</f>
        <v>1</v>
      </c>
      <c r="AA377" s="243">
        <f>COUNTIFS(Podcasts!$D$10:$D$2535,"="&amp;AA$373,Podcasts!$E$10:$E$2535,"&gt;=1.1.2014",Podcasts!$E$10:$E$2535,"&lt;01.01.2015")</f>
        <v>1</v>
      </c>
      <c r="AB377" s="243">
        <f>COUNTIFS(Podcasts!$D$10:$D$2535,"="&amp;AB$373,Podcasts!$E$10:$E$2535,"&gt;=1.1.2014",Podcasts!$E$10:$E$2535,"&lt;01.01.2015")</f>
        <v>2</v>
      </c>
      <c r="AC377" s="243">
        <f>COUNTIFS(Podcasts!$D$10:$D$2535,"="&amp;AC$373,Podcasts!$E$10:$E$2535,"&gt;=1.1.2014",Podcasts!$E$10:$E$2535,"&lt;01.01.2015")</f>
        <v>0</v>
      </c>
      <c r="AD377" s="243">
        <f>COUNTIFS(Podcasts!$D$10:$D$2535,"="&amp;AD$373,Podcasts!$E$10:$E$2535,"&gt;=1.1.2014",Podcasts!$E$10:$E$2535,"&lt;01.01.2015")</f>
        <v>0</v>
      </c>
      <c r="AE377" s="243">
        <f>COUNTIFS(Podcasts!$D$10:$D$2535,"="&amp;AE$373,Podcasts!$E$10:$E$2535,"&gt;=1.1.2014",Podcasts!$E$10:$E$2535,"&lt;01.01.2015")</f>
        <v>1</v>
      </c>
      <c r="AF377" s="243">
        <f>COUNTIFS(Podcasts!$D$10:$D$2535,"="&amp;AF$373,Podcasts!$E$10:$E$2535,"&gt;=1.1.2014",Podcasts!$E$10:$E$2535,"&lt;01.01.2015")</f>
        <v>1</v>
      </c>
      <c r="AG377" s="243">
        <f>COUNTIFS(Podcasts!$D$10:$D$2535,"="&amp;AG$373,Podcasts!$E$10:$E$2535,"&gt;=1.1.2014",Podcasts!$E$10:$E$2535,"&lt;01.01.2015")-1</f>
        <v>1</v>
      </c>
      <c r="AH377" s="243">
        <f>COUNTIFS(Podcasts!$D$10:$D$2535,"="&amp;AH$373,Podcasts!$E$10:$E$2535,"&gt;=1.1.2014",Podcasts!$E$10:$E$2535,"&lt;01.01.2015")</f>
        <v>1</v>
      </c>
      <c r="AI377" s="243">
        <f>COUNTIFS(Podcasts!$D$10:$D$2535,"="&amp;AI$373,Podcasts!$E$10:$E$2535,"&gt;=1.1.2014",Podcasts!$E$10:$E$2535,"&lt;01.01.2015")</f>
        <v>1</v>
      </c>
      <c r="AJ377" s="243">
        <f>COUNTIFS(Podcasts!$D$10:$D$2535,"="&amp;AJ$373,Podcasts!$E$10:$E$2535,"&gt;=1.1.2014",Podcasts!$E$10:$E$2535,"&lt;01.01.2015")</f>
        <v>0</v>
      </c>
      <c r="AK377" s="243">
        <f>COUNTIFS(Podcasts!$D$10:$D$2535,"="&amp;AK$373,Podcasts!$E$10:$E$2535,"&gt;=1.1.2014",Podcasts!$E$10:$E$2535,"&lt;01.01.2015")</f>
        <v>1</v>
      </c>
      <c r="AL377" s="243">
        <f>COUNTIFS(Podcasts!$D$10:$D$2535,"="&amp;AL$373,Podcasts!$E$10:$E$2535,"&gt;=1.1.2014",Podcasts!$E$10:$E$2535,"&lt;01.01.2015")</f>
        <v>1</v>
      </c>
      <c r="AM377" s="243">
        <f>COUNTIFS(Podcasts!$D$10:$D$2535,"="&amp;AM$373,Podcasts!$E$10:$E$2535,"&gt;=1.1.2014",Podcasts!$E$10:$E$2535,"&lt;01.01.2015")</f>
        <v>0</v>
      </c>
      <c r="AN377" s="243">
        <f>COUNTIFS(Podcasts!$D$10:$D$2535,"="&amp;AN$373,Podcasts!$E$10:$E$2535,"&gt;=1.1.2014",Podcasts!$E$10:$E$2535,"&lt;01.01.2015")</f>
        <v>1</v>
      </c>
      <c r="AO377" s="243">
        <f>COUNTIFS(Podcasts!$D$10:$D$2535,"="&amp;AO$373,Podcasts!$E$10:$E$2535,"&gt;=1.1.2014",Podcasts!$E$10:$E$2535,"&lt;01.01.2015")</f>
        <v>0</v>
      </c>
      <c r="AP377" s="243">
        <f>COUNTIFS(Podcasts!$D$10:$D$2535,"="&amp;AP$373,Podcasts!$E$10:$E$2535,"&gt;=1.1.2014",Podcasts!$E$10:$E$2535,"&lt;01.01.2015")</f>
        <v>1</v>
      </c>
      <c r="AQ377" s="243">
        <f>COUNTIFS(Podcasts!$D$10:$D$2535,"="&amp;AQ$373,Podcasts!$E$10:$E$2535,"&gt;=1.1.2014",Podcasts!$E$10:$E$2535,"&lt;01.01.2015")</f>
        <v>1</v>
      </c>
      <c r="AR377" s="243">
        <f>COUNTIFS(Podcasts!$D$10:$D$2535,"="&amp;AR$373,Podcasts!$E$10:$E$2535,"&gt;=1.1.2014",Podcasts!$E$10:$E$2535,"&lt;01.01.2015")</f>
        <v>1</v>
      </c>
      <c r="AS377" s="243">
        <f>COUNTIFS(Podcasts!$D$10:$D$2535,"="&amp;AS$373,Podcasts!$E$10:$E$2535,"&gt;=1.1.2014",Podcasts!$E$10:$E$2535,"&lt;01.01.2015")</f>
        <v>0</v>
      </c>
      <c r="AT377" s="243">
        <f>COUNTIFS(Podcasts!$D$10:$D$2535,"="&amp;AT$373,Podcasts!$E$10:$E$2535,"&gt;=1.1.2014",Podcasts!$E$10:$E$2535,"&lt;01.01.2015")</f>
        <v>1</v>
      </c>
      <c r="AU377" s="243">
        <f>COUNTIFS(Podcasts!$D$10:$D$2535,"="&amp;AU$373,Podcasts!$E$10:$E$2535,"&gt;=1.1.2014",Podcasts!$E$10:$E$2535,"&lt;01.01.2015")</f>
        <v>1</v>
      </c>
      <c r="AV377" s="243">
        <f>COUNTIFS(Podcasts!$D$10:$D$2535,"="&amp;AV$373,Podcasts!$E$10:$E$2535,"&gt;=1.1.2014",Podcasts!$E$10:$E$2535,"&lt;01.01.2015")</f>
        <v>1</v>
      </c>
      <c r="AW377" s="243">
        <f>COUNTIFS(Podcasts!$D$10:$D$2535,"="&amp;AW$373,Podcasts!$E$10:$E$2535,"&gt;=1.1.2014",Podcasts!$E$10:$E$2535,"&lt;01.01.2015")</f>
        <v>0</v>
      </c>
      <c r="AX377" s="243">
        <f>COUNTIFS(Podcasts!$D$10:$D$2535,"="&amp;AX$373,Podcasts!$E$10:$E$2535,"&gt;=1.1.2014",Podcasts!$E$10:$E$2535,"&lt;01.01.2015")</f>
        <v>1</v>
      </c>
      <c r="AY377" s="243">
        <f>COUNTIFS(Podcasts!$D$10:$D$2535,"="&amp;AY$373,Podcasts!$E$10:$E$2535,"&gt;=1.1.2014",Podcasts!$E$10:$E$2535,"&lt;01.01.2015")</f>
        <v>0</v>
      </c>
      <c r="AZ377" s="243">
        <f>COUNTIFS(Podcasts!$D$10:$D$2535,"="&amp;AZ$373,Podcasts!$E$10:$E$2535,"&gt;=1.1.2014",Podcasts!$E$10:$E$2535,"&lt;01.01.2015")</f>
        <v>1</v>
      </c>
      <c r="BA377" s="243">
        <f>COUNTIFS(Podcasts!$D$10:$D$2535,"="&amp;BA$373,Podcasts!$E$10:$E$2535,"&gt;=1.1.2014",Podcasts!$E$10:$E$2535,"&lt;01.01.2015")</f>
        <v>1</v>
      </c>
      <c r="BB377" s="243">
        <f>COUNTIFS(Podcasts!$D$10:$D$2535,"="&amp;BB$373,Podcasts!$E$10:$E$2535,"&gt;=1.1.2014",Podcasts!$E$10:$E$2535,"&lt;01.01.2015")</f>
        <v>1</v>
      </c>
      <c r="BC377" s="243">
        <f>COUNTIFS(Podcasts!$D$10:$D$2535,"="&amp;BC$373,Podcasts!$E$10:$E$2535,"&gt;=1.1.2014",Podcasts!$E$10:$E$2535,"&lt;01.01.2015")</f>
        <v>1</v>
      </c>
      <c r="BD377" s="243">
        <f>COUNTIFS(Podcasts!$D$10:$D$2535,"="&amp;BD$373,Podcasts!$E$10:$E$2535,"&gt;=1.1.2014",Podcasts!$E$10:$E$2535,"&lt;01.01.2015")</f>
        <v>1</v>
      </c>
      <c r="BE377" s="243">
        <f>COUNTIFS(Podcasts!$D$10:$D$2535,"="&amp;BE$373,Podcasts!$E$10:$E$2535,"&gt;=1.1.2014",Podcasts!$E$10:$E$2535,"&lt;01.01.2015")</f>
        <v>1</v>
      </c>
      <c r="BF377" s="243">
        <f>COUNTIFS(Podcasts!$D$10:$D$2535,"="&amp;BF$373,Podcasts!$E$10:$E$2535,"&gt;=1.1.2014",Podcasts!$E$10:$E$2535,"&lt;01.01.2015")</f>
        <v>0</v>
      </c>
      <c r="BG377" s="243">
        <f>COUNTIFS(Podcasts!$D$10:$D$2535,"="&amp;BG$373,Podcasts!$E$10:$E$2535,"&gt;=1.1.2014",Podcasts!$E$10:$E$2535,"&lt;01.01.2015")</f>
        <v>1</v>
      </c>
      <c r="BH377" s="243">
        <f>COUNTIFS(Podcasts!$D$10:$D$2535,"="&amp;BH$373,Podcasts!$E$10:$E$2535,"&gt;=1.1.2014",Podcasts!$E$10:$E$2535,"&lt;01.01.2015")</f>
        <v>0</v>
      </c>
      <c r="BI377" s="243">
        <f>COUNTIFS(Podcasts!$D$10:$D$2535,"="&amp;BI$373,Podcasts!$E$10:$E$2535,"&gt;=1.1.2014",Podcasts!$E$10:$E$2535,"&lt;01.01.2015")</f>
        <v>1</v>
      </c>
      <c r="BJ377" s="243">
        <f>COUNTIFS(Podcasts!$D$10:$D$2535,"="&amp;BJ$373,Podcasts!$E$10:$E$2535,"&gt;=1.1.2014",Podcasts!$E$10:$E$2535,"&lt;01.01.2015")</f>
        <v>1</v>
      </c>
      <c r="BK377" s="243">
        <f>COUNTIFS(Podcasts!$D$10:$D$2535,"="&amp;BK$373,Podcasts!$E$10:$E$2535,"&gt;=1.1.2014",Podcasts!$E$10:$E$2535,"&lt;01.01.2015")</f>
        <v>1</v>
      </c>
      <c r="BL377" s="243">
        <f>COUNTIFS(Podcasts!$D$10:$D$2535,"="&amp;BL$373,Podcasts!$E$10:$E$2535,"&gt;=1.1.2014",Podcasts!$E$10:$E$2535,"&lt;01.01.2015")</f>
        <v>1</v>
      </c>
      <c r="BM377" s="243">
        <f>COUNTIFS(Podcasts!$D$10:$D$2535,"="&amp;BM$373,Podcasts!$E$10:$E$2535,"&gt;=1.1.2014",Podcasts!$E$10:$E$2535,"&lt;01.01.2015")</f>
        <v>0</v>
      </c>
      <c r="BN377" s="243">
        <f>COUNTIFS(Podcasts!$D$10:$D$2535,"="&amp;BN$373,Podcasts!$E$10:$E$2535,"&gt;=1.1.2014",Podcasts!$E$10:$E$2535,"&lt;01.01.2015")</f>
        <v>0</v>
      </c>
      <c r="BO377" s="243">
        <f>COUNTIFS(Podcasts!$D$10:$D$2535,"="&amp;BO$373,Podcasts!$E$10:$E$2535,"&gt;=1.1.2014",Podcasts!$E$10:$E$2535,"&lt;01.01.2015")</f>
        <v>0</v>
      </c>
      <c r="BP377" s="243">
        <f>COUNTIFS(Podcasts!$D$10:$D$2535,"="&amp;BP$373,Podcasts!$E$10:$E$2535,"&gt;=1.1.2014",Podcasts!$E$10:$E$2535,"&lt;01.01.2015")</f>
        <v>1</v>
      </c>
      <c r="BQ377" s="243">
        <f>COUNTIFS(Podcasts!$D$10:$D$2535,"="&amp;BQ$373,Podcasts!$E$10:$E$2535,"&gt;=1.1.2014",Podcasts!$E$10:$E$2535,"&lt;01.01.2015")</f>
        <v>1</v>
      </c>
      <c r="BR377" s="243">
        <f>COUNTIFS(Podcasts!$D$10:$D$2535,"="&amp;BR$373,Podcasts!$E$10:$E$2535,"&gt;=1.1.2014",Podcasts!$E$10:$E$2535,"&lt;01.01.2015")</f>
        <v>1</v>
      </c>
      <c r="BS377" s="243">
        <f>COUNTIFS(Podcasts!$D$10:$D$2535,"="&amp;BS$373,Podcasts!$E$10:$E$2535,"&gt;=1.1.2014",Podcasts!$E$10:$E$2535,"&lt;01.01.2015")</f>
        <v>0</v>
      </c>
      <c r="BT377" s="243">
        <f>COUNTIFS(Podcasts!$D$10:$D$2535,"="&amp;BT$373,Podcasts!$E$10:$E$2535,"&gt;=1.1.2014",Podcasts!$E$10:$E$2535,"&lt;01.01.2015")</f>
        <v>1</v>
      </c>
      <c r="BU377" s="243">
        <f>COUNTIFS(Podcasts!$D$10:$D$2535,"="&amp;BU$373,Podcasts!$E$10:$E$2535,"&gt;=1.1.2014",Podcasts!$E$10:$E$2535,"&lt;01.01.2015")</f>
        <v>1</v>
      </c>
      <c r="BV377" s="243">
        <f>COUNTIFS(Podcasts!$D$10:$D$2535,"="&amp;BV$373,Podcasts!$E$10:$E$2535,"&gt;=1.1.2014",Podcasts!$E$10:$E$2535,"&lt;01.01.2015")</f>
        <v>1</v>
      </c>
      <c r="BW377" s="243">
        <f>COUNTIFS(Podcasts!$D$10:$D$2535,"="&amp;BW$373,Podcasts!$E$10:$E$2535,"&gt;=1.1.2014",Podcasts!$E$10:$E$2535,"&lt;01.01.2015")</f>
        <v>1</v>
      </c>
      <c r="BX377" s="243">
        <f>COUNTIFS(Podcasts!$D$10:$D$2535,"="&amp;BX$373,Podcasts!$E$10:$E$2535,"&gt;=1.1.2014",Podcasts!$E$10:$E$2535,"&lt;01.01.2015")</f>
        <v>1</v>
      </c>
      <c r="BY377" s="243">
        <f>COUNTIFS(Podcasts!$D$10:$D$2535,"="&amp;BY$373,Podcasts!$E$10:$E$2535,"&gt;=1.1.2014",Podcasts!$E$10:$E$2535,"&lt;01.01.2015")</f>
        <v>0</v>
      </c>
      <c r="BZ377" s="243">
        <f>COUNTIFS(Podcasts!$D$10:$D$2535,"="&amp;BZ$373,Podcasts!$E$10:$E$2535,"&gt;=1.1.2014",Podcasts!$E$10:$E$2535,"&lt;01.01.2015")</f>
        <v>0</v>
      </c>
      <c r="CA377" s="243">
        <f>COUNTIFS(Podcasts!$D$10:$D$2535,"="&amp;CA$373,Podcasts!$E$10:$E$2535,"&gt;=1.1.2014",Podcasts!$E$10:$E$2535,"&lt;01.01.2015")</f>
        <v>1</v>
      </c>
      <c r="CB377" s="243">
        <f>COUNTIFS(Podcasts!$D$10:$D$2535,"="&amp;CB$373,Podcasts!$E$10:$E$2535,"&gt;=1.1.2014",Podcasts!$E$10:$E$2535,"&lt;01.01.2015")</f>
        <v>0</v>
      </c>
      <c r="CC377" s="243">
        <f>COUNTIFS(Podcasts!$D$10:$D$2535,"="&amp;CC$373,Podcasts!$E$10:$E$2535,"&gt;=1.1.2014",Podcasts!$E$10:$E$2535,"&lt;01.01.2015")</f>
        <v>1</v>
      </c>
      <c r="CD377" s="243">
        <f>COUNTIFS(Podcasts!$D$10:$D$2535,"="&amp;CD$373,Podcasts!$E$10:$E$2535,"&gt;=1.1.2014",Podcasts!$E$10:$E$2535,"&lt;01.01.2015")</f>
        <v>1</v>
      </c>
      <c r="CE377" s="243">
        <f>COUNTIFS(Podcasts!$D$10:$D$2535,"="&amp;CE$373,Podcasts!$E$10:$E$2535,"&gt;=1.1.2014",Podcasts!$E$10:$E$2535,"&lt;01.01.2015")</f>
        <v>1</v>
      </c>
      <c r="CF377" s="243">
        <f>COUNTIFS(Podcasts!$D$10:$D$2535,"="&amp;CF$373,Podcasts!$E$10:$E$2535,"&gt;=1.1.2014",Podcasts!$E$10:$E$2535,"&lt;01.01.2015")</f>
        <v>1</v>
      </c>
      <c r="CG377" s="243">
        <f>COUNTIFS(Podcasts!$D$10:$D$2535,"="&amp;CG$373,Podcasts!$E$10:$E$2535,"&gt;=1.1.2014",Podcasts!$E$10:$E$2535,"&lt;01.01.2015")</f>
        <v>1</v>
      </c>
      <c r="CH377" s="243">
        <f>COUNTIFS(Podcasts!$D$10:$D$2535,"="&amp;CH$373,Podcasts!$E$10:$E$2535,"&gt;=1.1.2014",Podcasts!$E$10:$E$2535,"&lt;01.01.2015")</f>
        <v>1</v>
      </c>
      <c r="CI377" s="243">
        <f>COUNTIFS(Podcasts!$D$10:$D$2535,"="&amp;CI$373,Podcasts!$E$10:$E$2535,"&gt;=1.1.2014",Podcasts!$E$10:$E$2535,"&lt;01.01.2015")</f>
        <v>1</v>
      </c>
      <c r="CJ377" s="243">
        <f>COUNTIFS(Podcasts!$D$10:$D$2535,"="&amp;CJ$373,Podcasts!$E$10:$E$2535,"&gt;=1.1.2014",Podcasts!$E$10:$E$2535,"&lt;01.01.2015")</f>
        <v>1</v>
      </c>
      <c r="CK377" s="243">
        <f>COUNTIFS(Podcasts!$D$10:$D$2535,"="&amp;CK$373,Podcasts!$E$10:$E$2535,"&gt;=1.1.2014",Podcasts!$E$10:$E$2535,"&lt;01.01.2015")</f>
        <v>0</v>
      </c>
      <c r="CL377" s="243">
        <f>COUNTIFS(Podcasts!$D$10:$D$2535,"="&amp;CL$373,Podcasts!$E$10:$E$2535,"&gt;=1.1.2014",Podcasts!$E$10:$E$2535,"&lt;01.01.2015")</f>
        <v>1</v>
      </c>
      <c r="CM377" s="243">
        <f>COUNTIFS(Podcasts!$D$10:$D$2535,"="&amp;CM$373,Podcasts!$E$10:$E$2535,"&gt;=1.1.2014",Podcasts!$E$10:$E$2535,"&lt;01.01.2015")</f>
        <v>1</v>
      </c>
      <c r="CN377" s="243">
        <f>COUNTIFS(Podcasts!$D$10:$D$2535,"="&amp;CN$373,Podcasts!$E$10:$E$2535,"&gt;=1.1.2014",Podcasts!$E$10:$E$2535,"&lt;01.01.2015")</f>
        <v>1</v>
      </c>
      <c r="CO377" s="243">
        <f>COUNTIFS(Podcasts!$D$10:$D$2535,"="&amp;CO$373,Podcasts!$E$10:$E$2535,"&gt;=1.1.2014",Podcasts!$E$10:$E$2535,"&lt;01.01.2015")</f>
        <v>1</v>
      </c>
      <c r="CP377" s="243">
        <f>COUNTIFS(Podcasts!$D$10:$D$2535,"="&amp;CP$373,Podcasts!$E$10:$E$2535,"&gt;=1.1.2014",Podcasts!$E$10:$E$2535,"&lt;01.01.2015")</f>
        <v>1</v>
      </c>
      <c r="CQ377" s="243">
        <f>COUNTIFS(Podcasts!$D$10:$D$2535,"="&amp;CQ$373,Podcasts!$E$10:$E$2535,"&gt;=1.1.2014",Podcasts!$E$10:$E$2535,"&lt;01.01.2015")</f>
        <v>1</v>
      </c>
      <c r="CR377" s="243">
        <f>COUNTIFS(Podcasts!$D$10:$D$2535,"="&amp;CR$373,Podcasts!$E$10:$E$2535,"&gt;=1.1.2014",Podcasts!$E$10:$E$2535,"&lt;01.01.2015")</f>
        <v>1</v>
      </c>
      <c r="CS377" s="243">
        <f>COUNTIFS(Podcasts!$D$10:$D$2535,"="&amp;CS$373,Podcasts!$E$10:$E$2535,"&gt;=1.1.2014",Podcasts!$E$10:$E$2535,"&lt;01.01.2015")</f>
        <v>1</v>
      </c>
      <c r="CT377" s="243">
        <f>COUNTIFS(Podcasts!$D$10:$D$2535,"="&amp;CT$373,Podcasts!$E$10:$E$2535,"&gt;=1.1.2014",Podcasts!$E$10:$E$2535,"&lt;01.01.2015")</f>
        <v>1</v>
      </c>
      <c r="CU377" s="243">
        <f>COUNTIFS(Podcasts!$D$10:$D$2535,"="&amp;CU$373,Podcasts!$E$10:$E$2535,"&gt;=1.1.2014",Podcasts!$E$10:$E$2535,"&lt;01.01.2015")</f>
        <v>0</v>
      </c>
      <c r="CV377" s="243">
        <f>COUNTIFS(Podcasts!$D$10:$D$2535,"="&amp;CV$373,Podcasts!$E$10:$E$2535,"&gt;=1.1.2014",Podcasts!$E$10:$E$2535,"&lt;01.01.2015")</f>
        <v>1</v>
      </c>
      <c r="CW377" s="243">
        <f>COUNTIFS(Podcasts!$D$10:$D$2535,"="&amp;CW$373,Podcasts!$E$10:$E$2535,"&gt;=1.1.2014",Podcasts!$E$10:$E$2535,"&lt;01.01.2015")</f>
        <v>0</v>
      </c>
      <c r="CX377" s="243">
        <f>COUNTIFS(Podcasts!$D$10:$D$2535,"="&amp;CX$373,Podcasts!$E$10:$E$2535,"&gt;=1.1.2014",Podcasts!$E$10:$E$2535,"&lt;01.01.2015")</f>
        <v>1</v>
      </c>
      <c r="CY377" s="243">
        <f>COUNTIFS(Podcasts!$D$10:$D$2535,"="&amp;CY$373,Podcasts!$E$10:$E$2535,"&gt;=1.1.2014",Podcasts!$E$10:$E$2535,"&lt;01.01.2015")</f>
        <v>0</v>
      </c>
      <c r="CZ377" s="243">
        <f>COUNTIFS(Podcasts!$D$10:$D$2535,"="&amp;CZ$373,Podcasts!$E$10:$E$2535,"&gt;=1.1.2014",Podcasts!$E$10:$E$2535,"&lt;01.01.2015")</f>
        <v>0</v>
      </c>
      <c r="DA377" s="243">
        <f>COUNTIFS(Podcasts!$D$10:$D$2535,"="&amp;DA$373,Podcasts!$E$10:$E$2535,"&gt;=1.1.2014",Podcasts!$E$10:$E$2535,"&lt;01.01.2015")</f>
        <v>1</v>
      </c>
      <c r="DB377" s="243">
        <f>COUNTIFS(Podcasts!$D$10:$D$2535,"="&amp;DB$373,Podcasts!$E$10:$E$2535,"&gt;=1.1.2014",Podcasts!$E$10:$E$2535,"&lt;01.01.2015")</f>
        <v>0</v>
      </c>
      <c r="DC377" s="243">
        <f>COUNTIFS(Podcasts!$D$10:$D$2535,"="&amp;DC$373,Podcasts!$E$10:$E$2535,"&gt;=1.1.2014",Podcasts!$E$10:$E$2535,"&lt;01.01.2015")</f>
        <v>1</v>
      </c>
      <c r="DD377" s="243">
        <f>COUNTIFS(Podcasts!$D$10:$D$2535,"="&amp;DD$373,Podcasts!$E$10:$E$2535,"&gt;=1.1.2014",Podcasts!$E$10:$E$2535,"&lt;01.01.2015")</f>
        <v>1</v>
      </c>
      <c r="DE377" s="243">
        <f>COUNTIFS(Podcasts!$D$10:$D$2535,"="&amp;DE$373,Podcasts!$E$10:$E$2535,"&gt;=1.1.2014",Podcasts!$E$10:$E$2535,"&lt;01.01.2015")</f>
        <v>0</v>
      </c>
      <c r="DF377" s="243">
        <f>COUNTIFS(Podcasts!$D$10:$D$2535,"="&amp;DF$373,Podcasts!$E$10:$E$2535,"&gt;=1.1.2014",Podcasts!$E$10:$E$2535,"&lt;01.01.2015")</f>
        <v>1</v>
      </c>
      <c r="DG377" s="243">
        <f>COUNTIFS(Podcasts!$D$10:$D$2535,"="&amp;DG$373,Podcasts!$E$10:$E$2535,"&gt;=1.1.2014",Podcasts!$E$10:$E$2535,"&lt;01.01.2015")</f>
        <v>1</v>
      </c>
      <c r="DH377" s="243">
        <f>COUNTIFS(Podcasts!$D$10:$D$2535,"="&amp;DH$373,Podcasts!$E$10:$E$2535,"&gt;=1.1.2014",Podcasts!$E$10:$E$2535,"&lt;01.01.2015")</f>
        <v>1</v>
      </c>
      <c r="DI377" s="243">
        <f>COUNTIFS(Podcasts!$D$10:$D$2535,"="&amp;DI$373,Podcasts!$E$10:$E$2535,"&gt;=1.1.2014",Podcasts!$E$10:$E$2535,"&lt;01.01.2015")</f>
        <v>1</v>
      </c>
      <c r="DJ377" s="243">
        <f>COUNTIFS(Podcasts!$D$10:$D$2535,"="&amp;DJ$373,Podcasts!$E$10:$E$2535,"&gt;=1.1.2014",Podcasts!$E$10:$E$2535,"&lt;01.01.2015")</f>
        <v>1</v>
      </c>
      <c r="DK377" s="243">
        <f>COUNTIFS(Podcasts!$D$10:$D$2535,"="&amp;DK$373,Podcasts!$E$10:$E$2535,"&gt;=1.1.2014",Podcasts!$E$10:$E$2535,"&lt;01.01.2015")</f>
        <v>0</v>
      </c>
      <c r="DL377" s="243">
        <f>COUNTIFS(Podcasts!$D$10:$D$2535,"="&amp;DL$373,Podcasts!$E$10:$E$2535,"&gt;=1.1.2014",Podcasts!$E$10:$E$2535,"&lt;01.01.2015")</f>
        <v>1</v>
      </c>
      <c r="DM377" s="243">
        <f>COUNTIFS(Podcasts!$D$10:$D$2535,"="&amp;DM$373,Podcasts!$E$10:$E$2535,"&gt;=1.1.2014",Podcasts!$E$10:$E$2535,"&lt;01.01.2015")</f>
        <v>1</v>
      </c>
      <c r="DN377" s="243">
        <f>COUNTIFS(Podcasts!$D$10:$D$2535,"="&amp;DN$373,Podcasts!$E$10:$E$2535,"&gt;=1.1.2014",Podcasts!$E$10:$E$2535,"&lt;01.01.2015")</f>
        <v>0</v>
      </c>
      <c r="DO377" s="243">
        <f>COUNTIFS(Podcasts!$D$10:$D$2535,"="&amp;DO$373,Podcasts!$E$10:$E$2535,"&gt;=1.1.2014",Podcasts!$E$10:$E$2535,"&lt;01.01.2015")</f>
        <v>0</v>
      </c>
      <c r="DP377" s="243">
        <f>COUNTIFS(Podcasts!$D$10:$D$2535,"="&amp;DP$373,Podcasts!$E$10:$E$2535,"&gt;=1.1.2014",Podcasts!$E$10:$E$2535,"&lt;01.01.2015")</f>
        <v>0</v>
      </c>
      <c r="DQ377" s="243">
        <f>COUNTIFS(Podcasts!$D$10:$D$2535,"="&amp;DQ$373,Podcasts!$E$10:$E$2535,"&gt;=1.1.2014",Podcasts!$E$10:$E$2535,"&lt;01.01.2015")</f>
        <v>0</v>
      </c>
      <c r="DR377" s="243">
        <f>COUNTIFS(Podcasts!$D$10:$D$2535,"="&amp;DR$373,Podcasts!$E$10:$E$2535,"&gt;=1.1.2014",Podcasts!$E$10:$E$2535,"&lt;01.01.2015")</f>
        <v>0</v>
      </c>
      <c r="DS377" s="243">
        <f>COUNTIFS(Podcasts!$D$10:$D$2535,"="&amp;DS$373,Podcasts!$E$10:$E$2535,"&gt;=1.1.2014",Podcasts!$E$10:$E$2535,"&lt;01.01.2015")</f>
        <v>1</v>
      </c>
      <c r="DT377" s="243">
        <f>COUNTIFS(Podcasts!$D$10:$D$2535,"="&amp;DT$373,Podcasts!$E$10:$E$2535,"&gt;=1.1.2014",Podcasts!$E$10:$E$2535,"&lt;01.01.2015")</f>
        <v>0</v>
      </c>
      <c r="DU377" s="243">
        <f>COUNTIFS(Podcasts!$D$10:$D$2535,"="&amp;DU$373,Podcasts!$E$10:$E$2535,"&gt;=1.1.2014",Podcasts!$E$10:$E$2535,"&lt;01.01.2015")</f>
        <v>1</v>
      </c>
      <c r="DV377" s="243">
        <f>COUNTIFS(Podcasts!$D$10:$D$2535,"="&amp;DV$373,Podcasts!$E$10:$E$2535,"&gt;=1.1.2014",Podcasts!$E$10:$E$2535,"&lt;01.01.2015")</f>
        <v>1</v>
      </c>
      <c r="DW377" s="243">
        <f>COUNTIFS(Podcasts!$D$10:$D$2535,"="&amp;DW$373,Podcasts!$E$10:$E$2535,"&gt;=1.1.2014",Podcasts!$E$10:$E$2535,"&lt;01.01.2015")</f>
        <v>1</v>
      </c>
      <c r="DX377" s="243">
        <f>COUNTIFS(Podcasts!$D$10:$D$2535,"="&amp;DX$373,Podcasts!$E$10:$E$2535,"&gt;=1.1.2014",Podcasts!$E$10:$E$2535,"&lt;01.01.2015")</f>
        <v>1</v>
      </c>
      <c r="DY377" s="243">
        <f>COUNTIFS(Podcasts!$D$10:$D$2535,"="&amp;DY$373,Podcasts!$E$10:$E$2535,"&gt;=1.1.2014",Podcasts!$E$10:$E$2535,"&lt;01.01.2015")</f>
        <v>1</v>
      </c>
      <c r="DZ377" s="243">
        <f>COUNTIFS(Podcasts!$D$10:$D$2535,"="&amp;DZ$373,Podcasts!$E$10:$E$2535,"&gt;=1.1.2014",Podcasts!$E$10:$E$2535,"&lt;01.01.2015")</f>
        <v>1</v>
      </c>
      <c r="EA377" s="243">
        <f>COUNTIFS(Podcasts!$D$10:$D$2535,"="&amp;EA$373,Podcasts!$E$10:$E$2535,"&gt;=1.1.2014",Podcasts!$E$10:$E$2535,"&lt;01.01.2015")</f>
        <v>0</v>
      </c>
      <c r="EB377" s="243">
        <f>COUNTIFS(Podcasts!$D$10:$D$2535,"="&amp;EB$373,Podcasts!$E$10:$E$2535,"&gt;=1.1.2014",Podcasts!$E$10:$E$2535,"&lt;01.01.2015")</f>
        <v>0</v>
      </c>
      <c r="EC377" s="243">
        <f>COUNTIFS(Podcasts!$D$10:$D$2535,"="&amp;EC$373,Podcasts!$E$10:$E$2535,"&gt;=1.1.2014",Podcasts!$E$10:$E$2535,"&lt;01.01.2015")</f>
        <v>1</v>
      </c>
      <c r="ED377" s="243">
        <f>COUNTIFS(Podcasts!$D$10:$D$2535,"="&amp;ED$373,Podcasts!$E$10:$E$2535,"&gt;=1.1.2014",Podcasts!$E$10:$E$2535,"&lt;01.01.2015")</f>
        <v>0</v>
      </c>
      <c r="EE377" s="243">
        <f>COUNTIFS(Podcasts!$D$10:$D$2535,"="&amp;EE$373,Podcasts!$E$10:$E$2535,"&gt;=1.1.2014",Podcasts!$E$10:$E$2535,"&lt;01.01.2015")</f>
        <v>1</v>
      </c>
      <c r="EF377" s="243">
        <f>COUNTIFS(Podcasts!$D$10:$D$2535,"="&amp;EF$373,Podcasts!$E$10:$E$2535,"&gt;=1.1.2014",Podcasts!$E$10:$E$2535,"&lt;01.01.2015")</f>
        <v>0</v>
      </c>
      <c r="EG377" s="243">
        <f>COUNTIFS(Podcasts!$D$10:$D$2535,"="&amp;EG$373,Podcasts!$E$10:$E$2535,"&gt;=1.1.2014",Podcasts!$E$10:$E$2535,"&lt;01.01.2015")</f>
        <v>0</v>
      </c>
      <c r="EH377" s="243">
        <f>COUNTIFS(Podcasts!$D$10:$D$2535,"="&amp;EH$373,Podcasts!$E$10:$E$2535,"&gt;=1.1.2014",Podcasts!$E$10:$E$2535,"&lt;01.01.2015")</f>
        <v>0</v>
      </c>
      <c r="EI377" s="243">
        <f>COUNTIFS(Podcasts!$D$10:$D$2535,"="&amp;EI$373,Podcasts!$E$10:$E$2535,"&gt;=1.1.2014",Podcasts!$E$10:$E$2535,"&lt;01.01.2015")</f>
        <v>0</v>
      </c>
      <c r="EJ377" s="243">
        <f>COUNTIFS(Podcasts!$D$10:$D$2535,"="&amp;EJ$373,Podcasts!$E$10:$E$2535,"&gt;=1.1.2014",Podcasts!$E$10:$E$2535,"&lt;01.01.2015")</f>
        <v>1</v>
      </c>
      <c r="EK377" s="243">
        <f>COUNTIFS(Podcasts!$D$10:$D$2535,"="&amp;EK$373,Podcasts!$E$10:$E$2535,"&gt;=1.1.2014",Podcasts!$E$10:$E$2535,"&lt;01.01.2015")</f>
        <v>1</v>
      </c>
      <c r="EL377" s="243">
        <f>COUNTIFS(Podcasts!$D$10:$D$2535,"="&amp;EL$373,Podcasts!$E$10:$E$2535,"&gt;=1.1.2014",Podcasts!$E$10:$E$2535,"&lt;01.01.2015")</f>
        <v>1</v>
      </c>
      <c r="EM377" s="243">
        <f>COUNTIFS(Podcasts!$D$10:$D$2535,"="&amp;EM$373,Podcasts!$E$10:$E$2535,"&gt;=1.1.2014",Podcasts!$E$10:$E$2535,"&lt;01.01.2015")</f>
        <v>0</v>
      </c>
      <c r="EN377" s="243">
        <f>COUNTIFS(Podcasts!$D$10:$D$2535,"="&amp;EN$373,Podcasts!$E$10:$E$2535,"&gt;=1.1.2014",Podcasts!$E$10:$E$2535,"&lt;01.01.2015")</f>
        <v>1</v>
      </c>
      <c r="EO377" s="243">
        <f>COUNTIFS(Podcasts!$D$10:$D$2535,"="&amp;EO$373,Podcasts!$E$10:$E$2535,"&gt;=1.1.2014",Podcasts!$E$10:$E$2535,"&lt;01.01.2015")</f>
        <v>0</v>
      </c>
      <c r="EP377" s="243">
        <f>COUNTIFS(Podcasts!$D$10:$D$2535,"="&amp;EP$373,Podcasts!$E$10:$E$2535,"&gt;=1.1.2014",Podcasts!$E$10:$E$2535,"&lt;01.01.2015")</f>
        <v>0</v>
      </c>
      <c r="EQ377" s="243">
        <f>COUNTIFS(Podcasts!$D$10:$D$2535,"="&amp;EQ$373,Podcasts!$E$10:$E$2535,"&gt;=1.1.2014",Podcasts!$E$10:$E$2535,"&lt;01.01.2015")</f>
        <v>0</v>
      </c>
      <c r="ER377" s="243">
        <f>COUNTIFS(Podcasts!$D$10:$D$2535,"="&amp;ER$373,Podcasts!$E$10:$E$2535,"&gt;=1.1.2014",Podcasts!$E$10:$E$2535,"&lt;01.01.2015")</f>
        <v>0</v>
      </c>
      <c r="ES377" s="243">
        <f>COUNTIFS(Podcasts!$D$10:$D$2535,"="&amp;ES$373,Podcasts!$E$10:$E$2535,"&gt;=1.1.2014",Podcasts!$E$10:$E$2535,"&lt;01.01.2015")</f>
        <v>1</v>
      </c>
      <c r="ET377" s="243">
        <f>COUNTIFS(Podcasts!$D$10:$D$2535,"="&amp;ET$373,Podcasts!$E$10:$E$2535,"&gt;=1.1.2014",Podcasts!$E$10:$E$2535,"&lt;01.01.2015")</f>
        <v>1</v>
      </c>
      <c r="EU377" s="243">
        <f>COUNTIFS(Podcasts!$D$10:$D$2535,"="&amp;EU$373,Podcasts!$E$10:$E$2535,"&gt;=1.1.2014",Podcasts!$E$10:$E$2535,"&lt;01.01.2015")</f>
        <v>0</v>
      </c>
      <c r="EV377" s="243">
        <f>COUNTIFS(Podcasts!$D$10:$D$2535,"="&amp;EV$373,Podcasts!$E$10:$E$2535,"&gt;=1.1.2014",Podcasts!$E$10:$E$2535,"&lt;01.01.2015")</f>
        <v>1</v>
      </c>
      <c r="EW377" s="243">
        <f>COUNTIFS(Podcasts!$D$10:$D$2535,"="&amp;EW$373,Podcasts!$E$10:$E$2535,"&gt;=1.1.2014",Podcasts!$E$10:$E$2535,"&lt;01.01.2015")</f>
        <v>0</v>
      </c>
      <c r="EX377" s="243">
        <f>COUNTIFS(Podcasts!$D$10:$D$2535,"="&amp;EX$373,Podcasts!$E$10:$E$2535,"&gt;=1.1.2014",Podcasts!$E$10:$E$2535,"&lt;01.01.2015")</f>
        <v>1</v>
      </c>
      <c r="EY377" s="243">
        <f>COUNTIFS(Podcasts!$D$10:$D$2535,"="&amp;EY$373,Podcasts!$E$10:$E$2535,"&gt;=1.1.2014",Podcasts!$E$10:$E$2535,"&lt;01.01.2015")</f>
        <v>0</v>
      </c>
      <c r="EZ377" s="243">
        <f>COUNTIFS(Podcasts!$D$10:$D$2535,"="&amp;EZ$373,Podcasts!$E$10:$E$2535,"&gt;=1.1.2014",Podcasts!$E$10:$E$2535,"&lt;01.01.2015")</f>
        <v>0</v>
      </c>
      <c r="FA377" s="243">
        <f>COUNTIFS(Podcasts!$D$10:$D$2535,"="&amp;FA$373,Podcasts!$E$10:$E$2535,"&gt;=1.1.2014",Podcasts!$E$10:$E$2535,"&lt;01.01.2015")</f>
        <v>0</v>
      </c>
      <c r="FB377" s="243">
        <f>COUNTIFS(Podcasts!$D$10:$D$2535,"="&amp;FB$373,Podcasts!$E$10:$E$2535,"&gt;=1.1.2014",Podcasts!$E$10:$E$2535,"&lt;01.01.2015")</f>
        <v>1</v>
      </c>
      <c r="FC377" s="243">
        <f>COUNTIFS(Podcasts!$D$10:$D$2535,"="&amp;FC$373,Podcasts!$E$10:$E$2535,"&gt;=1.1.2014",Podcasts!$E$10:$E$2535,"&lt;01.01.2015")</f>
        <v>1</v>
      </c>
      <c r="FD377" s="243">
        <f>COUNTIFS(Podcasts!$D$10:$D$2535,"="&amp;FD$373,Podcasts!$E$10:$E$2535,"&gt;=1.1.2014",Podcasts!$E$10:$E$2535,"&lt;01.01.2015")</f>
        <v>0</v>
      </c>
      <c r="FE377" s="243">
        <f>COUNTIFS(Podcasts!$D$10:$D$2535,"="&amp;FE$373,Podcasts!$E$10:$E$2535,"&gt;=1.1.2014",Podcasts!$E$10:$E$2535,"&lt;01.01.2015")</f>
        <v>1</v>
      </c>
      <c r="FF377" s="243">
        <f>COUNTIFS(Podcasts!$D$10:$D$2535,"="&amp;FF$373,Podcasts!$E$10:$E$2535,"&gt;=1.1.2014",Podcasts!$E$10:$E$2535,"&lt;01.01.2015")</f>
        <v>0</v>
      </c>
      <c r="FG377" s="243">
        <f>COUNTIFS(Podcasts!$D$10:$D$2535,"="&amp;FG$373,Podcasts!$E$10:$E$2535,"&gt;=1.1.2014",Podcasts!$E$10:$E$2535,"&lt;01.01.2015")</f>
        <v>0</v>
      </c>
      <c r="FH377" s="243">
        <f>COUNTIFS(Podcasts!$D$10:$D$2535,"="&amp;FH$373,Podcasts!$E$10:$E$2535,"&gt;=1.1.2014",Podcasts!$E$10:$E$2535,"&lt;01.01.2015")</f>
        <v>0</v>
      </c>
      <c r="FI377" s="243">
        <f>COUNTIFS(Podcasts!$D$10:$D$2535,"="&amp;FI$373,Podcasts!$E$10:$E$2535,"&gt;=1.1.2014",Podcasts!$E$10:$E$2535,"&lt;01.01.2015")</f>
        <v>0</v>
      </c>
      <c r="FJ377" s="243">
        <f>COUNTIFS(Podcasts!$D$10:$D$2535,"="&amp;FJ$373,Podcasts!$E$10:$E$2535,"&gt;=1.1.2014",Podcasts!$E$10:$E$2535,"&lt;01.01.2015")</f>
        <v>1</v>
      </c>
      <c r="FK377" s="243">
        <f>COUNTIFS(Podcasts!$D$10:$D$2535,"="&amp;FK$373,Podcasts!$E$10:$E$2535,"&gt;=1.1.2014",Podcasts!$E$10:$E$2535,"&lt;01.01.2015")</f>
        <v>1</v>
      </c>
      <c r="FL377" s="243">
        <f>COUNTIFS(Podcasts!$D$10:$D$2535,"="&amp;FL$373,Podcasts!$E$10:$E$2535,"&gt;=1.1.2014",Podcasts!$E$10:$E$2535,"&lt;01.01.2015")</f>
        <v>2</v>
      </c>
      <c r="FM377" s="243">
        <f>COUNTIFS(Podcasts!$D$10:$D$2535,"="&amp;FM$373,Podcasts!$E$10:$E$2535,"&gt;=1.1.2014",Podcasts!$E$10:$E$2535,"&lt;01.01.2015")</f>
        <v>1</v>
      </c>
      <c r="FN377" s="243">
        <f>COUNTIFS(Podcasts!$D$10:$D$2535,"="&amp;FN$373,Podcasts!$E$10:$E$2535,"&gt;=1.1.2014",Podcasts!$E$10:$E$2535,"&lt;01.01.2015")</f>
        <v>1</v>
      </c>
      <c r="FO377" s="243">
        <f>COUNTIFS(Podcasts!$D$10:$D$2535,"="&amp;FO$373,Podcasts!$E$10:$E$2535,"&gt;=1.1.2014",Podcasts!$E$10:$E$2535,"&lt;01.01.2015")</f>
        <v>1</v>
      </c>
      <c r="FP377" s="243">
        <f>COUNTIFS(Podcasts!$D$10:$D$2535,"="&amp;FP$373,Podcasts!$E$10:$E$2535,"&gt;=1.1.2014",Podcasts!$E$10:$E$2535,"&lt;01.01.2015")</f>
        <v>1</v>
      </c>
      <c r="FQ377" s="243">
        <f>COUNTIFS(Podcasts!$D$10:$D$2535,"="&amp;FQ$373,Podcasts!$E$10:$E$2535,"&gt;=1.1.2014",Podcasts!$E$10:$E$2535,"&lt;01.01.2015")</f>
        <v>1</v>
      </c>
      <c r="FR377" s="243">
        <f>COUNTIFS(Podcasts!$D$10:$D$2535,"="&amp;FR$373,Podcasts!$E$10:$E$2535,"&gt;=1.1.2014",Podcasts!$E$10:$E$2535,"&lt;01.01.2015")</f>
        <v>1</v>
      </c>
      <c r="FS377" s="243">
        <f>COUNTIFS(Podcasts!$D$10:$D$2535,"="&amp;FS$373,Podcasts!$E$10:$E$2535,"&gt;=1.1.2014",Podcasts!$E$10:$E$2535,"&lt;01.01.2015")</f>
        <v>1</v>
      </c>
      <c r="FT377" s="243">
        <f>COUNTIFS(Podcasts!$D$10:$D$2535,"="&amp;FT$373,Podcasts!$E$10:$E$2535,"&gt;=1.1.2014",Podcasts!$E$10:$E$2535,"&lt;01.01.2015")</f>
        <v>1</v>
      </c>
      <c r="FU377" s="243">
        <f>COUNTIFS(Podcasts!$D$10:$D$2535,"="&amp;FU$373,Podcasts!$E$10:$E$2535,"&gt;=1.1.2014",Podcasts!$E$10:$E$2535,"&lt;01.01.2015")</f>
        <v>0</v>
      </c>
      <c r="FV377" s="243">
        <f>COUNTIFS(Podcasts!$D$10:$D$2535,"="&amp;FV$373,Podcasts!$E$10:$E$2535,"&gt;=1.1.2014",Podcasts!$E$10:$E$2535,"&lt;01.01.2015")</f>
        <v>0</v>
      </c>
      <c r="FW377" s="243">
        <f>COUNTIFS(Podcasts!$D$10:$D$2535,"="&amp;FW$373,Podcasts!$E$10:$E$2535,"&gt;=1.1.2014",Podcasts!$E$10:$E$2535,"&lt;01.01.2015")</f>
        <v>0</v>
      </c>
      <c r="FX377" s="243">
        <f>COUNTIFS(Podcasts!$D$10:$D$2535,"="&amp;FX$373,Podcasts!$E$10:$E$2535,"&gt;=1.1.2014",Podcasts!$E$10:$E$2535,"&lt;01.01.2015")</f>
        <v>0</v>
      </c>
      <c r="FY377" s="243">
        <f>COUNTIFS(Podcasts!$D$10:$D$2535,"="&amp;FY$373,Podcasts!$E$10:$E$2535,"&gt;=1.1.2014",Podcasts!$E$10:$E$2535,"&lt;01.01.2015")</f>
        <v>0</v>
      </c>
      <c r="FZ377" s="243">
        <f>COUNTIFS(Podcasts!$D$10:$D$2535,"="&amp;FZ$373,Podcasts!$E$10:$E$2535,"&gt;=1.1.2014",Podcasts!$E$10:$E$2535,"&lt;01.01.2015")</f>
        <v>0</v>
      </c>
      <c r="GA377" s="243">
        <f>COUNTIFS(Podcasts!$D$10:$D$2535,"="&amp;GA$373,Podcasts!$E$10:$E$2535,"&gt;=1.1.2014",Podcasts!$E$10:$E$2535,"&lt;01.01.2015")</f>
        <v>0</v>
      </c>
      <c r="GB377" s="243">
        <f>COUNTIFS(Podcasts!$D$10:$D$2535,"="&amp;GB$373,Podcasts!$E$10:$E$2535,"&gt;=1.1.2014",Podcasts!$E$10:$E$2535,"&lt;01.01.2015")</f>
        <v>0</v>
      </c>
      <c r="GC377" s="243">
        <f>COUNTIFS(Podcasts!$D$10:$D$2535,"="&amp;GC$373,Podcasts!$E$10:$E$2535,"&gt;=1.1.2014",Podcasts!$E$10:$E$2535,"&lt;01.01.2015")</f>
        <v>0</v>
      </c>
      <c r="GD377" s="243">
        <f>COUNTIFS(Podcasts!$D$10:$D$2535,"="&amp;GD$373,Podcasts!$E$10:$E$2535,"&gt;=1.1.2014",Podcasts!$E$10:$E$2535,"&lt;01.01.2015")</f>
        <v>0</v>
      </c>
      <c r="GE377" s="243">
        <f>COUNTIFS(Podcasts!$D$10:$D$2535,"="&amp;GE$373,Podcasts!$E$10:$E$2535,"&gt;=1.1.2014",Podcasts!$E$10:$E$2535,"&lt;01.01.2015")</f>
        <v>0</v>
      </c>
      <c r="GF377" s="243">
        <f>COUNTIFS(Podcasts!$D$10:$D$2535,"="&amp;GF$373,Podcasts!$E$10:$E$2535,"&gt;=1.1.2014",Podcasts!$E$10:$E$2535,"&lt;01.01.2015")</f>
        <v>0</v>
      </c>
      <c r="GG377" s="243">
        <f>COUNTIFS(Podcasts!$D$10:$D$2535,"="&amp;GG$373,Podcasts!$E$10:$E$2535,"&gt;=1.1.2014",Podcasts!$E$10:$E$2535,"&lt;01.01.2015")</f>
        <v>0</v>
      </c>
      <c r="GH377" s="243">
        <f>COUNTIFS(Podcasts!$D$10:$D$2535,"="&amp;GH$373,Podcasts!$E$10:$E$2535,"&gt;=1.1.2014",Podcasts!$E$10:$E$2535,"&lt;01.01.2015")</f>
        <v>0</v>
      </c>
      <c r="GI377" s="243">
        <f>COUNTIFS(Podcasts!$D$10:$D$2535,"="&amp;GI$373,Podcasts!$E$10:$E$2535,"&gt;=1.1.2014",Podcasts!$E$10:$E$2535,"&lt;01.01.2015")</f>
        <v>0</v>
      </c>
      <c r="GJ377" s="243">
        <f>COUNTIFS(Podcasts!$D$10:$D$2535,"="&amp;GJ$373,Podcasts!$E$10:$E$2535,"&gt;=1.1.2014",Podcasts!$E$10:$E$2535,"&lt;01.01.2015")</f>
        <v>0</v>
      </c>
      <c r="GK377" s="243">
        <f>COUNTIFS(Podcasts!$D$10:$D$2535,"="&amp;GK$373,Podcasts!$E$10:$E$2535,"&gt;=1.1.2014",Podcasts!$E$10:$E$2535,"&lt;01.01.2015")</f>
        <v>0</v>
      </c>
      <c r="GL377" s="243">
        <f>COUNTIFS(Podcasts!$D$10:$D$2535,"="&amp;GL$373,Podcasts!$E$10:$E$2535,"&gt;=1.1.2014",Podcasts!$E$10:$E$2535,"&lt;01.01.2015")</f>
        <v>0</v>
      </c>
      <c r="GM377" s="243">
        <f>COUNTIFS(Podcasts!$D$10:$D$2535,"="&amp;GM$373,Podcasts!$E$10:$E$2535,"&gt;=1.1.2014",Podcasts!$E$10:$E$2535,"&lt;01.01.2015")</f>
        <v>0</v>
      </c>
      <c r="GN377" s="243">
        <f>COUNTIFS(Podcasts!$D$10:$D$2535,"="&amp;GN$373,Podcasts!$E$10:$E$2535,"&gt;=1.1.2014",Podcasts!$E$10:$E$2535,"&lt;01.01.2015")</f>
        <v>0</v>
      </c>
      <c r="GO377" s="243">
        <f>COUNTIFS(Podcasts!$D$10:$D$2535,"="&amp;GO$373,Podcasts!$E$10:$E$2535,"&gt;=1.1.2014",Podcasts!$E$10:$E$2535,"&lt;01.01.2015")</f>
        <v>0</v>
      </c>
      <c r="GP377" s="243">
        <f>COUNTIFS(Podcasts!$D$10:$D$2535,"="&amp;GP$373,Podcasts!$E$10:$E$2535,"&gt;=1.1.2014",Podcasts!$E$10:$E$2535,"&lt;01.01.2015")</f>
        <v>0</v>
      </c>
      <c r="GQ377" s="243">
        <f>COUNTIFS(Podcasts!$D$10:$D$2535,"="&amp;GQ$373,Podcasts!$E$10:$E$2535,"&gt;=1.1.2014",Podcasts!$E$10:$E$2535,"&lt;01.01.2015")</f>
        <v>0</v>
      </c>
      <c r="GR377" s="243">
        <f>COUNTIFS(Podcasts!$D$10:$D$2535,"="&amp;GR$373,Podcasts!$E$10:$E$2535,"&gt;=1.1.2014",Podcasts!$E$10:$E$2535,"&lt;01.01.2015")</f>
        <v>0</v>
      </c>
      <c r="GS377" s="243">
        <f>COUNTIFS(Podcasts!$D$10:$D$2535,"="&amp;GS$373,Podcasts!$E$10:$E$2535,"&gt;=1.1.2014",Podcasts!$E$10:$E$2535,"&lt;01.01.2015")</f>
        <v>0</v>
      </c>
      <c r="GT377" s="243">
        <f>COUNTIFS(Podcasts!$D$10:$D$2535,"="&amp;GT$373,Podcasts!$E$10:$E$2535,"&gt;=1.1.2014",Podcasts!$E$10:$E$2535,"&lt;01.01.2015")</f>
        <v>0</v>
      </c>
      <c r="GU377" s="243">
        <f>COUNTIFS(Podcasts!$D$10:$D$2535,"="&amp;GU$373,Podcasts!$E$10:$E$2535,"&gt;=1.1.2014",Podcasts!$E$10:$E$2535,"&lt;01.01.2015")</f>
        <v>0</v>
      </c>
      <c r="GV377" s="243">
        <f>COUNTIFS(Podcasts!$D$10:$D$2535,"="&amp;GV$373,Podcasts!$E$10:$E$2535,"&gt;=1.1.2014",Podcasts!$E$10:$E$2535,"&lt;01.01.2015")</f>
        <v>0</v>
      </c>
      <c r="GW377" s="243">
        <f>COUNTIFS(Podcasts!$D$10:$D$2535,"="&amp;GW$373,Podcasts!$E$10:$E$2535,"&gt;=1.1.2014",Podcasts!$E$10:$E$2535,"&lt;01.01.2015")</f>
        <v>0</v>
      </c>
      <c r="GX377" s="243">
        <f>COUNTIFS(Podcasts!$D$10:$D$2535,"="&amp;GX$373,Podcasts!$E$10:$E$2535,"&gt;=1.1.2014",Podcasts!$E$10:$E$2535,"&lt;01.01.2015")</f>
        <v>0</v>
      </c>
      <c r="GY377" s="243">
        <f>COUNTIFS(Podcasts!$D$10:$D$2535,"="&amp;GY$373,Podcasts!$E$10:$E$2535,"&gt;=1.1.2014",Podcasts!$E$10:$E$2535,"&lt;01.01.2015")</f>
        <v>0</v>
      </c>
      <c r="GZ377" s="243">
        <f>COUNTIFS(Podcasts!$D$10:$D$2535,"="&amp;GZ$373,Podcasts!$E$10:$E$2535,"&gt;=1.1.2014",Podcasts!$E$10:$E$2535,"&lt;01.01.2015")</f>
        <v>0</v>
      </c>
      <c r="HA377" s="243">
        <f>COUNTIFS(Podcasts!$D$10:$D$2535,"="&amp;HA$373,Podcasts!$E$10:$E$2535,"&gt;=1.1.2014",Podcasts!$E$10:$E$2535,"&lt;01.01.2015")</f>
        <v>0</v>
      </c>
      <c r="HB377" s="243">
        <f>COUNTIFS(Podcasts!$D$10:$D$2535,"="&amp;HB$373,Podcasts!$E$10:$E$2535,"&gt;=1.1.2014",Podcasts!$E$10:$E$2535,"&lt;01.01.2015")</f>
        <v>0</v>
      </c>
      <c r="HC377" s="243">
        <f>COUNTIFS(Podcasts!$D$10:$D$2535,"="&amp;HC$373,Podcasts!$E$10:$E$2535,"&gt;=1.1.2014",Podcasts!$E$10:$E$2535,"&lt;01.01.2015")</f>
        <v>0</v>
      </c>
      <c r="HD377" s="243">
        <f>COUNTIFS(Podcasts!$D$10:$D$2535,"="&amp;HD$373,Podcasts!$E$10:$E$2535,"&gt;=1.1.2014",Podcasts!$E$10:$E$2535,"&lt;01.01.2015")</f>
        <v>0</v>
      </c>
      <c r="HE377" s="243">
        <f>COUNTIFS(Podcasts!$D$10:$D$2535,"="&amp;HE$373,Podcasts!$E$10:$E$2535,"&gt;=1.1.2014",Podcasts!$E$10:$E$2535,"&lt;01.01.2015")</f>
        <v>0</v>
      </c>
      <c r="HF377" s="243">
        <f>COUNTIFS(Podcasts!$D$10:$D$2535,"="&amp;HF$373,Podcasts!$E$10:$E$2535,"&gt;=1.1.2014",Podcasts!$E$10:$E$2535,"&lt;01.01.2015")</f>
        <v>0</v>
      </c>
      <c r="HG377" s="243">
        <f>COUNTIFS(Podcasts!$D$10:$D$2535,"="&amp;HG$373,Podcasts!$E$10:$E$2535,"&gt;=1.1.2014",Podcasts!$E$10:$E$2535,"&lt;01.01.2015")</f>
        <v>0</v>
      </c>
      <c r="HH377" s="243">
        <f>COUNTIFS(Podcasts!$D$10:$D$2535,"="&amp;HH$373,Podcasts!$E$10:$E$2535,"&gt;=1.1.2014",Podcasts!$E$10:$E$2535,"&lt;01.01.2015")</f>
        <v>0</v>
      </c>
      <c r="HI377" s="243">
        <f>COUNTIFS(Podcasts!$D$10:$D$2535,"="&amp;HI$373,Podcasts!$E$10:$E$2535,"&gt;=1.1.2014",Podcasts!$E$10:$E$2535,"&lt;01.01.2015")</f>
        <v>0</v>
      </c>
      <c r="HJ377" s="243">
        <f>COUNTIFS(Podcasts!$D$10:$D$2535,"="&amp;HJ$373,Podcasts!$E$10:$E$2535,"&gt;=1.1.2014",Podcasts!$E$10:$E$2535,"&lt;01.01.2015")</f>
        <v>0</v>
      </c>
      <c r="HK377" s="243">
        <f>COUNTIFS(Podcasts!$D$10:$D$2535,"="&amp;HK$373,Podcasts!$E$10:$E$2535,"&gt;=1.1.2014",Podcasts!$E$10:$E$2535,"&lt;01.01.2015")</f>
        <v>0</v>
      </c>
      <c r="HL377" s="243">
        <f>COUNTIFS(Podcasts!$D$10:$D$2535,"="&amp;HL$373,Podcasts!$E$10:$E$2535,"&gt;=1.1.2014",Podcasts!$E$10:$E$2535,"&lt;01.01.2015")</f>
        <v>0</v>
      </c>
      <c r="HM377" s="243">
        <f>COUNTIFS(Podcasts!$D$10:$D$2535,"="&amp;HM$373,Podcasts!$E$10:$E$2535,"&gt;=1.1.2014",Podcasts!$E$10:$E$2535,"&lt;01.01.2015")</f>
        <v>0</v>
      </c>
      <c r="HN377" s="243">
        <f>COUNTIFS(Podcasts!$D$10:$D$2535,"="&amp;HN$373,Podcasts!$E$10:$E$2535,"&gt;=1.1.2014",Podcasts!$E$10:$E$2535,"&lt;01.01.2015")</f>
        <v>0</v>
      </c>
      <c r="HO377" s="243">
        <f>COUNTIFS(Podcasts!$D$10:$D$2535,"="&amp;HO$373,Podcasts!$E$10:$E$2535,"&gt;=1.1.2014",Podcasts!$E$10:$E$2535,"&lt;01.01.2015")</f>
        <v>0</v>
      </c>
      <c r="HP377" s="243">
        <f>COUNTIFS(Podcasts!$D$10:$D$2535,"="&amp;HP$373,Podcasts!$E$10:$E$2535,"&gt;=1.1.2014",Podcasts!$E$10:$E$2535,"&lt;01.01.2015")</f>
        <v>0</v>
      </c>
      <c r="HQ377" s="243">
        <f>COUNTIFS(Podcasts!$D$10:$D$2535,"="&amp;HQ$373,Podcasts!$E$10:$E$2535,"&gt;=1.1.2014",Podcasts!$E$10:$E$2535,"&lt;01.01.2015")</f>
        <v>0</v>
      </c>
      <c r="HR377" s="243">
        <f>COUNTIFS(Podcasts!$D$10:$D$2535,"="&amp;HR$373,Podcasts!$E$10:$E$2535,"&gt;=1.1.2014",Podcasts!$E$10:$E$2535,"&lt;01.01.2015")</f>
        <v>0</v>
      </c>
      <c r="HS377" s="243">
        <f>COUNTIFS(Podcasts!$D$10:$D$2535,"="&amp;HS$373,Podcasts!$E$10:$E$2535,"&gt;=1.1.2014",Podcasts!$E$10:$E$2535,"&lt;01.01.2015")</f>
        <v>0</v>
      </c>
      <c r="HT377" s="243">
        <f>COUNTIFS(Podcasts!$D$10:$D$2535,"="&amp;HT$373,Podcasts!$E$10:$E$2535,"&gt;=1.1.2014",Podcasts!$E$10:$E$2535,"&lt;01.01.2015")</f>
        <v>0</v>
      </c>
      <c r="HU377" s="243">
        <f>COUNTIFS(Podcasts!$D$10:$D$2535,"="&amp;HU$373,Podcasts!$E$10:$E$2535,"&gt;=1.1.2014",Podcasts!$E$10:$E$2535,"&lt;01.01.2015")</f>
        <v>0</v>
      </c>
      <c r="HV377" s="243">
        <f>COUNTIFS(Podcasts!$D$10:$D$2535,"="&amp;HV$373,Podcasts!$E$10:$E$2535,"&gt;=1.1.2014",Podcasts!$E$10:$E$2535,"&lt;01.01.2015")</f>
        <v>0</v>
      </c>
      <c r="HW377" s="243">
        <f>COUNTIFS(Podcasts!$D$10:$D$2535,"="&amp;HW$373,Podcasts!$E$10:$E$2535,"&gt;=1.1.2014",Podcasts!$E$10:$E$2535,"&lt;01.01.2015")</f>
        <v>0</v>
      </c>
      <c r="HX377" s="243">
        <f>COUNTIFS(Podcasts!$D$10:$D$2535,"="&amp;HX$373,Podcasts!$E$10:$E$2535,"&gt;=1.1.2014",Podcasts!$E$10:$E$2535,"&lt;01.01.2015")</f>
        <v>0</v>
      </c>
      <c r="HY377" s="243">
        <f>COUNTIFS(Podcasts!$D$10:$D$2535,"="&amp;HY$373,Podcasts!$E$10:$E$2535,"&gt;=1.1.2014",Podcasts!$E$10:$E$2535,"&lt;01.01.2015")</f>
        <v>0</v>
      </c>
      <c r="HZ377" s="243">
        <f>COUNTIFS(Podcasts!$D$10:$D$2535,"="&amp;HZ$373,Podcasts!$E$10:$E$2535,"&gt;=1.1.2014",Podcasts!$E$10:$E$2535,"&lt;01.01.2015")</f>
        <v>0</v>
      </c>
    </row>
    <row r="378" spans="1:234">
      <c r="A378" s="28"/>
      <c r="B378" s="28"/>
      <c r="C378" s="462">
        <v>2018</v>
      </c>
      <c r="D378" s="28"/>
      <c r="E378" s="243">
        <f>COUNTIFS(Podcasts!$D$10:$D$2535,"="&amp;E$373,Podcasts!$E$10:$E$2535,"&gt;=1.1.2015",Podcasts!$E$10:$E$2535,"&lt;01.01.2016")</f>
        <v>0</v>
      </c>
      <c r="F378" s="243">
        <f>COUNTIFS(Podcasts!$D$10:$D$2535,"="&amp;F$373,Podcasts!$E$10:$E$2535,"&gt;=1.1.2015",Podcasts!$E$10:$E$2535,"&lt;01.01.2016")</f>
        <v>1</v>
      </c>
      <c r="G378" s="243">
        <f>COUNTIFS(Podcasts!$D$10:$D$2535,"="&amp;G$373,Podcasts!$E$10:$E$2535,"&gt;=1.1.2015",Podcasts!$E$10:$E$2535,"&lt;01.01.2016")</f>
        <v>1</v>
      </c>
      <c r="H378" s="243">
        <f>COUNTIFS(Podcasts!$D$10:$D$2535,"="&amp;H$373,Podcasts!$E$10:$E$2535,"&gt;=1.1.2015",Podcasts!$E$10:$E$2535,"&lt;01.01.2016")</f>
        <v>1</v>
      </c>
      <c r="I378" s="243">
        <f>COUNTIFS(Podcasts!$D$10:$D$2535,"="&amp;I$373,Podcasts!$E$10:$E$2535,"&gt;=1.1.2015",Podcasts!$E$10:$E$2535,"&lt;01.01.2016")</f>
        <v>0</v>
      </c>
      <c r="J378" s="243">
        <f>COUNTIFS(Podcasts!$D$10:$D$2535,"="&amp;J$373,Podcasts!$E$10:$E$2535,"&gt;=1.1.2015",Podcasts!$E$10:$E$2535,"&lt;01.01.2016")</f>
        <v>0</v>
      </c>
      <c r="K378" s="243">
        <f>COUNTIFS(Podcasts!$D$10:$D$2535,"="&amp;K$373,Podcasts!$E$10:$E$2535,"&gt;=1.1.2015",Podcasts!$E$10:$E$2535,"&lt;01.01.2016")</f>
        <v>2</v>
      </c>
      <c r="L378" s="243">
        <f>COUNTIFS(Podcasts!$D$10:$D$2535,"="&amp;L$373,Podcasts!$E$10:$E$2535,"&gt;=1.1.2015",Podcasts!$E$10:$E$2535,"&lt;01.01.2016")</f>
        <v>1</v>
      </c>
      <c r="M378" s="285">
        <f>COUNTIFS(Podcasts!$D$10:$D$2535,"="&amp;M$373,Podcasts!$E$10:$E$2535,"&gt;=1.1.2015",Podcasts!$E$10:$E$2535,"&lt;01.01.2016")</f>
        <v>0</v>
      </c>
      <c r="N378" s="285">
        <f>COUNTIFS(Podcasts!$D$10:$D$2535,"="&amp;N$373,Podcasts!$E$10:$E$2535,"&gt;=1.1.2015",Podcasts!$E$10:$E$2535,"&lt;01.01.2016")</f>
        <v>0</v>
      </c>
      <c r="O378" s="243">
        <f>COUNTIFS(Podcasts!$D$10:$D$2535,"="&amp;O$373,Podcasts!$E$10:$E$2535,"&gt;=1.1.2015",Podcasts!$E$10:$E$2535,"&lt;01.01.2016")</f>
        <v>0</v>
      </c>
      <c r="P378" s="243">
        <f>COUNTIFS(Podcasts!$D$10:$D$2535,"="&amp;P$373,Podcasts!$E$10:$E$2535,"&gt;=1.1.2015",Podcasts!$E$10:$E$2535,"&lt;01.01.2016")</f>
        <v>0</v>
      </c>
      <c r="Q378" s="243">
        <f>COUNTIFS(Podcasts!$D$10:$D$2535,"="&amp;Q$373,Podcasts!$E$10:$E$2535,"&gt;=1.1.2015",Podcasts!$E$10:$E$2535,"&lt;01.01.2016")</f>
        <v>0</v>
      </c>
      <c r="R378" s="243">
        <f>COUNTIFS(Podcasts!$D$10:$D$2535,"="&amp;R$373,Podcasts!$E$10:$E$2535,"&gt;=1.1.2015",Podcasts!$E$10:$E$2535,"&lt;01.01.2016")</f>
        <v>0</v>
      </c>
      <c r="S378" s="243">
        <f>COUNTIFS(Podcasts!$D$10:$D$2535,"="&amp;S$373,Podcasts!$E$10:$E$2535,"&gt;=1.1.2015",Podcasts!$E$10:$E$2535,"&lt;01.01.2016")</f>
        <v>1</v>
      </c>
      <c r="T378" s="243">
        <f>COUNTIFS(Podcasts!$D$10:$D$2535,"="&amp;T$373,Podcasts!$E$10:$E$2535,"&gt;=1.1.2015",Podcasts!$E$10:$E$2535,"&lt;01.01.2016")</f>
        <v>0</v>
      </c>
      <c r="U378" s="243">
        <f>COUNTIFS(Podcasts!$D$10:$D$2535,"="&amp;U$373,Podcasts!$E$10:$E$2535,"&gt;=1.1.2015",Podcasts!$E$10:$E$2535,"&lt;01.01.2016")</f>
        <v>1</v>
      </c>
      <c r="V378" s="243">
        <f>COUNTIFS(Podcasts!$D$10:$D$2535,"="&amp;V$373,Podcasts!$E$10:$E$2535,"&gt;=1.1.2015",Podcasts!$E$10:$E$2535,"&lt;01.01.2016")</f>
        <v>1</v>
      </c>
      <c r="W378" s="243">
        <f>COUNTIFS(Podcasts!$D$10:$D$2535,"="&amp;W$373,Podcasts!$E$10:$E$2535,"&gt;=1.1.2015",Podcasts!$E$10:$E$2535,"&lt;01.01.2016")</f>
        <v>0</v>
      </c>
      <c r="X378" s="243">
        <f>COUNTIFS(Podcasts!$D$10:$D$2535,"="&amp;X$373,Podcasts!$E$10:$E$2535,"&gt;=1.1.2015",Podcasts!$E$10:$E$2535,"&lt;01.01.2016")</f>
        <v>0</v>
      </c>
      <c r="Y378" s="243">
        <f>COUNTIFS(Podcasts!$D$10:$D$2535,"="&amp;Y$373,Podcasts!$E$10:$E$2535,"&gt;=1.1.2015",Podcasts!$E$10:$E$2535,"&lt;01.01.2016")</f>
        <v>1</v>
      </c>
      <c r="Z378" s="243">
        <f>COUNTIFS(Podcasts!$D$10:$D$2535,"="&amp;Z$373,Podcasts!$E$10:$E$2535,"&gt;=1.1.2015",Podcasts!$E$10:$E$2535,"&lt;01.01.2016")</f>
        <v>0</v>
      </c>
      <c r="AA378" s="243">
        <f>COUNTIFS(Podcasts!$D$10:$D$2535,"="&amp;AA$373,Podcasts!$E$10:$E$2535,"&gt;=1.1.2015",Podcasts!$E$10:$E$2535,"&lt;01.01.2016")</f>
        <v>0</v>
      </c>
      <c r="AB378" s="243">
        <f>COUNTIFS(Podcasts!$D$10:$D$2535,"="&amp;AB$373,Podcasts!$E$10:$E$2535,"&gt;=1.1.2015",Podcasts!$E$10:$E$2535,"&lt;01.01.2016")</f>
        <v>0</v>
      </c>
      <c r="AC378" s="243">
        <f>COUNTIFS(Podcasts!$D$10:$D$2535,"="&amp;AC$373,Podcasts!$E$10:$E$2535,"&gt;=1.1.2015",Podcasts!$E$10:$E$2535,"&lt;01.01.2016")</f>
        <v>1</v>
      </c>
      <c r="AD378" s="243">
        <f>COUNTIFS(Podcasts!$D$10:$D$2535,"="&amp;AD$373,Podcasts!$E$10:$E$2535,"&gt;=1.1.2015",Podcasts!$E$10:$E$2535,"&lt;01.01.2016")</f>
        <v>1</v>
      </c>
      <c r="AE378" s="243">
        <f>COUNTIFS(Podcasts!$D$10:$D$2535,"="&amp;AE$373,Podcasts!$E$10:$E$2535,"&gt;=1.1.2015",Podcasts!$E$10:$E$2535,"&lt;01.01.2016")</f>
        <v>0</v>
      </c>
      <c r="AF378" s="243">
        <f>COUNTIFS(Podcasts!$D$10:$D$2535,"="&amp;AF$373,Podcasts!$E$10:$E$2535,"&gt;=1.1.2015",Podcasts!$E$10:$E$2535,"&lt;01.01.2016")</f>
        <v>0</v>
      </c>
      <c r="AG378" s="243">
        <f>COUNTIFS(Podcasts!$D$10:$D$2535,"="&amp;AG$373,Podcasts!$E$10:$E$2535,"&gt;=1.1.2015",Podcasts!$E$10:$E$2535,"&lt;01.01.2016")</f>
        <v>0</v>
      </c>
      <c r="AH378" s="243">
        <f>COUNTIFS(Podcasts!$D$10:$D$2535,"="&amp;AH$373,Podcasts!$E$10:$E$2535,"&gt;=1.1.2015",Podcasts!$E$10:$E$2535,"&lt;01.01.2016")</f>
        <v>0</v>
      </c>
      <c r="AI378" s="243">
        <f>COUNTIFS(Podcasts!$D$10:$D$2535,"="&amp;AI$373,Podcasts!$E$10:$E$2535,"&gt;=1.1.2015",Podcasts!$E$10:$E$2535,"&lt;01.01.2016")</f>
        <v>0</v>
      </c>
      <c r="AJ378" s="243">
        <f>COUNTIFS(Podcasts!$D$10:$D$2535,"="&amp;AJ$373,Podcasts!$E$10:$E$2535,"&gt;=1.1.2015",Podcasts!$E$10:$E$2535,"&lt;01.01.2016")</f>
        <v>1</v>
      </c>
      <c r="AK378" s="243">
        <f>COUNTIFS(Podcasts!$D$10:$D$2535,"="&amp;AK$373,Podcasts!$E$10:$E$2535,"&gt;=1.1.2015",Podcasts!$E$10:$E$2535,"&lt;01.01.2016")</f>
        <v>0</v>
      </c>
      <c r="AL378" s="243">
        <f>COUNTIFS(Podcasts!$D$10:$D$2535,"="&amp;AL$373,Podcasts!$E$10:$E$2535,"&gt;=1.1.2015",Podcasts!$E$10:$E$2535,"&lt;01.01.2016")</f>
        <v>0</v>
      </c>
      <c r="AM378" s="243">
        <f>COUNTIFS(Podcasts!$D$10:$D$2535,"="&amp;AM$373,Podcasts!$E$10:$E$2535,"&gt;=1.1.2015",Podcasts!$E$10:$E$2535,"&lt;01.01.2016")</f>
        <v>1</v>
      </c>
      <c r="AN378" s="243">
        <f>COUNTIFS(Podcasts!$D$10:$D$2535,"="&amp;AN$373,Podcasts!$E$10:$E$2535,"&gt;=1.1.2015",Podcasts!$E$10:$E$2535,"&lt;01.01.2016")</f>
        <v>0</v>
      </c>
      <c r="AO378" s="243">
        <f>COUNTIFS(Podcasts!$D$10:$D$2535,"="&amp;AO$373,Podcasts!$E$10:$E$2535,"&gt;=1.1.2015",Podcasts!$E$10:$E$2535,"&lt;01.01.2016")</f>
        <v>1</v>
      </c>
      <c r="AP378" s="243">
        <f>COUNTIFS(Podcasts!$D$10:$D$2535,"="&amp;AP$373,Podcasts!$E$10:$E$2535,"&gt;=1.1.2015",Podcasts!$E$10:$E$2535,"&lt;01.01.2016")</f>
        <v>0</v>
      </c>
      <c r="AQ378" s="243">
        <f>COUNTIFS(Podcasts!$D$10:$D$2535,"="&amp;AQ$373,Podcasts!$E$10:$E$2535,"&gt;=1.1.2015",Podcasts!$E$10:$E$2535,"&lt;01.01.2016")</f>
        <v>0</v>
      </c>
      <c r="AR378" s="243">
        <f>COUNTIFS(Podcasts!$D$10:$D$2535,"="&amp;AR$373,Podcasts!$E$10:$E$2535,"&gt;=1.1.2015",Podcasts!$E$10:$E$2535,"&lt;01.01.2016")</f>
        <v>0</v>
      </c>
      <c r="AS378" s="243">
        <f>COUNTIFS(Podcasts!$D$10:$D$2535,"="&amp;AS$373,Podcasts!$E$10:$E$2535,"&gt;=1.1.2015",Podcasts!$E$10:$E$2535,"&lt;01.01.2016")</f>
        <v>1</v>
      </c>
      <c r="AT378" s="243">
        <f>COUNTIFS(Podcasts!$D$10:$D$2535,"="&amp;AT$373,Podcasts!$E$10:$E$2535,"&gt;=1.1.2015",Podcasts!$E$10:$E$2535,"&lt;01.01.2016")</f>
        <v>0</v>
      </c>
      <c r="AU378" s="243">
        <f>COUNTIFS(Podcasts!$D$10:$D$2535,"="&amp;AU$373,Podcasts!$E$10:$E$2535,"&gt;=1.1.2015",Podcasts!$E$10:$E$2535,"&lt;01.01.2016")</f>
        <v>0</v>
      </c>
      <c r="AV378" s="243">
        <f>COUNTIFS(Podcasts!$D$10:$D$2535,"="&amp;AV$373,Podcasts!$E$10:$E$2535,"&gt;=1.1.2015",Podcasts!$E$10:$E$2535,"&lt;01.01.2016")</f>
        <v>0</v>
      </c>
      <c r="AW378" s="243">
        <f>COUNTIFS(Podcasts!$D$10:$D$2535,"="&amp;AW$373,Podcasts!$E$10:$E$2535,"&gt;=1.1.2015",Podcasts!$E$10:$E$2535,"&lt;01.01.2016")</f>
        <v>1</v>
      </c>
      <c r="AX378" s="243">
        <f>COUNTIFS(Podcasts!$D$10:$D$2535,"="&amp;AX$373,Podcasts!$E$10:$E$2535,"&gt;=1.1.2015",Podcasts!$E$10:$E$2535,"&lt;01.01.2016")</f>
        <v>0</v>
      </c>
      <c r="AY378" s="243">
        <f>COUNTIFS(Podcasts!$D$10:$D$2535,"="&amp;AY$373,Podcasts!$E$10:$E$2535,"&gt;=1.1.2015",Podcasts!$E$10:$E$2535,"&lt;01.01.2016")</f>
        <v>1</v>
      </c>
      <c r="AZ378" s="243">
        <f>COUNTIFS(Podcasts!$D$10:$D$2535,"="&amp;AZ$373,Podcasts!$E$10:$E$2535,"&gt;=1.1.2015",Podcasts!$E$10:$E$2535,"&lt;01.01.2016")</f>
        <v>0</v>
      </c>
      <c r="BA378" s="243">
        <f>COUNTIFS(Podcasts!$D$10:$D$2535,"="&amp;BA$373,Podcasts!$E$10:$E$2535,"&gt;=1.1.2015",Podcasts!$E$10:$E$2535,"&lt;01.01.2016")</f>
        <v>0</v>
      </c>
      <c r="BB378" s="243">
        <f>COUNTIFS(Podcasts!$D$10:$D$2535,"="&amp;BB$373,Podcasts!$E$10:$E$2535,"&gt;=1.1.2015",Podcasts!$E$10:$E$2535,"&lt;01.01.2016")</f>
        <v>0</v>
      </c>
      <c r="BC378" s="243">
        <f>COUNTIFS(Podcasts!$D$10:$D$2535,"="&amp;BC$373,Podcasts!$E$10:$E$2535,"&gt;=1.1.2015",Podcasts!$E$10:$E$2535,"&lt;01.01.2016")</f>
        <v>0</v>
      </c>
      <c r="BD378" s="243">
        <f>COUNTIFS(Podcasts!$D$10:$D$2535,"="&amp;BD$373,Podcasts!$E$10:$E$2535,"&gt;=1.1.2015",Podcasts!$E$10:$E$2535,"&lt;01.01.2016")</f>
        <v>0</v>
      </c>
      <c r="BE378" s="243">
        <f>COUNTIFS(Podcasts!$D$10:$D$2535,"="&amp;BE$373,Podcasts!$E$10:$E$2535,"&gt;=1.1.2015",Podcasts!$E$10:$E$2535,"&lt;01.01.2016")</f>
        <v>0</v>
      </c>
      <c r="BF378" s="243">
        <f>COUNTIFS(Podcasts!$D$10:$D$2535,"="&amp;BF$373,Podcasts!$E$10:$E$2535,"&gt;=1.1.2015",Podcasts!$E$10:$E$2535,"&lt;01.01.2016")</f>
        <v>1</v>
      </c>
      <c r="BG378" s="243">
        <f>COUNTIFS(Podcasts!$D$10:$D$2535,"="&amp;BG$373,Podcasts!$E$10:$E$2535,"&gt;=1.1.2015",Podcasts!$E$10:$E$2535,"&lt;01.01.2016")</f>
        <v>0</v>
      </c>
      <c r="BH378" s="243">
        <f>COUNTIFS(Podcasts!$D$10:$D$2535,"="&amp;BH$373,Podcasts!$E$10:$E$2535,"&gt;=1.1.2015",Podcasts!$E$10:$E$2535,"&lt;01.01.2016")</f>
        <v>1</v>
      </c>
      <c r="BI378" s="243">
        <f>COUNTIFS(Podcasts!$D$10:$D$2535,"="&amp;BI$373,Podcasts!$E$10:$E$2535,"&gt;=1.1.2015",Podcasts!$E$10:$E$2535,"&lt;01.01.2016")</f>
        <v>0</v>
      </c>
      <c r="BJ378" s="243">
        <f>COUNTIFS(Podcasts!$D$10:$D$2535,"="&amp;BJ$373,Podcasts!$E$10:$E$2535,"&gt;=1.1.2015",Podcasts!$E$10:$E$2535,"&lt;01.01.2016")</f>
        <v>0</v>
      </c>
      <c r="BK378" s="243">
        <f>COUNTIFS(Podcasts!$D$10:$D$2535,"="&amp;BK$373,Podcasts!$E$10:$E$2535,"&gt;=1.1.2015",Podcasts!$E$10:$E$2535,"&lt;01.01.2016")</f>
        <v>0</v>
      </c>
      <c r="BL378" s="243">
        <f>COUNTIFS(Podcasts!$D$10:$D$2535,"="&amp;BL$373,Podcasts!$E$10:$E$2535,"&gt;=1.1.2015",Podcasts!$E$10:$E$2535,"&lt;01.01.2016")</f>
        <v>0</v>
      </c>
      <c r="BM378" s="243">
        <f>COUNTIFS(Podcasts!$D$10:$D$2535,"="&amp;BM$373,Podcasts!$E$10:$E$2535,"&gt;=1.1.2015",Podcasts!$E$10:$E$2535,"&lt;01.01.2016")</f>
        <v>1</v>
      </c>
      <c r="BN378" s="243">
        <f>COUNTIFS(Podcasts!$D$10:$D$2535,"="&amp;BN$373,Podcasts!$E$10:$E$2535,"&gt;=1.1.2015",Podcasts!$E$10:$E$2535,"&lt;01.01.2016")</f>
        <v>1</v>
      </c>
      <c r="BO378" s="243">
        <f>COUNTIFS(Podcasts!$D$10:$D$2535,"="&amp;BO$373,Podcasts!$E$10:$E$2535,"&gt;=1.1.2015",Podcasts!$E$10:$E$2535,"&lt;01.01.2016")</f>
        <v>1</v>
      </c>
      <c r="BP378" s="243">
        <f>COUNTIFS(Podcasts!$D$10:$D$2535,"="&amp;BP$373,Podcasts!$E$10:$E$2535,"&gt;=1.1.2015",Podcasts!$E$10:$E$2535,"&lt;01.01.2016")</f>
        <v>0</v>
      </c>
      <c r="BQ378" s="243">
        <f>COUNTIFS(Podcasts!$D$10:$D$2535,"="&amp;BQ$373,Podcasts!$E$10:$E$2535,"&gt;=1.1.2015",Podcasts!$E$10:$E$2535,"&lt;01.01.2016")</f>
        <v>0</v>
      </c>
      <c r="BR378" s="243">
        <f>COUNTIFS(Podcasts!$D$10:$D$2535,"="&amp;BR$373,Podcasts!$E$10:$E$2535,"&gt;=1.1.2015",Podcasts!$E$10:$E$2535,"&lt;01.01.2016")</f>
        <v>0</v>
      </c>
      <c r="BS378" s="243">
        <f>COUNTIFS(Podcasts!$D$10:$D$2535,"="&amp;BS$373,Podcasts!$E$10:$E$2535,"&gt;=1.1.2015",Podcasts!$E$10:$E$2535,"&lt;01.01.2016")</f>
        <v>1</v>
      </c>
      <c r="BT378" s="243">
        <f>COUNTIFS(Podcasts!$D$10:$D$2535,"="&amp;BT$373,Podcasts!$E$10:$E$2535,"&gt;=1.1.2015",Podcasts!$E$10:$E$2535,"&lt;01.01.2016")</f>
        <v>0</v>
      </c>
      <c r="BU378" s="243">
        <f>COUNTIFS(Podcasts!$D$10:$D$2535,"="&amp;BU$373,Podcasts!$E$10:$E$2535,"&gt;=1.1.2015",Podcasts!$E$10:$E$2535,"&lt;01.01.2016")</f>
        <v>0</v>
      </c>
      <c r="BV378" s="243">
        <f>COUNTIFS(Podcasts!$D$10:$D$2535,"="&amp;BV$373,Podcasts!$E$10:$E$2535,"&gt;=1.1.2015",Podcasts!$E$10:$E$2535,"&lt;01.01.2016")</f>
        <v>0</v>
      </c>
      <c r="BW378" s="243">
        <f>COUNTIFS(Podcasts!$D$10:$D$2535,"="&amp;BW$373,Podcasts!$E$10:$E$2535,"&gt;=1.1.2015",Podcasts!$E$10:$E$2535,"&lt;01.01.2016")</f>
        <v>0</v>
      </c>
      <c r="BX378" s="243">
        <f>COUNTIFS(Podcasts!$D$10:$D$2535,"="&amp;BX$373,Podcasts!$E$10:$E$2535,"&gt;=1.1.2015",Podcasts!$E$10:$E$2535,"&lt;01.01.2016")</f>
        <v>0</v>
      </c>
      <c r="BY378" s="243">
        <f>COUNTIFS(Podcasts!$D$10:$D$2535,"="&amp;BY$373,Podcasts!$E$10:$E$2535,"&gt;=1.1.2015",Podcasts!$E$10:$E$2535,"&lt;01.01.2016")</f>
        <v>1</v>
      </c>
      <c r="BZ378" s="243">
        <f>COUNTIFS(Podcasts!$D$10:$D$2535,"="&amp;BZ$373,Podcasts!$E$10:$E$2535,"&gt;=1.1.2015",Podcasts!$E$10:$E$2535,"&lt;01.01.2016")</f>
        <v>1</v>
      </c>
      <c r="CA378" s="243">
        <f>COUNTIFS(Podcasts!$D$10:$D$2535,"="&amp;CA$373,Podcasts!$E$10:$E$2535,"&gt;=1.1.2015",Podcasts!$E$10:$E$2535,"&lt;01.01.2016")</f>
        <v>0</v>
      </c>
      <c r="CB378" s="243">
        <f>COUNTIFS(Podcasts!$D$10:$D$2535,"="&amp;CB$373,Podcasts!$E$10:$E$2535,"&gt;=1.1.2015",Podcasts!$E$10:$E$2535,"&lt;01.01.2016")</f>
        <v>1</v>
      </c>
      <c r="CC378" s="243">
        <f>COUNTIFS(Podcasts!$D$10:$D$2535,"="&amp;CC$373,Podcasts!$E$10:$E$2535,"&gt;=1.1.2015",Podcasts!$E$10:$E$2535,"&lt;01.01.2016")</f>
        <v>0</v>
      </c>
      <c r="CD378" s="243">
        <f>COUNTIFS(Podcasts!$D$10:$D$2535,"="&amp;CD$373,Podcasts!$E$10:$E$2535,"&gt;=1.1.2015",Podcasts!$E$10:$E$2535,"&lt;01.01.2016")</f>
        <v>0</v>
      </c>
      <c r="CE378" s="243">
        <f>COUNTIFS(Podcasts!$D$10:$D$2535,"="&amp;CE$373,Podcasts!$E$10:$E$2535,"&gt;=1.1.2015",Podcasts!$E$10:$E$2535,"&lt;01.01.2016")</f>
        <v>0</v>
      </c>
      <c r="CF378" s="243">
        <f>COUNTIFS(Podcasts!$D$10:$D$2535,"="&amp;CF$373,Podcasts!$E$10:$E$2535,"&gt;=1.1.2015",Podcasts!$E$10:$E$2535,"&lt;01.01.2016")</f>
        <v>0</v>
      </c>
      <c r="CG378" s="243">
        <f>COUNTIFS(Podcasts!$D$10:$D$2535,"="&amp;CG$373,Podcasts!$E$10:$E$2535,"&gt;=1.1.2015",Podcasts!$E$10:$E$2535,"&lt;01.01.2016")</f>
        <v>0</v>
      </c>
      <c r="CH378" s="243">
        <f>COUNTIFS(Podcasts!$D$10:$D$2535,"="&amp;CH$373,Podcasts!$E$10:$E$2535,"&gt;=1.1.2015",Podcasts!$E$10:$E$2535,"&lt;01.01.2016")</f>
        <v>0</v>
      </c>
      <c r="CI378" s="243">
        <f>COUNTIFS(Podcasts!$D$10:$D$2535,"="&amp;CI$373,Podcasts!$E$10:$E$2535,"&gt;=1.1.2015",Podcasts!$E$10:$E$2535,"&lt;01.01.2016")</f>
        <v>0</v>
      </c>
      <c r="CJ378" s="243">
        <f>COUNTIFS(Podcasts!$D$10:$D$2535,"="&amp;CJ$373,Podcasts!$E$10:$E$2535,"&gt;=1.1.2015",Podcasts!$E$10:$E$2535,"&lt;01.01.2016")</f>
        <v>0</v>
      </c>
      <c r="CK378" s="243">
        <f>COUNTIFS(Podcasts!$D$10:$D$2535,"="&amp;CK$373,Podcasts!$E$10:$E$2535,"&gt;=1.1.2015",Podcasts!$E$10:$E$2535,"&lt;01.01.2016")</f>
        <v>1</v>
      </c>
      <c r="CL378" s="243">
        <f>COUNTIFS(Podcasts!$D$10:$D$2535,"="&amp;CL$373,Podcasts!$E$10:$E$2535,"&gt;=1.1.2015",Podcasts!$E$10:$E$2535,"&lt;01.01.2016")</f>
        <v>0</v>
      </c>
      <c r="CM378" s="243">
        <f>COUNTIFS(Podcasts!$D$10:$D$2535,"="&amp;CM$373,Podcasts!$E$10:$E$2535,"&gt;=1.1.2015",Podcasts!$E$10:$E$2535,"&lt;01.01.2016")</f>
        <v>0</v>
      </c>
      <c r="CN378" s="243">
        <f>COUNTIFS(Podcasts!$D$10:$D$2535,"="&amp;CN$373,Podcasts!$E$10:$E$2535,"&gt;=1.1.2015",Podcasts!$E$10:$E$2535,"&lt;01.01.2016")</f>
        <v>0</v>
      </c>
      <c r="CO378" s="243">
        <f>COUNTIFS(Podcasts!$D$10:$D$2535,"="&amp;CO$373,Podcasts!$E$10:$E$2535,"&gt;=1.1.2015",Podcasts!$E$10:$E$2535,"&lt;01.01.2016")</f>
        <v>0</v>
      </c>
      <c r="CP378" s="243">
        <f>COUNTIFS(Podcasts!$D$10:$D$2535,"="&amp;CP$373,Podcasts!$E$10:$E$2535,"&gt;=1.1.2015",Podcasts!$E$10:$E$2535,"&lt;01.01.2016")</f>
        <v>0</v>
      </c>
      <c r="CQ378" s="243">
        <f>COUNTIFS(Podcasts!$D$10:$D$2535,"="&amp;CQ$373,Podcasts!$E$10:$E$2535,"&gt;=1.1.2015",Podcasts!$E$10:$E$2535,"&lt;01.01.2016")</f>
        <v>0</v>
      </c>
      <c r="CR378" s="243">
        <f>COUNTIFS(Podcasts!$D$10:$D$2535,"="&amp;CR$373,Podcasts!$E$10:$E$2535,"&gt;=1.1.2015",Podcasts!$E$10:$E$2535,"&lt;01.01.2016")</f>
        <v>0</v>
      </c>
      <c r="CS378" s="243">
        <f>COUNTIFS(Podcasts!$D$10:$D$2535,"="&amp;CS$373,Podcasts!$E$10:$E$2535,"&gt;=1.1.2015",Podcasts!$E$10:$E$2535,"&lt;01.01.2016")</f>
        <v>0</v>
      </c>
      <c r="CT378" s="243">
        <f>COUNTIFS(Podcasts!$D$10:$D$2535,"="&amp;CT$373,Podcasts!$E$10:$E$2535,"&gt;=1.1.2015",Podcasts!$E$10:$E$2535,"&lt;01.01.2016")</f>
        <v>0</v>
      </c>
      <c r="CU378" s="243">
        <f>COUNTIFS(Podcasts!$D$10:$D$2535,"="&amp;CU$373,Podcasts!$E$10:$E$2535,"&gt;=1.1.2015",Podcasts!$E$10:$E$2535,"&lt;01.01.2016")</f>
        <v>0</v>
      </c>
      <c r="CV378" s="243">
        <f>COUNTIFS(Podcasts!$D$10:$D$2535,"="&amp;CV$373,Podcasts!$E$10:$E$2535,"&gt;=1.1.2015",Podcasts!$E$10:$E$2535,"&lt;01.01.2016")</f>
        <v>0</v>
      </c>
      <c r="CW378" s="243">
        <f>COUNTIFS(Podcasts!$D$10:$D$2535,"="&amp;CW$373,Podcasts!$E$10:$E$2535,"&gt;=1.1.2015",Podcasts!$E$10:$E$2535,"&lt;01.01.2016")</f>
        <v>1</v>
      </c>
      <c r="CX378" s="243">
        <f>COUNTIFS(Podcasts!$D$10:$D$2535,"="&amp;CX$373,Podcasts!$E$10:$E$2535,"&gt;=1.1.2015",Podcasts!$E$10:$E$2535,"&lt;01.01.2016")</f>
        <v>0</v>
      </c>
      <c r="CY378" s="243">
        <f>COUNTIFS(Podcasts!$D$10:$D$2535,"="&amp;CY$373,Podcasts!$E$10:$E$2535,"&gt;=1.1.2015",Podcasts!$E$10:$E$2535,"&lt;01.01.2016")</f>
        <v>1</v>
      </c>
      <c r="CZ378" s="243">
        <f>COUNTIFS(Podcasts!$D$10:$D$2535,"="&amp;CZ$373,Podcasts!$E$10:$E$2535,"&gt;=1.1.2015",Podcasts!$E$10:$E$2535,"&lt;01.01.2016")</f>
        <v>1</v>
      </c>
      <c r="DA378" s="243">
        <f>COUNTIFS(Podcasts!$D$10:$D$2535,"="&amp;DA$373,Podcasts!$E$10:$E$2535,"&gt;=1.1.2015",Podcasts!$E$10:$E$2535,"&lt;01.01.2016")</f>
        <v>0</v>
      </c>
      <c r="DB378" s="243">
        <f>COUNTIFS(Podcasts!$D$10:$D$2535,"="&amp;DB$373,Podcasts!$E$10:$E$2535,"&gt;=1.1.2015",Podcasts!$E$10:$E$2535,"&lt;01.01.2016")</f>
        <v>0</v>
      </c>
      <c r="DC378" s="243">
        <f>COUNTIFS(Podcasts!$D$10:$D$2535,"="&amp;DC$373,Podcasts!$E$10:$E$2535,"&gt;=1.1.2015",Podcasts!$E$10:$E$2535,"&lt;01.01.2016")</f>
        <v>0</v>
      </c>
      <c r="DD378" s="243">
        <f>COUNTIFS(Podcasts!$D$10:$D$2535,"="&amp;DD$373,Podcasts!$E$10:$E$2535,"&gt;=1.1.2015",Podcasts!$E$10:$E$2535,"&lt;01.01.2016")</f>
        <v>0</v>
      </c>
      <c r="DE378" s="243">
        <f>COUNTIFS(Podcasts!$D$10:$D$2535,"="&amp;DE$373,Podcasts!$E$10:$E$2535,"&gt;=1.1.2015",Podcasts!$E$10:$E$2535,"&lt;01.01.2016")</f>
        <v>1</v>
      </c>
      <c r="DF378" s="243">
        <f>COUNTIFS(Podcasts!$D$10:$D$2535,"="&amp;DF$373,Podcasts!$E$10:$E$2535,"&gt;=1.1.2015",Podcasts!$E$10:$E$2535,"&lt;01.01.2016")</f>
        <v>0</v>
      </c>
      <c r="DG378" s="243">
        <f>COUNTIFS(Podcasts!$D$10:$D$2535,"="&amp;DG$373,Podcasts!$E$10:$E$2535,"&gt;=1.1.2015",Podcasts!$E$10:$E$2535,"&lt;01.01.2016")</f>
        <v>0</v>
      </c>
      <c r="DH378" s="243">
        <f>COUNTIFS(Podcasts!$D$10:$D$2535,"="&amp;DH$373,Podcasts!$E$10:$E$2535,"&gt;=1.1.2015",Podcasts!$E$10:$E$2535,"&lt;01.01.2016")</f>
        <v>0</v>
      </c>
      <c r="DI378" s="243">
        <f>COUNTIFS(Podcasts!$D$10:$D$2535,"="&amp;DI$373,Podcasts!$E$10:$E$2535,"&gt;=1.1.2015",Podcasts!$E$10:$E$2535,"&lt;01.01.2016")</f>
        <v>0</v>
      </c>
      <c r="DJ378" s="243">
        <f>COUNTIFS(Podcasts!$D$10:$D$2535,"="&amp;DJ$373,Podcasts!$E$10:$E$2535,"&gt;=1.1.2015",Podcasts!$E$10:$E$2535,"&lt;01.01.2016")</f>
        <v>0</v>
      </c>
      <c r="DK378" s="243">
        <f>COUNTIFS(Podcasts!$D$10:$D$2535,"="&amp;DK$373,Podcasts!$E$10:$E$2535,"&gt;=1.1.2015",Podcasts!$E$10:$E$2535,"&lt;01.01.2016")</f>
        <v>1</v>
      </c>
      <c r="DL378" s="243">
        <f>COUNTIFS(Podcasts!$D$10:$D$2535,"="&amp;DL$373,Podcasts!$E$10:$E$2535,"&gt;=1.1.2015",Podcasts!$E$10:$E$2535,"&lt;01.01.2016")</f>
        <v>0</v>
      </c>
      <c r="DM378" s="243">
        <f>COUNTIFS(Podcasts!$D$10:$D$2535,"="&amp;DM$373,Podcasts!$E$10:$E$2535,"&gt;=1.1.2015",Podcasts!$E$10:$E$2535,"&lt;01.01.2016")</f>
        <v>0</v>
      </c>
      <c r="DN378" s="243">
        <f>COUNTIFS(Podcasts!$D$10:$D$2535,"="&amp;DN$373,Podcasts!$E$10:$E$2535,"&gt;=1.1.2015",Podcasts!$E$10:$E$2535,"&lt;01.01.2016")</f>
        <v>0</v>
      </c>
      <c r="DO378" s="243">
        <f>COUNTIFS(Podcasts!$D$10:$D$2535,"="&amp;DO$373,Podcasts!$E$10:$E$2535,"&gt;=1.1.2015",Podcasts!$E$10:$E$2535,"&lt;01.01.2016")</f>
        <v>0</v>
      </c>
      <c r="DP378" s="243">
        <f>COUNTIFS(Podcasts!$D$10:$D$2535,"="&amp;DP$373,Podcasts!$E$10:$E$2535,"&gt;=1.1.2015",Podcasts!$E$10:$E$2535,"&lt;01.01.2016")</f>
        <v>0</v>
      </c>
      <c r="DQ378" s="243">
        <f>COUNTIFS(Podcasts!$D$10:$D$2535,"="&amp;DQ$373,Podcasts!$E$10:$E$2535,"&gt;=1.1.2015",Podcasts!$E$10:$E$2535,"&lt;01.01.2016")</f>
        <v>0</v>
      </c>
      <c r="DR378" s="243">
        <f>COUNTIFS(Podcasts!$D$10:$D$2535,"="&amp;DR$373,Podcasts!$E$10:$E$2535,"&gt;=1.1.2015",Podcasts!$E$10:$E$2535,"&lt;01.01.2016")</f>
        <v>0</v>
      </c>
      <c r="DS378" s="243">
        <f>COUNTIFS(Podcasts!$D$10:$D$2535,"="&amp;DS$373,Podcasts!$E$10:$E$2535,"&gt;=1.1.2015",Podcasts!$E$10:$E$2535,"&lt;01.01.2016")</f>
        <v>0</v>
      </c>
      <c r="DT378" s="243">
        <f>COUNTIFS(Podcasts!$D$10:$D$2535,"="&amp;DT$373,Podcasts!$E$10:$E$2535,"&gt;=1.1.2015",Podcasts!$E$10:$E$2535,"&lt;01.01.2016")</f>
        <v>0</v>
      </c>
      <c r="DU378" s="243">
        <f>COUNTIFS(Podcasts!$D$10:$D$2535,"="&amp;DU$373,Podcasts!$E$10:$E$2535,"&gt;=1.1.2015",Podcasts!$E$10:$E$2535,"&lt;01.01.2016")</f>
        <v>0</v>
      </c>
      <c r="DV378" s="243">
        <f>COUNTIFS(Podcasts!$D$10:$D$2535,"="&amp;DV$373,Podcasts!$E$10:$E$2535,"&gt;=1.1.2015",Podcasts!$E$10:$E$2535,"&lt;01.01.2016")</f>
        <v>0</v>
      </c>
      <c r="DW378" s="243">
        <f>COUNTIFS(Podcasts!$D$10:$D$2535,"="&amp;DW$373,Podcasts!$E$10:$E$2535,"&gt;=1.1.2015",Podcasts!$E$10:$E$2535,"&lt;01.01.2016")</f>
        <v>0</v>
      </c>
      <c r="DX378" s="243">
        <f>COUNTIFS(Podcasts!$D$10:$D$2535,"="&amp;DX$373,Podcasts!$E$10:$E$2535,"&gt;=1.1.2015",Podcasts!$E$10:$E$2535,"&lt;01.01.2016")</f>
        <v>0</v>
      </c>
      <c r="DY378" s="243">
        <f>COUNTIFS(Podcasts!$D$10:$D$2535,"="&amp;DY$373,Podcasts!$E$10:$E$2535,"&gt;=1.1.2015",Podcasts!$E$10:$E$2535,"&lt;01.01.2016")</f>
        <v>0</v>
      </c>
      <c r="DZ378" s="243">
        <f>COUNTIFS(Podcasts!$D$10:$D$2535,"="&amp;DZ$373,Podcasts!$E$10:$E$2535,"&gt;=1.1.2015",Podcasts!$E$10:$E$2535,"&lt;01.01.2016")</f>
        <v>0</v>
      </c>
      <c r="EA378" s="243">
        <f>COUNTIFS(Podcasts!$D$10:$D$2535,"="&amp;EA$373,Podcasts!$E$10:$E$2535,"&gt;=1.1.2015",Podcasts!$E$10:$E$2535,"&lt;01.01.2016")</f>
        <v>0</v>
      </c>
      <c r="EB378" s="243">
        <f>COUNTIFS(Podcasts!$D$10:$D$2535,"="&amp;EB$373,Podcasts!$E$10:$E$2535,"&gt;=1.1.2015",Podcasts!$E$10:$E$2535,"&lt;01.01.2016")</f>
        <v>0</v>
      </c>
      <c r="EC378" s="243">
        <f>COUNTIFS(Podcasts!$D$10:$D$2535,"="&amp;EC$373,Podcasts!$E$10:$E$2535,"&gt;=1.1.2015",Podcasts!$E$10:$E$2535,"&lt;01.01.2016")</f>
        <v>0</v>
      </c>
      <c r="ED378" s="243">
        <f>COUNTIFS(Podcasts!$D$10:$D$2535,"="&amp;ED$373,Podcasts!$E$10:$E$2535,"&gt;=1.1.2015",Podcasts!$E$10:$E$2535,"&lt;01.01.2016")</f>
        <v>0</v>
      </c>
      <c r="EE378" s="243">
        <f>COUNTIFS(Podcasts!$D$10:$D$2535,"="&amp;EE$373,Podcasts!$E$10:$E$2535,"&gt;=1.1.2015",Podcasts!$E$10:$E$2535,"&lt;01.01.2016")</f>
        <v>0</v>
      </c>
      <c r="EF378" s="243">
        <f>COUNTIFS(Podcasts!$D$10:$D$2535,"="&amp;EF$373,Podcasts!$E$10:$E$2535,"&gt;=1.1.2015",Podcasts!$E$10:$E$2535,"&lt;01.01.2016")</f>
        <v>0</v>
      </c>
      <c r="EG378" s="243">
        <f>COUNTIFS(Podcasts!$D$10:$D$2535,"="&amp;EG$373,Podcasts!$E$10:$E$2535,"&gt;=1.1.2015",Podcasts!$E$10:$E$2535,"&lt;01.01.2016")</f>
        <v>0</v>
      </c>
      <c r="EH378" s="243">
        <f>COUNTIFS(Podcasts!$D$10:$D$2535,"="&amp;EH$373,Podcasts!$E$10:$E$2535,"&gt;=1.1.2015",Podcasts!$E$10:$E$2535,"&lt;01.01.2016")</f>
        <v>0</v>
      </c>
      <c r="EI378" s="243">
        <f>COUNTIFS(Podcasts!$D$10:$D$2535,"="&amp;EI$373,Podcasts!$E$10:$E$2535,"&gt;=1.1.2015",Podcasts!$E$10:$E$2535,"&lt;01.01.2016")</f>
        <v>0</v>
      </c>
      <c r="EJ378" s="243">
        <f>COUNTIFS(Podcasts!$D$10:$D$2535,"="&amp;EJ$373,Podcasts!$E$10:$E$2535,"&gt;=1.1.2015",Podcasts!$E$10:$E$2535,"&lt;01.01.2016")</f>
        <v>0</v>
      </c>
      <c r="EK378" s="243">
        <f>COUNTIFS(Podcasts!$D$10:$D$2535,"="&amp;EK$373,Podcasts!$E$10:$E$2535,"&gt;=1.1.2015",Podcasts!$E$10:$E$2535,"&lt;01.01.2016")</f>
        <v>0</v>
      </c>
      <c r="EL378" s="243">
        <f>COUNTIFS(Podcasts!$D$10:$D$2535,"="&amp;EL$373,Podcasts!$E$10:$E$2535,"&gt;=1.1.2015",Podcasts!$E$10:$E$2535,"&lt;01.01.2016")</f>
        <v>0</v>
      </c>
      <c r="EM378" s="243">
        <f>COUNTIFS(Podcasts!$D$10:$D$2535,"="&amp;EM$373,Podcasts!$E$10:$E$2535,"&gt;=1.1.2015",Podcasts!$E$10:$E$2535,"&lt;01.01.2016")</f>
        <v>0</v>
      </c>
      <c r="EN378" s="243">
        <f>COUNTIFS(Podcasts!$D$10:$D$2535,"="&amp;EN$373,Podcasts!$E$10:$E$2535,"&gt;=1.1.2015",Podcasts!$E$10:$E$2535,"&lt;01.01.2016")</f>
        <v>0</v>
      </c>
      <c r="EO378" s="243">
        <f>COUNTIFS(Podcasts!$D$10:$D$2535,"="&amp;EO$373,Podcasts!$E$10:$E$2535,"&gt;=1.1.2015",Podcasts!$E$10:$E$2535,"&lt;01.01.2016")</f>
        <v>0</v>
      </c>
      <c r="EP378" s="243">
        <f>COUNTIFS(Podcasts!$D$10:$D$2535,"="&amp;EP$373,Podcasts!$E$10:$E$2535,"&gt;=1.1.2015",Podcasts!$E$10:$E$2535,"&lt;01.01.2016")</f>
        <v>0</v>
      </c>
      <c r="EQ378" s="243">
        <f>COUNTIFS(Podcasts!$D$10:$D$2535,"="&amp;EQ$373,Podcasts!$E$10:$E$2535,"&gt;=1.1.2015",Podcasts!$E$10:$E$2535,"&lt;01.01.2016")</f>
        <v>0</v>
      </c>
      <c r="ER378" s="243">
        <f>COUNTIFS(Podcasts!$D$10:$D$2535,"="&amp;ER$373,Podcasts!$E$10:$E$2535,"&gt;=1.1.2015",Podcasts!$E$10:$E$2535,"&lt;01.01.2016")</f>
        <v>0</v>
      </c>
      <c r="ES378" s="243">
        <f>COUNTIFS(Podcasts!$D$10:$D$2535,"="&amp;ES$373,Podcasts!$E$10:$E$2535,"&gt;=1.1.2015",Podcasts!$E$10:$E$2535,"&lt;01.01.2016")</f>
        <v>0</v>
      </c>
      <c r="ET378" s="243">
        <f>COUNTIFS(Podcasts!$D$10:$D$2535,"="&amp;ET$373,Podcasts!$E$10:$E$2535,"&gt;=1.1.2015",Podcasts!$E$10:$E$2535,"&lt;01.01.2016")</f>
        <v>0</v>
      </c>
      <c r="EU378" s="243">
        <f>COUNTIFS(Podcasts!$D$10:$D$2535,"="&amp;EU$373,Podcasts!$E$10:$E$2535,"&gt;=1.1.2015",Podcasts!$E$10:$E$2535,"&lt;01.01.2016")</f>
        <v>0</v>
      </c>
      <c r="EV378" s="243">
        <f>COUNTIFS(Podcasts!$D$10:$D$2535,"="&amp;EV$373,Podcasts!$E$10:$E$2535,"&gt;=1.1.2015",Podcasts!$E$10:$E$2535,"&lt;01.01.2016")</f>
        <v>0</v>
      </c>
      <c r="EW378" s="243">
        <f>COUNTIFS(Podcasts!$D$10:$D$2535,"="&amp;EW$373,Podcasts!$E$10:$E$2535,"&gt;=1.1.2015",Podcasts!$E$10:$E$2535,"&lt;01.01.2016")</f>
        <v>0</v>
      </c>
      <c r="EX378" s="243">
        <f>COUNTIFS(Podcasts!$D$10:$D$2535,"="&amp;EX$373,Podcasts!$E$10:$E$2535,"&gt;=1.1.2015",Podcasts!$E$10:$E$2535,"&lt;01.01.2016")</f>
        <v>0</v>
      </c>
      <c r="EY378" s="243">
        <f>COUNTIFS(Podcasts!$D$10:$D$2535,"="&amp;EY$373,Podcasts!$E$10:$E$2535,"&gt;=1.1.2015",Podcasts!$E$10:$E$2535,"&lt;01.01.2016")</f>
        <v>1</v>
      </c>
      <c r="EZ378" s="243">
        <f>COUNTIFS(Podcasts!$D$10:$D$2535,"="&amp;EZ$373,Podcasts!$E$10:$E$2535,"&gt;=1.1.2015",Podcasts!$E$10:$E$2535,"&lt;01.01.2016")</f>
        <v>0</v>
      </c>
      <c r="FA378" s="243">
        <f>COUNTIFS(Podcasts!$D$10:$D$2535,"="&amp;FA$373,Podcasts!$E$10:$E$2535,"&gt;=1.1.2015",Podcasts!$E$10:$E$2535,"&lt;01.01.2016")</f>
        <v>0</v>
      </c>
      <c r="FB378" s="243">
        <f>COUNTIFS(Podcasts!$D$10:$D$2535,"="&amp;FB$373,Podcasts!$E$10:$E$2535,"&gt;=1.1.2015",Podcasts!$E$10:$E$2535,"&lt;01.01.2016")</f>
        <v>0</v>
      </c>
      <c r="FC378" s="243">
        <f>COUNTIFS(Podcasts!$D$10:$D$2535,"="&amp;FC$373,Podcasts!$E$10:$E$2535,"&gt;=1.1.2015",Podcasts!$E$10:$E$2535,"&lt;01.01.2016")</f>
        <v>0</v>
      </c>
      <c r="FD378" s="243">
        <f>COUNTIFS(Podcasts!$D$10:$D$2535,"="&amp;FD$373,Podcasts!$E$10:$E$2535,"&gt;=1.1.2015",Podcasts!$E$10:$E$2535,"&lt;01.01.2016")</f>
        <v>0</v>
      </c>
      <c r="FE378" s="243">
        <f>COUNTIFS(Podcasts!$D$10:$D$2535,"="&amp;FE$373,Podcasts!$E$10:$E$2535,"&gt;=1.1.2015",Podcasts!$E$10:$E$2535,"&lt;01.01.2016")</f>
        <v>0</v>
      </c>
      <c r="FF378" s="243">
        <f>COUNTIFS(Podcasts!$D$10:$D$2535,"="&amp;FF$373,Podcasts!$E$10:$E$2535,"&gt;=1.1.2015",Podcasts!$E$10:$E$2535,"&lt;01.01.2016")</f>
        <v>0</v>
      </c>
      <c r="FG378" s="243">
        <f>COUNTIFS(Podcasts!$D$10:$D$2535,"="&amp;FG$373,Podcasts!$E$10:$E$2535,"&gt;=1.1.2015",Podcasts!$E$10:$E$2535,"&lt;01.01.2016")</f>
        <v>0</v>
      </c>
      <c r="FH378" s="243">
        <f>COUNTIFS(Podcasts!$D$10:$D$2535,"="&amp;FH$373,Podcasts!$E$10:$E$2535,"&gt;=1.1.2015",Podcasts!$E$10:$E$2535,"&lt;01.01.2016")</f>
        <v>0</v>
      </c>
      <c r="FI378" s="243">
        <f>COUNTIFS(Podcasts!$D$10:$D$2535,"="&amp;FI$373,Podcasts!$E$10:$E$2535,"&gt;=1.1.2015",Podcasts!$E$10:$E$2535,"&lt;01.01.2016")</f>
        <v>0</v>
      </c>
      <c r="FJ378" s="243">
        <f>COUNTIFS(Podcasts!$D$10:$D$2535,"="&amp;FJ$373,Podcasts!$E$10:$E$2535,"&gt;=1.1.2015",Podcasts!$E$10:$E$2535,"&lt;01.01.2016")</f>
        <v>0</v>
      </c>
      <c r="FK378" s="243">
        <f>COUNTIFS(Podcasts!$D$10:$D$2535,"="&amp;FK$373,Podcasts!$E$10:$E$2535,"&gt;=1.1.2015",Podcasts!$E$10:$E$2535,"&lt;01.01.2016")</f>
        <v>0</v>
      </c>
      <c r="FL378" s="243">
        <f>COUNTIFS(Podcasts!$D$10:$D$2535,"="&amp;FL$373,Podcasts!$E$10:$E$2535,"&gt;=1.1.2015",Podcasts!$E$10:$E$2535,"&lt;01.01.2016")</f>
        <v>0</v>
      </c>
      <c r="FM378" s="243">
        <f>COUNTIFS(Podcasts!$D$10:$D$2535,"="&amp;FM$373,Podcasts!$E$10:$E$2535,"&gt;=1.1.2015",Podcasts!$E$10:$E$2535,"&lt;01.01.2016")</f>
        <v>0</v>
      </c>
      <c r="FN378" s="243">
        <f>COUNTIFS(Podcasts!$D$10:$D$2535,"="&amp;FN$373,Podcasts!$E$10:$E$2535,"&gt;=1.1.2015",Podcasts!$E$10:$E$2535,"&lt;01.01.2016")</f>
        <v>1</v>
      </c>
      <c r="FO378" s="243">
        <f>COUNTIFS(Podcasts!$D$10:$D$2535,"="&amp;FO$373,Podcasts!$E$10:$E$2535,"&gt;=1.1.2015",Podcasts!$E$10:$E$2535,"&lt;01.01.2016")</f>
        <v>0</v>
      </c>
      <c r="FP378" s="243">
        <f>COUNTIFS(Podcasts!$D$10:$D$2535,"="&amp;FP$373,Podcasts!$E$10:$E$2535,"&gt;=1.1.2015",Podcasts!$E$10:$E$2535,"&lt;01.01.2016")</f>
        <v>0</v>
      </c>
      <c r="FQ378" s="243">
        <f>COUNTIFS(Podcasts!$D$10:$D$2535,"="&amp;FQ$373,Podcasts!$E$10:$E$2535,"&gt;=1.1.2015",Podcasts!$E$10:$E$2535,"&lt;01.01.2016")</f>
        <v>0</v>
      </c>
      <c r="FR378" s="243">
        <f>COUNTIFS(Podcasts!$D$10:$D$2535,"="&amp;FR$373,Podcasts!$E$10:$E$2535,"&gt;=1.1.2015",Podcasts!$E$10:$E$2535,"&lt;01.01.2016")</f>
        <v>1</v>
      </c>
      <c r="FS378" s="243">
        <f>COUNTIFS(Podcasts!$D$10:$D$2535,"="&amp;FS$373,Podcasts!$E$10:$E$2535,"&gt;=1.1.2015",Podcasts!$E$10:$E$2535,"&lt;01.01.2016")</f>
        <v>0</v>
      </c>
      <c r="FT378" s="243">
        <f>COUNTIFS(Podcasts!$D$10:$D$2535,"="&amp;FT$373,Podcasts!$E$10:$E$2535,"&gt;=1.1.2015",Podcasts!$E$10:$E$2535,"&lt;01.01.2016")</f>
        <v>0</v>
      </c>
      <c r="FU378" s="243">
        <f>COUNTIFS(Podcasts!$D$10:$D$2535,"="&amp;FU$373,Podcasts!$E$10:$E$2535,"&gt;=1.1.2015",Podcasts!$E$10:$E$2535,"&lt;01.01.2016")</f>
        <v>1</v>
      </c>
      <c r="FV378" s="243">
        <f>COUNTIFS(Podcasts!$D$10:$D$2535,"="&amp;FV$373,Podcasts!$E$10:$E$2535,"&gt;=1.1.2015",Podcasts!$E$10:$E$2535,"&lt;01.01.2016")</f>
        <v>1</v>
      </c>
      <c r="FW378" s="243">
        <f>COUNTIFS(Podcasts!$D$10:$D$2535,"="&amp;FW$373,Podcasts!$E$10:$E$2535,"&gt;=1.1.2015",Podcasts!$E$10:$E$2535,"&lt;01.01.2016")</f>
        <v>2</v>
      </c>
      <c r="FX378" s="243">
        <f>COUNTIFS(Podcasts!$D$10:$D$2535,"="&amp;FX$373,Podcasts!$E$10:$E$2535,"&gt;=1.1.2015",Podcasts!$E$10:$E$2535,"&lt;01.01.2016")</f>
        <v>2</v>
      </c>
      <c r="FY378" s="243">
        <f>COUNTIFS(Podcasts!$D$10:$D$2535,"="&amp;FY$373,Podcasts!$E$10:$E$2535,"&gt;=1.1.2015",Podcasts!$E$10:$E$2535,"&lt;01.01.2016")</f>
        <v>1</v>
      </c>
      <c r="FZ378" s="243">
        <f>COUNTIFS(Podcasts!$D$10:$D$2535,"="&amp;FZ$373,Podcasts!$E$10:$E$2535,"&gt;=1.1.2015",Podcasts!$E$10:$E$2535,"&lt;01.01.2016")</f>
        <v>0</v>
      </c>
      <c r="GA378" s="243">
        <f>COUNTIFS(Podcasts!$D$10:$D$2535,"="&amp;GA$373,Podcasts!$E$10:$E$2535,"&gt;=1.1.2015",Podcasts!$E$10:$E$2535,"&lt;01.01.2016")</f>
        <v>0</v>
      </c>
      <c r="GB378" s="243">
        <f>COUNTIFS(Podcasts!$D$10:$D$2535,"="&amp;GB$373,Podcasts!$E$10:$E$2535,"&gt;=1.1.2015",Podcasts!$E$10:$E$2535,"&lt;01.01.2016")</f>
        <v>0</v>
      </c>
      <c r="GC378" s="243">
        <f>COUNTIFS(Podcasts!$D$10:$D$2535,"="&amp;GC$373,Podcasts!$E$10:$E$2535,"&gt;=1.1.2015",Podcasts!$E$10:$E$2535,"&lt;01.01.2016")</f>
        <v>0</v>
      </c>
      <c r="GD378" s="243">
        <f>COUNTIFS(Podcasts!$D$10:$D$2535,"="&amp;GD$373,Podcasts!$E$10:$E$2535,"&gt;=1.1.2015",Podcasts!$E$10:$E$2535,"&lt;01.01.2016")</f>
        <v>0</v>
      </c>
      <c r="GE378" s="243">
        <f>COUNTIFS(Podcasts!$D$10:$D$2535,"="&amp;GE$373,Podcasts!$E$10:$E$2535,"&gt;=1.1.2015",Podcasts!$E$10:$E$2535,"&lt;01.01.2016")</f>
        <v>0</v>
      </c>
      <c r="GF378" s="243">
        <f>COUNTIFS(Podcasts!$D$10:$D$2535,"="&amp;GF$373,Podcasts!$E$10:$E$2535,"&gt;=1.1.2015",Podcasts!$E$10:$E$2535,"&lt;01.01.2016")</f>
        <v>0</v>
      </c>
      <c r="GG378" s="243">
        <f>COUNTIFS(Podcasts!$D$10:$D$2535,"="&amp;GG$373,Podcasts!$E$10:$E$2535,"&gt;=1.1.2015",Podcasts!$E$10:$E$2535,"&lt;01.01.2016")</f>
        <v>0</v>
      </c>
      <c r="GH378" s="243">
        <f>COUNTIFS(Podcasts!$D$10:$D$2535,"="&amp;GH$373,Podcasts!$E$10:$E$2535,"&gt;=1.1.2015",Podcasts!$E$10:$E$2535,"&lt;01.01.2016")</f>
        <v>0</v>
      </c>
      <c r="GI378" s="243">
        <f>COUNTIFS(Podcasts!$D$10:$D$2535,"="&amp;GI$373,Podcasts!$E$10:$E$2535,"&gt;=1.1.2015",Podcasts!$E$10:$E$2535,"&lt;01.01.2016")</f>
        <v>0</v>
      </c>
      <c r="GJ378" s="243">
        <f>COUNTIFS(Podcasts!$D$10:$D$2535,"="&amp;GJ$373,Podcasts!$E$10:$E$2535,"&gt;=1.1.2015",Podcasts!$E$10:$E$2535,"&lt;01.01.2016")</f>
        <v>0</v>
      </c>
      <c r="GK378" s="243">
        <f>COUNTIFS(Podcasts!$D$10:$D$2535,"="&amp;GK$373,Podcasts!$E$10:$E$2535,"&gt;=1.1.2015",Podcasts!$E$10:$E$2535,"&lt;01.01.2016")</f>
        <v>0</v>
      </c>
      <c r="GL378" s="243">
        <f>COUNTIFS(Podcasts!$D$10:$D$2535,"="&amp;GL$373,Podcasts!$E$10:$E$2535,"&gt;=1.1.2015",Podcasts!$E$10:$E$2535,"&lt;01.01.2016")</f>
        <v>0</v>
      </c>
      <c r="GM378" s="243">
        <f>COUNTIFS(Podcasts!$D$10:$D$2535,"="&amp;GM$373,Podcasts!$E$10:$E$2535,"&gt;=1.1.2015",Podcasts!$E$10:$E$2535,"&lt;01.01.2016")</f>
        <v>0</v>
      </c>
      <c r="GN378" s="243">
        <f>COUNTIFS(Podcasts!$D$10:$D$2535,"="&amp;GN$373,Podcasts!$E$10:$E$2535,"&gt;=1.1.2015",Podcasts!$E$10:$E$2535,"&lt;01.01.2016")</f>
        <v>0</v>
      </c>
      <c r="GO378" s="243">
        <f>COUNTIFS(Podcasts!$D$10:$D$2535,"="&amp;GO$373,Podcasts!$E$10:$E$2535,"&gt;=1.1.2015",Podcasts!$E$10:$E$2535,"&lt;01.01.2016")</f>
        <v>0</v>
      </c>
      <c r="GP378" s="243">
        <f>COUNTIFS(Podcasts!$D$10:$D$2535,"="&amp;GP$373,Podcasts!$E$10:$E$2535,"&gt;=1.1.2015",Podcasts!$E$10:$E$2535,"&lt;01.01.2016")</f>
        <v>0</v>
      </c>
      <c r="GQ378" s="243">
        <f>COUNTIFS(Podcasts!$D$10:$D$2535,"="&amp;GQ$373,Podcasts!$E$10:$E$2535,"&gt;=1.1.2015",Podcasts!$E$10:$E$2535,"&lt;01.01.2016")</f>
        <v>0</v>
      </c>
      <c r="GR378" s="243">
        <f>COUNTIFS(Podcasts!$D$10:$D$2535,"="&amp;GR$373,Podcasts!$E$10:$E$2535,"&gt;=1.1.2015",Podcasts!$E$10:$E$2535,"&lt;01.01.2016")</f>
        <v>0</v>
      </c>
      <c r="GS378" s="243">
        <f>COUNTIFS(Podcasts!$D$10:$D$2535,"="&amp;GS$373,Podcasts!$E$10:$E$2535,"&gt;=1.1.2015",Podcasts!$E$10:$E$2535,"&lt;01.01.2016")</f>
        <v>0</v>
      </c>
      <c r="GT378" s="243">
        <f>COUNTIFS(Podcasts!$D$10:$D$2535,"="&amp;GT$373,Podcasts!$E$10:$E$2535,"&gt;=1.1.2015",Podcasts!$E$10:$E$2535,"&lt;01.01.2016")</f>
        <v>0</v>
      </c>
      <c r="GU378" s="243">
        <f>COUNTIFS(Podcasts!$D$10:$D$2535,"="&amp;GU$373,Podcasts!$E$10:$E$2535,"&gt;=1.1.2015",Podcasts!$E$10:$E$2535,"&lt;01.01.2016")</f>
        <v>0</v>
      </c>
      <c r="GV378" s="243">
        <f>COUNTIFS(Podcasts!$D$10:$D$2535,"="&amp;GV$373,Podcasts!$E$10:$E$2535,"&gt;=1.1.2015",Podcasts!$E$10:$E$2535,"&lt;01.01.2016")</f>
        <v>0</v>
      </c>
      <c r="GW378" s="243">
        <f>COUNTIFS(Podcasts!$D$10:$D$2535,"="&amp;GW$373,Podcasts!$E$10:$E$2535,"&gt;=1.1.2015",Podcasts!$E$10:$E$2535,"&lt;01.01.2016")</f>
        <v>0</v>
      </c>
      <c r="GX378" s="243">
        <f>COUNTIFS(Podcasts!$D$10:$D$2535,"="&amp;GX$373,Podcasts!$E$10:$E$2535,"&gt;=1.1.2015",Podcasts!$E$10:$E$2535,"&lt;01.01.2016")</f>
        <v>0</v>
      </c>
      <c r="GY378" s="243">
        <f>COUNTIFS(Podcasts!$D$10:$D$2535,"="&amp;GY$373,Podcasts!$E$10:$E$2535,"&gt;=1.1.2015",Podcasts!$E$10:$E$2535,"&lt;01.01.2016")</f>
        <v>0</v>
      </c>
      <c r="GZ378" s="243">
        <f>COUNTIFS(Podcasts!$D$10:$D$2535,"="&amp;GZ$373,Podcasts!$E$10:$E$2535,"&gt;=1.1.2015",Podcasts!$E$10:$E$2535,"&lt;01.01.2016")</f>
        <v>0</v>
      </c>
      <c r="HA378" s="243">
        <f>COUNTIFS(Podcasts!$D$10:$D$2535,"="&amp;HA$373,Podcasts!$E$10:$E$2535,"&gt;=1.1.2015",Podcasts!$E$10:$E$2535,"&lt;01.01.2016")</f>
        <v>0</v>
      </c>
      <c r="HB378" s="243">
        <f>COUNTIFS(Podcasts!$D$10:$D$2535,"="&amp;HB$373,Podcasts!$E$10:$E$2535,"&gt;=1.1.2015",Podcasts!$E$10:$E$2535,"&lt;01.01.2016")</f>
        <v>0</v>
      </c>
      <c r="HC378" s="243">
        <f>COUNTIFS(Podcasts!$D$10:$D$2535,"="&amp;HC$373,Podcasts!$E$10:$E$2535,"&gt;=1.1.2015",Podcasts!$E$10:$E$2535,"&lt;01.01.2016")</f>
        <v>0</v>
      </c>
      <c r="HD378" s="243">
        <f>COUNTIFS(Podcasts!$D$10:$D$2535,"="&amp;HD$373,Podcasts!$E$10:$E$2535,"&gt;=1.1.2015",Podcasts!$E$10:$E$2535,"&lt;01.01.2016")</f>
        <v>0</v>
      </c>
      <c r="HE378" s="243">
        <f>COUNTIFS(Podcasts!$D$10:$D$2535,"="&amp;HE$373,Podcasts!$E$10:$E$2535,"&gt;=1.1.2015",Podcasts!$E$10:$E$2535,"&lt;01.01.2016")</f>
        <v>0</v>
      </c>
      <c r="HF378" s="243">
        <f>COUNTIFS(Podcasts!$D$10:$D$2535,"="&amp;HF$373,Podcasts!$E$10:$E$2535,"&gt;=1.1.2015",Podcasts!$E$10:$E$2535,"&lt;01.01.2016")</f>
        <v>0</v>
      </c>
      <c r="HG378" s="243">
        <f>COUNTIFS(Podcasts!$D$10:$D$2535,"="&amp;HG$373,Podcasts!$E$10:$E$2535,"&gt;=1.1.2015",Podcasts!$E$10:$E$2535,"&lt;01.01.2016")</f>
        <v>0</v>
      </c>
      <c r="HH378" s="243">
        <f>COUNTIFS(Podcasts!$D$10:$D$2535,"="&amp;HH$373,Podcasts!$E$10:$E$2535,"&gt;=1.1.2015",Podcasts!$E$10:$E$2535,"&lt;01.01.2016")</f>
        <v>0</v>
      </c>
      <c r="HI378" s="243">
        <f>COUNTIFS(Podcasts!$D$10:$D$2535,"="&amp;HI$373,Podcasts!$E$10:$E$2535,"&gt;=1.1.2015",Podcasts!$E$10:$E$2535,"&lt;01.01.2016")</f>
        <v>0</v>
      </c>
      <c r="HJ378" s="243">
        <f>COUNTIFS(Podcasts!$D$10:$D$2535,"="&amp;HJ$373,Podcasts!$E$10:$E$2535,"&gt;=1.1.2015",Podcasts!$E$10:$E$2535,"&lt;01.01.2016")</f>
        <v>0</v>
      </c>
      <c r="HK378" s="243">
        <f>COUNTIFS(Podcasts!$D$10:$D$2535,"="&amp;HK$373,Podcasts!$E$10:$E$2535,"&gt;=1.1.2015",Podcasts!$E$10:$E$2535,"&lt;01.01.2016")</f>
        <v>0</v>
      </c>
      <c r="HL378" s="243">
        <f>COUNTIFS(Podcasts!$D$10:$D$2535,"="&amp;HL$373,Podcasts!$E$10:$E$2535,"&gt;=1.1.2015",Podcasts!$E$10:$E$2535,"&lt;01.01.2016")</f>
        <v>0</v>
      </c>
      <c r="HM378" s="243">
        <f>COUNTIFS(Podcasts!$D$10:$D$2535,"="&amp;HM$373,Podcasts!$E$10:$E$2535,"&gt;=1.1.2015",Podcasts!$E$10:$E$2535,"&lt;01.01.2016")</f>
        <v>0</v>
      </c>
      <c r="HN378" s="243">
        <f>COUNTIFS(Podcasts!$D$10:$D$2535,"="&amp;HN$373,Podcasts!$E$10:$E$2535,"&gt;=1.1.2015",Podcasts!$E$10:$E$2535,"&lt;01.01.2016")</f>
        <v>0</v>
      </c>
      <c r="HO378" s="243">
        <f>COUNTIFS(Podcasts!$D$10:$D$2535,"="&amp;HO$373,Podcasts!$E$10:$E$2535,"&gt;=1.1.2015",Podcasts!$E$10:$E$2535,"&lt;01.01.2016")</f>
        <v>0</v>
      </c>
      <c r="HP378" s="243">
        <f>COUNTIFS(Podcasts!$D$10:$D$2535,"="&amp;HP$373,Podcasts!$E$10:$E$2535,"&gt;=1.1.2015",Podcasts!$E$10:$E$2535,"&lt;01.01.2016")</f>
        <v>0</v>
      </c>
      <c r="HQ378" s="243">
        <f>COUNTIFS(Podcasts!$D$10:$D$2535,"="&amp;HQ$373,Podcasts!$E$10:$E$2535,"&gt;=1.1.2015",Podcasts!$E$10:$E$2535,"&lt;01.01.2016")</f>
        <v>0</v>
      </c>
      <c r="HR378" s="243">
        <f>COUNTIFS(Podcasts!$D$10:$D$2535,"="&amp;HR$373,Podcasts!$E$10:$E$2535,"&gt;=1.1.2015",Podcasts!$E$10:$E$2535,"&lt;01.01.2016")</f>
        <v>0</v>
      </c>
      <c r="HS378" s="243">
        <f>COUNTIFS(Podcasts!$D$10:$D$2535,"="&amp;HS$373,Podcasts!$E$10:$E$2535,"&gt;=1.1.2015",Podcasts!$E$10:$E$2535,"&lt;01.01.2016")</f>
        <v>0</v>
      </c>
      <c r="HT378" s="243">
        <f>COUNTIFS(Podcasts!$D$10:$D$2535,"="&amp;HT$373,Podcasts!$E$10:$E$2535,"&gt;=1.1.2015",Podcasts!$E$10:$E$2535,"&lt;01.01.2016")</f>
        <v>0</v>
      </c>
      <c r="HU378" s="243">
        <f>COUNTIFS(Podcasts!$D$10:$D$2535,"="&amp;HU$373,Podcasts!$E$10:$E$2535,"&gt;=1.1.2015",Podcasts!$E$10:$E$2535,"&lt;01.01.2016")</f>
        <v>0</v>
      </c>
      <c r="HV378" s="243">
        <f>COUNTIFS(Podcasts!$D$10:$D$2535,"="&amp;HV$373,Podcasts!$E$10:$E$2535,"&gt;=1.1.2015",Podcasts!$E$10:$E$2535,"&lt;01.01.2016")</f>
        <v>0</v>
      </c>
      <c r="HW378" s="243">
        <f>COUNTIFS(Podcasts!$D$10:$D$2535,"="&amp;HW$373,Podcasts!$E$10:$E$2535,"&gt;=1.1.2015",Podcasts!$E$10:$E$2535,"&lt;01.01.2016")</f>
        <v>0</v>
      </c>
      <c r="HX378" s="243">
        <f>COUNTIFS(Podcasts!$D$10:$D$2535,"="&amp;HX$373,Podcasts!$E$10:$E$2535,"&gt;=1.1.2015",Podcasts!$E$10:$E$2535,"&lt;01.01.2016")</f>
        <v>0</v>
      </c>
      <c r="HY378" s="243">
        <f>COUNTIFS(Podcasts!$D$10:$D$2535,"="&amp;HY$373,Podcasts!$E$10:$E$2535,"&gt;=1.1.2015",Podcasts!$E$10:$E$2535,"&lt;01.01.2016")</f>
        <v>0</v>
      </c>
      <c r="HZ378" s="243">
        <f>COUNTIFS(Podcasts!$D$10:$D$2535,"="&amp;HZ$373,Podcasts!$E$10:$E$2535,"&gt;=1.1.2015",Podcasts!$E$10:$E$2535,"&lt;01.01.2016")</f>
        <v>0</v>
      </c>
    </row>
    <row r="379" spans="1:234">
      <c r="A379" s="28"/>
      <c r="B379" s="28"/>
      <c r="C379" s="461">
        <v>2017</v>
      </c>
      <c r="D379" s="28"/>
      <c r="E379" s="243">
        <f>COUNTIFS(Podcasts!$D$10:$D$2535,"="&amp;E$373,Podcasts!$E$10:$E$2535,"&gt;=1.1.2016",Podcasts!$E$10:$E$2535,"&lt;01.01.2017")</f>
        <v>1</v>
      </c>
      <c r="F379" s="243">
        <f>COUNTIFS(Podcasts!$D$10:$D$2535,"="&amp;F$373,Podcasts!$E$10:$E$2535,"&gt;=1.1.2016",Podcasts!$E$10:$E$2535,"&lt;01.01.2017")</f>
        <v>0</v>
      </c>
      <c r="G379" s="243">
        <f>COUNTIFS(Podcasts!$D$10:$D$2535,"="&amp;G$373,Podcasts!$E$10:$E$2535,"&gt;=1.1.2016",Podcasts!$E$10:$E$2535,"&lt;01.01.2017")</f>
        <v>0</v>
      </c>
      <c r="H379" s="243">
        <f>COUNTIFS(Podcasts!$D$10:$D$2535,"="&amp;H$373,Podcasts!$E$10:$E$2535,"&gt;=1.1.2016",Podcasts!$E$10:$E$2535,"&lt;01.01.2017")</f>
        <v>0</v>
      </c>
      <c r="I379" s="243">
        <f>COUNTIFS(Podcasts!$D$10:$D$2535,"="&amp;I$373,Podcasts!$E$10:$E$2535,"&gt;=1.1.2016",Podcasts!$E$10:$E$2535,"&lt;01.01.2017")</f>
        <v>0</v>
      </c>
      <c r="J379" s="243">
        <f>COUNTIFS(Podcasts!$D$10:$D$2535,"="&amp;J$373,Podcasts!$E$10:$E$2535,"&gt;=1.1.2016",Podcasts!$E$10:$E$2535,"&lt;01.01.2017")</f>
        <v>0</v>
      </c>
      <c r="K379" s="243">
        <f>COUNTIFS(Podcasts!$D$10:$D$2535,"="&amp;K$373,Podcasts!$E$10:$E$2535,"&gt;=1.1.2016",Podcasts!$E$10:$E$2535,"&lt;01.01.2017")</f>
        <v>0</v>
      </c>
      <c r="L379" s="243">
        <f>COUNTIFS(Podcasts!$D$10:$D$2535,"="&amp;L$373,Podcasts!$E$10:$E$2535,"&gt;=1.1.2016",Podcasts!$E$10:$E$2535,"&lt;01.01.2017")</f>
        <v>1</v>
      </c>
      <c r="M379" s="285">
        <f>COUNTIFS(Podcasts!$D$10:$D$2535,"="&amp;M$373,Podcasts!$E$10:$E$2535,"&gt;=1.1.2016",Podcasts!$E$10:$E$2535,"&lt;01.01.2017")</f>
        <v>1</v>
      </c>
      <c r="N379" s="285">
        <f>COUNTIFS(Podcasts!$D$10:$D$2535,"="&amp;N$373,Podcasts!$E$10:$E$2535,"&gt;=1.1.2016",Podcasts!$E$10:$E$2535,"&lt;01.01.2017")</f>
        <v>0</v>
      </c>
      <c r="O379" s="243">
        <f>COUNTIFS(Podcasts!$D$10:$D$2535,"="&amp;O$373,Podcasts!$E$10:$E$2535,"&gt;=1.1.2016",Podcasts!$E$10:$E$2535,"&lt;01.01.2017")</f>
        <v>0</v>
      </c>
      <c r="P379" s="243">
        <f>COUNTIFS(Podcasts!$D$10:$D$2535,"="&amp;P$373,Podcasts!$E$10:$E$2535,"&gt;=1.1.2016",Podcasts!$E$10:$E$2535,"&lt;01.01.2017")</f>
        <v>0</v>
      </c>
      <c r="Q379" s="243">
        <f>COUNTIFS(Podcasts!$D$10:$D$2535,"="&amp;Q$373,Podcasts!$E$10:$E$2535,"&gt;=1.1.2016",Podcasts!$E$10:$E$2535,"&lt;01.01.2017")</f>
        <v>0</v>
      </c>
      <c r="R379" s="243">
        <f>COUNTIFS(Podcasts!$D$10:$D$2535,"="&amp;R$373,Podcasts!$E$10:$E$2535,"&gt;=1.1.2016",Podcasts!$E$10:$E$2535,"&lt;01.01.2017")</f>
        <v>1</v>
      </c>
      <c r="S379" s="243">
        <f>COUNTIFS(Podcasts!$D$10:$D$2535,"="&amp;S$373,Podcasts!$E$10:$E$2535,"&gt;=1.1.2016",Podcasts!$E$10:$E$2535,"&lt;01.01.2017")</f>
        <v>0</v>
      </c>
      <c r="T379" s="243">
        <f>COUNTIFS(Podcasts!$D$10:$D$2535,"="&amp;T$373,Podcasts!$E$10:$E$2535,"&gt;=1.1.2016",Podcasts!$E$10:$E$2535,"&lt;01.01.2017")</f>
        <v>0</v>
      </c>
      <c r="U379" s="243">
        <f>COUNTIFS(Podcasts!$D$10:$D$2535,"="&amp;U$373,Podcasts!$E$10:$E$2535,"&gt;=1.1.2016",Podcasts!$E$10:$E$2535,"&lt;01.01.2017")</f>
        <v>0</v>
      </c>
      <c r="V379" s="243">
        <f>COUNTIFS(Podcasts!$D$10:$D$2535,"="&amp;V$373,Podcasts!$E$10:$E$2535,"&gt;=1.1.2016",Podcasts!$E$10:$E$2535,"&lt;01.01.2017")</f>
        <v>0</v>
      </c>
      <c r="W379" s="243">
        <f>COUNTIFS(Podcasts!$D$10:$D$2535,"="&amp;W$373,Podcasts!$E$10:$E$2535,"&gt;=1.1.2016",Podcasts!$E$10:$E$2535,"&lt;01.01.2017")</f>
        <v>0</v>
      </c>
      <c r="X379" s="243">
        <f>COUNTIFS(Podcasts!$D$10:$D$2535,"="&amp;X$373,Podcasts!$E$10:$E$2535,"&gt;=1.1.2016",Podcasts!$E$10:$E$2535,"&lt;01.01.2017")</f>
        <v>0</v>
      </c>
      <c r="Y379" s="243">
        <f>COUNTIFS(Podcasts!$D$10:$D$2535,"="&amp;Y$373,Podcasts!$E$10:$E$2535,"&gt;=1.1.2016",Podcasts!$E$10:$E$2535,"&lt;01.01.2017")</f>
        <v>0</v>
      </c>
      <c r="Z379" s="243">
        <f>COUNTIFS(Podcasts!$D$10:$D$2535,"="&amp;Z$373,Podcasts!$E$10:$E$2535,"&gt;=1.1.2016",Podcasts!$E$10:$E$2535,"&lt;01.01.2017")</f>
        <v>0</v>
      </c>
      <c r="AA379" s="243">
        <f>COUNTIFS(Podcasts!$D$10:$D$2535,"="&amp;AA$373,Podcasts!$E$10:$E$2535,"&gt;=1.1.2016",Podcasts!$E$10:$E$2535,"&lt;01.01.2017")</f>
        <v>0</v>
      </c>
      <c r="AB379" s="243">
        <f>COUNTIFS(Podcasts!$D$10:$D$2535,"="&amp;AB$373,Podcasts!$E$10:$E$2535,"&gt;=1.1.2016",Podcasts!$E$10:$E$2535,"&lt;01.01.2017")</f>
        <v>0</v>
      </c>
      <c r="AC379" s="243">
        <f>COUNTIFS(Podcasts!$D$10:$D$2535,"="&amp;AC$373,Podcasts!$E$10:$E$2535,"&gt;=1.1.2016",Podcasts!$E$10:$E$2535,"&lt;01.01.2017")</f>
        <v>0</v>
      </c>
      <c r="AD379" s="243">
        <f>COUNTIFS(Podcasts!$D$10:$D$2535,"="&amp;AD$373,Podcasts!$E$10:$E$2535,"&gt;=1.1.2016",Podcasts!$E$10:$E$2535,"&lt;01.01.2017")</f>
        <v>0</v>
      </c>
      <c r="AE379" s="243">
        <f>COUNTIFS(Podcasts!$D$10:$D$2535,"="&amp;AE$373,Podcasts!$E$10:$E$2535,"&gt;=1.1.2016",Podcasts!$E$10:$E$2535,"&lt;01.01.2017")</f>
        <v>0</v>
      </c>
      <c r="AF379" s="243">
        <f>COUNTIFS(Podcasts!$D$10:$D$2535,"="&amp;AF$373,Podcasts!$E$10:$E$2535,"&gt;=1.1.2016",Podcasts!$E$10:$E$2535,"&lt;01.01.2017")</f>
        <v>0</v>
      </c>
      <c r="AG379" s="243">
        <f>COUNTIFS(Podcasts!$D$10:$D$2535,"="&amp;AG$373,Podcasts!$E$10:$E$2535,"&gt;=1.1.2016",Podcasts!$E$10:$E$2535,"&lt;01.01.2017")</f>
        <v>0</v>
      </c>
      <c r="AH379" s="243">
        <f>COUNTIFS(Podcasts!$D$10:$D$2535,"="&amp;AH$373,Podcasts!$E$10:$E$2535,"&gt;=1.1.2016",Podcasts!$E$10:$E$2535,"&lt;01.01.2017")</f>
        <v>0</v>
      </c>
      <c r="AI379" s="243">
        <f>COUNTIFS(Podcasts!$D$10:$D$2535,"="&amp;AI$373,Podcasts!$E$10:$E$2535,"&gt;=1.1.2016",Podcasts!$E$10:$E$2535,"&lt;01.01.2017")</f>
        <v>0</v>
      </c>
      <c r="AJ379" s="243">
        <f>COUNTIFS(Podcasts!$D$10:$D$2535,"="&amp;AJ$373,Podcasts!$E$10:$E$2535,"&gt;=1.1.2016",Podcasts!$E$10:$E$2535,"&lt;01.01.2017")</f>
        <v>0</v>
      </c>
      <c r="AK379" s="243">
        <f>COUNTIFS(Podcasts!$D$10:$D$2535,"="&amp;AK$373,Podcasts!$E$10:$E$2535,"&gt;=1.1.2016",Podcasts!$E$10:$E$2535,"&lt;01.01.2017")</f>
        <v>0</v>
      </c>
      <c r="AL379" s="243">
        <f>COUNTIFS(Podcasts!$D$10:$D$2535,"="&amp;AL$373,Podcasts!$E$10:$E$2535,"&gt;=1.1.2016",Podcasts!$E$10:$E$2535,"&lt;01.01.2017")</f>
        <v>0</v>
      </c>
      <c r="AM379" s="243">
        <f>COUNTIFS(Podcasts!$D$10:$D$2535,"="&amp;AM$373,Podcasts!$E$10:$E$2535,"&gt;=1.1.2016",Podcasts!$E$10:$E$2535,"&lt;01.01.2017")</f>
        <v>0</v>
      </c>
      <c r="AN379" s="243">
        <f>COUNTIFS(Podcasts!$D$10:$D$2535,"="&amp;AN$373,Podcasts!$E$10:$E$2535,"&gt;=1.1.2016",Podcasts!$E$10:$E$2535,"&lt;01.01.2017")</f>
        <v>0</v>
      </c>
      <c r="AO379" s="243">
        <f>COUNTIFS(Podcasts!$D$10:$D$2535,"="&amp;AO$373,Podcasts!$E$10:$E$2535,"&gt;=1.1.2016",Podcasts!$E$10:$E$2535,"&lt;01.01.2017")</f>
        <v>0</v>
      </c>
      <c r="AP379" s="243">
        <f>COUNTIFS(Podcasts!$D$10:$D$2535,"="&amp;AP$373,Podcasts!$E$10:$E$2535,"&gt;=1.1.2016",Podcasts!$E$10:$E$2535,"&lt;01.01.2017")</f>
        <v>0</v>
      </c>
      <c r="AQ379" s="243">
        <f>COUNTIFS(Podcasts!$D$10:$D$2535,"="&amp;AQ$373,Podcasts!$E$10:$E$2535,"&gt;=1.1.2016",Podcasts!$E$10:$E$2535,"&lt;01.01.2017")</f>
        <v>0</v>
      </c>
      <c r="AR379" s="243">
        <f>COUNTIFS(Podcasts!$D$10:$D$2535,"="&amp;AR$373,Podcasts!$E$10:$E$2535,"&gt;=1.1.2016",Podcasts!$E$10:$E$2535,"&lt;01.01.2017")</f>
        <v>0</v>
      </c>
      <c r="AS379" s="243">
        <f>COUNTIFS(Podcasts!$D$10:$D$2535,"="&amp;AS$373,Podcasts!$E$10:$E$2535,"&gt;=1.1.2016",Podcasts!$E$10:$E$2535,"&lt;01.01.2017")</f>
        <v>0</v>
      </c>
      <c r="AT379" s="243">
        <f>COUNTIFS(Podcasts!$D$10:$D$2535,"="&amp;AT$373,Podcasts!$E$10:$E$2535,"&gt;=1.1.2016",Podcasts!$E$10:$E$2535,"&lt;01.01.2017")</f>
        <v>0</v>
      </c>
      <c r="AU379" s="243">
        <f>COUNTIFS(Podcasts!$D$10:$D$2535,"="&amp;AU$373,Podcasts!$E$10:$E$2535,"&gt;=1.1.2016",Podcasts!$E$10:$E$2535,"&lt;01.01.2017")</f>
        <v>0</v>
      </c>
      <c r="AV379" s="243">
        <f>COUNTIFS(Podcasts!$D$10:$D$2535,"="&amp;AV$373,Podcasts!$E$10:$E$2535,"&gt;=1.1.2016",Podcasts!$E$10:$E$2535,"&lt;01.01.2017")</f>
        <v>0</v>
      </c>
      <c r="AW379" s="243">
        <f>COUNTIFS(Podcasts!$D$10:$D$2535,"="&amp;AW$373,Podcasts!$E$10:$E$2535,"&gt;=1.1.2016",Podcasts!$E$10:$E$2535,"&lt;01.01.2017")</f>
        <v>0</v>
      </c>
      <c r="AX379" s="243">
        <f>COUNTIFS(Podcasts!$D$10:$D$2535,"="&amp;AX$373,Podcasts!$E$10:$E$2535,"&gt;=1.1.2016",Podcasts!$E$10:$E$2535,"&lt;01.01.2017")</f>
        <v>1</v>
      </c>
      <c r="AY379" s="243">
        <f>COUNTIFS(Podcasts!$D$10:$D$2535,"="&amp;AY$373,Podcasts!$E$10:$E$2535,"&gt;=1.1.2016",Podcasts!$E$10:$E$2535,"&lt;01.01.2017")</f>
        <v>0</v>
      </c>
      <c r="AZ379" s="243">
        <f>COUNTIFS(Podcasts!$D$10:$D$2535,"="&amp;AZ$373,Podcasts!$E$10:$E$2535,"&gt;=1.1.2016",Podcasts!$E$10:$E$2535,"&lt;01.01.2017")</f>
        <v>0</v>
      </c>
      <c r="BA379" s="243">
        <f>COUNTIFS(Podcasts!$D$10:$D$2535,"="&amp;BA$373,Podcasts!$E$10:$E$2535,"&gt;=1.1.2016",Podcasts!$E$10:$E$2535,"&lt;01.01.2017")</f>
        <v>0</v>
      </c>
      <c r="BB379" s="243">
        <f>COUNTIFS(Podcasts!$D$10:$D$2535,"="&amp;BB$373,Podcasts!$E$10:$E$2535,"&gt;=1.1.2016",Podcasts!$E$10:$E$2535,"&lt;01.01.2017")</f>
        <v>0</v>
      </c>
      <c r="BC379" s="243">
        <f>COUNTIFS(Podcasts!$D$10:$D$2535,"="&amp;BC$373,Podcasts!$E$10:$E$2535,"&gt;=1.1.2016",Podcasts!$E$10:$E$2535,"&lt;01.01.2017")</f>
        <v>0</v>
      </c>
      <c r="BD379" s="243">
        <f>COUNTIFS(Podcasts!$D$10:$D$2535,"="&amp;BD$373,Podcasts!$E$10:$E$2535,"&gt;=1.1.2016",Podcasts!$E$10:$E$2535,"&lt;01.01.2017")</f>
        <v>1</v>
      </c>
      <c r="BE379" s="243">
        <f>COUNTIFS(Podcasts!$D$10:$D$2535,"="&amp;BE$373,Podcasts!$E$10:$E$2535,"&gt;=1.1.2016",Podcasts!$E$10:$E$2535,"&lt;01.01.2017")</f>
        <v>0</v>
      </c>
      <c r="BF379" s="243">
        <f>COUNTIFS(Podcasts!$D$10:$D$2535,"="&amp;BF$373,Podcasts!$E$10:$E$2535,"&gt;=1.1.2016",Podcasts!$E$10:$E$2535,"&lt;01.01.2017")</f>
        <v>0</v>
      </c>
      <c r="BG379" s="243">
        <f>COUNTIFS(Podcasts!$D$10:$D$2535,"="&amp;BG$373,Podcasts!$E$10:$E$2535,"&gt;=1.1.2016",Podcasts!$E$10:$E$2535,"&lt;01.01.2017")</f>
        <v>0</v>
      </c>
      <c r="BH379" s="243">
        <f>COUNTIFS(Podcasts!$D$10:$D$2535,"="&amp;BH$373,Podcasts!$E$10:$E$2535,"&gt;=1.1.2016",Podcasts!$E$10:$E$2535,"&lt;01.01.2017")</f>
        <v>0</v>
      </c>
      <c r="BI379" s="243">
        <f>COUNTIFS(Podcasts!$D$10:$D$2535,"="&amp;BI$373,Podcasts!$E$10:$E$2535,"&gt;=1.1.2016",Podcasts!$E$10:$E$2535,"&lt;01.01.2017")</f>
        <v>0</v>
      </c>
      <c r="BJ379" s="243">
        <f>COUNTIFS(Podcasts!$D$10:$D$2535,"="&amp;BJ$373,Podcasts!$E$10:$E$2535,"&gt;=1.1.2016",Podcasts!$E$10:$E$2535,"&lt;01.01.2017")</f>
        <v>0</v>
      </c>
      <c r="BK379" s="243">
        <f>COUNTIFS(Podcasts!$D$10:$D$2535,"="&amp;BK$373,Podcasts!$E$10:$E$2535,"&gt;=1.1.2016",Podcasts!$E$10:$E$2535,"&lt;01.01.2017")</f>
        <v>0</v>
      </c>
      <c r="BL379" s="243">
        <f>COUNTIFS(Podcasts!$D$10:$D$2535,"="&amp;BL$373,Podcasts!$E$10:$E$2535,"&gt;=1.1.2016",Podcasts!$E$10:$E$2535,"&lt;01.01.2017")</f>
        <v>0</v>
      </c>
      <c r="BM379" s="243">
        <f>COUNTIFS(Podcasts!$D$10:$D$2535,"="&amp;BM$373,Podcasts!$E$10:$E$2535,"&gt;=1.1.2016",Podcasts!$E$10:$E$2535,"&lt;01.01.2017")</f>
        <v>0</v>
      </c>
      <c r="BN379" s="243">
        <f>COUNTIFS(Podcasts!$D$10:$D$2535,"="&amp;BN$373,Podcasts!$E$10:$E$2535,"&gt;=1.1.2016",Podcasts!$E$10:$E$2535,"&lt;01.01.2017")</f>
        <v>0</v>
      </c>
      <c r="BO379" s="243">
        <f>COUNTIFS(Podcasts!$D$10:$D$2535,"="&amp;BO$373,Podcasts!$E$10:$E$2535,"&gt;=1.1.2016",Podcasts!$E$10:$E$2535,"&lt;01.01.2017")</f>
        <v>0</v>
      </c>
      <c r="BP379" s="243">
        <f>COUNTIFS(Podcasts!$D$10:$D$2535,"="&amp;BP$373,Podcasts!$E$10:$E$2535,"&gt;=1.1.2016",Podcasts!$E$10:$E$2535,"&lt;01.01.2017")</f>
        <v>0</v>
      </c>
      <c r="BQ379" s="243">
        <f>COUNTIFS(Podcasts!$D$10:$D$2535,"="&amp;BQ$373,Podcasts!$E$10:$E$2535,"&gt;=1.1.2016",Podcasts!$E$10:$E$2535,"&lt;01.01.2017")</f>
        <v>0</v>
      </c>
      <c r="BR379" s="243">
        <f>COUNTIFS(Podcasts!$D$10:$D$2535,"="&amp;BR$373,Podcasts!$E$10:$E$2535,"&gt;=1.1.2016",Podcasts!$E$10:$E$2535,"&lt;01.01.2017")</f>
        <v>0</v>
      </c>
      <c r="BS379" s="243">
        <f>COUNTIFS(Podcasts!$D$10:$D$2535,"="&amp;BS$373,Podcasts!$E$10:$E$2535,"&gt;=1.1.2016",Podcasts!$E$10:$E$2535,"&lt;01.01.2017")</f>
        <v>0</v>
      </c>
      <c r="BT379" s="243">
        <f>COUNTIFS(Podcasts!$D$10:$D$2535,"="&amp;BT$373,Podcasts!$E$10:$E$2535,"&gt;=1.1.2016",Podcasts!$E$10:$E$2535,"&lt;01.01.2017")</f>
        <v>0</v>
      </c>
      <c r="BU379" s="243">
        <f>COUNTIFS(Podcasts!$D$10:$D$2535,"="&amp;BU$373,Podcasts!$E$10:$E$2535,"&gt;=1.1.2016",Podcasts!$E$10:$E$2535,"&lt;01.01.2017")</f>
        <v>0</v>
      </c>
      <c r="BV379" s="243">
        <f>COUNTIFS(Podcasts!$D$10:$D$2535,"="&amp;BV$373,Podcasts!$E$10:$E$2535,"&gt;=1.1.2016",Podcasts!$E$10:$E$2535,"&lt;01.01.2017")</f>
        <v>0</v>
      </c>
      <c r="BW379" s="243">
        <f>COUNTIFS(Podcasts!$D$10:$D$2535,"="&amp;BW$373,Podcasts!$E$10:$E$2535,"&gt;=1.1.2016",Podcasts!$E$10:$E$2535,"&lt;01.01.2017")</f>
        <v>0</v>
      </c>
      <c r="BX379" s="243">
        <f>COUNTIFS(Podcasts!$D$10:$D$2535,"="&amp;BX$373,Podcasts!$E$10:$E$2535,"&gt;=1.1.2016",Podcasts!$E$10:$E$2535,"&lt;01.01.2017")</f>
        <v>0</v>
      </c>
      <c r="BY379" s="243">
        <f>COUNTIFS(Podcasts!$D$10:$D$2535,"="&amp;BY$373,Podcasts!$E$10:$E$2535,"&gt;=1.1.2016",Podcasts!$E$10:$E$2535,"&lt;01.01.2017")</f>
        <v>0</v>
      </c>
      <c r="BZ379" s="243">
        <f>COUNTIFS(Podcasts!$D$10:$D$2535,"="&amp;BZ$373,Podcasts!$E$10:$E$2535,"&gt;=1.1.2016",Podcasts!$E$10:$E$2535,"&lt;01.01.2017")</f>
        <v>0</v>
      </c>
      <c r="CA379" s="243">
        <f>COUNTIFS(Podcasts!$D$10:$D$2535,"="&amp;CA$373,Podcasts!$E$10:$E$2535,"&gt;=1.1.2016",Podcasts!$E$10:$E$2535,"&lt;01.01.2017")</f>
        <v>0</v>
      </c>
      <c r="CB379" s="243">
        <f>COUNTIFS(Podcasts!$D$10:$D$2535,"="&amp;CB$373,Podcasts!$E$10:$E$2535,"&gt;=1.1.2016",Podcasts!$E$10:$E$2535,"&lt;01.01.2017")</f>
        <v>0</v>
      </c>
      <c r="CC379" s="243">
        <f>COUNTIFS(Podcasts!$D$10:$D$2535,"="&amp;CC$373,Podcasts!$E$10:$E$2535,"&gt;=1.1.2016",Podcasts!$E$10:$E$2535,"&lt;01.01.2017")</f>
        <v>0</v>
      </c>
      <c r="CD379" s="243">
        <f>COUNTIFS(Podcasts!$D$10:$D$2535,"="&amp;CD$373,Podcasts!$E$10:$E$2535,"&gt;=1.1.2016",Podcasts!$E$10:$E$2535,"&lt;01.01.2017")</f>
        <v>1</v>
      </c>
      <c r="CE379" s="243">
        <f>COUNTIFS(Podcasts!$D$10:$D$2535,"="&amp;CE$373,Podcasts!$E$10:$E$2535,"&gt;=1.1.2016",Podcasts!$E$10:$E$2535,"&lt;01.01.2017")</f>
        <v>0</v>
      </c>
      <c r="CF379" s="243">
        <f>COUNTIFS(Podcasts!$D$10:$D$2535,"="&amp;CF$373,Podcasts!$E$10:$E$2535,"&gt;=1.1.2016",Podcasts!$E$10:$E$2535,"&lt;01.01.2017")</f>
        <v>0</v>
      </c>
      <c r="CG379" s="243">
        <f>COUNTIFS(Podcasts!$D$10:$D$2535,"="&amp;CG$373,Podcasts!$E$10:$E$2535,"&gt;=1.1.2016",Podcasts!$E$10:$E$2535,"&lt;01.01.2017")</f>
        <v>0</v>
      </c>
      <c r="CH379" s="243">
        <f>COUNTIFS(Podcasts!$D$10:$D$2535,"="&amp;CH$373,Podcasts!$E$10:$E$2535,"&gt;=1.1.2016",Podcasts!$E$10:$E$2535,"&lt;01.01.2017")</f>
        <v>0</v>
      </c>
      <c r="CI379" s="243">
        <f>COUNTIFS(Podcasts!$D$10:$D$2535,"="&amp;CI$373,Podcasts!$E$10:$E$2535,"&gt;=1.1.2016",Podcasts!$E$10:$E$2535,"&lt;01.01.2017")</f>
        <v>0</v>
      </c>
      <c r="CJ379" s="243">
        <f>COUNTIFS(Podcasts!$D$10:$D$2535,"="&amp;CJ$373,Podcasts!$E$10:$E$2535,"&gt;=1.1.2016",Podcasts!$E$10:$E$2535,"&lt;01.01.2017")</f>
        <v>0</v>
      </c>
      <c r="CK379" s="243">
        <f>COUNTIFS(Podcasts!$D$10:$D$2535,"="&amp;CK$373,Podcasts!$E$10:$E$2535,"&gt;=1.1.2016",Podcasts!$E$10:$E$2535,"&lt;01.01.2017")</f>
        <v>0</v>
      </c>
      <c r="CL379" s="243">
        <f>COUNTIFS(Podcasts!$D$10:$D$2535,"="&amp;CL$373,Podcasts!$E$10:$E$2535,"&gt;=1.1.2016",Podcasts!$E$10:$E$2535,"&lt;01.01.2017")</f>
        <v>0</v>
      </c>
      <c r="CM379" s="243">
        <f>COUNTIFS(Podcasts!$D$10:$D$2535,"="&amp;CM$373,Podcasts!$E$10:$E$2535,"&gt;=1.1.2016",Podcasts!$E$10:$E$2535,"&lt;01.01.2017")</f>
        <v>0</v>
      </c>
      <c r="CN379" s="243">
        <f>COUNTIFS(Podcasts!$D$10:$D$2535,"="&amp;CN$373,Podcasts!$E$10:$E$2535,"&gt;=1.1.2016",Podcasts!$E$10:$E$2535,"&lt;01.01.2017")</f>
        <v>0</v>
      </c>
      <c r="CO379" s="243">
        <f>COUNTIFS(Podcasts!$D$10:$D$2535,"="&amp;CO$373,Podcasts!$E$10:$E$2535,"&gt;=1.1.2016",Podcasts!$E$10:$E$2535,"&lt;01.01.2017")</f>
        <v>0</v>
      </c>
      <c r="CP379" s="243">
        <f>COUNTIFS(Podcasts!$D$10:$D$2535,"="&amp;CP$373,Podcasts!$E$10:$E$2535,"&gt;=1.1.2016",Podcasts!$E$10:$E$2535,"&lt;01.01.2017")</f>
        <v>0</v>
      </c>
      <c r="CQ379" s="243">
        <f>COUNTIFS(Podcasts!$D$10:$D$2535,"="&amp;CQ$373,Podcasts!$E$10:$E$2535,"&gt;=1.1.2016",Podcasts!$E$10:$E$2535,"&lt;01.01.2017")</f>
        <v>0</v>
      </c>
      <c r="CR379" s="243">
        <f>COUNTIFS(Podcasts!$D$10:$D$2535,"="&amp;CR$373,Podcasts!$E$10:$E$2535,"&gt;=1.1.2016",Podcasts!$E$10:$E$2535,"&lt;01.01.2017")</f>
        <v>0</v>
      </c>
      <c r="CS379" s="243">
        <f>COUNTIFS(Podcasts!$D$10:$D$2535,"="&amp;CS$373,Podcasts!$E$10:$E$2535,"&gt;=1.1.2016",Podcasts!$E$10:$E$2535,"&lt;01.01.2017")</f>
        <v>0</v>
      </c>
      <c r="CT379" s="243">
        <f>COUNTIFS(Podcasts!$D$10:$D$2535,"="&amp;CT$373,Podcasts!$E$10:$E$2535,"&gt;=1.1.2016",Podcasts!$E$10:$E$2535,"&lt;01.01.2017")</f>
        <v>0</v>
      </c>
      <c r="CU379" s="243">
        <f>COUNTIFS(Podcasts!$D$10:$D$2535,"="&amp;CU$373,Podcasts!$E$10:$E$2535,"&gt;=1.1.2016",Podcasts!$E$10:$E$2535,"&lt;01.01.2017")</f>
        <v>0</v>
      </c>
      <c r="CV379" s="243">
        <f>COUNTIFS(Podcasts!$D$10:$D$2535,"="&amp;CV$373,Podcasts!$E$10:$E$2535,"&gt;=1.1.2016",Podcasts!$E$10:$E$2535,"&lt;01.01.2017")</f>
        <v>0</v>
      </c>
      <c r="CW379" s="243">
        <f>COUNTIFS(Podcasts!$D$10:$D$2535,"="&amp;CW$373,Podcasts!$E$10:$E$2535,"&gt;=1.1.2016",Podcasts!$E$10:$E$2535,"&lt;01.01.2017")</f>
        <v>0</v>
      </c>
      <c r="CX379" s="243">
        <f>COUNTIFS(Podcasts!$D$10:$D$2535,"="&amp;CX$373,Podcasts!$E$10:$E$2535,"&gt;=1.1.2016",Podcasts!$E$10:$E$2535,"&lt;01.01.2017")</f>
        <v>0</v>
      </c>
      <c r="CY379" s="243">
        <f>COUNTIFS(Podcasts!$D$10:$D$2535,"="&amp;CY$373,Podcasts!$E$10:$E$2535,"&gt;=1.1.2016",Podcasts!$E$10:$E$2535,"&lt;01.01.2017")</f>
        <v>0</v>
      </c>
      <c r="CZ379" s="243">
        <f>COUNTIFS(Podcasts!$D$10:$D$2535,"="&amp;CZ$373,Podcasts!$E$10:$E$2535,"&gt;=1.1.2016",Podcasts!$E$10:$E$2535,"&lt;01.01.2017")</f>
        <v>0</v>
      </c>
      <c r="DA379" s="243">
        <f>COUNTIFS(Podcasts!$D$10:$D$2535,"="&amp;DA$373,Podcasts!$E$10:$E$2535,"&gt;=1.1.2016",Podcasts!$E$10:$E$2535,"&lt;01.01.2017")</f>
        <v>0</v>
      </c>
      <c r="DB379" s="243">
        <f>COUNTIFS(Podcasts!$D$10:$D$2535,"="&amp;DB$373,Podcasts!$E$10:$E$2535,"&gt;=1.1.2016",Podcasts!$E$10:$E$2535,"&lt;01.01.2017")</f>
        <v>0</v>
      </c>
      <c r="DC379" s="243">
        <f>COUNTIFS(Podcasts!$D$10:$D$2535,"="&amp;DC$373,Podcasts!$E$10:$E$2535,"&gt;=1.1.2016",Podcasts!$E$10:$E$2535,"&lt;01.01.2017")</f>
        <v>0</v>
      </c>
      <c r="DD379" s="243">
        <f>COUNTIFS(Podcasts!$D$10:$D$2535,"="&amp;DD$373,Podcasts!$E$10:$E$2535,"&gt;=1.1.2016",Podcasts!$E$10:$E$2535,"&lt;01.01.2017")</f>
        <v>0</v>
      </c>
      <c r="DE379" s="243">
        <f>COUNTIFS(Podcasts!$D$10:$D$2535,"="&amp;DE$373,Podcasts!$E$10:$E$2535,"&gt;=1.1.2016",Podcasts!$E$10:$E$2535,"&lt;01.01.2017")</f>
        <v>0</v>
      </c>
      <c r="DF379" s="243">
        <f>COUNTIFS(Podcasts!$D$10:$D$2535,"="&amp;DF$373,Podcasts!$E$10:$E$2535,"&gt;=1.1.2016",Podcasts!$E$10:$E$2535,"&lt;01.01.2017")</f>
        <v>0</v>
      </c>
      <c r="DG379" s="243">
        <f>COUNTIFS(Podcasts!$D$10:$D$2535,"="&amp;DG$373,Podcasts!$E$10:$E$2535,"&gt;=1.1.2016",Podcasts!$E$10:$E$2535,"&lt;01.01.2017")</f>
        <v>0</v>
      </c>
      <c r="DH379" s="243">
        <f>COUNTIFS(Podcasts!$D$10:$D$2535,"="&amp;DH$373,Podcasts!$E$10:$E$2535,"&gt;=1.1.2016",Podcasts!$E$10:$E$2535,"&lt;01.01.2017")</f>
        <v>0</v>
      </c>
      <c r="DI379" s="243">
        <f>COUNTIFS(Podcasts!$D$10:$D$2535,"="&amp;DI$373,Podcasts!$E$10:$E$2535,"&gt;=1.1.2016",Podcasts!$E$10:$E$2535,"&lt;01.01.2017")</f>
        <v>0</v>
      </c>
      <c r="DJ379" s="243">
        <f>COUNTIFS(Podcasts!$D$10:$D$2535,"="&amp;DJ$373,Podcasts!$E$10:$E$2535,"&gt;=1.1.2016",Podcasts!$E$10:$E$2535,"&lt;01.01.2017")</f>
        <v>0</v>
      </c>
      <c r="DK379" s="243">
        <f>COUNTIFS(Podcasts!$D$10:$D$2535,"="&amp;DK$373,Podcasts!$E$10:$E$2535,"&gt;=1.1.2016",Podcasts!$E$10:$E$2535,"&lt;01.01.2017")</f>
        <v>0</v>
      </c>
      <c r="DL379" s="243">
        <f>COUNTIFS(Podcasts!$D$10:$D$2535,"="&amp;DL$373,Podcasts!$E$10:$E$2535,"&gt;=1.1.2016",Podcasts!$E$10:$E$2535,"&lt;01.01.2017")</f>
        <v>0</v>
      </c>
      <c r="DM379" s="243">
        <f>COUNTIFS(Podcasts!$D$10:$D$2535,"="&amp;DM$373,Podcasts!$E$10:$E$2535,"&gt;=1.1.2016",Podcasts!$E$10:$E$2535,"&lt;01.01.2017")</f>
        <v>0</v>
      </c>
      <c r="DN379" s="243">
        <f>COUNTIFS(Podcasts!$D$10:$D$2535,"="&amp;DN$373,Podcasts!$E$10:$E$2535,"&gt;=1.1.2016",Podcasts!$E$10:$E$2535,"&lt;01.01.2017")</f>
        <v>0</v>
      </c>
      <c r="DO379" s="243">
        <f>COUNTIFS(Podcasts!$D$10:$D$2535,"="&amp;DO$373,Podcasts!$E$10:$E$2535,"&gt;=1.1.2016",Podcasts!$E$10:$E$2535,"&lt;01.01.2017")</f>
        <v>0</v>
      </c>
      <c r="DP379" s="243">
        <f>COUNTIFS(Podcasts!$D$10:$D$2535,"="&amp;DP$373,Podcasts!$E$10:$E$2535,"&gt;=1.1.2016",Podcasts!$E$10:$E$2535,"&lt;01.01.2017")</f>
        <v>0</v>
      </c>
      <c r="DQ379" s="243">
        <f>COUNTIFS(Podcasts!$D$10:$D$2535,"="&amp;DQ$373,Podcasts!$E$10:$E$2535,"&gt;=1.1.2016",Podcasts!$E$10:$E$2535,"&lt;01.01.2017")</f>
        <v>0</v>
      </c>
      <c r="DR379" s="243">
        <f>COUNTIFS(Podcasts!$D$10:$D$2535,"="&amp;DR$373,Podcasts!$E$10:$E$2535,"&gt;=1.1.2016",Podcasts!$E$10:$E$2535,"&lt;01.01.2017")</f>
        <v>0</v>
      </c>
      <c r="DS379" s="243">
        <f>COUNTIFS(Podcasts!$D$10:$D$2535,"="&amp;DS$373,Podcasts!$E$10:$E$2535,"&gt;=1.1.2016",Podcasts!$E$10:$E$2535,"&lt;01.01.2017")</f>
        <v>0</v>
      </c>
      <c r="DT379" s="243">
        <f>COUNTIFS(Podcasts!$D$10:$D$2535,"="&amp;DT$373,Podcasts!$E$10:$E$2535,"&gt;=1.1.2016",Podcasts!$E$10:$E$2535,"&lt;01.01.2017")</f>
        <v>0</v>
      </c>
      <c r="DU379" s="243">
        <f>COUNTIFS(Podcasts!$D$10:$D$2535,"="&amp;DU$373,Podcasts!$E$10:$E$2535,"&gt;=1.1.2016",Podcasts!$E$10:$E$2535,"&lt;01.01.2017")</f>
        <v>0</v>
      </c>
      <c r="DV379" s="243">
        <f>COUNTIFS(Podcasts!$D$10:$D$2535,"="&amp;DV$373,Podcasts!$E$10:$E$2535,"&gt;=1.1.2016",Podcasts!$E$10:$E$2535,"&lt;01.01.2017")</f>
        <v>0</v>
      </c>
      <c r="DW379" s="243">
        <f>COUNTIFS(Podcasts!$D$10:$D$2535,"="&amp;DW$373,Podcasts!$E$10:$E$2535,"&gt;=1.1.2016",Podcasts!$E$10:$E$2535,"&lt;01.01.2017")</f>
        <v>0</v>
      </c>
      <c r="DX379" s="243">
        <f>COUNTIFS(Podcasts!$D$10:$D$2535,"="&amp;DX$373,Podcasts!$E$10:$E$2535,"&gt;=1.1.2016",Podcasts!$E$10:$E$2535,"&lt;01.01.2017")</f>
        <v>0</v>
      </c>
      <c r="DY379" s="243">
        <f>COUNTIFS(Podcasts!$D$10:$D$2535,"="&amp;DY$373,Podcasts!$E$10:$E$2535,"&gt;=1.1.2016",Podcasts!$E$10:$E$2535,"&lt;01.01.2017")</f>
        <v>0</v>
      </c>
      <c r="DZ379" s="243">
        <f>COUNTIFS(Podcasts!$D$10:$D$2535,"="&amp;DZ$373,Podcasts!$E$10:$E$2535,"&gt;=1.1.2016",Podcasts!$E$10:$E$2535,"&lt;01.01.2017")</f>
        <v>0</v>
      </c>
      <c r="EA379" s="243">
        <f>COUNTIFS(Podcasts!$D$10:$D$2535,"="&amp;EA$373,Podcasts!$E$10:$E$2535,"&gt;=1.1.2016",Podcasts!$E$10:$E$2535,"&lt;01.01.2017")</f>
        <v>0</v>
      </c>
      <c r="EB379" s="243">
        <f>COUNTIFS(Podcasts!$D$10:$D$2535,"="&amp;EB$373,Podcasts!$E$10:$E$2535,"&gt;=1.1.2016",Podcasts!$E$10:$E$2535,"&lt;01.01.2017")</f>
        <v>0</v>
      </c>
      <c r="EC379" s="243">
        <f>COUNTIFS(Podcasts!$D$10:$D$2535,"="&amp;EC$373,Podcasts!$E$10:$E$2535,"&gt;=1.1.2016",Podcasts!$E$10:$E$2535,"&lt;01.01.2017")</f>
        <v>0</v>
      </c>
      <c r="ED379" s="243">
        <f>COUNTIFS(Podcasts!$D$10:$D$2535,"="&amp;ED$373,Podcasts!$E$10:$E$2535,"&gt;=1.1.2016",Podcasts!$E$10:$E$2535,"&lt;01.01.2017")</f>
        <v>1</v>
      </c>
      <c r="EE379" s="243">
        <f>COUNTIFS(Podcasts!$D$10:$D$2535,"="&amp;EE$373,Podcasts!$E$10:$E$2535,"&gt;=1.1.2016",Podcasts!$E$10:$E$2535,"&lt;01.01.2017")</f>
        <v>0</v>
      </c>
      <c r="EF379" s="243">
        <f>COUNTIFS(Podcasts!$D$10:$D$2535,"="&amp;EF$373,Podcasts!$E$10:$E$2535,"&gt;=1.1.2016",Podcasts!$E$10:$E$2535,"&lt;01.01.2017")</f>
        <v>0</v>
      </c>
      <c r="EG379" s="243">
        <f>COUNTIFS(Podcasts!$D$10:$D$2535,"="&amp;EG$373,Podcasts!$E$10:$E$2535,"&gt;=1.1.2016",Podcasts!$E$10:$E$2535,"&lt;01.01.2017")</f>
        <v>0</v>
      </c>
      <c r="EH379" s="243">
        <f>COUNTIFS(Podcasts!$D$10:$D$2535,"="&amp;EH$373,Podcasts!$E$10:$E$2535,"&gt;=1.1.2016",Podcasts!$E$10:$E$2535,"&lt;01.01.2017")</f>
        <v>0</v>
      </c>
      <c r="EI379" s="243">
        <f>COUNTIFS(Podcasts!$D$10:$D$2535,"="&amp;EI$373,Podcasts!$E$10:$E$2535,"&gt;=1.1.2016",Podcasts!$E$10:$E$2535,"&lt;01.01.2017")</f>
        <v>0</v>
      </c>
      <c r="EJ379" s="243">
        <f>COUNTIFS(Podcasts!$D$10:$D$2535,"="&amp;EJ$373,Podcasts!$E$10:$E$2535,"&gt;=1.1.2016",Podcasts!$E$10:$E$2535,"&lt;01.01.2017")</f>
        <v>0</v>
      </c>
      <c r="EK379" s="243">
        <f>COUNTIFS(Podcasts!$D$10:$D$2535,"="&amp;EK$373,Podcasts!$E$10:$E$2535,"&gt;=1.1.2016",Podcasts!$E$10:$E$2535,"&lt;01.01.2017")</f>
        <v>0</v>
      </c>
      <c r="EL379" s="243">
        <f>COUNTIFS(Podcasts!$D$10:$D$2535,"="&amp;EL$373,Podcasts!$E$10:$E$2535,"&gt;=1.1.2016",Podcasts!$E$10:$E$2535,"&lt;01.01.2017")</f>
        <v>0</v>
      </c>
      <c r="EM379" s="243">
        <f>COUNTIFS(Podcasts!$D$10:$D$2535,"="&amp;EM$373,Podcasts!$E$10:$E$2535,"&gt;=1.1.2016",Podcasts!$E$10:$E$2535,"&lt;01.01.2017")</f>
        <v>0</v>
      </c>
      <c r="EN379" s="243">
        <f>COUNTIFS(Podcasts!$D$10:$D$2535,"="&amp;EN$373,Podcasts!$E$10:$E$2535,"&gt;=1.1.2016",Podcasts!$E$10:$E$2535,"&lt;01.01.2017")</f>
        <v>0</v>
      </c>
      <c r="EO379" s="243">
        <f>COUNTIFS(Podcasts!$D$10:$D$2535,"="&amp;EO$373,Podcasts!$E$10:$E$2535,"&gt;=1.1.2016",Podcasts!$E$10:$E$2535,"&lt;01.01.2017")</f>
        <v>0</v>
      </c>
      <c r="EP379" s="243">
        <f>COUNTIFS(Podcasts!$D$10:$D$2535,"="&amp;EP$373,Podcasts!$E$10:$E$2535,"&gt;=1.1.2016",Podcasts!$E$10:$E$2535,"&lt;01.01.2017")</f>
        <v>0</v>
      </c>
      <c r="EQ379" s="243">
        <f>COUNTIFS(Podcasts!$D$10:$D$2535,"="&amp;EQ$373,Podcasts!$E$10:$E$2535,"&gt;=1.1.2016",Podcasts!$E$10:$E$2535,"&lt;01.01.2017")</f>
        <v>0</v>
      </c>
      <c r="ER379" s="243">
        <f>COUNTIFS(Podcasts!$D$10:$D$2535,"="&amp;ER$373,Podcasts!$E$10:$E$2535,"&gt;=1.1.2016",Podcasts!$E$10:$E$2535,"&lt;01.01.2017")</f>
        <v>0</v>
      </c>
      <c r="ES379" s="243">
        <f>COUNTIFS(Podcasts!$D$10:$D$2535,"="&amp;ES$373,Podcasts!$E$10:$E$2535,"&gt;=1.1.2016",Podcasts!$E$10:$E$2535,"&lt;01.01.2017")</f>
        <v>0</v>
      </c>
      <c r="ET379" s="243">
        <f>COUNTIFS(Podcasts!$D$10:$D$2535,"="&amp;ET$373,Podcasts!$E$10:$E$2535,"&gt;=1.1.2016",Podcasts!$E$10:$E$2535,"&lt;01.01.2017")</f>
        <v>0</v>
      </c>
      <c r="EU379" s="243">
        <f>COUNTIFS(Podcasts!$D$10:$D$2535,"="&amp;EU$373,Podcasts!$E$10:$E$2535,"&gt;=1.1.2016",Podcasts!$E$10:$E$2535,"&lt;01.01.2017")</f>
        <v>0</v>
      </c>
      <c r="EV379" s="243">
        <f>COUNTIFS(Podcasts!$D$10:$D$2535,"="&amp;EV$373,Podcasts!$E$10:$E$2535,"&gt;=1.1.2016",Podcasts!$E$10:$E$2535,"&lt;01.01.2017")</f>
        <v>0</v>
      </c>
      <c r="EW379" s="243">
        <f>COUNTIFS(Podcasts!$D$10:$D$2535,"="&amp;EW$373,Podcasts!$E$10:$E$2535,"&gt;=1.1.2016",Podcasts!$E$10:$E$2535,"&lt;01.01.2017")</f>
        <v>0</v>
      </c>
      <c r="EX379" s="243">
        <f>COUNTIFS(Podcasts!$D$10:$D$2535,"="&amp;EX$373,Podcasts!$E$10:$E$2535,"&gt;=1.1.2016",Podcasts!$E$10:$E$2535,"&lt;01.01.2017")</f>
        <v>0</v>
      </c>
      <c r="EY379" s="243">
        <f>COUNTIFS(Podcasts!$D$10:$D$2535,"="&amp;EY$373,Podcasts!$E$10:$E$2535,"&gt;=1.1.2016",Podcasts!$E$10:$E$2535,"&lt;01.01.2017")</f>
        <v>0</v>
      </c>
      <c r="EZ379" s="243">
        <f>COUNTIFS(Podcasts!$D$10:$D$2535,"="&amp;EZ$373,Podcasts!$E$10:$E$2535,"&gt;=1.1.2016",Podcasts!$E$10:$E$2535,"&lt;01.01.2017")</f>
        <v>0</v>
      </c>
      <c r="FA379" s="243">
        <f>COUNTIFS(Podcasts!$D$10:$D$2535,"="&amp;FA$373,Podcasts!$E$10:$E$2535,"&gt;=1.1.2016",Podcasts!$E$10:$E$2535,"&lt;01.01.2017")</f>
        <v>0</v>
      </c>
      <c r="FB379" s="243">
        <f>COUNTIFS(Podcasts!$D$10:$D$2535,"="&amp;FB$373,Podcasts!$E$10:$E$2535,"&gt;=1.1.2016",Podcasts!$E$10:$E$2535,"&lt;01.01.2017")</f>
        <v>0</v>
      </c>
      <c r="FC379" s="243">
        <f>COUNTIFS(Podcasts!$D$10:$D$2535,"="&amp;FC$373,Podcasts!$E$10:$E$2535,"&gt;=1.1.2016",Podcasts!$E$10:$E$2535,"&lt;01.01.2017")</f>
        <v>0</v>
      </c>
      <c r="FD379" s="243">
        <f>COUNTIFS(Podcasts!$D$10:$D$2535,"="&amp;FD$373,Podcasts!$E$10:$E$2535,"&gt;=1.1.2016",Podcasts!$E$10:$E$2535,"&lt;01.01.2017")</f>
        <v>0</v>
      </c>
      <c r="FE379" s="243">
        <f>COUNTIFS(Podcasts!$D$10:$D$2535,"="&amp;FE$373,Podcasts!$E$10:$E$2535,"&gt;=1.1.2016",Podcasts!$E$10:$E$2535,"&lt;01.01.2017")</f>
        <v>0</v>
      </c>
      <c r="FF379" s="243">
        <f>COUNTIFS(Podcasts!$D$10:$D$2535,"="&amp;FF$373,Podcasts!$E$10:$E$2535,"&gt;=1.1.2016",Podcasts!$E$10:$E$2535,"&lt;01.01.2017")</f>
        <v>0</v>
      </c>
      <c r="FG379" s="243">
        <f>COUNTIFS(Podcasts!$D$10:$D$2535,"="&amp;FG$373,Podcasts!$E$10:$E$2535,"&gt;=1.1.2016",Podcasts!$E$10:$E$2535,"&lt;01.01.2017")</f>
        <v>0</v>
      </c>
      <c r="FH379" s="243">
        <f>COUNTIFS(Podcasts!$D$10:$D$2535,"="&amp;FH$373,Podcasts!$E$10:$E$2535,"&gt;=1.1.2016",Podcasts!$E$10:$E$2535,"&lt;01.01.2017")</f>
        <v>0</v>
      </c>
      <c r="FI379" s="243">
        <f>COUNTIFS(Podcasts!$D$10:$D$2535,"="&amp;FI$373,Podcasts!$E$10:$E$2535,"&gt;=1.1.2016",Podcasts!$E$10:$E$2535,"&lt;01.01.2017")</f>
        <v>0</v>
      </c>
      <c r="FJ379" s="243">
        <f>COUNTIFS(Podcasts!$D$10:$D$2535,"="&amp;FJ$373,Podcasts!$E$10:$E$2535,"&gt;=1.1.2016",Podcasts!$E$10:$E$2535,"&lt;01.01.2017")</f>
        <v>0</v>
      </c>
      <c r="FK379" s="243">
        <f>COUNTIFS(Podcasts!$D$10:$D$2535,"="&amp;FK$373,Podcasts!$E$10:$E$2535,"&gt;=1.1.2016",Podcasts!$E$10:$E$2535,"&lt;01.01.2017")</f>
        <v>0</v>
      </c>
      <c r="FL379" s="243">
        <f>COUNTIFS(Podcasts!$D$10:$D$2535,"="&amp;FL$373,Podcasts!$E$10:$E$2535,"&gt;=1.1.2016",Podcasts!$E$10:$E$2535,"&lt;01.01.2017")</f>
        <v>0</v>
      </c>
      <c r="FM379" s="243">
        <f>COUNTIFS(Podcasts!$D$10:$D$2535,"="&amp;FM$373,Podcasts!$E$10:$E$2535,"&gt;=1.1.2016",Podcasts!$E$10:$E$2535,"&lt;01.01.2017")</f>
        <v>0</v>
      </c>
      <c r="FN379" s="243">
        <f>COUNTIFS(Podcasts!$D$10:$D$2535,"="&amp;FN$373,Podcasts!$E$10:$E$2535,"&gt;=1.1.2016",Podcasts!$E$10:$E$2535,"&lt;01.01.2017")</f>
        <v>0</v>
      </c>
      <c r="FO379" s="243">
        <f>COUNTIFS(Podcasts!$D$10:$D$2535,"="&amp;FO$373,Podcasts!$E$10:$E$2535,"&gt;=1.1.2016",Podcasts!$E$10:$E$2535,"&lt;01.01.2017")</f>
        <v>0</v>
      </c>
      <c r="FP379" s="243">
        <f>COUNTIFS(Podcasts!$D$10:$D$2535,"="&amp;FP$373,Podcasts!$E$10:$E$2535,"&gt;=1.1.2016",Podcasts!$E$10:$E$2535,"&lt;01.01.2017")</f>
        <v>0</v>
      </c>
      <c r="FQ379" s="243">
        <f>COUNTIFS(Podcasts!$D$10:$D$2535,"="&amp;FQ$373,Podcasts!$E$10:$E$2535,"&gt;=1.1.2016",Podcasts!$E$10:$E$2535,"&lt;01.01.2017")</f>
        <v>0</v>
      </c>
      <c r="FR379" s="243">
        <f>COUNTIFS(Podcasts!$D$10:$D$2535,"="&amp;FR$373,Podcasts!$E$10:$E$2535,"&gt;=1.1.2016",Podcasts!$E$10:$E$2535,"&lt;01.01.2017")</f>
        <v>0</v>
      </c>
      <c r="FS379" s="243">
        <f>COUNTIFS(Podcasts!$D$10:$D$2535,"="&amp;FS$373,Podcasts!$E$10:$E$2535,"&gt;=1.1.2016",Podcasts!$E$10:$E$2535,"&lt;01.01.2017")</f>
        <v>0</v>
      </c>
      <c r="FT379" s="243">
        <f>COUNTIFS(Podcasts!$D$10:$D$2535,"="&amp;FT$373,Podcasts!$E$10:$E$2535,"&gt;=1.1.2016",Podcasts!$E$10:$E$2535,"&lt;01.01.2017")</f>
        <v>0</v>
      </c>
      <c r="FU379" s="243">
        <f>COUNTIFS(Podcasts!$D$10:$D$2535,"="&amp;FU$373,Podcasts!$E$10:$E$2535,"&gt;=1.1.2016",Podcasts!$E$10:$E$2535,"&lt;01.01.2017")</f>
        <v>0</v>
      </c>
      <c r="FV379" s="243">
        <f>COUNTIFS(Podcasts!$D$10:$D$2535,"="&amp;FV$373,Podcasts!$E$10:$E$2535,"&gt;=1.1.2016",Podcasts!$E$10:$E$2535,"&lt;01.01.2017")</f>
        <v>0</v>
      </c>
      <c r="FW379" s="243">
        <f>COUNTIFS(Podcasts!$D$10:$D$2535,"="&amp;FW$373,Podcasts!$E$10:$E$2535,"&gt;=1.1.2016",Podcasts!$E$10:$E$2535,"&lt;01.01.2017")</f>
        <v>1</v>
      </c>
      <c r="FX379" s="243">
        <f>COUNTIFS(Podcasts!$D$10:$D$2535,"="&amp;FX$373,Podcasts!$E$10:$E$2535,"&gt;=1.1.2016",Podcasts!$E$10:$E$2535,"&lt;01.01.2017")</f>
        <v>0</v>
      </c>
      <c r="FY379" s="243">
        <f>COUNTIFS(Podcasts!$D$10:$D$2535,"="&amp;FY$373,Podcasts!$E$10:$E$2535,"&gt;=1.1.2016",Podcasts!$E$10:$E$2535,"&lt;01.01.2017")</f>
        <v>0</v>
      </c>
      <c r="FZ379" s="243">
        <f>COUNTIFS(Podcasts!$D$10:$D$2535,"="&amp;FZ$373,Podcasts!$E$10:$E$2535,"&gt;=1.1.2016",Podcasts!$E$10:$E$2535,"&lt;01.01.2017")</f>
        <v>1</v>
      </c>
      <c r="GA379" s="243">
        <f>COUNTIFS(Podcasts!$D$10:$D$2535,"="&amp;GA$373,Podcasts!$E$10:$E$2535,"&gt;=1.1.2016",Podcasts!$E$10:$E$2535,"&lt;01.01.2017")</f>
        <v>2</v>
      </c>
      <c r="GB379" s="243">
        <f>COUNTIFS(Podcasts!$D$10:$D$2535,"="&amp;GB$373,Podcasts!$E$10:$E$2535,"&gt;=1.1.2016",Podcasts!$E$10:$E$2535,"&lt;01.01.2017")</f>
        <v>2</v>
      </c>
      <c r="GC379" s="243">
        <f>COUNTIFS(Podcasts!$D$10:$D$2535,"="&amp;GC$373,Podcasts!$E$10:$E$2535,"&gt;=1.1.2016",Podcasts!$E$10:$E$2535,"&lt;01.01.2017")</f>
        <v>1</v>
      </c>
      <c r="GD379" s="243">
        <f>COUNTIFS(Podcasts!$D$10:$D$2535,"="&amp;GD$373,Podcasts!$E$10:$E$2535,"&gt;=1.1.2016",Podcasts!$E$10:$E$2535,"&lt;01.01.2017")</f>
        <v>1</v>
      </c>
      <c r="GE379" s="243">
        <f>COUNTIFS(Podcasts!$D$10:$D$2535,"="&amp;GE$373,Podcasts!$E$10:$E$2535,"&gt;=1.1.2016",Podcasts!$E$10:$E$2535,"&lt;01.01.2017")</f>
        <v>2</v>
      </c>
      <c r="GF379" s="243">
        <f>COUNTIFS(Podcasts!$D$10:$D$2535,"="&amp;GF$373,Podcasts!$E$10:$E$2535,"&gt;=1.1.2016",Podcasts!$E$10:$E$2535,"&lt;01.01.2017")</f>
        <v>0</v>
      </c>
      <c r="GG379" s="243">
        <f>COUNTIFS(Podcasts!$D$10:$D$2535,"="&amp;GG$373,Podcasts!$E$10:$E$2535,"&gt;=1.1.2016",Podcasts!$E$10:$E$2535,"&lt;01.01.2017")</f>
        <v>0</v>
      </c>
      <c r="GH379" s="243">
        <f>COUNTIFS(Podcasts!$D$10:$D$2535,"="&amp;GH$373,Podcasts!$E$10:$E$2535,"&gt;=1.1.2016",Podcasts!$E$10:$E$2535,"&lt;01.01.2017")</f>
        <v>0</v>
      </c>
      <c r="GI379" s="243">
        <f>COUNTIFS(Podcasts!$D$10:$D$2535,"="&amp;GI$373,Podcasts!$E$10:$E$2535,"&gt;=1.1.2016",Podcasts!$E$10:$E$2535,"&lt;01.01.2017")</f>
        <v>0</v>
      </c>
      <c r="GJ379" s="243">
        <f>COUNTIFS(Podcasts!$D$10:$D$2535,"="&amp;GJ$373,Podcasts!$E$10:$E$2535,"&gt;=1.1.2016",Podcasts!$E$10:$E$2535,"&lt;01.01.2017")</f>
        <v>0</v>
      </c>
      <c r="GK379" s="243">
        <f>COUNTIFS(Podcasts!$D$10:$D$2535,"="&amp;GK$373,Podcasts!$E$10:$E$2535,"&gt;=1.1.2016",Podcasts!$E$10:$E$2535,"&lt;01.01.2017")</f>
        <v>0</v>
      </c>
      <c r="GL379" s="243">
        <f>COUNTIFS(Podcasts!$D$10:$D$2535,"="&amp;GL$373,Podcasts!$E$10:$E$2535,"&gt;=1.1.2016",Podcasts!$E$10:$E$2535,"&lt;01.01.2017")</f>
        <v>0</v>
      </c>
      <c r="GM379" s="243">
        <f>COUNTIFS(Podcasts!$D$10:$D$2535,"="&amp;GM$373,Podcasts!$E$10:$E$2535,"&gt;=1.1.2016",Podcasts!$E$10:$E$2535,"&lt;01.01.2017")</f>
        <v>0</v>
      </c>
      <c r="GN379" s="243">
        <f>COUNTIFS(Podcasts!$D$10:$D$2535,"="&amp;GN$373,Podcasts!$E$10:$E$2535,"&gt;=1.1.2016",Podcasts!$E$10:$E$2535,"&lt;01.01.2017")</f>
        <v>0</v>
      </c>
      <c r="GO379" s="243">
        <f>COUNTIFS(Podcasts!$D$10:$D$2535,"="&amp;GO$373,Podcasts!$E$10:$E$2535,"&gt;=1.1.2016",Podcasts!$E$10:$E$2535,"&lt;01.01.2017")</f>
        <v>0</v>
      </c>
      <c r="GP379" s="243">
        <f>COUNTIFS(Podcasts!$D$10:$D$2535,"="&amp;GP$373,Podcasts!$E$10:$E$2535,"&gt;=1.1.2016",Podcasts!$E$10:$E$2535,"&lt;01.01.2017")</f>
        <v>0</v>
      </c>
      <c r="GQ379" s="243">
        <f>COUNTIFS(Podcasts!$D$10:$D$2535,"="&amp;GQ$373,Podcasts!$E$10:$E$2535,"&gt;=1.1.2016",Podcasts!$E$10:$E$2535,"&lt;01.01.2017")</f>
        <v>0</v>
      </c>
      <c r="GR379" s="243">
        <f>COUNTIFS(Podcasts!$D$10:$D$2535,"="&amp;GR$373,Podcasts!$E$10:$E$2535,"&gt;=1.1.2016",Podcasts!$E$10:$E$2535,"&lt;01.01.2017")</f>
        <v>0</v>
      </c>
      <c r="GS379" s="243">
        <f>COUNTIFS(Podcasts!$D$10:$D$2535,"="&amp;GS$373,Podcasts!$E$10:$E$2535,"&gt;=1.1.2016",Podcasts!$E$10:$E$2535,"&lt;01.01.2017")</f>
        <v>0</v>
      </c>
      <c r="GT379" s="243">
        <f>COUNTIFS(Podcasts!$D$10:$D$2535,"="&amp;GT$373,Podcasts!$E$10:$E$2535,"&gt;=1.1.2016",Podcasts!$E$10:$E$2535,"&lt;01.01.2017")</f>
        <v>0</v>
      </c>
      <c r="GU379" s="243">
        <f>COUNTIFS(Podcasts!$D$10:$D$2535,"="&amp;GU$373,Podcasts!$E$10:$E$2535,"&gt;=1.1.2016",Podcasts!$E$10:$E$2535,"&lt;01.01.2017")</f>
        <v>0</v>
      </c>
      <c r="GV379" s="243">
        <f>COUNTIFS(Podcasts!$D$10:$D$2535,"="&amp;GV$373,Podcasts!$E$10:$E$2535,"&gt;=1.1.2016",Podcasts!$E$10:$E$2535,"&lt;01.01.2017")</f>
        <v>0</v>
      </c>
      <c r="GW379" s="243">
        <f>COUNTIFS(Podcasts!$D$10:$D$2535,"="&amp;GW$373,Podcasts!$E$10:$E$2535,"&gt;=1.1.2016",Podcasts!$E$10:$E$2535,"&lt;01.01.2017")</f>
        <v>0</v>
      </c>
      <c r="GX379" s="243">
        <f>COUNTIFS(Podcasts!$D$10:$D$2535,"="&amp;GX$373,Podcasts!$E$10:$E$2535,"&gt;=1.1.2016",Podcasts!$E$10:$E$2535,"&lt;01.01.2017")</f>
        <v>0</v>
      </c>
      <c r="GY379" s="243">
        <f>COUNTIFS(Podcasts!$D$10:$D$2535,"="&amp;GY$373,Podcasts!$E$10:$E$2535,"&gt;=1.1.2016",Podcasts!$E$10:$E$2535,"&lt;01.01.2017")</f>
        <v>0</v>
      </c>
      <c r="GZ379" s="243">
        <f>COUNTIFS(Podcasts!$D$10:$D$2535,"="&amp;GZ$373,Podcasts!$E$10:$E$2535,"&gt;=1.1.2016",Podcasts!$E$10:$E$2535,"&lt;01.01.2017")</f>
        <v>0</v>
      </c>
      <c r="HA379" s="243">
        <f>COUNTIFS(Podcasts!$D$10:$D$2535,"="&amp;HA$373,Podcasts!$E$10:$E$2535,"&gt;=1.1.2016",Podcasts!$E$10:$E$2535,"&lt;01.01.2017")</f>
        <v>0</v>
      </c>
      <c r="HB379" s="243">
        <f>COUNTIFS(Podcasts!$D$10:$D$2535,"="&amp;HB$373,Podcasts!$E$10:$E$2535,"&gt;=1.1.2016",Podcasts!$E$10:$E$2535,"&lt;01.01.2017")</f>
        <v>0</v>
      </c>
      <c r="HC379" s="243">
        <f>COUNTIFS(Podcasts!$D$10:$D$2535,"="&amp;HC$373,Podcasts!$E$10:$E$2535,"&gt;=1.1.2016",Podcasts!$E$10:$E$2535,"&lt;01.01.2017")</f>
        <v>0</v>
      </c>
      <c r="HD379" s="243">
        <f>COUNTIFS(Podcasts!$D$10:$D$2535,"="&amp;HD$373,Podcasts!$E$10:$E$2535,"&gt;=1.1.2016",Podcasts!$E$10:$E$2535,"&lt;01.01.2017")</f>
        <v>0</v>
      </c>
      <c r="HE379" s="243">
        <f>COUNTIFS(Podcasts!$D$10:$D$2535,"="&amp;HE$373,Podcasts!$E$10:$E$2535,"&gt;=1.1.2016",Podcasts!$E$10:$E$2535,"&lt;01.01.2017")</f>
        <v>0</v>
      </c>
      <c r="HF379" s="243">
        <f>COUNTIFS(Podcasts!$D$10:$D$2535,"="&amp;HF$373,Podcasts!$E$10:$E$2535,"&gt;=1.1.2016",Podcasts!$E$10:$E$2535,"&lt;01.01.2017")</f>
        <v>0</v>
      </c>
      <c r="HG379" s="243">
        <f>COUNTIFS(Podcasts!$D$10:$D$2535,"="&amp;HG$373,Podcasts!$E$10:$E$2535,"&gt;=1.1.2016",Podcasts!$E$10:$E$2535,"&lt;01.01.2017")</f>
        <v>0</v>
      </c>
      <c r="HH379" s="243">
        <f>COUNTIFS(Podcasts!$D$10:$D$2535,"="&amp;HH$373,Podcasts!$E$10:$E$2535,"&gt;=1.1.2016",Podcasts!$E$10:$E$2535,"&lt;01.01.2017")</f>
        <v>0</v>
      </c>
      <c r="HI379" s="243">
        <f>COUNTIFS(Podcasts!$D$10:$D$2535,"="&amp;HI$373,Podcasts!$E$10:$E$2535,"&gt;=1.1.2016",Podcasts!$E$10:$E$2535,"&lt;01.01.2017")</f>
        <v>0</v>
      </c>
      <c r="HJ379" s="243">
        <f>COUNTIFS(Podcasts!$D$10:$D$2535,"="&amp;HJ$373,Podcasts!$E$10:$E$2535,"&gt;=1.1.2016",Podcasts!$E$10:$E$2535,"&lt;01.01.2017")</f>
        <v>0</v>
      </c>
      <c r="HK379" s="243">
        <f>COUNTIFS(Podcasts!$D$10:$D$2535,"="&amp;HK$373,Podcasts!$E$10:$E$2535,"&gt;=1.1.2016",Podcasts!$E$10:$E$2535,"&lt;01.01.2017")</f>
        <v>0</v>
      </c>
      <c r="HL379" s="243">
        <f>COUNTIFS(Podcasts!$D$10:$D$2535,"="&amp;HL$373,Podcasts!$E$10:$E$2535,"&gt;=1.1.2016",Podcasts!$E$10:$E$2535,"&lt;01.01.2017")</f>
        <v>0</v>
      </c>
      <c r="HM379" s="243">
        <f>COUNTIFS(Podcasts!$D$10:$D$2535,"="&amp;HM$373,Podcasts!$E$10:$E$2535,"&gt;=1.1.2016",Podcasts!$E$10:$E$2535,"&lt;01.01.2017")</f>
        <v>0</v>
      </c>
      <c r="HN379" s="243">
        <f>COUNTIFS(Podcasts!$D$10:$D$2535,"="&amp;HN$373,Podcasts!$E$10:$E$2535,"&gt;=1.1.2016",Podcasts!$E$10:$E$2535,"&lt;01.01.2017")</f>
        <v>0</v>
      </c>
      <c r="HO379" s="243">
        <f>COUNTIFS(Podcasts!$D$10:$D$2535,"="&amp;HO$373,Podcasts!$E$10:$E$2535,"&gt;=1.1.2016",Podcasts!$E$10:$E$2535,"&lt;01.01.2017")</f>
        <v>0</v>
      </c>
      <c r="HP379" s="243">
        <f>COUNTIFS(Podcasts!$D$10:$D$2535,"="&amp;HP$373,Podcasts!$E$10:$E$2535,"&gt;=1.1.2016",Podcasts!$E$10:$E$2535,"&lt;01.01.2017")</f>
        <v>0</v>
      </c>
      <c r="HQ379" s="243">
        <f>COUNTIFS(Podcasts!$D$10:$D$2535,"="&amp;HQ$373,Podcasts!$E$10:$E$2535,"&gt;=1.1.2016",Podcasts!$E$10:$E$2535,"&lt;01.01.2017")</f>
        <v>0</v>
      </c>
      <c r="HR379" s="243">
        <f>COUNTIFS(Podcasts!$D$10:$D$2535,"="&amp;HR$373,Podcasts!$E$10:$E$2535,"&gt;=1.1.2016",Podcasts!$E$10:$E$2535,"&lt;01.01.2017")</f>
        <v>0</v>
      </c>
      <c r="HS379" s="243">
        <f>COUNTIFS(Podcasts!$D$10:$D$2535,"="&amp;HS$373,Podcasts!$E$10:$E$2535,"&gt;=1.1.2016",Podcasts!$E$10:$E$2535,"&lt;01.01.2017")</f>
        <v>0</v>
      </c>
      <c r="HT379" s="243">
        <f>COUNTIFS(Podcasts!$D$10:$D$2535,"="&amp;HT$373,Podcasts!$E$10:$E$2535,"&gt;=1.1.2016",Podcasts!$E$10:$E$2535,"&lt;01.01.2017")</f>
        <v>0</v>
      </c>
      <c r="HU379" s="243">
        <f>COUNTIFS(Podcasts!$D$10:$D$2535,"="&amp;HU$373,Podcasts!$E$10:$E$2535,"&gt;=1.1.2016",Podcasts!$E$10:$E$2535,"&lt;01.01.2017")</f>
        <v>0</v>
      </c>
      <c r="HV379" s="243">
        <f>COUNTIFS(Podcasts!$D$10:$D$2535,"="&amp;HV$373,Podcasts!$E$10:$E$2535,"&gt;=1.1.2016",Podcasts!$E$10:$E$2535,"&lt;01.01.2017")</f>
        <v>0</v>
      </c>
      <c r="HW379" s="243">
        <f>COUNTIFS(Podcasts!$D$10:$D$2535,"="&amp;HW$373,Podcasts!$E$10:$E$2535,"&gt;=1.1.2016",Podcasts!$E$10:$E$2535,"&lt;01.01.2017")</f>
        <v>0</v>
      </c>
      <c r="HX379" s="243">
        <f>COUNTIFS(Podcasts!$D$10:$D$2535,"="&amp;HX$373,Podcasts!$E$10:$E$2535,"&gt;=1.1.2016",Podcasts!$E$10:$E$2535,"&lt;01.01.2017")</f>
        <v>0</v>
      </c>
      <c r="HY379" s="243">
        <f>COUNTIFS(Podcasts!$D$10:$D$2535,"="&amp;HY$373,Podcasts!$E$10:$E$2535,"&gt;=1.1.2016",Podcasts!$E$10:$E$2535,"&lt;01.01.2017")</f>
        <v>0</v>
      </c>
      <c r="HZ379" s="243">
        <f>COUNTIFS(Podcasts!$D$10:$D$2535,"="&amp;HZ$373,Podcasts!$E$10:$E$2535,"&gt;=1.1.2016",Podcasts!$E$10:$E$2535,"&lt;01.01.2017")</f>
        <v>0</v>
      </c>
    </row>
    <row r="380" spans="1:234">
      <c r="A380" s="28"/>
      <c r="B380" s="28"/>
      <c r="C380" s="460">
        <v>2016</v>
      </c>
      <c r="D380" s="28"/>
      <c r="E380" s="243">
        <f>COUNTIFS(Podcasts!$D$10:$D$2535,"="&amp;E$373,Podcasts!$E$10:$E$2535,"&gt;=1.1.2017",Podcasts!$E$10:$E$2535,"&lt;01.01.2018")</f>
        <v>1</v>
      </c>
      <c r="F380" s="243">
        <f>COUNTIFS(Podcasts!$D$10:$D$2535,"="&amp;F$373,Podcasts!$E$10:$E$2535,"&gt;=1.1.2017",Podcasts!$E$10:$E$2535,"&lt;01.01.2018")</f>
        <v>1</v>
      </c>
      <c r="G380" s="243">
        <f>COUNTIFS(Podcasts!$D$10:$D$2535,"="&amp;G$373,Podcasts!$E$10:$E$2535,"&gt;=1.1.2017",Podcasts!$E$10:$E$2535,"&lt;01.01.2018")</f>
        <v>1</v>
      </c>
      <c r="H380" s="243">
        <f>COUNTIFS(Podcasts!$D$10:$D$2535,"="&amp;H$373,Podcasts!$E$10:$E$2535,"&gt;=1.1.2017",Podcasts!$E$10:$E$2535,"&lt;01.01.2018")</f>
        <v>1</v>
      </c>
      <c r="I380" s="243">
        <f>COUNTIFS(Podcasts!$D$10:$D$2535,"="&amp;I$373,Podcasts!$E$10:$E$2535,"&gt;=1.1.2017",Podcasts!$E$10:$E$2535,"&lt;01.01.2018")</f>
        <v>0</v>
      </c>
      <c r="J380" s="243">
        <f>COUNTIFS(Podcasts!$D$10:$D$2535,"="&amp;J$373,Podcasts!$E$10:$E$2535,"&gt;=1.1.2017",Podcasts!$E$10:$E$2535,"&lt;01.01.2018")</f>
        <v>0</v>
      </c>
      <c r="K380" s="243">
        <f>COUNTIFS(Podcasts!$D$10:$D$2535,"="&amp;K$373,Podcasts!$E$10:$E$2535,"&gt;=1.1.2017",Podcasts!$E$10:$E$2535,"&lt;01.01.2018")</f>
        <v>0</v>
      </c>
      <c r="L380" s="243">
        <f>COUNTIFS(Podcasts!$D$10:$D$2535,"="&amp;L$373,Podcasts!$E$10:$E$2535,"&gt;=1.1.2017",Podcasts!$E$10:$E$2535,"&lt;01.01.2018")</f>
        <v>1</v>
      </c>
      <c r="M380" s="285">
        <f>COUNTIFS(Podcasts!$D$10:$D$2535,"="&amp;M$373,Podcasts!$E$10:$E$2535,"&gt;=1.1.2017",Podcasts!$E$10:$E$2535,"&lt;01.01.2018")</f>
        <v>0</v>
      </c>
      <c r="N380" s="285">
        <f>COUNTIFS(Podcasts!$D$10:$D$2535,"="&amp;N$373,Podcasts!$E$10:$E$2535,"&gt;=1.1.2017",Podcasts!$E$10:$E$2535,"&lt;01.01.2018")</f>
        <v>2</v>
      </c>
      <c r="O380" s="243">
        <f>COUNTIFS(Podcasts!$D$10:$D$2535,"="&amp;O$373,Podcasts!$E$10:$E$2535,"&gt;=1.1.2017",Podcasts!$E$10:$E$2535,"&lt;01.01.2018")</f>
        <v>0</v>
      </c>
      <c r="P380" s="243">
        <f>COUNTIFS(Podcasts!$D$10:$D$2535,"="&amp;P$373,Podcasts!$E$10:$E$2535,"&gt;=1.1.2017",Podcasts!$E$10:$E$2535,"&lt;01.01.2018")</f>
        <v>0</v>
      </c>
      <c r="Q380" s="243">
        <f>COUNTIFS(Podcasts!$D$10:$D$2535,"="&amp;Q$373,Podcasts!$E$10:$E$2535,"&gt;=1.1.2017",Podcasts!$E$10:$E$2535,"&lt;01.01.2018")</f>
        <v>0</v>
      </c>
      <c r="R380" s="243">
        <f>COUNTIFS(Podcasts!$D$10:$D$2535,"="&amp;R$373,Podcasts!$E$10:$E$2535,"&gt;=1.1.2017",Podcasts!$E$10:$E$2535,"&lt;01.01.2018")</f>
        <v>0</v>
      </c>
      <c r="S380" s="243">
        <f>COUNTIFS(Podcasts!$D$10:$D$2535,"="&amp;S$373,Podcasts!$E$10:$E$2535,"&gt;=1.1.2017",Podcasts!$E$10:$E$2535,"&lt;01.01.2018")</f>
        <v>0</v>
      </c>
      <c r="T380" s="243">
        <f>COUNTIFS(Podcasts!$D$10:$D$2535,"="&amp;T$373,Podcasts!$E$10:$E$2535,"&gt;=1.1.2017",Podcasts!$E$10:$E$2535,"&lt;01.01.2018")</f>
        <v>0</v>
      </c>
      <c r="U380" s="243">
        <f>COUNTIFS(Podcasts!$D$10:$D$2535,"="&amp;U$373,Podcasts!$E$10:$E$2535,"&gt;=1.1.2017",Podcasts!$E$10:$E$2535,"&lt;01.01.2018")</f>
        <v>1</v>
      </c>
      <c r="V380" s="243">
        <f>COUNTIFS(Podcasts!$D$10:$D$2535,"="&amp;V$373,Podcasts!$E$10:$E$2535,"&gt;=1.1.2017",Podcasts!$E$10:$E$2535,"&lt;01.01.2018")</f>
        <v>0</v>
      </c>
      <c r="W380" s="243">
        <f>COUNTIFS(Podcasts!$D$10:$D$2535,"="&amp;W$373,Podcasts!$E$10:$E$2535,"&gt;=1.1.2017",Podcasts!$E$10:$E$2535,"&lt;01.01.2018")</f>
        <v>0</v>
      </c>
      <c r="X380" s="243">
        <f>COUNTIFS(Podcasts!$D$10:$D$2535,"="&amp;X$373,Podcasts!$E$10:$E$2535,"&gt;=1.1.2017",Podcasts!$E$10:$E$2535,"&lt;01.01.2018")</f>
        <v>0</v>
      </c>
      <c r="Y380" s="243">
        <f>COUNTIFS(Podcasts!$D$10:$D$2535,"="&amp;Y$373,Podcasts!$E$10:$E$2535,"&gt;=1.1.2017",Podcasts!$E$10:$E$2535,"&lt;01.01.2018")</f>
        <v>0</v>
      </c>
      <c r="Z380" s="243">
        <f>COUNTIFS(Podcasts!$D$10:$D$2535,"="&amp;Z$373,Podcasts!$E$10:$E$2535,"&gt;=1.1.2017",Podcasts!$E$10:$E$2535,"&lt;01.01.2018")</f>
        <v>0</v>
      </c>
      <c r="AA380" s="243">
        <f>COUNTIFS(Podcasts!$D$10:$D$2535,"="&amp;AA$373,Podcasts!$E$10:$E$2535,"&gt;=1.1.2017",Podcasts!$E$10:$E$2535,"&lt;01.01.2018")</f>
        <v>0</v>
      </c>
      <c r="AB380" s="243">
        <f>COUNTIFS(Podcasts!$D$10:$D$2535,"="&amp;AB$373,Podcasts!$E$10:$E$2535,"&gt;=1.1.2017",Podcasts!$E$10:$E$2535,"&lt;01.01.2018")</f>
        <v>1</v>
      </c>
      <c r="AC380" s="243">
        <f>COUNTIFS(Podcasts!$D$10:$D$2535,"="&amp;AC$373,Podcasts!$E$10:$E$2535,"&gt;=1.1.2017",Podcasts!$E$10:$E$2535,"&lt;01.01.2018")</f>
        <v>0</v>
      </c>
      <c r="AD380" s="243">
        <f>COUNTIFS(Podcasts!$D$10:$D$2535,"="&amp;AD$373,Podcasts!$E$10:$E$2535,"&gt;=1.1.2017",Podcasts!$E$10:$E$2535,"&lt;01.01.2018")</f>
        <v>0</v>
      </c>
      <c r="AE380" s="243">
        <f>COUNTIFS(Podcasts!$D$10:$D$2535,"="&amp;AE$373,Podcasts!$E$10:$E$2535,"&gt;=1.1.2017",Podcasts!$E$10:$E$2535,"&lt;01.01.2018")</f>
        <v>0</v>
      </c>
      <c r="AF380" s="243">
        <f>COUNTIFS(Podcasts!$D$10:$D$2535,"="&amp;AF$373,Podcasts!$E$10:$E$2535,"&gt;=1.1.2017",Podcasts!$E$10:$E$2535,"&lt;01.01.2018")</f>
        <v>0</v>
      </c>
      <c r="AG380" s="243">
        <f>COUNTIFS(Podcasts!$D$10:$D$2535,"="&amp;AG$373,Podcasts!$E$10:$E$2535,"&gt;=1.1.2017",Podcasts!$E$10:$E$2535,"&lt;01.01.2018")</f>
        <v>0</v>
      </c>
      <c r="AH380" s="243">
        <f>COUNTIFS(Podcasts!$D$10:$D$2535,"="&amp;AH$373,Podcasts!$E$10:$E$2535,"&gt;=1.1.2017",Podcasts!$E$10:$E$2535,"&lt;01.01.2018")</f>
        <v>1</v>
      </c>
      <c r="AI380" s="243">
        <f>COUNTIFS(Podcasts!$D$10:$D$2535,"="&amp;AI$373,Podcasts!$E$10:$E$2535,"&gt;=1.1.2017",Podcasts!$E$10:$E$2535,"&lt;01.01.2018")</f>
        <v>0</v>
      </c>
      <c r="AJ380" s="243">
        <f>COUNTIFS(Podcasts!$D$10:$D$2535,"="&amp;AJ$373,Podcasts!$E$10:$E$2535,"&gt;=1.1.2017",Podcasts!$E$10:$E$2535,"&lt;01.01.2018")</f>
        <v>1</v>
      </c>
      <c r="AK380" s="243">
        <f>COUNTIFS(Podcasts!$D$10:$D$2535,"="&amp;AK$373,Podcasts!$E$10:$E$2535,"&gt;=1.1.2017",Podcasts!$E$10:$E$2535,"&lt;01.01.2018")</f>
        <v>0</v>
      </c>
      <c r="AL380" s="243">
        <f>COUNTIFS(Podcasts!$D$10:$D$2535,"="&amp;AL$373,Podcasts!$E$10:$E$2535,"&gt;=1.1.2017",Podcasts!$E$10:$E$2535,"&lt;01.01.2018")</f>
        <v>0</v>
      </c>
      <c r="AM380" s="243">
        <f>COUNTIFS(Podcasts!$D$10:$D$2535,"="&amp;AM$373,Podcasts!$E$10:$E$2535,"&gt;=1.1.2017",Podcasts!$E$10:$E$2535,"&lt;01.01.2018")</f>
        <v>0</v>
      </c>
      <c r="AN380" s="243">
        <f>COUNTIFS(Podcasts!$D$10:$D$2535,"="&amp;AN$373,Podcasts!$E$10:$E$2535,"&gt;=1.1.2017",Podcasts!$E$10:$E$2535,"&lt;01.01.2018")</f>
        <v>0</v>
      </c>
      <c r="AO380" s="243">
        <f>COUNTIFS(Podcasts!$D$10:$D$2535,"="&amp;AO$373,Podcasts!$E$10:$E$2535,"&gt;=1.1.2017",Podcasts!$E$10:$E$2535,"&lt;01.01.2018")</f>
        <v>0</v>
      </c>
      <c r="AP380" s="243">
        <f>COUNTIFS(Podcasts!$D$10:$D$2535,"="&amp;AP$373,Podcasts!$E$10:$E$2535,"&gt;=1.1.2017",Podcasts!$E$10:$E$2535,"&lt;01.01.2018")</f>
        <v>1</v>
      </c>
      <c r="AQ380" s="243">
        <f>COUNTIFS(Podcasts!$D$10:$D$2535,"="&amp;AQ$373,Podcasts!$E$10:$E$2535,"&gt;=1.1.2017",Podcasts!$E$10:$E$2535,"&lt;01.01.2018")</f>
        <v>0</v>
      </c>
      <c r="AR380" s="243">
        <f>COUNTIFS(Podcasts!$D$10:$D$2535,"="&amp;AR$373,Podcasts!$E$10:$E$2535,"&gt;=1.1.2017",Podcasts!$E$10:$E$2535,"&lt;01.01.2018")</f>
        <v>0</v>
      </c>
      <c r="AS380" s="243">
        <f>COUNTIFS(Podcasts!$D$10:$D$2535,"="&amp;AS$373,Podcasts!$E$10:$E$2535,"&gt;=1.1.2017",Podcasts!$E$10:$E$2535,"&lt;01.01.2018")</f>
        <v>0</v>
      </c>
      <c r="AT380" s="243">
        <f>COUNTIFS(Podcasts!$D$10:$D$2535,"="&amp;AT$373,Podcasts!$E$10:$E$2535,"&gt;=1.1.2017",Podcasts!$E$10:$E$2535,"&lt;01.01.2018")</f>
        <v>0</v>
      </c>
      <c r="AU380" s="243">
        <f>COUNTIFS(Podcasts!$D$10:$D$2535,"="&amp;AU$373,Podcasts!$E$10:$E$2535,"&gt;=1.1.2017",Podcasts!$E$10:$E$2535,"&lt;01.01.2018")</f>
        <v>0</v>
      </c>
      <c r="AV380" s="243">
        <f>COUNTIFS(Podcasts!$D$10:$D$2535,"="&amp;AV$373,Podcasts!$E$10:$E$2535,"&gt;=1.1.2017",Podcasts!$E$10:$E$2535,"&lt;01.01.2018")</f>
        <v>0</v>
      </c>
      <c r="AW380" s="243">
        <f>COUNTIFS(Podcasts!$D$10:$D$2535,"="&amp;AW$373,Podcasts!$E$10:$E$2535,"&gt;=1.1.2017",Podcasts!$E$10:$E$2535,"&lt;01.01.2018")</f>
        <v>0</v>
      </c>
      <c r="AX380" s="243">
        <f>COUNTIFS(Podcasts!$D$10:$D$2535,"="&amp;AX$373,Podcasts!$E$10:$E$2535,"&gt;=1.1.2017",Podcasts!$E$10:$E$2535,"&lt;01.01.2018")</f>
        <v>0</v>
      </c>
      <c r="AY380" s="243">
        <f>COUNTIFS(Podcasts!$D$10:$D$2535,"="&amp;AY$373,Podcasts!$E$10:$E$2535,"&gt;=1.1.2017",Podcasts!$E$10:$E$2535,"&lt;01.01.2018")</f>
        <v>0</v>
      </c>
      <c r="AZ380" s="243">
        <f>COUNTIFS(Podcasts!$D$10:$D$2535,"="&amp;AZ$373,Podcasts!$E$10:$E$2535,"&gt;=1.1.2017",Podcasts!$E$10:$E$2535,"&lt;01.01.2018")</f>
        <v>1</v>
      </c>
      <c r="BA380" s="243">
        <f>COUNTIFS(Podcasts!$D$10:$D$2535,"="&amp;BA$373,Podcasts!$E$10:$E$2535,"&gt;=1.1.2017",Podcasts!$E$10:$E$2535,"&lt;01.01.2018")</f>
        <v>0</v>
      </c>
      <c r="BB380" s="243">
        <f>COUNTIFS(Podcasts!$D$10:$D$2535,"="&amp;BB$373,Podcasts!$E$10:$E$2535,"&gt;=1.1.2017",Podcasts!$E$10:$E$2535,"&lt;01.01.2018")</f>
        <v>0</v>
      </c>
      <c r="BC380" s="243">
        <f>COUNTIFS(Podcasts!$D$10:$D$2535,"="&amp;BC$373,Podcasts!$E$10:$E$2535,"&gt;=1.1.2017",Podcasts!$E$10:$E$2535,"&lt;01.01.2018")</f>
        <v>0</v>
      </c>
      <c r="BD380" s="243">
        <f>COUNTIFS(Podcasts!$D$10:$D$2535,"="&amp;BD$373,Podcasts!$E$10:$E$2535,"&gt;=1.1.2017",Podcasts!$E$10:$E$2535,"&lt;01.01.2018")</f>
        <v>0</v>
      </c>
      <c r="BE380" s="243">
        <f>COUNTIFS(Podcasts!$D$10:$D$2535,"="&amp;BE$373,Podcasts!$E$10:$E$2535,"&gt;=1.1.2017",Podcasts!$E$10:$E$2535,"&lt;01.01.2018")</f>
        <v>0</v>
      </c>
      <c r="BF380" s="243">
        <f>COUNTIFS(Podcasts!$D$10:$D$2535,"="&amp;BF$373,Podcasts!$E$10:$E$2535,"&gt;=1.1.2017",Podcasts!$E$10:$E$2535,"&lt;01.01.2018")</f>
        <v>0</v>
      </c>
      <c r="BG380" s="243">
        <f>COUNTIFS(Podcasts!$D$10:$D$2535,"="&amp;BG$373,Podcasts!$E$10:$E$2535,"&gt;=1.1.2017",Podcasts!$E$10:$E$2535,"&lt;01.01.2018")</f>
        <v>0</v>
      </c>
      <c r="BH380" s="243">
        <f>COUNTIFS(Podcasts!$D$10:$D$2535,"="&amp;BH$373,Podcasts!$E$10:$E$2535,"&gt;=1.1.2017",Podcasts!$E$10:$E$2535,"&lt;01.01.2018")</f>
        <v>0</v>
      </c>
      <c r="BI380" s="243">
        <f>COUNTIFS(Podcasts!$D$10:$D$2535,"="&amp;BI$373,Podcasts!$E$10:$E$2535,"&gt;=1.1.2017",Podcasts!$E$10:$E$2535,"&lt;01.01.2018")</f>
        <v>0</v>
      </c>
      <c r="BJ380" s="243">
        <f>COUNTIFS(Podcasts!$D$10:$D$2535,"="&amp;BJ$373,Podcasts!$E$10:$E$2535,"&gt;=1.1.2017",Podcasts!$E$10:$E$2535,"&lt;01.01.2018")</f>
        <v>0</v>
      </c>
      <c r="BK380" s="243">
        <f>COUNTIFS(Podcasts!$D$10:$D$2535,"="&amp;BK$373,Podcasts!$E$10:$E$2535,"&gt;=1.1.2017",Podcasts!$E$10:$E$2535,"&lt;01.01.2018")</f>
        <v>0</v>
      </c>
      <c r="BL380" s="243">
        <f>COUNTIFS(Podcasts!$D$10:$D$2535,"="&amp;BL$373,Podcasts!$E$10:$E$2535,"&gt;=1.1.2017",Podcasts!$E$10:$E$2535,"&lt;01.01.2018")</f>
        <v>0</v>
      </c>
      <c r="BM380" s="243">
        <f>COUNTIFS(Podcasts!$D$10:$D$2535,"="&amp;BM$373,Podcasts!$E$10:$E$2535,"&gt;=1.1.2017",Podcasts!$E$10:$E$2535,"&lt;01.01.2018")</f>
        <v>0</v>
      </c>
      <c r="BN380" s="243">
        <f>COUNTIFS(Podcasts!$D$10:$D$2535,"="&amp;BN$373,Podcasts!$E$10:$E$2535,"&gt;=1.1.2017",Podcasts!$E$10:$E$2535,"&lt;01.01.2018")</f>
        <v>0</v>
      </c>
      <c r="BO380" s="243">
        <f>COUNTIFS(Podcasts!$D$10:$D$2535,"="&amp;BO$373,Podcasts!$E$10:$E$2535,"&gt;=1.1.2017",Podcasts!$E$10:$E$2535,"&lt;01.01.2018")</f>
        <v>0</v>
      </c>
      <c r="BP380" s="243">
        <f>COUNTIFS(Podcasts!$D$10:$D$2535,"="&amp;BP$373,Podcasts!$E$10:$E$2535,"&gt;=1.1.2017",Podcasts!$E$10:$E$2535,"&lt;01.01.2018")</f>
        <v>0</v>
      </c>
      <c r="BQ380" s="243">
        <f>COUNTIFS(Podcasts!$D$10:$D$2535,"="&amp;BQ$373,Podcasts!$E$10:$E$2535,"&gt;=1.1.2017",Podcasts!$E$10:$E$2535,"&lt;01.01.2018")</f>
        <v>0</v>
      </c>
      <c r="BR380" s="243">
        <f>COUNTIFS(Podcasts!$D$10:$D$2535,"="&amp;BR$373,Podcasts!$E$10:$E$2535,"&gt;=1.1.2017",Podcasts!$E$10:$E$2535,"&lt;01.01.2018")</f>
        <v>0</v>
      </c>
      <c r="BS380" s="243">
        <f>COUNTIFS(Podcasts!$D$10:$D$2535,"="&amp;BS$373,Podcasts!$E$10:$E$2535,"&gt;=1.1.2017",Podcasts!$E$10:$E$2535,"&lt;01.01.2018")</f>
        <v>0</v>
      </c>
      <c r="BT380" s="243">
        <f>COUNTIFS(Podcasts!$D$10:$D$2535,"="&amp;BT$373,Podcasts!$E$10:$E$2535,"&gt;=1.1.2017",Podcasts!$E$10:$E$2535,"&lt;01.01.2018")</f>
        <v>1</v>
      </c>
      <c r="BU380" s="243">
        <f>COUNTIFS(Podcasts!$D$10:$D$2535,"="&amp;BU$373,Podcasts!$E$10:$E$2535,"&gt;=1.1.2017",Podcasts!$E$10:$E$2535,"&lt;01.01.2018")</f>
        <v>0</v>
      </c>
      <c r="BV380" s="243">
        <f>COUNTIFS(Podcasts!$D$10:$D$2535,"="&amp;BV$373,Podcasts!$E$10:$E$2535,"&gt;=1.1.2017",Podcasts!$E$10:$E$2535,"&lt;01.01.2018")</f>
        <v>0</v>
      </c>
      <c r="BW380" s="243">
        <f>COUNTIFS(Podcasts!$D$10:$D$2535,"="&amp;BW$373,Podcasts!$E$10:$E$2535,"&gt;=1.1.2017",Podcasts!$E$10:$E$2535,"&lt;01.01.2018")</f>
        <v>0</v>
      </c>
      <c r="BX380" s="243">
        <f>COUNTIFS(Podcasts!$D$10:$D$2535,"="&amp;BX$373,Podcasts!$E$10:$E$2535,"&gt;=1.1.2017",Podcasts!$E$10:$E$2535,"&lt;01.01.2018")</f>
        <v>0</v>
      </c>
      <c r="BY380" s="243">
        <f>COUNTIFS(Podcasts!$D$10:$D$2535,"="&amp;BY$373,Podcasts!$E$10:$E$2535,"&gt;=1.1.2017",Podcasts!$E$10:$E$2535,"&lt;01.01.2018")</f>
        <v>0</v>
      </c>
      <c r="BZ380" s="243">
        <f>COUNTIFS(Podcasts!$D$10:$D$2535,"="&amp;BZ$373,Podcasts!$E$10:$E$2535,"&gt;=1.1.2017",Podcasts!$E$10:$E$2535,"&lt;01.01.2018")</f>
        <v>0</v>
      </c>
      <c r="CA380" s="243">
        <f>COUNTIFS(Podcasts!$D$10:$D$2535,"="&amp;CA$373,Podcasts!$E$10:$E$2535,"&gt;=1.1.2017",Podcasts!$E$10:$E$2535,"&lt;01.01.2018")</f>
        <v>0</v>
      </c>
      <c r="CB380" s="243">
        <f>COUNTIFS(Podcasts!$D$10:$D$2535,"="&amp;CB$373,Podcasts!$E$10:$E$2535,"&gt;=1.1.2017",Podcasts!$E$10:$E$2535,"&lt;01.01.2018")</f>
        <v>1</v>
      </c>
      <c r="CC380" s="243">
        <f>COUNTIFS(Podcasts!$D$10:$D$2535,"="&amp;CC$373,Podcasts!$E$10:$E$2535,"&gt;=1.1.2017",Podcasts!$E$10:$E$2535,"&lt;01.01.2018")</f>
        <v>0</v>
      </c>
      <c r="CD380" s="243">
        <f>COUNTIFS(Podcasts!$D$10:$D$2535,"="&amp;CD$373,Podcasts!$E$10:$E$2535,"&gt;=1.1.2017",Podcasts!$E$10:$E$2535,"&lt;01.01.2018")</f>
        <v>0</v>
      </c>
      <c r="CE380" s="243">
        <f>COUNTIFS(Podcasts!$D$10:$D$2535,"="&amp;CE$373,Podcasts!$E$10:$E$2535,"&gt;=1.1.2017",Podcasts!$E$10:$E$2535,"&lt;01.01.2018")</f>
        <v>0</v>
      </c>
      <c r="CF380" s="243">
        <f>COUNTIFS(Podcasts!$D$10:$D$2535,"="&amp;CF$373,Podcasts!$E$10:$E$2535,"&gt;=1.1.2017",Podcasts!$E$10:$E$2535,"&lt;01.01.2018")</f>
        <v>0</v>
      </c>
      <c r="CG380" s="243">
        <f>COUNTIFS(Podcasts!$D$10:$D$2535,"="&amp;CG$373,Podcasts!$E$10:$E$2535,"&gt;=1.1.2017",Podcasts!$E$10:$E$2535,"&lt;01.01.2018")</f>
        <v>0</v>
      </c>
      <c r="CH380" s="243">
        <f>COUNTIFS(Podcasts!$D$10:$D$2535,"="&amp;CH$373,Podcasts!$E$10:$E$2535,"&gt;=1.1.2017",Podcasts!$E$10:$E$2535,"&lt;01.01.2018")</f>
        <v>0</v>
      </c>
      <c r="CI380" s="243">
        <f>COUNTIFS(Podcasts!$D$10:$D$2535,"="&amp;CI$373,Podcasts!$E$10:$E$2535,"&gt;=1.1.2017",Podcasts!$E$10:$E$2535,"&lt;01.01.2018")</f>
        <v>0</v>
      </c>
      <c r="CJ380" s="243">
        <f>COUNTIFS(Podcasts!$D$10:$D$2535,"="&amp;CJ$373,Podcasts!$E$10:$E$2535,"&gt;=1.1.2017",Podcasts!$E$10:$E$2535,"&lt;01.01.2018")</f>
        <v>1</v>
      </c>
      <c r="CK380" s="243">
        <f>COUNTIFS(Podcasts!$D$10:$D$2535,"="&amp;CK$373,Podcasts!$E$10:$E$2535,"&gt;=1.1.2017",Podcasts!$E$10:$E$2535,"&lt;01.01.2018")</f>
        <v>1</v>
      </c>
      <c r="CL380" s="243">
        <f>COUNTIFS(Podcasts!$D$10:$D$2535,"="&amp;CL$373,Podcasts!$E$10:$E$2535,"&gt;=1.1.2017",Podcasts!$E$10:$E$2535,"&lt;01.01.2018")</f>
        <v>1</v>
      </c>
      <c r="CM380" s="243">
        <f>COUNTIFS(Podcasts!$D$10:$D$2535,"="&amp;CM$373,Podcasts!$E$10:$E$2535,"&gt;=1.1.2017",Podcasts!$E$10:$E$2535,"&lt;01.01.2018")</f>
        <v>0</v>
      </c>
      <c r="CN380" s="243">
        <f>COUNTIFS(Podcasts!$D$10:$D$2535,"="&amp;CN$373,Podcasts!$E$10:$E$2535,"&gt;=1.1.2017",Podcasts!$E$10:$E$2535,"&lt;01.01.2018")</f>
        <v>1</v>
      </c>
      <c r="CO380" s="243">
        <f>COUNTIFS(Podcasts!$D$10:$D$2535,"="&amp;CO$373,Podcasts!$E$10:$E$2535,"&gt;=1.1.2017",Podcasts!$E$10:$E$2535,"&lt;01.01.2018")</f>
        <v>0</v>
      </c>
      <c r="CP380" s="243">
        <f>COUNTIFS(Podcasts!$D$10:$D$2535,"="&amp;CP$373,Podcasts!$E$10:$E$2535,"&gt;=1.1.2017",Podcasts!$E$10:$E$2535,"&lt;01.01.2018")</f>
        <v>0</v>
      </c>
      <c r="CQ380" s="243">
        <f>COUNTIFS(Podcasts!$D$10:$D$2535,"="&amp;CQ$373,Podcasts!$E$10:$E$2535,"&gt;=1.1.2017",Podcasts!$E$10:$E$2535,"&lt;01.01.2018")</f>
        <v>1</v>
      </c>
      <c r="CR380" s="243">
        <f>COUNTIFS(Podcasts!$D$10:$D$2535,"="&amp;CR$373,Podcasts!$E$10:$E$2535,"&gt;=1.1.2017",Podcasts!$E$10:$E$2535,"&lt;01.01.2018")</f>
        <v>2</v>
      </c>
      <c r="CS380" s="243">
        <f>COUNTIFS(Podcasts!$D$10:$D$2535,"="&amp;CS$373,Podcasts!$E$10:$E$2535,"&gt;=1.1.2017",Podcasts!$E$10:$E$2535,"&lt;01.01.2018")</f>
        <v>0</v>
      </c>
      <c r="CT380" s="243">
        <f>COUNTIFS(Podcasts!$D$10:$D$2535,"="&amp;CT$373,Podcasts!$E$10:$E$2535,"&gt;=1.1.2017",Podcasts!$E$10:$E$2535,"&lt;01.01.2018")</f>
        <v>0</v>
      </c>
      <c r="CU380" s="243">
        <f>COUNTIFS(Podcasts!$D$10:$D$2535,"="&amp;CU$373,Podcasts!$E$10:$E$2535,"&gt;=1.1.2017",Podcasts!$E$10:$E$2535,"&lt;01.01.2018")</f>
        <v>0</v>
      </c>
      <c r="CV380" s="243">
        <f>COUNTIFS(Podcasts!$D$10:$D$2535,"="&amp;CV$373,Podcasts!$E$10:$E$2535,"&gt;=1.1.2017",Podcasts!$E$10:$E$2535,"&lt;01.01.2018")</f>
        <v>0</v>
      </c>
      <c r="CW380" s="243">
        <f>COUNTIFS(Podcasts!$D$10:$D$2535,"="&amp;CW$373,Podcasts!$E$10:$E$2535,"&gt;=1.1.2017",Podcasts!$E$10:$E$2535,"&lt;01.01.2018")</f>
        <v>0</v>
      </c>
      <c r="CX380" s="243">
        <f>COUNTIFS(Podcasts!$D$10:$D$2535,"="&amp;CX$373,Podcasts!$E$10:$E$2535,"&gt;=1.1.2017",Podcasts!$E$10:$E$2535,"&lt;01.01.2018")</f>
        <v>0</v>
      </c>
      <c r="CY380" s="243">
        <f>COUNTIFS(Podcasts!$D$10:$D$2535,"="&amp;CY$373,Podcasts!$E$10:$E$2535,"&gt;=1.1.2017",Podcasts!$E$10:$E$2535,"&lt;01.01.2018")</f>
        <v>0</v>
      </c>
      <c r="CZ380" s="243">
        <f>COUNTIFS(Podcasts!$D$10:$D$2535,"="&amp;CZ$373,Podcasts!$E$10:$E$2535,"&gt;=1.1.2017",Podcasts!$E$10:$E$2535,"&lt;01.01.2018")</f>
        <v>0</v>
      </c>
      <c r="DA380" s="243">
        <f>COUNTIFS(Podcasts!$D$10:$D$2535,"="&amp;DA$373,Podcasts!$E$10:$E$2535,"&gt;=1.1.2017",Podcasts!$E$10:$E$2535,"&lt;01.01.2018")</f>
        <v>0</v>
      </c>
      <c r="DB380" s="243">
        <f>COUNTIFS(Podcasts!$D$10:$D$2535,"="&amp;DB$373,Podcasts!$E$10:$E$2535,"&gt;=1.1.2017",Podcasts!$E$10:$E$2535,"&lt;01.01.2018")</f>
        <v>0</v>
      </c>
      <c r="DC380" s="243">
        <f>COUNTIFS(Podcasts!$D$10:$D$2535,"="&amp;DC$373,Podcasts!$E$10:$E$2535,"&gt;=1.1.2017",Podcasts!$E$10:$E$2535,"&lt;01.01.2018")</f>
        <v>0</v>
      </c>
      <c r="DD380" s="243">
        <f>COUNTIFS(Podcasts!$D$10:$D$2535,"="&amp;DD$373,Podcasts!$E$10:$E$2535,"&gt;=1.1.2017",Podcasts!$E$10:$E$2535,"&lt;01.01.2018")</f>
        <v>0</v>
      </c>
      <c r="DE380" s="243">
        <f>COUNTIFS(Podcasts!$D$10:$D$2535,"="&amp;DE$373,Podcasts!$E$10:$E$2535,"&gt;=1.1.2017",Podcasts!$E$10:$E$2535,"&lt;01.01.2018")</f>
        <v>0</v>
      </c>
      <c r="DF380" s="243">
        <f>COUNTIFS(Podcasts!$D$10:$D$2535,"="&amp;DF$373,Podcasts!$E$10:$E$2535,"&gt;=1.1.2017",Podcasts!$E$10:$E$2535,"&lt;01.01.2018")</f>
        <v>1</v>
      </c>
      <c r="DG380" s="243">
        <f>COUNTIFS(Podcasts!$D$10:$D$2535,"="&amp;DG$373,Podcasts!$E$10:$E$2535,"&gt;=1.1.2017",Podcasts!$E$10:$E$2535,"&lt;01.01.2018")</f>
        <v>0</v>
      </c>
      <c r="DH380" s="243">
        <f>COUNTIFS(Podcasts!$D$10:$D$2535,"="&amp;DH$373,Podcasts!$E$10:$E$2535,"&gt;=1.1.2017",Podcasts!$E$10:$E$2535,"&lt;01.01.2018")</f>
        <v>1</v>
      </c>
      <c r="DI380" s="243">
        <f>COUNTIFS(Podcasts!$D$10:$D$2535,"="&amp;DI$373,Podcasts!$E$10:$E$2535,"&gt;=1.1.2017",Podcasts!$E$10:$E$2535,"&lt;01.01.2018")</f>
        <v>0</v>
      </c>
      <c r="DJ380" s="243">
        <f>COUNTIFS(Podcasts!$D$10:$D$2535,"="&amp;DJ$373,Podcasts!$E$10:$E$2535,"&gt;=1.1.2017",Podcasts!$E$10:$E$2535,"&lt;01.01.2018")</f>
        <v>0</v>
      </c>
      <c r="DK380" s="243">
        <f>COUNTIFS(Podcasts!$D$10:$D$2535,"="&amp;DK$373,Podcasts!$E$10:$E$2535,"&gt;=1.1.2017",Podcasts!$E$10:$E$2535,"&lt;01.01.2018")</f>
        <v>0</v>
      </c>
      <c r="DL380" s="243">
        <f>COUNTIFS(Podcasts!$D$10:$D$2535,"="&amp;DL$373,Podcasts!$E$10:$E$2535,"&gt;=1.1.2017",Podcasts!$E$10:$E$2535,"&lt;01.01.2018")</f>
        <v>0</v>
      </c>
      <c r="DM380" s="243">
        <f>COUNTIFS(Podcasts!$D$10:$D$2535,"="&amp;DM$373,Podcasts!$E$10:$E$2535,"&gt;=1.1.2017",Podcasts!$E$10:$E$2535,"&lt;01.01.2018")</f>
        <v>0</v>
      </c>
      <c r="DN380" s="243">
        <f>COUNTIFS(Podcasts!$D$10:$D$2535,"="&amp;DN$373,Podcasts!$E$10:$E$2535,"&gt;=1.1.2017",Podcasts!$E$10:$E$2535,"&lt;01.01.2018")</f>
        <v>0</v>
      </c>
      <c r="DO380" s="243">
        <f>COUNTIFS(Podcasts!$D$10:$D$2535,"="&amp;DO$373,Podcasts!$E$10:$E$2535,"&gt;=1.1.2017",Podcasts!$E$10:$E$2535,"&lt;01.01.2018")</f>
        <v>0</v>
      </c>
      <c r="DP380" s="243">
        <f>COUNTIFS(Podcasts!$D$10:$D$2535,"="&amp;DP$373,Podcasts!$E$10:$E$2535,"&gt;=1.1.2017",Podcasts!$E$10:$E$2535,"&lt;01.01.2018")</f>
        <v>0</v>
      </c>
      <c r="DQ380" s="243">
        <f>COUNTIFS(Podcasts!$D$10:$D$2535,"="&amp;DQ$373,Podcasts!$E$10:$E$2535,"&gt;=1.1.2017",Podcasts!$E$10:$E$2535,"&lt;01.01.2018")</f>
        <v>0</v>
      </c>
      <c r="DR380" s="243">
        <f>COUNTIFS(Podcasts!$D$10:$D$2535,"="&amp;DR$373,Podcasts!$E$10:$E$2535,"&gt;=1.1.2017",Podcasts!$E$10:$E$2535,"&lt;01.01.2018")</f>
        <v>0</v>
      </c>
      <c r="DS380" s="243">
        <f>COUNTIFS(Podcasts!$D$10:$D$2535,"="&amp;DS$373,Podcasts!$E$10:$E$2535,"&gt;=1.1.2017",Podcasts!$E$10:$E$2535,"&lt;01.01.2018")</f>
        <v>0</v>
      </c>
      <c r="DT380" s="243">
        <f>COUNTIFS(Podcasts!$D$10:$D$2535,"="&amp;DT$373,Podcasts!$E$10:$E$2535,"&gt;=1.1.2017",Podcasts!$E$10:$E$2535,"&lt;01.01.2018")</f>
        <v>0</v>
      </c>
      <c r="DU380" s="243">
        <f>COUNTIFS(Podcasts!$D$10:$D$2535,"="&amp;DU$373,Podcasts!$E$10:$E$2535,"&gt;=1.1.2017",Podcasts!$E$10:$E$2535,"&lt;01.01.2018")</f>
        <v>0</v>
      </c>
      <c r="DV380" s="243">
        <f>COUNTIFS(Podcasts!$D$10:$D$2535,"="&amp;DV$373,Podcasts!$E$10:$E$2535,"&gt;=1.1.2017",Podcasts!$E$10:$E$2535,"&lt;01.01.2018")</f>
        <v>0</v>
      </c>
      <c r="DW380" s="243">
        <f>COUNTIFS(Podcasts!$D$10:$D$2535,"="&amp;DW$373,Podcasts!$E$10:$E$2535,"&gt;=1.1.2017",Podcasts!$E$10:$E$2535,"&lt;01.01.2018")</f>
        <v>0</v>
      </c>
      <c r="DX380" s="243">
        <f>COUNTIFS(Podcasts!$D$10:$D$2535,"="&amp;DX$373,Podcasts!$E$10:$E$2535,"&gt;=1.1.2017",Podcasts!$E$10:$E$2535,"&lt;01.01.2018")</f>
        <v>0</v>
      </c>
      <c r="DY380" s="243">
        <f>COUNTIFS(Podcasts!$D$10:$D$2535,"="&amp;DY$373,Podcasts!$E$10:$E$2535,"&gt;=1.1.2017",Podcasts!$E$10:$E$2535,"&lt;01.01.2018")</f>
        <v>0</v>
      </c>
      <c r="DZ380" s="243">
        <f>COUNTIFS(Podcasts!$D$10:$D$2535,"="&amp;DZ$373,Podcasts!$E$10:$E$2535,"&gt;=1.1.2017",Podcasts!$E$10:$E$2535,"&lt;01.01.2018")</f>
        <v>0</v>
      </c>
      <c r="EA380" s="243">
        <f>COUNTIFS(Podcasts!$D$10:$D$2535,"="&amp;EA$373,Podcasts!$E$10:$E$2535,"&gt;=1.1.2017",Podcasts!$E$10:$E$2535,"&lt;01.01.2018")</f>
        <v>0</v>
      </c>
      <c r="EB380" s="243">
        <f>COUNTIFS(Podcasts!$D$10:$D$2535,"="&amp;EB$373,Podcasts!$E$10:$E$2535,"&gt;=1.1.2017",Podcasts!$E$10:$E$2535,"&lt;01.01.2018")</f>
        <v>0</v>
      </c>
      <c r="EC380" s="243">
        <f>COUNTIFS(Podcasts!$D$10:$D$2535,"="&amp;EC$373,Podcasts!$E$10:$E$2535,"&gt;=1.1.2017",Podcasts!$E$10:$E$2535,"&lt;01.01.2018")</f>
        <v>0</v>
      </c>
      <c r="ED380" s="243">
        <f>COUNTIFS(Podcasts!$D$10:$D$2535,"="&amp;ED$373,Podcasts!$E$10:$E$2535,"&gt;=1.1.2017",Podcasts!$E$10:$E$2535,"&lt;01.01.2018")</f>
        <v>0</v>
      </c>
      <c r="EE380" s="243">
        <f>COUNTIFS(Podcasts!$D$10:$D$2535,"="&amp;EE$373,Podcasts!$E$10:$E$2535,"&gt;=1.1.2017",Podcasts!$E$10:$E$2535,"&lt;01.01.2018")</f>
        <v>0</v>
      </c>
      <c r="EF380" s="243">
        <f>COUNTIFS(Podcasts!$D$10:$D$2535,"="&amp;EF$373,Podcasts!$E$10:$E$2535,"&gt;=1.1.2017",Podcasts!$E$10:$E$2535,"&lt;01.01.2018")</f>
        <v>0</v>
      </c>
      <c r="EG380" s="243">
        <f>COUNTIFS(Podcasts!$D$10:$D$2535,"="&amp;EG$373,Podcasts!$E$10:$E$2535,"&gt;=1.1.2017",Podcasts!$E$10:$E$2535,"&lt;01.01.2018")</f>
        <v>0</v>
      </c>
      <c r="EH380" s="243">
        <f>COUNTIFS(Podcasts!$D$10:$D$2535,"="&amp;EH$373,Podcasts!$E$10:$E$2535,"&gt;=1.1.2017",Podcasts!$E$10:$E$2535,"&lt;01.01.2018")</f>
        <v>0</v>
      </c>
      <c r="EI380" s="243">
        <f>COUNTIFS(Podcasts!$D$10:$D$2535,"="&amp;EI$373,Podcasts!$E$10:$E$2535,"&gt;=1.1.2017",Podcasts!$E$10:$E$2535,"&lt;01.01.2018")</f>
        <v>0</v>
      </c>
      <c r="EJ380" s="243">
        <f>COUNTIFS(Podcasts!$D$10:$D$2535,"="&amp;EJ$373,Podcasts!$E$10:$E$2535,"&gt;=1.1.2017",Podcasts!$E$10:$E$2535,"&lt;01.01.2018")</f>
        <v>0</v>
      </c>
      <c r="EK380" s="243">
        <f>COUNTIFS(Podcasts!$D$10:$D$2535,"="&amp;EK$373,Podcasts!$E$10:$E$2535,"&gt;=1.1.2017",Podcasts!$E$10:$E$2535,"&lt;01.01.2018")</f>
        <v>0</v>
      </c>
      <c r="EL380" s="243">
        <f>COUNTIFS(Podcasts!$D$10:$D$2535,"="&amp;EL$373,Podcasts!$E$10:$E$2535,"&gt;=1.1.2017",Podcasts!$E$10:$E$2535,"&lt;01.01.2018")</f>
        <v>0</v>
      </c>
      <c r="EM380" s="243">
        <f>COUNTIFS(Podcasts!$D$10:$D$2535,"="&amp;EM$373,Podcasts!$E$10:$E$2535,"&gt;=1.1.2017",Podcasts!$E$10:$E$2535,"&lt;01.01.2018")</f>
        <v>0</v>
      </c>
      <c r="EN380" s="243">
        <f>COUNTIFS(Podcasts!$D$10:$D$2535,"="&amp;EN$373,Podcasts!$E$10:$E$2535,"&gt;=1.1.2017",Podcasts!$E$10:$E$2535,"&lt;01.01.2018")</f>
        <v>0</v>
      </c>
      <c r="EO380" s="243">
        <f>COUNTIFS(Podcasts!$D$10:$D$2535,"="&amp;EO$373,Podcasts!$E$10:$E$2535,"&gt;=1.1.2017",Podcasts!$E$10:$E$2535,"&lt;01.01.2018")</f>
        <v>0</v>
      </c>
      <c r="EP380" s="243">
        <f>COUNTIFS(Podcasts!$D$10:$D$2535,"="&amp;EP$373,Podcasts!$E$10:$E$2535,"&gt;=1.1.2017",Podcasts!$E$10:$E$2535,"&lt;01.01.2018")</f>
        <v>0</v>
      </c>
      <c r="EQ380" s="243">
        <f>COUNTIFS(Podcasts!$D$10:$D$2535,"="&amp;EQ$373,Podcasts!$E$10:$E$2535,"&gt;=1.1.2017",Podcasts!$E$10:$E$2535,"&lt;01.01.2018")</f>
        <v>0</v>
      </c>
      <c r="ER380" s="243">
        <f>COUNTIFS(Podcasts!$D$10:$D$2535,"="&amp;ER$373,Podcasts!$E$10:$E$2535,"&gt;=1.1.2017",Podcasts!$E$10:$E$2535,"&lt;01.01.2018")</f>
        <v>0</v>
      </c>
      <c r="ES380" s="243">
        <f>COUNTIFS(Podcasts!$D$10:$D$2535,"="&amp;ES$373,Podcasts!$E$10:$E$2535,"&gt;=1.1.2017",Podcasts!$E$10:$E$2535,"&lt;01.01.2018")</f>
        <v>0</v>
      </c>
      <c r="ET380" s="243">
        <f>COUNTIFS(Podcasts!$D$10:$D$2535,"="&amp;ET$373,Podcasts!$E$10:$E$2535,"&gt;=1.1.2017",Podcasts!$E$10:$E$2535,"&lt;01.01.2018")</f>
        <v>0</v>
      </c>
      <c r="EU380" s="243">
        <f>COUNTIFS(Podcasts!$D$10:$D$2535,"="&amp;EU$373,Podcasts!$E$10:$E$2535,"&gt;=1.1.2017",Podcasts!$E$10:$E$2535,"&lt;01.01.2018")</f>
        <v>0</v>
      </c>
      <c r="EV380" s="243">
        <f>COUNTIFS(Podcasts!$D$10:$D$2535,"="&amp;EV$373,Podcasts!$E$10:$E$2535,"&gt;=1.1.2017",Podcasts!$E$10:$E$2535,"&lt;01.01.2018")</f>
        <v>0</v>
      </c>
      <c r="EW380" s="243">
        <f>COUNTIFS(Podcasts!$D$10:$D$2535,"="&amp;EW$373,Podcasts!$E$10:$E$2535,"&gt;=1.1.2017",Podcasts!$E$10:$E$2535,"&lt;01.01.2018")</f>
        <v>0</v>
      </c>
      <c r="EX380" s="243">
        <f>COUNTIFS(Podcasts!$D$10:$D$2535,"="&amp;EX$373,Podcasts!$E$10:$E$2535,"&gt;=1.1.2017",Podcasts!$E$10:$E$2535,"&lt;01.01.2018")</f>
        <v>0</v>
      </c>
      <c r="EY380" s="243">
        <f>COUNTIFS(Podcasts!$D$10:$D$2535,"="&amp;EY$373,Podcasts!$E$10:$E$2535,"&gt;=1.1.2017",Podcasts!$E$10:$E$2535,"&lt;01.01.2018")</f>
        <v>0</v>
      </c>
      <c r="EZ380" s="243">
        <f>COUNTIFS(Podcasts!$D$10:$D$2535,"="&amp;EZ$373,Podcasts!$E$10:$E$2535,"&gt;=1.1.2017",Podcasts!$E$10:$E$2535,"&lt;01.01.2018")</f>
        <v>0</v>
      </c>
      <c r="FA380" s="243">
        <f>COUNTIFS(Podcasts!$D$10:$D$2535,"="&amp;FA$373,Podcasts!$E$10:$E$2535,"&gt;=1.1.2017",Podcasts!$E$10:$E$2535,"&lt;01.01.2018")</f>
        <v>0</v>
      </c>
      <c r="FB380" s="243">
        <f>COUNTIFS(Podcasts!$D$10:$D$2535,"="&amp;FB$373,Podcasts!$E$10:$E$2535,"&gt;=1.1.2017",Podcasts!$E$10:$E$2535,"&lt;01.01.2018")</f>
        <v>0</v>
      </c>
      <c r="FC380" s="243">
        <f>COUNTIFS(Podcasts!$D$10:$D$2535,"="&amp;FC$373,Podcasts!$E$10:$E$2535,"&gt;=1.1.2017",Podcasts!$E$10:$E$2535,"&lt;01.01.2018")</f>
        <v>0</v>
      </c>
      <c r="FD380" s="243">
        <f>COUNTIFS(Podcasts!$D$10:$D$2535,"="&amp;FD$373,Podcasts!$E$10:$E$2535,"&gt;=1.1.2017",Podcasts!$E$10:$E$2535,"&lt;01.01.2018")</f>
        <v>0</v>
      </c>
      <c r="FE380" s="243">
        <f>COUNTIFS(Podcasts!$D$10:$D$2535,"="&amp;FE$373,Podcasts!$E$10:$E$2535,"&gt;=1.1.2017",Podcasts!$E$10:$E$2535,"&lt;01.01.2018")</f>
        <v>0</v>
      </c>
      <c r="FF380" s="243">
        <f>COUNTIFS(Podcasts!$D$10:$D$2535,"="&amp;FF$373,Podcasts!$E$10:$E$2535,"&gt;=1.1.2017",Podcasts!$E$10:$E$2535,"&lt;01.01.2018")</f>
        <v>0</v>
      </c>
      <c r="FG380" s="243">
        <f>COUNTIFS(Podcasts!$D$10:$D$2535,"="&amp;FG$373,Podcasts!$E$10:$E$2535,"&gt;=1.1.2017",Podcasts!$E$10:$E$2535,"&lt;01.01.2018")</f>
        <v>0</v>
      </c>
      <c r="FH380" s="243">
        <f>COUNTIFS(Podcasts!$D$10:$D$2535,"="&amp;FH$373,Podcasts!$E$10:$E$2535,"&gt;=1.1.2017",Podcasts!$E$10:$E$2535,"&lt;01.01.2018")</f>
        <v>0</v>
      </c>
      <c r="FI380" s="243">
        <f>COUNTIFS(Podcasts!$D$10:$D$2535,"="&amp;FI$373,Podcasts!$E$10:$E$2535,"&gt;=1.1.2017",Podcasts!$E$10:$E$2535,"&lt;01.01.2018")</f>
        <v>0</v>
      </c>
      <c r="FJ380" s="243">
        <f>COUNTIFS(Podcasts!$D$10:$D$2535,"="&amp;FJ$373,Podcasts!$E$10:$E$2535,"&gt;=1.1.2017",Podcasts!$E$10:$E$2535,"&lt;01.01.2018")</f>
        <v>0</v>
      </c>
      <c r="FK380" s="243">
        <f>COUNTIFS(Podcasts!$D$10:$D$2535,"="&amp;FK$373,Podcasts!$E$10:$E$2535,"&gt;=1.1.2017",Podcasts!$E$10:$E$2535,"&lt;01.01.2018")</f>
        <v>0</v>
      </c>
      <c r="FL380" s="243">
        <f>COUNTIFS(Podcasts!$D$10:$D$2535,"="&amp;FL$373,Podcasts!$E$10:$E$2535,"&gt;=1.1.2017",Podcasts!$E$10:$E$2535,"&lt;01.01.2018")</f>
        <v>0</v>
      </c>
      <c r="FM380" s="243">
        <f>COUNTIFS(Podcasts!$D$10:$D$2535,"="&amp;FM$373,Podcasts!$E$10:$E$2535,"&gt;=1.1.2017",Podcasts!$E$10:$E$2535,"&lt;01.01.2018")</f>
        <v>0</v>
      </c>
      <c r="FN380" s="243">
        <f>COUNTIFS(Podcasts!$D$10:$D$2535,"="&amp;FN$373,Podcasts!$E$10:$E$2535,"&gt;=1.1.2017",Podcasts!$E$10:$E$2535,"&lt;01.01.2018")</f>
        <v>0</v>
      </c>
      <c r="FO380" s="243">
        <f>COUNTIFS(Podcasts!$D$10:$D$2535,"="&amp;FO$373,Podcasts!$E$10:$E$2535,"&gt;=1.1.2017",Podcasts!$E$10:$E$2535,"&lt;01.01.2018")</f>
        <v>0</v>
      </c>
      <c r="FP380" s="243">
        <f>COUNTIFS(Podcasts!$D$10:$D$2535,"="&amp;FP$373,Podcasts!$E$10:$E$2535,"&gt;=1.1.2017",Podcasts!$E$10:$E$2535,"&lt;01.01.2018")</f>
        <v>0</v>
      </c>
      <c r="FQ380" s="243">
        <f>COUNTIFS(Podcasts!$D$10:$D$2535,"="&amp;FQ$373,Podcasts!$E$10:$E$2535,"&gt;=1.1.2017",Podcasts!$E$10:$E$2535,"&lt;01.01.2018")</f>
        <v>2</v>
      </c>
      <c r="FR380" s="243">
        <f>COUNTIFS(Podcasts!$D$10:$D$2535,"="&amp;FR$373,Podcasts!$E$10:$E$2535,"&gt;=1.1.2017",Podcasts!$E$10:$E$2535,"&lt;01.01.2018")</f>
        <v>0</v>
      </c>
      <c r="FS380" s="243">
        <f>COUNTIFS(Podcasts!$D$10:$D$2535,"="&amp;FS$373,Podcasts!$E$10:$E$2535,"&gt;=1.1.2017",Podcasts!$E$10:$E$2535,"&lt;01.01.2018")</f>
        <v>0</v>
      </c>
      <c r="FT380" s="243">
        <f>COUNTIFS(Podcasts!$D$10:$D$2535,"="&amp;FT$373,Podcasts!$E$10:$E$2535,"&gt;=1.1.2017",Podcasts!$E$10:$E$2535,"&lt;01.01.2018")</f>
        <v>0</v>
      </c>
      <c r="FU380" s="243">
        <f>COUNTIFS(Podcasts!$D$10:$D$2535,"="&amp;FU$373,Podcasts!$E$10:$E$2535,"&gt;=1.1.2017",Podcasts!$E$10:$E$2535,"&lt;01.01.2018")</f>
        <v>0</v>
      </c>
      <c r="FV380" s="243">
        <f>COUNTIFS(Podcasts!$D$10:$D$2535,"="&amp;FV$373,Podcasts!$E$10:$E$2535,"&gt;=1.1.2017",Podcasts!$E$10:$E$2535,"&lt;01.01.2018")</f>
        <v>0</v>
      </c>
      <c r="FW380" s="243">
        <f>COUNTIFS(Podcasts!$D$10:$D$2535,"="&amp;FW$373,Podcasts!$E$10:$E$2535,"&gt;=1.1.2017",Podcasts!$E$10:$E$2535,"&lt;01.01.2018")</f>
        <v>0</v>
      </c>
      <c r="FX380" s="243">
        <f>COUNTIFS(Podcasts!$D$10:$D$2535,"="&amp;FX$373,Podcasts!$E$10:$E$2535,"&gt;=1.1.2017",Podcasts!$E$10:$E$2535,"&lt;01.01.2018")</f>
        <v>0</v>
      </c>
      <c r="FY380" s="243">
        <f>COUNTIFS(Podcasts!$D$10:$D$2535,"="&amp;FY$373,Podcasts!$E$10:$E$2535,"&gt;=1.1.2017",Podcasts!$E$10:$E$2535,"&lt;01.01.2018")</f>
        <v>0</v>
      </c>
      <c r="FZ380" s="243">
        <f>COUNTIFS(Podcasts!$D$10:$D$2535,"="&amp;FZ$373,Podcasts!$E$10:$E$2535,"&gt;=1.1.2017",Podcasts!$E$10:$E$2535,"&lt;01.01.2018")</f>
        <v>0</v>
      </c>
      <c r="GA380" s="243">
        <f>COUNTIFS(Podcasts!$D$10:$D$2535,"="&amp;GA$373,Podcasts!$E$10:$E$2535,"&gt;=1.1.2017",Podcasts!$E$10:$E$2535,"&lt;01.01.2018")</f>
        <v>0</v>
      </c>
      <c r="GB380" s="243">
        <f>COUNTIFS(Podcasts!$D$10:$D$2535,"="&amp;GB$373,Podcasts!$E$10:$E$2535,"&gt;=1.1.2017",Podcasts!$E$10:$E$2535,"&lt;01.01.2018")</f>
        <v>0</v>
      </c>
      <c r="GC380" s="243">
        <f>COUNTIFS(Podcasts!$D$10:$D$2535,"="&amp;GC$373,Podcasts!$E$10:$E$2535,"&gt;=1.1.2017",Podcasts!$E$10:$E$2535,"&lt;01.01.2018")</f>
        <v>0</v>
      </c>
      <c r="GD380" s="243">
        <f>COUNTIFS(Podcasts!$D$10:$D$2535,"="&amp;GD$373,Podcasts!$E$10:$E$2535,"&gt;=1.1.2017",Podcasts!$E$10:$E$2535,"&lt;01.01.2018")</f>
        <v>0</v>
      </c>
      <c r="GE380" s="243">
        <f>COUNTIFS(Podcasts!$D$10:$D$2535,"="&amp;GE$373,Podcasts!$E$10:$E$2535,"&gt;=1.1.2017",Podcasts!$E$10:$E$2535,"&lt;01.01.2018")</f>
        <v>1</v>
      </c>
      <c r="GF380" s="243">
        <f>COUNTIFS(Podcasts!$D$10:$D$2535,"="&amp;GF$373,Podcasts!$E$10:$E$2535,"&gt;=1.1.2017",Podcasts!$E$10:$E$2535,"&lt;01.01.2018")</f>
        <v>2</v>
      </c>
      <c r="GG380" s="243">
        <f>COUNTIFS(Podcasts!$D$10:$D$2535,"="&amp;GG$373,Podcasts!$E$10:$E$2535,"&gt;=1.1.2017",Podcasts!$E$10:$E$2535,"&lt;01.01.2018")</f>
        <v>2</v>
      </c>
      <c r="GH380" s="243">
        <f>COUNTIFS(Podcasts!$D$10:$D$2535,"="&amp;GH$373,Podcasts!$E$10:$E$2535,"&gt;=1.1.2017",Podcasts!$E$10:$E$2535,"&lt;01.01.2018")</f>
        <v>2</v>
      </c>
      <c r="GI380" s="243">
        <f>COUNTIFS(Podcasts!$D$10:$D$2535,"="&amp;GI$373,Podcasts!$E$10:$E$2535,"&gt;=1.1.2017",Podcasts!$E$10:$E$2535,"&lt;01.01.2018")</f>
        <v>2</v>
      </c>
      <c r="GJ380" s="243">
        <f>COUNTIFS(Podcasts!$D$10:$D$2535,"="&amp;GJ$373,Podcasts!$E$10:$E$2535,"&gt;=1.1.2017",Podcasts!$E$10:$E$2535,"&lt;01.01.2018")</f>
        <v>2</v>
      </c>
      <c r="GK380" s="243">
        <f>COUNTIFS(Podcasts!$D$10:$D$2535,"="&amp;GK$373,Podcasts!$E$10:$E$2535,"&gt;=1.1.2017",Podcasts!$E$10:$E$2535,"&lt;01.01.2018")</f>
        <v>3</v>
      </c>
      <c r="GL380" s="243">
        <f>COUNTIFS(Podcasts!$D$10:$D$2535,"="&amp;GL$373,Podcasts!$E$10:$E$2535,"&gt;=1.1.2017",Podcasts!$E$10:$E$2535,"&lt;01.01.2018")</f>
        <v>0</v>
      </c>
      <c r="GM380" s="243">
        <f>COUNTIFS(Podcasts!$D$10:$D$2535,"="&amp;GM$373,Podcasts!$E$10:$E$2535,"&gt;=1.1.2017",Podcasts!$E$10:$E$2535,"&lt;01.01.2018")</f>
        <v>0</v>
      </c>
      <c r="GN380" s="243">
        <f>COUNTIFS(Podcasts!$D$10:$D$2535,"="&amp;GN$373,Podcasts!$E$10:$E$2535,"&gt;=1.1.2017",Podcasts!$E$10:$E$2535,"&lt;01.01.2018")</f>
        <v>0</v>
      </c>
      <c r="GO380" s="243">
        <f>COUNTIFS(Podcasts!$D$10:$D$2535,"="&amp;GO$373,Podcasts!$E$10:$E$2535,"&gt;=1.1.2017",Podcasts!$E$10:$E$2535,"&lt;01.01.2018")</f>
        <v>0</v>
      </c>
      <c r="GP380" s="243">
        <f>COUNTIFS(Podcasts!$D$10:$D$2535,"="&amp;GP$373,Podcasts!$E$10:$E$2535,"&gt;=1.1.2017",Podcasts!$E$10:$E$2535,"&lt;01.01.2018")</f>
        <v>0</v>
      </c>
      <c r="GQ380" s="243">
        <f>COUNTIFS(Podcasts!$D$10:$D$2535,"="&amp;GQ$373,Podcasts!$E$10:$E$2535,"&gt;=1.1.2017",Podcasts!$E$10:$E$2535,"&lt;01.01.2018")</f>
        <v>0</v>
      </c>
      <c r="GR380" s="243">
        <f>COUNTIFS(Podcasts!$D$10:$D$2535,"="&amp;GR$373,Podcasts!$E$10:$E$2535,"&gt;=1.1.2017",Podcasts!$E$10:$E$2535,"&lt;01.01.2018")</f>
        <v>0</v>
      </c>
      <c r="GS380" s="243">
        <f>COUNTIFS(Podcasts!$D$10:$D$2535,"="&amp;GS$373,Podcasts!$E$10:$E$2535,"&gt;=1.1.2017",Podcasts!$E$10:$E$2535,"&lt;01.01.2018")</f>
        <v>0</v>
      </c>
      <c r="GT380" s="243">
        <f>COUNTIFS(Podcasts!$D$10:$D$2535,"="&amp;GT$373,Podcasts!$E$10:$E$2535,"&gt;=1.1.2017",Podcasts!$E$10:$E$2535,"&lt;01.01.2018")</f>
        <v>0</v>
      </c>
      <c r="GU380" s="243">
        <f>COUNTIFS(Podcasts!$D$10:$D$2535,"="&amp;GU$373,Podcasts!$E$10:$E$2535,"&gt;=1.1.2017",Podcasts!$E$10:$E$2535,"&lt;01.01.2018")</f>
        <v>0</v>
      </c>
      <c r="GV380" s="243">
        <f>COUNTIFS(Podcasts!$D$10:$D$2535,"="&amp;GV$373,Podcasts!$E$10:$E$2535,"&gt;=1.1.2017",Podcasts!$E$10:$E$2535,"&lt;01.01.2018")</f>
        <v>0</v>
      </c>
      <c r="GW380" s="243">
        <f>COUNTIFS(Podcasts!$D$10:$D$2535,"="&amp;GW$373,Podcasts!$E$10:$E$2535,"&gt;=1.1.2017",Podcasts!$E$10:$E$2535,"&lt;01.01.2018")</f>
        <v>0</v>
      </c>
      <c r="GX380" s="243">
        <f>COUNTIFS(Podcasts!$D$10:$D$2535,"="&amp;GX$373,Podcasts!$E$10:$E$2535,"&gt;=1.1.2017",Podcasts!$E$10:$E$2535,"&lt;01.01.2018")</f>
        <v>0</v>
      </c>
      <c r="GY380" s="243">
        <f>COUNTIFS(Podcasts!$D$10:$D$2535,"="&amp;GY$373,Podcasts!$E$10:$E$2535,"&gt;=1.1.2017",Podcasts!$E$10:$E$2535,"&lt;01.01.2018")</f>
        <v>0</v>
      </c>
      <c r="GZ380" s="243">
        <f>COUNTIFS(Podcasts!$D$10:$D$2535,"="&amp;GZ$373,Podcasts!$E$10:$E$2535,"&gt;=1.1.2017",Podcasts!$E$10:$E$2535,"&lt;01.01.2018")</f>
        <v>0</v>
      </c>
      <c r="HA380" s="243">
        <f>COUNTIFS(Podcasts!$D$10:$D$2535,"="&amp;HA$373,Podcasts!$E$10:$E$2535,"&gt;=1.1.2017",Podcasts!$E$10:$E$2535,"&lt;01.01.2018")</f>
        <v>0</v>
      </c>
      <c r="HB380" s="243">
        <f>COUNTIFS(Podcasts!$D$10:$D$2535,"="&amp;HB$373,Podcasts!$E$10:$E$2535,"&gt;=1.1.2017",Podcasts!$E$10:$E$2535,"&lt;01.01.2018")</f>
        <v>0</v>
      </c>
      <c r="HC380" s="243">
        <f>COUNTIFS(Podcasts!$D$10:$D$2535,"="&amp;HC$373,Podcasts!$E$10:$E$2535,"&gt;=1.1.2017",Podcasts!$E$10:$E$2535,"&lt;01.01.2018")</f>
        <v>0</v>
      </c>
      <c r="HD380" s="243">
        <f>COUNTIFS(Podcasts!$D$10:$D$2535,"="&amp;HD$373,Podcasts!$E$10:$E$2535,"&gt;=1.1.2017",Podcasts!$E$10:$E$2535,"&lt;01.01.2018")</f>
        <v>0</v>
      </c>
      <c r="HE380" s="243">
        <f>COUNTIFS(Podcasts!$D$10:$D$2535,"="&amp;HE$373,Podcasts!$E$10:$E$2535,"&gt;=1.1.2017",Podcasts!$E$10:$E$2535,"&lt;01.01.2018")</f>
        <v>0</v>
      </c>
      <c r="HF380" s="243">
        <f>COUNTIFS(Podcasts!$D$10:$D$2535,"="&amp;HF$373,Podcasts!$E$10:$E$2535,"&gt;=1.1.2017",Podcasts!$E$10:$E$2535,"&lt;01.01.2018")</f>
        <v>0</v>
      </c>
      <c r="HG380" s="243">
        <f>COUNTIFS(Podcasts!$D$10:$D$2535,"="&amp;HG$373,Podcasts!$E$10:$E$2535,"&gt;=1.1.2017",Podcasts!$E$10:$E$2535,"&lt;01.01.2018")</f>
        <v>0</v>
      </c>
      <c r="HH380" s="243">
        <f>COUNTIFS(Podcasts!$D$10:$D$2535,"="&amp;HH$373,Podcasts!$E$10:$E$2535,"&gt;=1.1.2017",Podcasts!$E$10:$E$2535,"&lt;01.01.2018")</f>
        <v>0</v>
      </c>
      <c r="HI380" s="243">
        <f>COUNTIFS(Podcasts!$D$10:$D$2535,"="&amp;HI$373,Podcasts!$E$10:$E$2535,"&gt;=1.1.2017",Podcasts!$E$10:$E$2535,"&lt;01.01.2018")</f>
        <v>0</v>
      </c>
      <c r="HJ380" s="243">
        <f>COUNTIFS(Podcasts!$D$10:$D$2535,"="&amp;HJ$373,Podcasts!$E$10:$E$2535,"&gt;=1.1.2017",Podcasts!$E$10:$E$2535,"&lt;01.01.2018")</f>
        <v>0</v>
      </c>
      <c r="HK380" s="243">
        <f>COUNTIFS(Podcasts!$D$10:$D$2535,"="&amp;HK$373,Podcasts!$E$10:$E$2535,"&gt;=1.1.2017",Podcasts!$E$10:$E$2535,"&lt;01.01.2018")</f>
        <v>0</v>
      </c>
      <c r="HL380" s="243">
        <f>COUNTIFS(Podcasts!$D$10:$D$2535,"="&amp;HL$373,Podcasts!$E$10:$E$2535,"&gt;=1.1.2017",Podcasts!$E$10:$E$2535,"&lt;01.01.2018")</f>
        <v>0</v>
      </c>
      <c r="HM380" s="243">
        <f>COUNTIFS(Podcasts!$D$10:$D$2535,"="&amp;HM$373,Podcasts!$E$10:$E$2535,"&gt;=1.1.2017",Podcasts!$E$10:$E$2535,"&lt;01.01.2018")</f>
        <v>0</v>
      </c>
      <c r="HN380" s="243">
        <f>COUNTIFS(Podcasts!$D$10:$D$2535,"="&amp;HN$373,Podcasts!$E$10:$E$2535,"&gt;=1.1.2017",Podcasts!$E$10:$E$2535,"&lt;01.01.2018")</f>
        <v>0</v>
      </c>
      <c r="HO380" s="243">
        <f>COUNTIFS(Podcasts!$D$10:$D$2535,"="&amp;HO$373,Podcasts!$E$10:$E$2535,"&gt;=1.1.2017",Podcasts!$E$10:$E$2535,"&lt;01.01.2018")</f>
        <v>0</v>
      </c>
      <c r="HP380" s="243">
        <f>COUNTIFS(Podcasts!$D$10:$D$2535,"="&amp;HP$373,Podcasts!$E$10:$E$2535,"&gt;=1.1.2017",Podcasts!$E$10:$E$2535,"&lt;01.01.2018")</f>
        <v>0</v>
      </c>
      <c r="HQ380" s="243">
        <f>COUNTIFS(Podcasts!$D$10:$D$2535,"="&amp;HQ$373,Podcasts!$E$10:$E$2535,"&gt;=1.1.2017",Podcasts!$E$10:$E$2535,"&lt;01.01.2018")</f>
        <v>0</v>
      </c>
      <c r="HR380" s="243">
        <f>COUNTIFS(Podcasts!$D$10:$D$2535,"="&amp;HR$373,Podcasts!$E$10:$E$2535,"&gt;=1.1.2017",Podcasts!$E$10:$E$2535,"&lt;01.01.2018")</f>
        <v>0</v>
      </c>
      <c r="HS380" s="243">
        <f>COUNTIFS(Podcasts!$D$10:$D$2535,"="&amp;HS$373,Podcasts!$E$10:$E$2535,"&gt;=1.1.2017",Podcasts!$E$10:$E$2535,"&lt;01.01.2018")</f>
        <v>0</v>
      </c>
      <c r="HT380" s="243">
        <f>COUNTIFS(Podcasts!$D$10:$D$2535,"="&amp;HT$373,Podcasts!$E$10:$E$2535,"&gt;=1.1.2017",Podcasts!$E$10:$E$2535,"&lt;01.01.2018")</f>
        <v>0</v>
      </c>
      <c r="HU380" s="243">
        <f>COUNTIFS(Podcasts!$D$10:$D$2535,"="&amp;HU$373,Podcasts!$E$10:$E$2535,"&gt;=1.1.2017",Podcasts!$E$10:$E$2535,"&lt;01.01.2018")</f>
        <v>0</v>
      </c>
      <c r="HV380" s="243">
        <f>COUNTIFS(Podcasts!$D$10:$D$2535,"="&amp;HV$373,Podcasts!$E$10:$E$2535,"&gt;=1.1.2017",Podcasts!$E$10:$E$2535,"&lt;01.01.2018")</f>
        <v>0</v>
      </c>
      <c r="HW380" s="243">
        <f>COUNTIFS(Podcasts!$D$10:$D$2535,"="&amp;HW$373,Podcasts!$E$10:$E$2535,"&gt;=1.1.2017",Podcasts!$E$10:$E$2535,"&lt;01.01.2018")</f>
        <v>0</v>
      </c>
      <c r="HX380" s="243">
        <f>COUNTIFS(Podcasts!$D$10:$D$2535,"="&amp;HX$373,Podcasts!$E$10:$E$2535,"&gt;=1.1.2017",Podcasts!$E$10:$E$2535,"&lt;01.01.2018")</f>
        <v>0</v>
      </c>
      <c r="HY380" s="243">
        <f>COUNTIFS(Podcasts!$D$10:$D$2535,"="&amp;HY$373,Podcasts!$E$10:$E$2535,"&gt;=1.1.2017",Podcasts!$E$10:$E$2535,"&lt;01.01.2018")</f>
        <v>0</v>
      </c>
      <c r="HZ380" s="243">
        <f>COUNTIFS(Podcasts!$D$10:$D$2535,"="&amp;HZ$373,Podcasts!$E$10:$E$2535,"&gt;=1.1.2017",Podcasts!$E$10:$E$2535,"&lt;01.01.2018")</f>
        <v>0</v>
      </c>
    </row>
    <row r="381" spans="1:234">
      <c r="A381" s="28"/>
      <c r="B381" s="28"/>
      <c r="C381" s="459">
        <v>2015</v>
      </c>
      <c r="D381" s="28"/>
      <c r="E381" s="243">
        <f>COUNTIFS(Podcasts!$D$10:$D$2535,"="&amp;E$373,Podcasts!$E$10:$E$2535,"&gt;=1.1.2018",Podcasts!$E$10:$E$2535,"&lt;01.01.2019")</f>
        <v>1</v>
      </c>
      <c r="F381" s="243">
        <f>COUNTIFS(Podcasts!$D$10:$D$2535,"="&amp;F$373,Podcasts!$E$10:$E$2535,"&gt;=1.1.2018",Podcasts!$E$10:$E$2535,"&lt;01.01.2019")</f>
        <v>1</v>
      </c>
      <c r="G381" s="243">
        <f>COUNTIFS(Podcasts!$D$10:$D$2535,"="&amp;G$373,Podcasts!$E$10:$E$2535,"&gt;=1.1.2018",Podcasts!$E$10:$E$2535,"&lt;01.01.2019")</f>
        <v>0</v>
      </c>
      <c r="H381" s="243">
        <f>COUNTIFS(Podcasts!$D$10:$D$2535,"="&amp;H$373,Podcasts!$E$10:$E$2535,"&gt;=1.1.2018",Podcasts!$E$10:$E$2535,"&lt;01.01.2019")-1</f>
        <v>0</v>
      </c>
      <c r="I381" s="243">
        <f>COUNTIFS(Podcasts!$D$10:$D$2535,"="&amp;I$373,Podcasts!$E$10:$E$2535,"&gt;=1.1.2018",Podcasts!$E$10:$E$2535,"&lt;01.01.2019")</f>
        <v>3</v>
      </c>
      <c r="J381" s="243">
        <f>COUNTIFS(Podcasts!$D$10:$D$2535,"="&amp;J$373,Podcasts!$E$10:$E$2535,"&gt;=1.1.2018",Podcasts!$E$10:$E$2535,"&lt;01.01.2019")</f>
        <v>2</v>
      </c>
      <c r="K381" s="243">
        <f>COUNTIFS(Podcasts!$D$10:$D$2535,"="&amp;K$373,Podcasts!$E$10:$E$2535,"&gt;=1.1.2018",Podcasts!$E$10:$E$2535,"&lt;01.01.2019")</f>
        <v>0</v>
      </c>
      <c r="L381" s="243">
        <f>COUNTIFS(Podcasts!$D$10:$D$2535,"="&amp;L$373,Podcasts!$E$10:$E$2535,"&gt;=1.1.2018",Podcasts!$E$10:$E$2535,"&lt;01.01.2019")</f>
        <v>0</v>
      </c>
      <c r="M381" s="285">
        <f>COUNTIFS(Podcasts!$D$10:$D$2535,"="&amp;M$373,Podcasts!$E$10:$E$2535,"&gt;=1.1.2018",Podcasts!$E$10:$E$2535,"&lt;01.01.2019")</f>
        <v>0</v>
      </c>
      <c r="N381" s="285">
        <f>COUNTIFS(Podcasts!$D$10:$D$2535,"="&amp;N$373,Podcasts!$E$10:$E$2535,"&gt;=1.1.2018",Podcasts!$E$10:$E$2535,"&lt;01.01.2019")</f>
        <v>0</v>
      </c>
      <c r="O381" s="243">
        <f>COUNTIFS(Podcasts!$D$10:$D$2535,"="&amp;O$373,Podcasts!$E$10:$E$2535,"&gt;=1.1.2018",Podcasts!$E$10:$E$2535,"&lt;01.01.2019")</f>
        <v>0</v>
      </c>
      <c r="P381" s="243">
        <f>COUNTIFS(Podcasts!$D$10:$D$2535,"="&amp;P$373,Podcasts!$E$10:$E$2535,"&gt;=1.1.2018",Podcasts!$E$10:$E$2535,"&lt;01.01.2019")</f>
        <v>1</v>
      </c>
      <c r="Q381" s="243">
        <f>COUNTIFS(Podcasts!$D$10:$D$2535,"="&amp;Q$373,Podcasts!$E$10:$E$2535,"&gt;=1.1.2018",Podcasts!$E$10:$E$2535,"&lt;01.01.2019")</f>
        <v>0</v>
      </c>
      <c r="R381" s="243">
        <f>COUNTIFS(Podcasts!$D$10:$D$2535,"="&amp;R$373,Podcasts!$E$10:$E$2535,"&gt;=1.1.2018",Podcasts!$E$10:$E$2535,"&lt;01.01.2019")</f>
        <v>1</v>
      </c>
      <c r="S381" s="243">
        <f>COUNTIFS(Podcasts!$D$10:$D$2535,"="&amp;S$373,Podcasts!$E$10:$E$2535,"&gt;=1.1.2018",Podcasts!$E$10:$E$2535,"&lt;01.01.2019")</f>
        <v>0</v>
      </c>
      <c r="T381" s="243">
        <f>COUNTIFS(Podcasts!$D$10:$D$2535,"="&amp;T$373,Podcasts!$E$10:$E$2535,"&gt;=1.1.2018",Podcasts!$E$10:$E$2535,"&lt;01.01.2019")</f>
        <v>0</v>
      </c>
      <c r="U381" s="243">
        <f>COUNTIFS(Podcasts!$D$10:$D$2535,"="&amp;U$373,Podcasts!$E$10:$E$2535,"&gt;=1.1.2018",Podcasts!$E$10:$E$2535,"&lt;01.01.2019")</f>
        <v>0</v>
      </c>
      <c r="V381" s="243">
        <f>COUNTIFS(Podcasts!$D$10:$D$2535,"="&amp;V$373,Podcasts!$E$10:$E$2535,"&gt;=1.1.2018",Podcasts!$E$10:$E$2535,"&lt;01.01.2019")</f>
        <v>1</v>
      </c>
      <c r="W381" s="243">
        <f>COUNTIFS(Podcasts!$D$10:$D$2535,"="&amp;W$373,Podcasts!$E$10:$E$2535,"&gt;=1.1.2018",Podcasts!$E$10:$E$2535,"&lt;01.01.2019")</f>
        <v>0</v>
      </c>
      <c r="X381" s="243">
        <f>COUNTIFS(Podcasts!$D$10:$D$2535,"="&amp;X$373,Podcasts!$E$10:$E$2535,"&gt;=1.1.2018",Podcasts!$E$10:$E$2535,"&lt;01.01.2019")</f>
        <v>0</v>
      </c>
      <c r="Y381" s="243">
        <f>COUNTIFS(Podcasts!$D$10:$D$2535,"="&amp;Y$373,Podcasts!$E$10:$E$2535,"&gt;=1.1.2018",Podcasts!$E$10:$E$2535,"&lt;01.01.2019")</f>
        <v>1</v>
      </c>
      <c r="Z381" s="243">
        <f>COUNTIFS(Podcasts!$D$10:$D$2535,"="&amp;Z$373,Podcasts!$E$10:$E$2535,"&gt;=1.1.2018",Podcasts!$E$10:$E$2535,"&lt;01.01.2019")</f>
        <v>0</v>
      </c>
      <c r="AA381" s="243">
        <f>COUNTIFS(Podcasts!$D$10:$D$2535,"="&amp;AA$373,Podcasts!$E$10:$E$2535,"&gt;=1.1.2018",Podcasts!$E$10:$E$2535,"&lt;01.01.2019")</f>
        <v>0</v>
      </c>
      <c r="AB381" s="243">
        <f>COUNTIFS(Podcasts!$D$10:$D$2535,"="&amp;AB$373,Podcasts!$E$10:$E$2535,"&gt;=1.1.2018",Podcasts!$E$10:$E$2535,"&lt;01.01.2019")</f>
        <v>0</v>
      </c>
      <c r="AC381" s="243">
        <f>COUNTIFS(Podcasts!$D$10:$D$2535,"="&amp;AC$373,Podcasts!$E$10:$E$2535,"&gt;=1.1.2018",Podcasts!$E$10:$E$2535,"&lt;01.01.2019")</f>
        <v>1</v>
      </c>
      <c r="AD381" s="243">
        <f>COUNTIFS(Podcasts!$D$10:$D$2535,"="&amp;AD$373,Podcasts!$E$10:$E$2535,"&gt;=1.1.2018",Podcasts!$E$10:$E$2535,"&lt;01.01.2019")</f>
        <v>0</v>
      </c>
      <c r="AE381" s="243">
        <f>COUNTIFS(Podcasts!$D$10:$D$2535,"="&amp;AE$373,Podcasts!$E$10:$E$2535,"&gt;=1.1.2018",Podcasts!$E$10:$E$2535,"&lt;01.01.2019")</f>
        <v>1</v>
      </c>
      <c r="AF381" s="243">
        <f>COUNTIFS(Podcasts!$D$10:$D$2535,"="&amp;AF$373,Podcasts!$E$10:$E$2535,"&gt;=1.1.2018",Podcasts!$E$10:$E$2535,"&lt;01.01.2019")</f>
        <v>0</v>
      </c>
      <c r="AG381" s="243">
        <f>COUNTIFS(Podcasts!$D$10:$D$2535,"="&amp;AG$373,Podcasts!$E$10:$E$2535,"&gt;=1.1.2018",Podcasts!$E$10:$E$2535,"&lt;01.01.2019")</f>
        <v>0</v>
      </c>
      <c r="AH381" s="243">
        <f>COUNTIFS(Podcasts!$D$10:$D$2535,"="&amp;AH$373,Podcasts!$E$10:$E$2535,"&gt;=1.1.2018",Podcasts!$E$10:$E$2535,"&lt;01.01.2019")</f>
        <v>0</v>
      </c>
      <c r="AI381" s="243">
        <f>COUNTIFS(Podcasts!$D$10:$D$2535,"="&amp;AI$373,Podcasts!$E$10:$E$2535,"&gt;=1.1.2018",Podcasts!$E$10:$E$2535,"&lt;01.01.2019")</f>
        <v>0</v>
      </c>
      <c r="AJ381" s="243">
        <f>COUNTIFS(Podcasts!$D$10:$D$2535,"="&amp;AJ$373,Podcasts!$E$10:$E$2535,"&gt;=1.1.2018",Podcasts!$E$10:$E$2535,"&lt;01.01.2019")</f>
        <v>0</v>
      </c>
      <c r="AK381" s="243">
        <f>COUNTIFS(Podcasts!$D$10:$D$2535,"="&amp;AK$373,Podcasts!$E$10:$E$2535,"&gt;=1.1.2018",Podcasts!$E$10:$E$2535,"&lt;01.01.2019")</f>
        <v>0</v>
      </c>
      <c r="AL381" s="243">
        <f>COUNTIFS(Podcasts!$D$10:$D$2535,"="&amp;AL$373,Podcasts!$E$10:$E$2535,"&gt;=1.1.2018",Podcasts!$E$10:$E$2535,"&lt;01.01.2019")</f>
        <v>0</v>
      </c>
      <c r="AM381" s="243">
        <f>COUNTIFS(Podcasts!$D$10:$D$2535,"="&amp;AM$373,Podcasts!$E$10:$E$2535,"&gt;=1.1.2018",Podcasts!$E$10:$E$2535,"&lt;01.01.2019")</f>
        <v>0</v>
      </c>
      <c r="AN381" s="243">
        <f>COUNTIFS(Podcasts!$D$10:$D$2535,"="&amp;AN$373,Podcasts!$E$10:$E$2535,"&gt;=1.1.2018",Podcasts!$E$10:$E$2535,"&lt;01.01.2019")</f>
        <v>0</v>
      </c>
      <c r="AO381" s="243">
        <f>COUNTIFS(Podcasts!$D$10:$D$2535,"="&amp;AO$373,Podcasts!$E$10:$E$2535,"&gt;=1.1.2018",Podcasts!$E$10:$E$2535,"&lt;01.01.2019")</f>
        <v>1</v>
      </c>
      <c r="AP381" s="243">
        <f>COUNTIFS(Podcasts!$D$10:$D$2535,"="&amp;AP$373,Podcasts!$E$10:$E$2535,"&gt;=1.1.2018",Podcasts!$E$10:$E$2535,"&lt;01.01.2019")</f>
        <v>0</v>
      </c>
      <c r="AQ381" s="243">
        <f>COUNTIFS(Podcasts!$D$10:$D$2535,"="&amp;AQ$373,Podcasts!$E$10:$E$2535,"&gt;=1.1.2018",Podcasts!$E$10:$E$2535,"&lt;01.01.2019")</f>
        <v>1</v>
      </c>
      <c r="AR381" s="243">
        <f>COUNTIFS(Podcasts!$D$10:$D$2535,"="&amp;AR$373,Podcasts!$E$10:$E$2535,"&gt;=1.1.2018",Podcasts!$E$10:$E$2535,"&lt;01.01.2019")</f>
        <v>0</v>
      </c>
      <c r="AS381" s="243">
        <f>COUNTIFS(Podcasts!$D$10:$D$2535,"="&amp;AS$373,Podcasts!$E$10:$E$2535,"&gt;=1.1.2018",Podcasts!$E$10:$E$2535,"&lt;01.01.2019")</f>
        <v>0</v>
      </c>
      <c r="AT381" s="243">
        <f>COUNTIFS(Podcasts!$D$10:$D$2535,"="&amp;AT$373,Podcasts!$E$10:$E$2535,"&gt;=1.1.2018",Podcasts!$E$10:$E$2535,"&lt;01.01.2019")</f>
        <v>0</v>
      </c>
      <c r="AU381" s="243">
        <f>COUNTIFS(Podcasts!$D$10:$D$2535,"="&amp;AU$373,Podcasts!$E$10:$E$2535,"&gt;=1.1.2018",Podcasts!$E$10:$E$2535,"&lt;01.01.2019")</f>
        <v>0</v>
      </c>
      <c r="AV381" s="243">
        <f>COUNTIFS(Podcasts!$D$10:$D$2535,"="&amp;AV$373,Podcasts!$E$10:$E$2535,"&gt;=1.1.2018",Podcasts!$E$10:$E$2535,"&lt;01.01.2019")</f>
        <v>0</v>
      </c>
      <c r="AW381" s="243">
        <f>COUNTIFS(Podcasts!$D$10:$D$2535,"="&amp;AW$373,Podcasts!$E$10:$E$2535,"&gt;=1.1.2018",Podcasts!$E$10:$E$2535,"&lt;01.01.2019")</f>
        <v>0</v>
      </c>
      <c r="AX381" s="243">
        <f>COUNTIFS(Podcasts!$D$10:$D$2535,"="&amp;AX$373,Podcasts!$E$10:$E$2535,"&gt;=1.1.2018",Podcasts!$E$10:$E$2535,"&lt;01.01.2019")</f>
        <v>0</v>
      </c>
      <c r="AY381" s="243">
        <f>COUNTIFS(Podcasts!$D$10:$D$2535,"="&amp;AY$373,Podcasts!$E$10:$E$2535,"&gt;=1.1.2018",Podcasts!$E$10:$E$2535,"&lt;01.01.2019")</f>
        <v>1</v>
      </c>
      <c r="AZ381" s="243">
        <f>COUNTIFS(Podcasts!$D$10:$D$2535,"="&amp;AZ$373,Podcasts!$E$10:$E$2535,"&gt;=1.1.2018",Podcasts!$E$10:$E$2535,"&lt;01.01.2019")</f>
        <v>0</v>
      </c>
      <c r="BA381" s="243">
        <f>COUNTIFS(Podcasts!$D$10:$D$2535,"="&amp;BA$373,Podcasts!$E$10:$E$2535,"&gt;=1.1.2018",Podcasts!$E$10:$E$2535,"&lt;01.01.2019")</f>
        <v>1</v>
      </c>
      <c r="BB381" s="243">
        <f>COUNTIFS(Podcasts!$D$10:$D$2535,"="&amp;BB$373,Podcasts!$E$10:$E$2535,"&gt;=1.1.2018",Podcasts!$E$10:$E$2535,"&lt;01.01.2019")</f>
        <v>0</v>
      </c>
      <c r="BC381" s="243">
        <f>COUNTIFS(Podcasts!$D$10:$D$2535,"="&amp;BC$373,Podcasts!$E$10:$E$2535,"&gt;=1.1.2018",Podcasts!$E$10:$E$2535,"&lt;01.01.2019")</f>
        <v>0</v>
      </c>
      <c r="BD381" s="243">
        <f>COUNTIFS(Podcasts!$D$10:$D$2535,"="&amp;BD$373,Podcasts!$E$10:$E$2535,"&gt;=1.1.2018",Podcasts!$E$10:$E$2535,"&lt;01.01.2019")</f>
        <v>1</v>
      </c>
      <c r="BE381" s="243">
        <f>COUNTIFS(Podcasts!$D$10:$D$2535,"="&amp;BE$373,Podcasts!$E$10:$E$2535,"&gt;=1.1.2018",Podcasts!$E$10:$E$2535,"&lt;01.01.2019")</f>
        <v>0</v>
      </c>
      <c r="BF381" s="243">
        <f>COUNTIFS(Podcasts!$D$10:$D$2535,"="&amp;BF$373,Podcasts!$E$10:$E$2535,"&gt;=1.1.2018",Podcasts!$E$10:$E$2535,"&lt;01.01.2019")</f>
        <v>1</v>
      </c>
      <c r="BG381" s="243">
        <f>COUNTIFS(Podcasts!$D$10:$D$2535,"="&amp;BG$373,Podcasts!$E$10:$E$2535,"&gt;=1.1.2018",Podcasts!$E$10:$E$2535,"&lt;01.01.2019")</f>
        <v>0</v>
      </c>
      <c r="BH381" s="243">
        <f>COUNTIFS(Podcasts!$D$10:$D$2535,"="&amp;BH$373,Podcasts!$E$10:$E$2535,"&gt;=1.1.2018",Podcasts!$E$10:$E$2535,"&lt;01.01.2019")</f>
        <v>0</v>
      </c>
      <c r="BI381" s="243">
        <f>COUNTIFS(Podcasts!$D$10:$D$2535,"="&amp;BI$373,Podcasts!$E$10:$E$2535,"&gt;=1.1.2018",Podcasts!$E$10:$E$2535,"&lt;01.01.2019")</f>
        <v>0</v>
      </c>
      <c r="BJ381" s="243">
        <f>COUNTIFS(Podcasts!$D$10:$D$2535,"="&amp;BJ$373,Podcasts!$E$10:$E$2535,"&gt;=1.1.2018",Podcasts!$E$10:$E$2535,"&lt;01.01.2019")</f>
        <v>0</v>
      </c>
      <c r="BK381" s="243">
        <f>COUNTIFS(Podcasts!$D$10:$D$2535,"="&amp;BK$373,Podcasts!$E$10:$E$2535,"&gt;=1.1.2018",Podcasts!$E$10:$E$2535,"&lt;01.01.2019")</f>
        <v>0</v>
      </c>
      <c r="BL381" s="243">
        <f>COUNTIFS(Podcasts!$D$10:$D$2535,"="&amp;BL$373,Podcasts!$E$10:$E$2535,"&gt;=1.1.2018",Podcasts!$E$10:$E$2535,"&lt;01.01.2019")</f>
        <v>0</v>
      </c>
      <c r="BM381" s="243">
        <f>COUNTIFS(Podcasts!$D$10:$D$2535,"="&amp;BM$373,Podcasts!$E$10:$E$2535,"&gt;=1.1.2018",Podcasts!$E$10:$E$2535,"&lt;01.01.2019")</f>
        <v>0</v>
      </c>
      <c r="BN381" s="243">
        <f>COUNTIFS(Podcasts!$D$10:$D$2535,"="&amp;BN$373,Podcasts!$E$10:$E$2535,"&gt;=1.1.2018",Podcasts!$E$10:$E$2535,"&lt;01.01.2019")</f>
        <v>0</v>
      </c>
      <c r="BO381" s="243">
        <f>COUNTIFS(Podcasts!$D$10:$D$2535,"="&amp;BO$373,Podcasts!$E$10:$E$2535,"&gt;=1.1.2018",Podcasts!$E$10:$E$2535,"&lt;01.01.2019")</f>
        <v>1</v>
      </c>
      <c r="BP381" s="243">
        <f>COUNTIFS(Podcasts!$D$10:$D$2535,"="&amp;BP$373,Podcasts!$E$10:$E$2535,"&gt;=1.1.2018",Podcasts!$E$10:$E$2535,"&lt;01.01.2019")</f>
        <v>1</v>
      </c>
      <c r="BQ381" s="243">
        <f>COUNTIFS(Podcasts!$D$10:$D$2535,"="&amp;BQ$373,Podcasts!$E$10:$E$2535,"&gt;=1.1.2018",Podcasts!$E$10:$E$2535,"&lt;01.01.2019")</f>
        <v>0</v>
      </c>
      <c r="BR381" s="243">
        <f>COUNTIFS(Podcasts!$D$10:$D$2535,"="&amp;BR$373,Podcasts!$E$10:$E$2535,"&gt;=1.1.2018",Podcasts!$E$10:$E$2535,"&lt;01.01.2019")</f>
        <v>0</v>
      </c>
      <c r="BS381" s="243">
        <f>COUNTIFS(Podcasts!$D$10:$D$2535,"="&amp;BS$373,Podcasts!$E$10:$E$2535,"&gt;=1.1.2018",Podcasts!$E$10:$E$2535,"&lt;01.01.2019")</f>
        <v>0</v>
      </c>
      <c r="BT381" s="243">
        <f>COUNTIFS(Podcasts!$D$10:$D$2535,"="&amp;BT$373,Podcasts!$E$10:$E$2535,"&gt;=1.1.2018",Podcasts!$E$10:$E$2535,"&lt;01.01.2019")</f>
        <v>0</v>
      </c>
      <c r="BU381" s="243">
        <f>COUNTIFS(Podcasts!$D$10:$D$2535,"="&amp;BU$373,Podcasts!$E$10:$E$2535,"&gt;=1.1.2018",Podcasts!$E$10:$E$2535,"&lt;01.01.2019")</f>
        <v>0</v>
      </c>
      <c r="BV381" s="243">
        <f>COUNTIFS(Podcasts!$D$10:$D$2535,"="&amp;BV$373,Podcasts!$E$10:$E$2535,"&gt;=1.1.2018",Podcasts!$E$10:$E$2535,"&lt;01.01.2019")</f>
        <v>0</v>
      </c>
      <c r="BW381" s="243">
        <f>COUNTIFS(Podcasts!$D$10:$D$2535,"="&amp;BW$373,Podcasts!$E$10:$E$2535,"&gt;=1.1.2018",Podcasts!$E$10:$E$2535,"&lt;01.01.2019")</f>
        <v>0</v>
      </c>
      <c r="BX381" s="243">
        <f>COUNTIFS(Podcasts!$D$10:$D$2535,"="&amp;BX$373,Podcasts!$E$10:$E$2535,"&gt;=1.1.2018",Podcasts!$E$10:$E$2535,"&lt;01.01.2019")</f>
        <v>0</v>
      </c>
      <c r="BY381" s="243">
        <f>COUNTIFS(Podcasts!$D$10:$D$2535,"="&amp;BY$373,Podcasts!$E$10:$E$2535,"&gt;=1.1.2018",Podcasts!$E$10:$E$2535,"&lt;01.01.2019")</f>
        <v>0</v>
      </c>
      <c r="BZ381" s="243">
        <f>COUNTIFS(Podcasts!$D$10:$D$2535,"="&amp;BZ$373,Podcasts!$E$10:$E$2535,"&gt;=1.1.2018",Podcasts!$E$10:$E$2535,"&lt;01.01.2019")</f>
        <v>0</v>
      </c>
      <c r="CA381" s="243">
        <f>COUNTIFS(Podcasts!$D$10:$D$2535,"="&amp;CA$373,Podcasts!$E$10:$E$2535,"&gt;=1.1.2018",Podcasts!$E$10:$E$2535,"&lt;01.01.2019")</f>
        <v>0</v>
      </c>
      <c r="CB381" s="243">
        <f>COUNTIFS(Podcasts!$D$10:$D$2535,"="&amp;CB$373,Podcasts!$E$10:$E$2535,"&gt;=1.1.2018",Podcasts!$E$10:$E$2535,"&lt;01.01.2019")</f>
        <v>1</v>
      </c>
      <c r="CC381" s="243">
        <f>COUNTIFS(Podcasts!$D$10:$D$2535,"="&amp;CC$373,Podcasts!$E$10:$E$2535,"&gt;=1.1.2018",Podcasts!$E$10:$E$2535,"&lt;01.01.2019")</f>
        <v>0</v>
      </c>
      <c r="CD381" s="243">
        <f>COUNTIFS(Podcasts!$D$10:$D$2535,"="&amp;CD$373,Podcasts!$E$10:$E$2535,"&gt;=1.1.2018",Podcasts!$E$10:$E$2535,"&lt;01.01.2019")</f>
        <v>0</v>
      </c>
      <c r="CE381" s="243">
        <f>COUNTIFS(Podcasts!$D$10:$D$2535,"="&amp;CE$373,Podcasts!$E$10:$E$2535,"&gt;=1.1.2018",Podcasts!$E$10:$E$2535,"&lt;01.01.2019")</f>
        <v>0</v>
      </c>
      <c r="CF381" s="243">
        <f>COUNTIFS(Podcasts!$D$10:$D$2535,"="&amp;CF$373,Podcasts!$E$10:$E$2535,"&gt;=1.1.2018",Podcasts!$E$10:$E$2535,"&lt;01.01.2019")</f>
        <v>2</v>
      </c>
      <c r="CG381" s="243">
        <f>COUNTIFS(Podcasts!$D$10:$D$2535,"="&amp;CG$373,Podcasts!$E$10:$E$2535,"&gt;=1.1.2018",Podcasts!$E$10:$E$2535,"&lt;01.01.2019")</f>
        <v>0</v>
      </c>
      <c r="CH381" s="243">
        <f>COUNTIFS(Podcasts!$D$10:$D$2535,"="&amp;CH$373,Podcasts!$E$10:$E$2535,"&gt;=1.1.2018",Podcasts!$E$10:$E$2535,"&lt;01.01.2019")</f>
        <v>0</v>
      </c>
      <c r="CI381" s="243">
        <f>COUNTIFS(Podcasts!$D$10:$D$2535,"="&amp;CI$373,Podcasts!$E$10:$E$2535,"&gt;=1.1.2018",Podcasts!$E$10:$E$2535,"&lt;01.01.2019")</f>
        <v>0</v>
      </c>
      <c r="CJ381" s="243">
        <f>COUNTIFS(Podcasts!$D$10:$D$2535,"="&amp;CJ$373,Podcasts!$E$10:$E$2535,"&gt;=1.1.2018",Podcasts!$E$10:$E$2535,"&lt;01.01.2019")</f>
        <v>0</v>
      </c>
      <c r="CK381" s="243">
        <f>COUNTIFS(Podcasts!$D$10:$D$2535,"="&amp;CK$373,Podcasts!$E$10:$E$2535,"&gt;=1.1.2018",Podcasts!$E$10:$E$2535,"&lt;01.01.2019")</f>
        <v>0</v>
      </c>
      <c r="CL381" s="243">
        <f>COUNTIFS(Podcasts!$D$10:$D$2535,"="&amp;CL$373,Podcasts!$E$10:$E$2535,"&gt;=1.1.2018",Podcasts!$E$10:$E$2535,"&lt;01.01.2019")</f>
        <v>0</v>
      </c>
      <c r="CM381" s="243">
        <f>COUNTIFS(Podcasts!$D$10:$D$2535,"="&amp;CM$373,Podcasts!$E$10:$E$2535,"&gt;=1.1.2018",Podcasts!$E$10:$E$2535,"&lt;01.01.2019")</f>
        <v>0</v>
      </c>
      <c r="CN381" s="243">
        <f>COUNTIFS(Podcasts!$D$10:$D$2535,"="&amp;CN$373,Podcasts!$E$10:$E$2535,"&gt;=1.1.2018",Podcasts!$E$10:$E$2535,"&lt;01.01.2019")</f>
        <v>1</v>
      </c>
      <c r="CO381" s="243">
        <f>COUNTIFS(Podcasts!$D$10:$D$2535,"="&amp;CO$373,Podcasts!$E$10:$E$2535,"&gt;=1.1.2018",Podcasts!$E$10:$E$2535,"&lt;01.01.2019")</f>
        <v>0</v>
      </c>
      <c r="CP381" s="243">
        <f>COUNTIFS(Podcasts!$D$10:$D$2535,"="&amp;CP$373,Podcasts!$E$10:$E$2535,"&gt;=1.1.2018",Podcasts!$E$10:$E$2535,"&lt;01.01.2019")</f>
        <v>0</v>
      </c>
      <c r="CQ381" s="243">
        <f>COUNTIFS(Podcasts!$D$10:$D$2535,"="&amp;CQ$373,Podcasts!$E$10:$E$2535,"&gt;=1.1.2018",Podcasts!$E$10:$E$2535,"&lt;01.01.2019")</f>
        <v>0</v>
      </c>
      <c r="CR381" s="243">
        <f>COUNTIFS(Podcasts!$D$10:$D$2535,"="&amp;CR$373,Podcasts!$E$10:$E$2535,"&gt;=1.1.2018",Podcasts!$E$10:$E$2535,"&lt;01.01.2019")</f>
        <v>0</v>
      </c>
      <c r="CS381" s="243">
        <f>COUNTIFS(Podcasts!$D$10:$D$2535,"="&amp;CS$373,Podcasts!$E$10:$E$2535,"&gt;=1.1.2018",Podcasts!$E$10:$E$2535,"&lt;01.01.2019")</f>
        <v>0</v>
      </c>
      <c r="CT381" s="243">
        <f>COUNTIFS(Podcasts!$D$10:$D$2535,"="&amp;CT$373,Podcasts!$E$10:$E$2535,"&gt;=1.1.2018",Podcasts!$E$10:$E$2535,"&lt;01.01.2019")</f>
        <v>0</v>
      </c>
      <c r="CU381" s="243">
        <f>COUNTIFS(Podcasts!$D$10:$D$2535,"="&amp;CU$373,Podcasts!$E$10:$E$2535,"&gt;=1.1.2018",Podcasts!$E$10:$E$2535,"&lt;01.01.2019")</f>
        <v>0</v>
      </c>
      <c r="CV381" s="243">
        <f>COUNTIFS(Podcasts!$D$10:$D$2535,"="&amp;CV$373,Podcasts!$E$10:$E$2535,"&gt;=1.1.2018",Podcasts!$E$10:$E$2535,"&lt;01.01.2019")</f>
        <v>1</v>
      </c>
      <c r="CW381" s="243">
        <f>COUNTIFS(Podcasts!$D$10:$D$2535,"="&amp;CW$373,Podcasts!$E$10:$E$2535,"&gt;=1.1.2018",Podcasts!$E$10:$E$2535,"&lt;01.01.2019")</f>
        <v>0</v>
      </c>
      <c r="CX381" s="243">
        <f>COUNTIFS(Podcasts!$D$10:$D$2535,"="&amp;CX$373,Podcasts!$E$10:$E$2535,"&gt;=1.1.2018",Podcasts!$E$10:$E$2535,"&lt;01.01.2019")</f>
        <v>1</v>
      </c>
      <c r="CY381" s="243">
        <f>COUNTIFS(Podcasts!$D$10:$D$2535,"="&amp;CY$373,Podcasts!$E$10:$E$2535,"&gt;=1.1.2018",Podcasts!$E$10:$E$2535,"&lt;01.01.2019")</f>
        <v>1</v>
      </c>
      <c r="CZ381" s="243">
        <f>COUNTIFS(Podcasts!$D$10:$D$2535,"="&amp;CZ$373,Podcasts!$E$10:$E$2535,"&gt;=1.1.2018",Podcasts!$E$10:$E$2535,"&lt;01.01.2019")-2</f>
        <v>1</v>
      </c>
      <c r="DA381" s="243">
        <f>COUNTIFS(Podcasts!$D$10:$D$2535,"="&amp;DA$373,Podcasts!$E$10:$E$2535,"&gt;=1.1.2018",Podcasts!$E$10:$E$2535,"&lt;01.01.2019")</f>
        <v>0</v>
      </c>
      <c r="DB381" s="243">
        <f>COUNTIFS(Podcasts!$D$10:$D$2535,"="&amp;DB$373,Podcasts!$E$10:$E$2535,"&gt;=1.1.2018",Podcasts!$E$10:$E$2535,"&lt;01.01.2019")</f>
        <v>0</v>
      </c>
      <c r="DC381" s="243">
        <f>COUNTIFS(Podcasts!$D$10:$D$2535,"="&amp;DC$373,Podcasts!$E$10:$E$2535,"&gt;=1.1.2018",Podcasts!$E$10:$E$2535,"&lt;01.01.2019")</f>
        <v>3</v>
      </c>
      <c r="DD381" s="243">
        <f>COUNTIFS(Podcasts!$D$10:$D$2535,"="&amp;DD$373,Podcasts!$E$10:$E$2535,"&gt;=1.1.2018",Podcasts!$E$10:$E$2535,"&lt;01.01.2019")</f>
        <v>0</v>
      </c>
      <c r="DE381" s="243">
        <f>COUNTIFS(Podcasts!$D$10:$D$2535,"="&amp;DE$373,Podcasts!$E$10:$E$2535,"&gt;=1.1.2018",Podcasts!$E$10:$E$2535,"&lt;01.01.2019")</f>
        <v>1</v>
      </c>
      <c r="DF381" s="243">
        <f>COUNTIFS(Podcasts!$D$10:$D$2535,"="&amp;DF$373,Podcasts!$E$10:$E$2535,"&gt;=1.1.2018",Podcasts!$E$10:$E$2535,"&lt;01.01.2019")</f>
        <v>0</v>
      </c>
      <c r="DG381" s="243">
        <f>COUNTIFS(Podcasts!$D$10:$D$2535,"="&amp;DG$373,Podcasts!$E$10:$E$2535,"&gt;=1.1.2018",Podcasts!$E$10:$E$2535,"&lt;01.01.2019")</f>
        <v>0</v>
      </c>
      <c r="DH381" s="243">
        <f>COUNTIFS(Podcasts!$D$10:$D$2535,"="&amp;DH$373,Podcasts!$E$10:$E$2535,"&gt;=1.1.2018",Podcasts!$E$10:$E$2535,"&lt;01.01.2019")</f>
        <v>0</v>
      </c>
      <c r="DI381" s="243">
        <f>COUNTIFS(Podcasts!$D$10:$D$2535,"="&amp;DI$373,Podcasts!$E$10:$E$2535,"&gt;=1.1.2018",Podcasts!$E$10:$E$2535,"&lt;01.01.2019")</f>
        <v>2</v>
      </c>
      <c r="DJ381" s="243">
        <f>COUNTIFS(Podcasts!$D$10:$D$2535,"="&amp;DJ$373,Podcasts!$E$10:$E$2535,"&gt;=1.1.2018",Podcasts!$E$10:$E$2535,"&lt;01.01.2019")</f>
        <v>0</v>
      </c>
      <c r="DK381" s="243">
        <f>COUNTIFS(Podcasts!$D$10:$D$2535,"="&amp;DK$373,Podcasts!$E$10:$E$2535,"&gt;=1.1.2018",Podcasts!$E$10:$E$2535,"&lt;01.01.2019")</f>
        <v>0</v>
      </c>
      <c r="DL381" s="243">
        <f>COUNTIFS(Podcasts!$D$10:$D$2535,"="&amp;DL$373,Podcasts!$E$10:$E$2535,"&gt;=1.1.2018",Podcasts!$E$10:$E$2535,"&lt;01.01.2019")</f>
        <v>0</v>
      </c>
      <c r="DM381" s="243">
        <f>COUNTIFS(Podcasts!$D$10:$D$2535,"="&amp;DM$373,Podcasts!$E$10:$E$2535,"&gt;=1.1.2018",Podcasts!$E$10:$E$2535,"&lt;01.01.2019")</f>
        <v>0</v>
      </c>
      <c r="DN381" s="243">
        <f>COUNTIFS(Podcasts!$D$10:$D$2535,"="&amp;DN$373,Podcasts!$E$10:$E$2535,"&gt;=1.1.2018",Podcasts!$E$10:$E$2535,"&lt;01.01.2019")</f>
        <v>0</v>
      </c>
      <c r="DO381" s="243">
        <f>COUNTIFS(Podcasts!$D$10:$D$2535,"="&amp;DO$373,Podcasts!$E$10:$E$2535,"&gt;=1.1.2018",Podcasts!$E$10:$E$2535,"&lt;01.01.2019")</f>
        <v>0</v>
      </c>
      <c r="DP381" s="243">
        <f>COUNTIFS(Podcasts!$D$10:$D$2535,"="&amp;DP$373,Podcasts!$E$10:$E$2535,"&gt;=1.1.2018",Podcasts!$E$10:$E$2535,"&lt;01.01.2019")</f>
        <v>0</v>
      </c>
      <c r="DQ381" s="243">
        <f>COUNTIFS(Podcasts!$D$10:$D$2535,"="&amp;DQ$373,Podcasts!$E$10:$E$2535,"&gt;=1.1.2018",Podcasts!$E$10:$E$2535,"&lt;01.01.2019")</f>
        <v>0</v>
      </c>
      <c r="DR381" s="243">
        <f>COUNTIFS(Podcasts!$D$10:$D$2535,"="&amp;DR$373,Podcasts!$E$10:$E$2535,"&gt;=1.1.2018",Podcasts!$E$10:$E$2535,"&lt;01.01.2019")</f>
        <v>0</v>
      </c>
      <c r="DS381" s="243">
        <f>COUNTIFS(Podcasts!$D$10:$D$2535,"="&amp;DS$373,Podcasts!$E$10:$E$2535,"&gt;=1.1.2018",Podcasts!$E$10:$E$2535,"&lt;01.01.2019")</f>
        <v>0</v>
      </c>
      <c r="DT381" s="243">
        <f>COUNTIFS(Podcasts!$D$10:$D$2535,"="&amp;DT$373,Podcasts!$E$10:$E$2535,"&gt;=1.1.2018",Podcasts!$E$10:$E$2535,"&lt;01.01.2019")</f>
        <v>1</v>
      </c>
      <c r="DU381" s="243">
        <f>COUNTIFS(Podcasts!$D$10:$D$2535,"="&amp;DU$373,Podcasts!$E$10:$E$2535,"&gt;=1.1.2018",Podcasts!$E$10:$E$2535,"&lt;01.01.2019")</f>
        <v>0</v>
      </c>
      <c r="DV381" s="243">
        <f>COUNTIFS(Podcasts!$D$10:$D$2535,"="&amp;DV$373,Podcasts!$E$10:$E$2535,"&gt;=1.1.2018",Podcasts!$E$10:$E$2535,"&lt;01.01.2019")</f>
        <v>0</v>
      </c>
      <c r="DW381" s="243">
        <f>COUNTIFS(Podcasts!$D$10:$D$2535,"="&amp;DW$373,Podcasts!$E$10:$E$2535,"&gt;=1.1.2018",Podcasts!$E$10:$E$2535,"&lt;01.01.2019")</f>
        <v>0</v>
      </c>
      <c r="DX381" s="243">
        <f>COUNTIFS(Podcasts!$D$10:$D$2535,"="&amp;DX$373,Podcasts!$E$10:$E$2535,"&gt;=1.1.2018",Podcasts!$E$10:$E$2535,"&lt;01.01.2019")</f>
        <v>0</v>
      </c>
      <c r="DY381" s="243">
        <f>COUNTIFS(Podcasts!$D$10:$D$2535,"="&amp;DY$373,Podcasts!$E$10:$E$2535,"&gt;=1.1.2018",Podcasts!$E$10:$E$2535,"&lt;01.01.2019")</f>
        <v>0</v>
      </c>
      <c r="DZ381" s="243">
        <f>COUNTIFS(Podcasts!$D$10:$D$2535,"="&amp;DZ$373,Podcasts!$E$10:$E$2535,"&gt;=1.1.2018",Podcasts!$E$10:$E$2535,"&lt;01.01.2019")</f>
        <v>0</v>
      </c>
      <c r="EA381" s="243">
        <f>COUNTIFS(Podcasts!$D$10:$D$2535,"="&amp;EA$373,Podcasts!$E$10:$E$2535,"&gt;=1.1.2018",Podcasts!$E$10:$E$2535,"&lt;01.01.2019")</f>
        <v>0</v>
      </c>
      <c r="EB381" s="243">
        <f>COUNTIFS(Podcasts!$D$10:$D$2535,"="&amp;EB$373,Podcasts!$E$10:$E$2535,"&gt;=1.1.2018",Podcasts!$E$10:$E$2535,"&lt;01.01.2019")</f>
        <v>0</v>
      </c>
      <c r="EC381" s="243">
        <f>COUNTIFS(Podcasts!$D$10:$D$2535,"="&amp;EC$373,Podcasts!$E$10:$E$2535,"&gt;=1.1.2018",Podcasts!$E$10:$E$2535,"&lt;01.01.2019")</f>
        <v>0</v>
      </c>
      <c r="ED381" s="243">
        <f>COUNTIFS(Podcasts!$D$10:$D$2535,"="&amp;ED$373,Podcasts!$E$10:$E$2535,"&gt;=1.1.2018",Podcasts!$E$10:$E$2535,"&lt;01.01.2019")</f>
        <v>0</v>
      </c>
      <c r="EE381" s="243">
        <f>COUNTIFS(Podcasts!$D$10:$D$2535,"="&amp;EE$373,Podcasts!$E$10:$E$2535,"&gt;=1.1.2018",Podcasts!$E$10:$E$2535,"&lt;01.01.2019")</f>
        <v>1</v>
      </c>
      <c r="EF381" s="243">
        <f>COUNTIFS(Podcasts!$D$10:$D$2535,"="&amp;EF$373,Podcasts!$E$10:$E$2535,"&gt;=1.1.2018",Podcasts!$E$10:$E$2535,"&lt;01.01.2019")</f>
        <v>0</v>
      </c>
      <c r="EG381" s="243">
        <f>COUNTIFS(Podcasts!$D$10:$D$2535,"="&amp;EG$373,Podcasts!$E$10:$E$2535,"&gt;=1.1.2018",Podcasts!$E$10:$E$2535,"&lt;01.01.2019")</f>
        <v>0</v>
      </c>
      <c r="EH381" s="243">
        <f>COUNTIFS(Podcasts!$D$10:$D$2535,"="&amp;EH$373,Podcasts!$E$10:$E$2535,"&gt;=1.1.2018",Podcasts!$E$10:$E$2535,"&lt;01.01.2019")</f>
        <v>0</v>
      </c>
      <c r="EI381" s="243">
        <f>COUNTIFS(Podcasts!$D$10:$D$2535,"="&amp;EI$373,Podcasts!$E$10:$E$2535,"&gt;=1.1.2018",Podcasts!$E$10:$E$2535,"&lt;01.01.2019")</f>
        <v>0</v>
      </c>
      <c r="EJ381" s="243">
        <f>COUNTIFS(Podcasts!$D$10:$D$2535,"="&amp;EJ$373,Podcasts!$E$10:$E$2535,"&gt;=1.1.2018",Podcasts!$E$10:$E$2535,"&lt;01.01.2019")</f>
        <v>0</v>
      </c>
      <c r="EK381" s="243">
        <f>COUNTIFS(Podcasts!$D$10:$D$2535,"="&amp;EK$373,Podcasts!$E$10:$E$2535,"&gt;=1.1.2018",Podcasts!$E$10:$E$2535,"&lt;01.01.2019")</f>
        <v>0</v>
      </c>
      <c r="EL381" s="243">
        <f>COUNTIFS(Podcasts!$D$10:$D$2535,"="&amp;EL$373,Podcasts!$E$10:$E$2535,"&gt;=1.1.2018",Podcasts!$E$10:$E$2535,"&lt;01.01.2019")</f>
        <v>0</v>
      </c>
      <c r="EM381" s="243">
        <f>COUNTIFS(Podcasts!$D$10:$D$2535,"="&amp;EM$373,Podcasts!$E$10:$E$2535,"&gt;=1.1.2018",Podcasts!$E$10:$E$2535,"&lt;01.01.2019")</f>
        <v>0</v>
      </c>
      <c r="EN381" s="243">
        <f>COUNTIFS(Podcasts!$D$10:$D$2535,"="&amp;EN$373,Podcasts!$E$10:$E$2535,"&gt;=1.1.2018",Podcasts!$E$10:$E$2535,"&lt;01.01.2019")</f>
        <v>1</v>
      </c>
      <c r="EO381" s="243">
        <f>COUNTIFS(Podcasts!$D$10:$D$2535,"="&amp;EO$373,Podcasts!$E$10:$E$2535,"&gt;=1.1.2018",Podcasts!$E$10:$E$2535,"&lt;01.01.2019")</f>
        <v>0</v>
      </c>
      <c r="EP381" s="243">
        <f>COUNTIFS(Podcasts!$D$10:$D$2535,"="&amp;EP$373,Podcasts!$E$10:$E$2535,"&gt;=1.1.2018",Podcasts!$E$10:$E$2535,"&lt;01.01.2019")</f>
        <v>1</v>
      </c>
      <c r="EQ381" s="243">
        <f>COUNTIFS(Podcasts!$D$10:$D$2535,"="&amp;EQ$373,Podcasts!$E$10:$E$2535,"&gt;=1.1.2018",Podcasts!$E$10:$E$2535,"&lt;01.01.2019")</f>
        <v>0</v>
      </c>
      <c r="ER381" s="243">
        <f>COUNTIFS(Podcasts!$D$10:$D$2535,"="&amp;ER$373,Podcasts!$E$10:$E$2535,"&gt;=1.1.2018",Podcasts!$E$10:$E$2535,"&lt;01.01.2019")</f>
        <v>0</v>
      </c>
      <c r="ES381" s="243">
        <f>COUNTIFS(Podcasts!$D$10:$D$2535,"="&amp;ES$373,Podcasts!$E$10:$E$2535,"&gt;=1.1.2018",Podcasts!$E$10:$E$2535,"&lt;01.01.2019")</f>
        <v>0</v>
      </c>
      <c r="ET381" s="243">
        <f>COUNTIFS(Podcasts!$D$10:$D$2535,"="&amp;ET$373,Podcasts!$E$10:$E$2535,"&gt;=1.1.2018",Podcasts!$E$10:$E$2535,"&lt;01.01.2019")</f>
        <v>0</v>
      </c>
      <c r="EU381" s="243">
        <f>COUNTIFS(Podcasts!$D$10:$D$2535,"="&amp;EU$373,Podcasts!$E$10:$E$2535,"&gt;=1.1.2018",Podcasts!$E$10:$E$2535,"&lt;01.01.2019")</f>
        <v>0</v>
      </c>
      <c r="EV381" s="243">
        <f>COUNTIFS(Podcasts!$D$10:$D$2535,"="&amp;EV$373,Podcasts!$E$10:$E$2535,"&gt;=1.1.2018",Podcasts!$E$10:$E$2535,"&lt;01.01.2019")</f>
        <v>0</v>
      </c>
      <c r="EW381" s="243">
        <f>COUNTIFS(Podcasts!$D$10:$D$2535,"="&amp;EW$373,Podcasts!$E$10:$E$2535,"&gt;=1.1.2018",Podcasts!$E$10:$E$2535,"&lt;01.01.2019")</f>
        <v>1</v>
      </c>
      <c r="EX381" s="243">
        <f>COUNTIFS(Podcasts!$D$10:$D$2535,"="&amp;EX$373,Podcasts!$E$10:$E$2535,"&gt;=1.1.2018",Podcasts!$E$10:$E$2535,"&lt;01.01.2019")</f>
        <v>0</v>
      </c>
      <c r="EY381" s="243">
        <f>COUNTIFS(Podcasts!$D$10:$D$2535,"="&amp;EY$373,Podcasts!$E$10:$E$2535,"&gt;=1.1.2018",Podcasts!$E$10:$E$2535,"&lt;01.01.2019")</f>
        <v>0</v>
      </c>
      <c r="EZ381" s="243">
        <f>COUNTIFS(Podcasts!$D$10:$D$2535,"="&amp;EZ$373,Podcasts!$E$10:$E$2535,"&gt;=1.1.2018",Podcasts!$E$10:$E$2535,"&lt;01.01.2019")</f>
        <v>1</v>
      </c>
      <c r="FA381" s="243">
        <f>COUNTIFS(Podcasts!$D$10:$D$2535,"="&amp;FA$373,Podcasts!$E$10:$E$2535,"&gt;=1.1.2018",Podcasts!$E$10:$E$2535,"&lt;01.01.2019")</f>
        <v>0</v>
      </c>
      <c r="FB381" s="243">
        <f>COUNTIFS(Podcasts!$D$10:$D$2535,"="&amp;FB$373,Podcasts!$E$10:$E$2535,"&gt;=1.1.2018",Podcasts!$E$10:$E$2535,"&lt;01.01.2019")</f>
        <v>0</v>
      </c>
      <c r="FC381" s="243">
        <f>COUNTIFS(Podcasts!$D$10:$D$2535,"="&amp;FC$373,Podcasts!$E$10:$E$2535,"&gt;=1.1.2018",Podcasts!$E$10:$E$2535,"&lt;01.01.2019")</f>
        <v>0</v>
      </c>
      <c r="FD381" s="243">
        <f>COUNTIFS(Podcasts!$D$10:$D$2535,"="&amp;FD$373,Podcasts!$E$10:$E$2535,"&gt;=1.1.2018",Podcasts!$E$10:$E$2535,"&lt;01.01.2019")</f>
        <v>0</v>
      </c>
      <c r="FE381" s="243">
        <f>COUNTIFS(Podcasts!$D$10:$D$2535,"="&amp;FE$373,Podcasts!$E$10:$E$2535,"&gt;=1.1.2018",Podcasts!$E$10:$E$2535,"&lt;01.01.2019")</f>
        <v>0</v>
      </c>
      <c r="FF381" s="243">
        <f>COUNTIFS(Podcasts!$D$10:$D$2535,"="&amp;FF$373,Podcasts!$E$10:$E$2535,"&gt;=1.1.2018",Podcasts!$E$10:$E$2535,"&lt;01.01.2019")</f>
        <v>0</v>
      </c>
      <c r="FG381" s="243">
        <f>COUNTIFS(Podcasts!$D$10:$D$2535,"="&amp;FG$373,Podcasts!$E$10:$E$2535,"&gt;=1.1.2018",Podcasts!$E$10:$E$2535,"&lt;01.01.2019")</f>
        <v>0</v>
      </c>
      <c r="FH381" s="243">
        <f>COUNTIFS(Podcasts!$D$10:$D$2535,"="&amp;FH$373,Podcasts!$E$10:$E$2535,"&gt;=1.1.2018",Podcasts!$E$10:$E$2535,"&lt;01.01.2019")</f>
        <v>0</v>
      </c>
      <c r="FI381" s="243">
        <f>COUNTIFS(Podcasts!$D$10:$D$2535,"="&amp;FI$373,Podcasts!$E$10:$E$2535,"&gt;=1.1.2018",Podcasts!$E$10:$E$2535,"&lt;01.01.2019")</f>
        <v>0</v>
      </c>
      <c r="FJ381" s="243">
        <f>COUNTIFS(Podcasts!$D$10:$D$2535,"="&amp;FJ$373,Podcasts!$E$10:$E$2535,"&gt;=1.1.2018",Podcasts!$E$10:$E$2535,"&lt;01.01.2019")</f>
        <v>0</v>
      </c>
      <c r="FK381" s="243">
        <f>COUNTIFS(Podcasts!$D$10:$D$2535,"="&amp;FK$373,Podcasts!$E$10:$E$2535,"&gt;=1.1.2018",Podcasts!$E$10:$E$2535,"&lt;01.01.2019")</f>
        <v>0</v>
      </c>
      <c r="FL381" s="243">
        <f>COUNTIFS(Podcasts!$D$10:$D$2535,"="&amp;FL$373,Podcasts!$E$10:$E$2535,"&gt;=1.1.2018",Podcasts!$E$10:$E$2535,"&lt;01.01.2019")</f>
        <v>0</v>
      </c>
      <c r="FM381" s="243">
        <f>COUNTIFS(Podcasts!$D$10:$D$2535,"="&amp;FM$373,Podcasts!$E$10:$E$2535,"&gt;=1.1.2018",Podcasts!$E$10:$E$2535,"&lt;01.01.2019")</f>
        <v>0</v>
      </c>
      <c r="FN381" s="243">
        <f>COUNTIFS(Podcasts!$D$10:$D$2535,"="&amp;FN$373,Podcasts!$E$10:$E$2535,"&gt;=1.1.2018",Podcasts!$E$10:$E$2535,"&lt;01.01.2019")</f>
        <v>0</v>
      </c>
      <c r="FO381" s="243">
        <f>COUNTIFS(Podcasts!$D$10:$D$2535,"="&amp;FO$373,Podcasts!$E$10:$E$2535,"&gt;=1.1.2018",Podcasts!$E$10:$E$2535,"&lt;01.01.2019")</f>
        <v>1</v>
      </c>
      <c r="FP381" s="243">
        <f>COUNTIFS(Podcasts!$D$10:$D$2535,"="&amp;FP$373,Podcasts!$E$10:$E$2535,"&gt;=1.1.2018",Podcasts!$E$10:$E$2535,"&lt;01.01.2019")</f>
        <v>0</v>
      </c>
      <c r="FQ381" s="243">
        <f>COUNTIFS(Podcasts!$D$10:$D$2535,"="&amp;FQ$373,Podcasts!$E$10:$E$2535,"&gt;=1.1.2018",Podcasts!$E$10:$E$2535,"&lt;01.01.2019")</f>
        <v>0</v>
      </c>
      <c r="FR381" s="243">
        <f>COUNTIFS(Podcasts!$D$10:$D$2535,"="&amp;FR$373,Podcasts!$E$10:$E$2535,"&gt;=1.1.2018",Podcasts!$E$10:$E$2535,"&lt;01.01.2019")</f>
        <v>0</v>
      </c>
      <c r="FS381" s="243">
        <f>COUNTIFS(Podcasts!$D$10:$D$2535,"="&amp;FS$373,Podcasts!$E$10:$E$2535,"&gt;=1.1.2018",Podcasts!$E$10:$E$2535,"&lt;01.01.2019")</f>
        <v>0</v>
      </c>
      <c r="FT381" s="243">
        <f>COUNTIFS(Podcasts!$D$10:$D$2535,"="&amp;FT$373,Podcasts!$E$10:$E$2535,"&gt;=1.1.2018",Podcasts!$E$10:$E$2535,"&lt;01.01.2019")</f>
        <v>0</v>
      </c>
      <c r="FU381" s="243">
        <f>COUNTIFS(Podcasts!$D$10:$D$2535,"="&amp;FU$373,Podcasts!$E$10:$E$2535,"&gt;=1.1.2018",Podcasts!$E$10:$E$2535,"&lt;01.01.2019")</f>
        <v>0</v>
      </c>
      <c r="FV381" s="243">
        <f>COUNTIFS(Podcasts!$D$10:$D$2535,"="&amp;FV$373,Podcasts!$E$10:$E$2535,"&gt;=1.1.2018",Podcasts!$E$10:$E$2535,"&lt;01.01.2019")</f>
        <v>0</v>
      </c>
      <c r="FW381" s="243">
        <f>COUNTIFS(Podcasts!$D$10:$D$2535,"="&amp;FW$373,Podcasts!$E$10:$E$2535,"&gt;=1.1.2018",Podcasts!$E$10:$E$2535,"&lt;01.01.2019")</f>
        <v>0</v>
      </c>
      <c r="FX381" s="243">
        <f>COUNTIFS(Podcasts!$D$10:$D$2535,"="&amp;FX$373,Podcasts!$E$10:$E$2535,"&gt;=1.1.2018",Podcasts!$E$10:$E$2535,"&lt;01.01.2019")</f>
        <v>0</v>
      </c>
      <c r="FY381" s="243">
        <f>COUNTIFS(Podcasts!$D$10:$D$2535,"="&amp;FY$373,Podcasts!$E$10:$E$2535,"&gt;=1.1.2018",Podcasts!$E$10:$E$2535,"&lt;01.01.2019")</f>
        <v>0</v>
      </c>
      <c r="FZ381" s="243">
        <f>COUNTIFS(Podcasts!$D$10:$D$2535,"="&amp;FZ$373,Podcasts!$E$10:$E$2535,"&gt;=1.1.2018",Podcasts!$E$10:$E$2535,"&lt;01.01.2019")</f>
        <v>0</v>
      </c>
      <c r="GA381" s="243">
        <f>COUNTIFS(Podcasts!$D$10:$D$2535,"="&amp;GA$373,Podcasts!$E$10:$E$2535,"&gt;=1.1.2018",Podcasts!$E$10:$E$2535,"&lt;01.01.2019")</f>
        <v>0</v>
      </c>
      <c r="GB381" s="243">
        <f>COUNTIFS(Podcasts!$D$10:$D$2535,"="&amp;GB$373,Podcasts!$E$10:$E$2535,"&gt;=1.1.2018",Podcasts!$E$10:$E$2535,"&lt;01.01.2019")</f>
        <v>0</v>
      </c>
      <c r="GC381" s="243">
        <f>COUNTIFS(Podcasts!$D$10:$D$2535,"="&amp;GC$373,Podcasts!$E$10:$E$2535,"&gt;=1.1.2018",Podcasts!$E$10:$E$2535,"&lt;01.01.2019")</f>
        <v>0</v>
      </c>
      <c r="GD381" s="243">
        <f>COUNTIFS(Podcasts!$D$10:$D$2535,"="&amp;GD$373,Podcasts!$E$10:$E$2535,"&gt;=1.1.2018",Podcasts!$E$10:$E$2535,"&lt;01.01.2019")</f>
        <v>0</v>
      </c>
      <c r="GE381" s="243">
        <f>COUNTIFS(Podcasts!$D$10:$D$2535,"="&amp;GE$373,Podcasts!$E$10:$E$2535,"&gt;=1.1.2018",Podcasts!$E$10:$E$2535,"&lt;01.01.2019")</f>
        <v>0</v>
      </c>
      <c r="GF381" s="243">
        <f>COUNTIFS(Podcasts!$D$10:$D$2535,"="&amp;GF$373,Podcasts!$E$10:$E$2535,"&gt;=1.1.2018",Podcasts!$E$10:$E$2535,"&lt;01.01.2019")</f>
        <v>0</v>
      </c>
      <c r="GG381" s="243">
        <f>COUNTIFS(Podcasts!$D$10:$D$2535,"="&amp;GG$373,Podcasts!$E$10:$E$2535,"&gt;=1.1.2018",Podcasts!$E$10:$E$2535,"&lt;01.01.2019")</f>
        <v>0</v>
      </c>
      <c r="GH381" s="243">
        <f>COUNTIFS(Podcasts!$D$10:$D$2535,"="&amp;GH$373,Podcasts!$E$10:$E$2535,"&gt;=1.1.2018",Podcasts!$E$10:$E$2535,"&lt;01.01.2019")</f>
        <v>0</v>
      </c>
      <c r="GI381" s="243">
        <f>COUNTIFS(Podcasts!$D$10:$D$2535,"="&amp;GI$373,Podcasts!$E$10:$E$2535,"&gt;=1.1.2018",Podcasts!$E$10:$E$2535,"&lt;01.01.2019")</f>
        <v>0</v>
      </c>
      <c r="GJ381" s="243">
        <f>COUNTIFS(Podcasts!$D$10:$D$2535,"="&amp;GJ$373,Podcasts!$E$10:$E$2535,"&gt;=1.1.2018",Podcasts!$E$10:$E$2535,"&lt;01.01.2019")</f>
        <v>0</v>
      </c>
      <c r="GK381" s="243">
        <f>COUNTIFS(Podcasts!$D$10:$D$2535,"="&amp;GK$373,Podcasts!$E$10:$E$2535,"&gt;=1.1.2018",Podcasts!$E$10:$E$2535,"&lt;01.01.2019")</f>
        <v>0</v>
      </c>
      <c r="GL381" s="243">
        <f>COUNTIFS(Podcasts!$D$10:$D$2535,"="&amp;GL$373,Podcasts!$E$10:$E$2535,"&gt;=1.1.2018",Podcasts!$E$10:$E$2535,"&lt;01.01.2019")</f>
        <v>1</v>
      </c>
      <c r="GM381" s="243">
        <f>COUNTIFS(Podcasts!$D$10:$D$2535,"="&amp;GM$373,Podcasts!$E$10:$E$2535,"&gt;=1.1.2018",Podcasts!$E$10:$E$2535,"&lt;01.01.2019")</f>
        <v>2</v>
      </c>
      <c r="GN381" s="243">
        <f>COUNTIFS(Podcasts!$D$10:$D$2535,"="&amp;GN$373,Podcasts!$E$10:$E$2535,"&gt;=1.1.2018",Podcasts!$E$10:$E$2535,"&lt;01.01.2019")</f>
        <v>2</v>
      </c>
      <c r="GO381" s="243">
        <f>COUNTIFS(Podcasts!$D$10:$D$2535,"="&amp;GO$373,Podcasts!$E$10:$E$2535,"&gt;=1.1.2018",Podcasts!$E$10:$E$2535,"&lt;01.01.2019")</f>
        <v>1</v>
      </c>
      <c r="GP381" s="243">
        <f>COUNTIFS(Podcasts!$D$10:$D$2535,"="&amp;GP$373,Podcasts!$E$10:$E$2535,"&gt;=1.1.2018",Podcasts!$E$10:$E$2535,"&lt;01.01.2019")</f>
        <v>2</v>
      </c>
      <c r="GQ381" s="243">
        <f>COUNTIFS(Podcasts!$D$10:$D$2535,"="&amp;GQ$373,Podcasts!$E$10:$E$2535,"&gt;=1.1.2018",Podcasts!$E$10:$E$2535,"&lt;01.01.2019")</f>
        <v>1</v>
      </c>
      <c r="GR381" s="243">
        <f>COUNTIFS(Podcasts!$D$10:$D$2535,"="&amp;GR$373,Podcasts!$E$10:$E$2535,"&gt;=1.1.2018",Podcasts!$E$10:$E$2535,"&lt;01.01.2019")</f>
        <v>0</v>
      </c>
      <c r="GS381" s="243">
        <f>COUNTIFS(Podcasts!$D$10:$D$2535,"="&amp;GS$373,Podcasts!$E$10:$E$2535,"&gt;=1.1.2018",Podcasts!$E$10:$E$2535,"&lt;01.01.2019")</f>
        <v>0</v>
      </c>
      <c r="GT381" s="243">
        <f>COUNTIFS(Podcasts!$D$10:$D$2535,"="&amp;GT$373,Podcasts!$E$10:$E$2535,"&gt;=1.1.2018",Podcasts!$E$10:$E$2535,"&lt;01.01.2019")</f>
        <v>0</v>
      </c>
      <c r="GU381" s="243">
        <f>COUNTIFS(Podcasts!$D$10:$D$2535,"="&amp;GU$373,Podcasts!$E$10:$E$2535,"&gt;=1.1.2018",Podcasts!$E$10:$E$2535,"&lt;01.01.2019")</f>
        <v>0</v>
      </c>
      <c r="GV381" s="243">
        <f>COUNTIFS(Podcasts!$D$10:$D$2535,"="&amp;GV$373,Podcasts!$E$10:$E$2535,"&gt;=1.1.2018",Podcasts!$E$10:$E$2535,"&lt;01.01.2019")</f>
        <v>0</v>
      </c>
      <c r="GW381" s="243">
        <f>COUNTIFS(Podcasts!$D$10:$D$2535,"="&amp;GW$373,Podcasts!$E$10:$E$2535,"&gt;=1.1.2018",Podcasts!$E$10:$E$2535,"&lt;01.01.2019")</f>
        <v>0</v>
      </c>
      <c r="GX381" s="243">
        <f>COUNTIFS(Podcasts!$D$10:$D$2535,"="&amp;GX$373,Podcasts!$E$10:$E$2535,"&gt;=1.1.2018",Podcasts!$E$10:$E$2535,"&lt;01.01.2019")</f>
        <v>0</v>
      </c>
      <c r="GY381" s="243">
        <f>COUNTIFS(Podcasts!$D$10:$D$2535,"="&amp;GY$373,Podcasts!$E$10:$E$2535,"&gt;=1.1.2018",Podcasts!$E$10:$E$2535,"&lt;01.01.2019")</f>
        <v>0</v>
      </c>
      <c r="GZ381" s="243">
        <f>COUNTIFS(Podcasts!$D$10:$D$2535,"="&amp;GZ$373,Podcasts!$E$10:$E$2535,"&gt;=1.1.2018",Podcasts!$E$10:$E$2535,"&lt;01.01.2019")</f>
        <v>0</v>
      </c>
      <c r="HA381" s="243">
        <f>COUNTIFS(Podcasts!$D$10:$D$2535,"="&amp;HA$373,Podcasts!$E$10:$E$2535,"&gt;=1.1.2018",Podcasts!$E$10:$E$2535,"&lt;01.01.2019")</f>
        <v>0</v>
      </c>
      <c r="HB381" s="243">
        <f>COUNTIFS(Podcasts!$D$10:$D$2535,"="&amp;HB$373,Podcasts!$E$10:$E$2535,"&gt;=1.1.2018",Podcasts!$E$10:$E$2535,"&lt;01.01.2019")</f>
        <v>0</v>
      </c>
      <c r="HC381" s="243">
        <f>COUNTIFS(Podcasts!$D$10:$D$2535,"="&amp;HC$373,Podcasts!$E$10:$E$2535,"&gt;=1.1.2018",Podcasts!$E$10:$E$2535,"&lt;01.01.2019")</f>
        <v>0</v>
      </c>
      <c r="HD381" s="243">
        <f>COUNTIFS(Podcasts!$D$10:$D$2535,"="&amp;HD$373,Podcasts!$E$10:$E$2535,"&gt;=1.1.2018",Podcasts!$E$10:$E$2535,"&lt;01.01.2019")</f>
        <v>0</v>
      </c>
      <c r="HE381" s="243">
        <f>COUNTIFS(Podcasts!$D$10:$D$2535,"="&amp;HE$373,Podcasts!$E$10:$E$2535,"&gt;=1.1.2018",Podcasts!$E$10:$E$2535,"&lt;01.01.2019")</f>
        <v>0</v>
      </c>
      <c r="HF381" s="243">
        <f>COUNTIFS(Podcasts!$D$10:$D$2535,"="&amp;HF$373,Podcasts!$E$10:$E$2535,"&gt;=1.1.2018",Podcasts!$E$10:$E$2535,"&lt;01.01.2019")</f>
        <v>0</v>
      </c>
      <c r="HG381" s="243">
        <f>COUNTIFS(Podcasts!$D$10:$D$2535,"="&amp;HG$373,Podcasts!$E$10:$E$2535,"&gt;=1.1.2018",Podcasts!$E$10:$E$2535,"&lt;01.01.2019")</f>
        <v>0</v>
      </c>
      <c r="HH381" s="243">
        <f>COUNTIFS(Podcasts!$D$10:$D$2535,"="&amp;HH$373,Podcasts!$E$10:$E$2535,"&gt;=1.1.2018",Podcasts!$E$10:$E$2535,"&lt;01.01.2019")</f>
        <v>0</v>
      </c>
      <c r="HI381" s="243">
        <f>COUNTIFS(Podcasts!$D$10:$D$2535,"="&amp;HI$373,Podcasts!$E$10:$E$2535,"&gt;=1.1.2018",Podcasts!$E$10:$E$2535,"&lt;01.01.2019")</f>
        <v>0</v>
      </c>
      <c r="HJ381" s="243">
        <f>COUNTIFS(Podcasts!$D$10:$D$2535,"="&amp;HJ$373,Podcasts!$E$10:$E$2535,"&gt;=1.1.2018",Podcasts!$E$10:$E$2535,"&lt;01.01.2019")</f>
        <v>0</v>
      </c>
      <c r="HK381" s="243">
        <f>COUNTIFS(Podcasts!$D$10:$D$2535,"="&amp;HK$373,Podcasts!$E$10:$E$2535,"&gt;=1.1.2018",Podcasts!$E$10:$E$2535,"&lt;01.01.2019")</f>
        <v>0</v>
      </c>
      <c r="HL381" s="243">
        <f>COUNTIFS(Podcasts!$D$10:$D$2535,"="&amp;HL$373,Podcasts!$E$10:$E$2535,"&gt;=1.1.2018",Podcasts!$E$10:$E$2535,"&lt;01.01.2019")</f>
        <v>0</v>
      </c>
      <c r="HM381" s="243">
        <f>COUNTIFS(Podcasts!$D$10:$D$2535,"="&amp;HM$373,Podcasts!$E$10:$E$2535,"&gt;=1.1.2018",Podcasts!$E$10:$E$2535,"&lt;01.01.2019")</f>
        <v>0</v>
      </c>
      <c r="HN381" s="243">
        <f>COUNTIFS(Podcasts!$D$10:$D$2535,"="&amp;HN$373,Podcasts!$E$10:$E$2535,"&gt;=1.1.2018",Podcasts!$E$10:$E$2535,"&lt;01.01.2019")</f>
        <v>0</v>
      </c>
      <c r="HO381" s="243">
        <f>COUNTIFS(Podcasts!$D$10:$D$2535,"="&amp;HO$373,Podcasts!$E$10:$E$2535,"&gt;=1.1.2018",Podcasts!$E$10:$E$2535,"&lt;01.01.2019")</f>
        <v>0</v>
      </c>
      <c r="HP381" s="243">
        <f>COUNTIFS(Podcasts!$D$10:$D$2535,"="&amp;HP$373,Podcasts!$E$10:$E$2535,"&gt;=1.1.2018",Podcasts!$E$10:$E$2535,"&lt;01.01.2019")</f>
        <v>0</v>
      </c>
      <c r="HQ381" s="243">
        <f>COUNTIFS(Podcasts!$D$10:$D$2535,"="&amp;HQ$373,Podcasts!$E$10:$E$2535,"&gt;=1.1.2018",Podcasts!$E$10:$E$2535,"&lt;01.01.2019")</f>
        <v>0</v>
      </c>
      <c r="HR381" s="243">
        <f>COUNTIFS(Podcasts!$D$10:$D$2535,"="&amp;HR$373,Podcasts!$E$10:$E$2535,"&gt;=1.1.2018",Podcasts!$E$10:$E$2535,"&lt;01.01.2019")</f>
        <v>0</v>
      </c>
      <c r="HS381" s="243">
        <f>COUNTIFS(Podcasts!$D$10:$D$2535,"="&amp;HS$373,Podcasts!$E$10:$E$2535,"&gt;=1.1.2018",Podcasts!$E$10:$E$2535,"&lt;01.01.2019")</f>
        <v>0</v>
      </c>
      <c r="HT381" s="243">
        <f>COUNTIFS(Podcasts!$D$10:$D$2535,"="&amp;HT$373,Podcasts!$E$10:$E$2535,"&gt;=1.1.2018",Podcasts!$E$10:$E$2535,"&lt;01.01.2019")</f>
        <v>0</v>
      </c>
      <c r="HU381" s="243">
        <f>COUNTIFS(Podcasts!$D$10:$D$2535,"="&amp;HU$373,Podcasts!$E$10:$E$2535,"&gt;=1.1.2018",Podcasts!$E$10:$E$2535,"&lt;01.01.2019")</f>
        <v>0</v>
      </c>
      <c r="HV381" s="243">
        <f>COUNTIFS(Podcasts!$D$10:$D$2535,"="&amp;HV$373,Podcasts!$E$10:$E$2535,"&gt;=1.1.2018",Podcasts!$E$10:$E$2535,"&lt;01.01.2019")</f>
        <v>0</v>
      </c>
      <c r="HW381" s="243">
        <f>COUNTIFS(Podcasts!$D$10:$D$2535,"="&amp;HW$373,Podcasts!$E$10:$E$2535,"&gt;=1.1.2018",Podcasts!$E$10:$E$2535,"&lt;01.01.2019")</f>
        <v>0</v>
      </c>
      <c r="HX381" s="243">
        <f>COUNTIFS(Podcasts!$D$10:$D$2535,"="&amp;HX$373,Podcasts!$E$10:$E$2535,"&gt;=1.1.2018",Podcasts!$E$10:$E$2535,"&lt;01.01.2019")</f>
        <v>0</v>
      </c>
      <c r="HY381" s="243">
        <f>COUNTIFS(Podcasts!$D$10:$D$2535,"="&amp;HY$373,Podcasts!$E$10:$E$2535,"&gt;=1.1.2018",Podcasts!$E$10:$E$2535,"&lt;01.01.2019")</f>
        <v>0</v>
      </c>
      <c r="HZ381" s="243">
        <f>COUNTIFS(Podcasts!$D$10:$D$2535,"="&amp;HZ$373,Podcasts!$E$10:$E$2535,"&gt;=1.1.2018",Podcasts!$E$10:$E$2535,"&lt;01.01.2019")</f>
        <v>0</v>
      </c>
    </row>
    <row r="382" spans="1:234">
      <c r="A382" s="28"/>
      <c r="B382" s="28"/>
      <c r="C382" s="458">
        <v>2014</v>
      </c>
      <c r="D382" s="28"/>
      <c r="E382" s="243">
        <f>COUNTIFS(Podcasts!$D$10:$D$2535,"="&amp;E$373,Podcasts!$E$10:$E$2535,"&gt;=1.1.2019",Podcasts!$E$10:$E$2535,"&lt;01.01.2020")</f>
        <v>0</v>
      </c>
      <c r="F382" s="243">
        <f>COUNTIFS(Podcasts!$D$10:$D$2535,"="&amp;F$373,Podcasts!$E$10:$E$2535,"&gt;=1.1.2019",Podcasts!$E$10:$E$2535,"&lt;01.01.2020")</f>
        <v>1</v>
      </c>
      <c r="G382" s="243">
        <f>COUNTIFS(Podcasts!$D$10:$D$2535,"="&amp;G$373,Podcasts!$E$10:$E$2535,"&gt;=1.1.2019",Podcasts!$E$10:$E$2535,"&lt;01.01.2020")</f>
        <v>0</v>
      </c>
      <c r="H382" s="243">
        <f>COUNTIFS(Podcasts!$D$10:$D$2535,"="&amp;H$373,Podcasts!$E$10:$E$2535,"&gt;=1.1.2019",Podcasts!$E$10:$E$2535,"&lt;01.01.2020")</f>
        <v>1</v>
      </c>
      <c r="I382" s="243">
        <f>COUNTIFS(Podcasts!$D$10:$D$2535,"="&amp;I$373,Podcasts!$E$10:$E$2535,"&gt;=1.1.2019",Podcasts!$E$10:$E$2535,"&lt;01.01.2020")</f>
        <v>3</v>
      </c>
      <c r="J382" s="243">
        <f>COUNTIFS(Podcasts!$D$10:$D$2535,"="&amp;J$373,Podcasts!$E$10:$E$2535,"&gt;=1.1.2019",Podcasts!$E$10:$E$2535,"&lt;01.01.2020")-1</f>
        <v>2</v>
      </c>
      <c r="K382" s="243">
        <f>COUNTIFS(Podcasts!$D$10:$D$2535,"="&amp;K$373,Podcasts!$E$10:$E$2535,"&gt;=1.1.2019",Podcasts!$E$10:$E$2535,"&lt;01.01.2020")</f>
        <v>2</v>
      </c>
      <c r="L382" s="243">
        <f>COUNTIFS(Podcasts!$D$10:$D$2535,"="&amp;L$373,Podcasts!$E$10:$E$2535,"&gt;=1.1.2019",Podcasts!$E$10:$E$2535,"&lt;01.01.2020")</f>
        <v>0</v>
      </c>
      <c r="M382" s="285">
        <f>COUNTIFS(Podcasts!$D$10:$D$2535,"="&amp;M$373,Podcasts!$E$10:$E$2535,"&gt;=1.1.2019",Podcasts!$E$10:$E$2535,"&lt;01.01.2020")</f>
        <v>0</v>
      </c>
      <c r="N382" s="285">
        <f>COUNTIFS(Podcasts!$D$10:$D$2535,"="&amp;N$373,Podcasts!$E$10:$E$2535,"&gt;=1.1.2019",Podcasts!$E$10:$E$2535,"&lt;01.01.2020")</f>
        <v>0</v>
      </c>
      <c r="O382" s="243">
        <f>COUNTIFS(Podcasts!$D$10:$D$2535,"="&amp;O$373,Podcasts!$E$10:$E$2535,"&gt;=1.1.2019",Podcasts!$E$10:$E$2535,"&lt;01.01.2020")</f>
        <v>1</v>
      </c>
      <c r="P382" s="243">
        <f>COUNTIFS(Podcasts!$D$10:$D$2535,"="&amp;P$373,Podcasts!$E$10:$E$2535,"&gt;=1.1.2019",Podcasts!$E$10:$E$2535,"&lt;01.01.2020")</f>
        <v>0</v>
      </c>
      <c r="Q382" s="243">
        <f>COUNTIFS(Podcasts!$D$10:$D$2535,"="&amp;Q$373,Podcasts!$E$10:$E$2535,"&gt;=1.1.2019",Podcasts!$E$10:$E$2535,"&lt;01.01.2020")</f>
        <v>1</v>
      </c>
      <c r="R382" s="243">
        <f>COUNTIFS(Podcasts!$D$10:$D$2535,"="&amp;R$373,Podcasts!$E$10:$E$2535,"&gt;=1.1.2019",Podcasts!$E$10:$E$2535,"&lt;01.01.2020")</f>
        <v>1</v>
      </c>
      <c r="S382" s="243">
        <f>COUNTIFS(Podcasts!$D$10:$D$2535,"="&amp;S$373,Podcasts!$E$10:$E$2535,"&gt;=1.1.2019",Podcasts!$E$10:$E$2535,"&lt;01.01.2020")</f>
        <v>0</v>
      </c>
      <c r="T382" s="243">
        <f>COUNTIFS(Podcasts!$D$10:$D$2535,"="&amp;T$373,Podcasts!$E$10:$E$2535,"&gt;=1.1.2019",Podcasts!$E$10:$E$2535,"&lt;01.01.2020")</f>
        <v>0</v>
      </c>
      <c r="U382" s="243">
        <f>COUNTIFS(Podcasts!$D$10:$D$2535,"="&amp;U$373,Podcasts!$E$10:$E$2535,"&gt;=1.1.2019",Podcasts!$E$10:$E$2535,"&lt;01.01.2020")</f>
        <v>0</v>
      </c>
      <c r="V382" s="243">
        <f>COUNTIFS(Podcasts!$D$10:$D$2535,"="&amp;V$373,Podcasts!$E$10:$E$2535,"&gt;=1.1.2019",Podcasts!$E$10:$E$2535,"&lt;01.01.2020")</f>
        <v>0</v>
      </c>
      <c r="W382" s="243">
        <f>COUNTIFS(Podcasts!$D$10:$D$2535,"="&amp;W$373,Podcasts!$E$10:$E$2535,"&gt;=1.1.2019",Podcasts!$E$10:$E$2535,"&lt;01.01.2020")</f>
        <v>0</v>
      </c>
      <c r="X382" s="243">
        <f>COUNTIFS(Podcasts!$D$10:$D$2535,"="&amp;X$373,Podcasts!$E$10:$E$2535,"&gt;=1.1.2019",Podcasts!$E$10:$E$2535,"&lt;01.01.2020")</f>
        <v>0</v>
      </c>
      <c r="Y382" s="243">
        <f>COUNTIFS(Podcasts!$D$10:$D$2535,"="&amp;Y$373,Podcasts!$E$10:$E$2535,"&gt;=1.1.2019",Podcasts!$E$10:$E$2535,"&lt;01.01.2020")</f>
        <v>1</v>
      </c>
      <c r="Z382" s="243">
        <f>COUNTIFS(Podcasts!$D$10:$D$2535,"="&amp;Z$373,Podcasts!$E$10:$E$2535,"&gt;=1.1.2019",Podcasts!$E$10:$E$2535,"&lt;01.01.2020")</f>
        <v>1</v>
      </c>
      <c r="AA382" s="243">
        <f>COUNTIFS(Podcasts!$D$10:$D$2535,"="&amp;AA$373,Podcasts!$E$10:$E$2535,"&gt;=1.1.2019",Podcasts!$E$10:$E$2535,"&lt;01.01.2020")</f>
        <v>0</v>
      </c>
      <c r="AB382" s="243">
        <f>COUNTIFS(Podcasts!$D$10:$D$2535,"="&amp;AB$373,Podcasts!$E$10:$E$2535,"&gt;=1.1.2019",Podcasts!$E$10:$E$2535,"&lt;01.01.2020")</f>
        <v>0</v>
      </c>
      <c r="AC382" s="243">
        <f>COUNTIFS(Podcasts!$D$10:$D$2535,"="&amp;AC$373,Podcasts!$E$10:$E$2535,"&gt;=1.1.2019",Podcasts!$E$10:$E$2535,"&lt;01.01.2020")</f>
        <v>0</v>
      </c>
      <c r="AD382" s="243">
        <f>COUNTIFS(Podcasts!$D$10:$D$2535,"="&amp;AD$373,Podcasts!$E$10:$E$2535,"&gt;=1.1.2019",Podcasts!$E$10:$E$2535,"&lt;01.01.2020")</f>
        <v>0</v>
      </c>
      <c r="AE382" s="243">
        <f>COUNTIFS(Podcasts!$D$10:$D$2535,"="&amp;AE$373,Podcasts!$E$10:$E$2535,"&gt;=1.1.2019",Podcasts!$E$10:$E$2535,"&lt;01.01.2020")</f>
        <v>0</v>
      </c>
      <c r="AF382" s="243">
        <f>COUNTIFS(Podcasts!$D$10:$D$2535,"="&amp;AF$373,Podcasts!$E$10:$E$2535,"&gt;=1.1.2019",Podcasts!$E$10:$E$2535,"&lt;01.01.2020")</f>
        <v>0</v>
      </c>
      <c r="AG382" s="243">
        <f>COUNTIFS(Podcasts!$D$10:$D$2535,"="&amp;AG$373,Podcasts!$E$10:$E$2535,"&gt;=1.1.2019",Podcasts!$E$10:$E$2535,"&lt;01.01.2020")</f>
        <v>0</v>
      </c>
      <c r="AH382" s="243">
        <f>COUNTIFS(Podcasts!$D$10:$D$2535,"="&amp;AH$373,Podcasts!$E$10:$E$2535,"&gt;=1.1.2019",Podcasts!$E$10:$E$2535,"&lt;01.01.2020")</f>
        <v>0</v>
      </c>
      <c r="AI382" s="243">
        <f>COUNTIFS(Podcasts!$D$10:$D$2535,"="&amp;AI$373,Podcasts!$E$10:$E$2535,"&gt;=1.1.2019",Podcasts!$E$10:$E$2535,"&lt;01.01.2020")</f>
        <v>0</v>
      </c>
      <c r="AJ382" s="243">
        <f>COUNTIFS(Podcasts!$D$10:$D$2535,"="&amp;AJ$373,Podcasts!$E$10:$E$2535,"&gt;=1.1.2019",Podcasts!$E$10:$E$2535,"&lt;01.01.2020")</f>
        <v>2</v>
      </c>
      <c r="AK382" s="243">
        <f>COUNTIFS(Podcasts!$D$10:$D$2535,"="&amp;AK$373,Podcasts!$E$10:$E$2535,"&gt;=1.1.2019",Podcasts!$E$10:$E$2535,"&lt;01.01.2020")</f>
        <v>1</v>
      </c>
      <c r="AL382" s="243">
        <f>COUNTIFS(Podcasts!$D$10:$D$2535,"="&amp;AL$373,Podcasts!$E$10:$E$2535,"&gt;=1.1.2019",Podcasts!$E$10:$E$2535,"&lt;01.01.2020")</f>
        <v>0</v>
      </c>
      <c r="AM382" s="243">
        <f>COUNTIFS(Podcasts!$D$10:$D$2535,"="&amp;AM$373,Podcasts!$E$10:$E$2535,"&gt;=1.1.2019",Podcasts!$E$10:$E$2535,"&lt;01.01.2020")</f>
        <v>1</v>
      </c>
      <c r="AN382" s="243">
        <f>COUNTIFS(Podcasts!$D$10:$D$2535,"="&amp;AN$373,Podcasts!$E$10:$E$2535,"&gt;=1.1.2019",Podcasts!$E$10:$E$2535,"&lt;01.01.2020")</f>
        <v>0</v>
      </c>
      <c r="AO382" s="243">
        <f>COUNTIFS(Podcasts!$D$10:$D$2535,"="&amp;AO$373,Podcasts!$E$10:$E$2535,"&gt;=1.1.2019",Podcasts!$E$10:$E$2535,"&lt;01.01.2020")</f>
        <v>0</v>
      </c>
      <c r="AP382" s="243">
        <f>COUNTIFS(Podcasts!$D$10:$D$2535,"="&amp;AP$373,Podcasts!$E$10:$E$2535,"&gt;=1.1.2019",Podcasts!$E$10:$E$2535,"&lt;01.01.2020")</f>
        <v>0</v>
      </c>
      <c r="AQ382" s="243">
        <f>COUNTIFS(Podcasts!$D$10:$D$2535,"="&amp;AQ$373,Podcasts!$E$10:$E$2535,"&gt;=1.1.2019",Podcasts!$E$10:$E$2535,"&lt;01.01.2020")</f>
        <v>0</v>
      </c>
      <c r="AR382" s="243">
        <f>COUNTIFS(Podcasts!$D$10:$D$2535,"="&amp;AR$373,Podcasts!$E$10:$E$2535,"&gt;=1.1.2019",Podcasts!$E$10:$E$2535,"&lt;01.01.2020")</f>
        <v>0</v>
      </c>
      <c r="AS382" s="243">
        <f>COUNTIFS(Podcasts!$D$10:$D$2535,"="&amp;AS$373,Podcasts!$E$10:$E$2535,"&gt;=1.1.2019",Podcasts!$E$10:$E$2535,"&lt;01.01.2020")</f>
        <v>0</v>
      </c>
      <c r="AT382" s="243">
        <f>COUNTIFS(Podcasts!$D$10:$D$2535,"="&amp;AT$373,Podcasts!$E$10:$E$2535,"&gt;=1.1.2019",Podcasts!$E$10:$E$2535,"&lt;01.01.2020")</f>
        <v>0</v>
      </c>
      <c r="AU382" s="243">
        <f>COUNTIFS(Podcasts!$D$10:$D$2535,"="&amp;AU$373,Podcasts!$E$10:$E$2535,"&gt;=1.1.2019",Podcasts!$E$10:$E$2535,"&lt;01.01.2020")</f>
        <v>0</v>
      </c>
      <c r="AV382" s="243">
        <f>COUNTIFS(Podcasts!$D$10:$D$2535,"="&amp;AV$373,Podcasts!$E$10:$E$2535,"&gt;=1.1.2019",Podcasts!$E$10:$E$2535,"&lt;01.01.2020")</f>
        <v>0</v>
      </c>
      <c r="AW382" s="243">
        <f>COUNTIFS(Podcasts!$D$10:$D$2535,"="&amp;AW$373,Podcasts!$E$10:$E$2535,"&gt;=1.1.2019",Podcasts!$E$10:$E$2535,"&lt;01.01.2020")</f>
        <v>0</v>
      </c>
      <c r="AX382" s="243">
        <f>COUNTIFS(Podcasts!$D$10:$D$2535,"="&amp;AX$373,Podcasts!$E$10:$E$2535,"&gt;=1.1.2019",Podcasts!$E$10:$E$2535,"&lt;01.01.2020")</f>
        <v>0</v>
      </c>
      <c r="AY382" s="243">
        <f>COUNTIFS(Podcasts!$D$10:$D$2535,"="&amp;AY$373,Podcasts!$E$10:$E$2535,"&gt;=1.1.2019",Podcasts!$E$10:$E$2535,"&lt;01.01.2020")</f>
        <v>1</v>
      </c>
      <c r="AZ382" s="243">
        <f>COUNTIFS(Podcasts!$D$10:$D$2535,"="&amp;AZ$373,Podcasts!$E$10:$E$2535,"&gt;=1.1.2019",Podcasts!$E$10:$E$2535,"&lt;01.01.2020")</f>
        <v>1</v>
      </c>
      <c r="BA382" s="243">
        <f>COUNTIFS(Podcasts!$D$10:$D$2535,"="&amp;BA$373,Podcasts!$E$10:$E$2535,"&gt;=1.1.2019",Podcasts!$E$10:$E$2535,"&lt;01.01.2020")</f>
        <v>0</v>
      </c>
      <c r="BB382" s="243">
        <f>COUNTIFS(Podcasts!$D$10:$D$2535,"="&amp;BB$373,Podcasts!$E$10:$E$2535,"&gt;=1.1.2019",Podcasts!$E$10:$E$2535,"&lt;01.01.2020")</f>
        <v>0</v>
      </c>
      <c r="BC382" s="243">
        <f>COUNTIFS(Podcasts!$D$10:$D$2535,"="&amp;BC$373,Podcasts!$E$10:$E$2535,"&gt;=1.1.2019",Podcasts!$E$10:$E$2535,"&lt;01.01.2020")</f>
        <v>0</v>
      </c>
      <c r="BD382" s="243">
        <f>COUNTIFS(Podcasts!$D$10:$D$2535,"="&amp;BD$373,Podcasts!$E$10:$E$2535,"&gt;=1.1.2019",Podcasts!$E$10:$E$2535,"&lt;01.01.2020")</f>
        <v>0</v>
      </c>
      <c r="BE382" s="243">
        <f>COUNTIFS(Podcasts!$D$10:$D$2535,"="&amp;BE$373,Podcasts!$E$10:$E$2535,"&gt;=1.1.2019",Podcasts!$E$10:$E$2535,"&lt;01.01.2020")</f>
        <v>0</v>
      </c>
      <c r="BF382" s="243">
        <f>COUNTIFS(Podcasts!$D$10:$D$2535,"="&amp;BF$373,Podcasts!$E$10:$E$2535,"&gt;=1.1.2019",Podcasts!$E$10:$E$2535,"&lt;01.01.2020")</f>
        <v>0</v>
      </c>
      <c r="BG382" s="243">
        <f>COUNTIFS(Podcasts!$D$10:$D$2535,"="&amp;BG$373,Podcasts!$E$10:$E$2535,"&gt;=1.1.2019",Podcasts!$E$10:$E$2535,"&lt;01.01.2020")</f>
        <v>0</v>
      </c>
      <c r="BH382" s="243">
        <f>COUNTIFS(Podcasts!$D$10:$D$2535,"="&amp;BH$373,Podcasts!$E$10:$E$2535,"&gt;=1.1.2019",Podcasts!$E$10:$E$2535,"&lt;01.01.2020")</f>
        <v>0</v>
      </c>
      <c r="BI382" s="243">
        <f>COUNTIFS(Podcasts!$D$10:$D$2535,"="&amp;BI$373,Podcasts!$E$10:$E$2535,"&gt;=1.1.2019",Podcasts!$E$10:$E$2535,"&lt;01.01.2020")</f>
        <v>0</v>
      </c>
      <c r="BJ382" s="243">
        <f>COUNTIFS(Podcasts!$D$10:$D$2535,"="&amp;BJ$373,Podcasts!$E$10:$E$2535,"&gt;=1.1.2019",Podcasts!$E$10:$E$2535,"&lt;01.01.2020")</f>
        <v>0</v>
      </c>
      <c r="BK382" s="243">
        <f>COUNTIFS(Podcasts!$D$10:$D$2535,"="&amp;BK$373,Podcasts!$E$10:$E$2535,"&gt;=1.1.2019",Podcasts!$E$10:$E$2535,"&lt;01.01.2020")</f>
        <v>0</v>
      </c>
      <c r="BL382" s="243">
        <f>COUNTIFS(Podcasts!$D$10:$D$2535,"="&amp;BL$373,Podcasts!$E$10:$E$2535,"&gt;=1.1.2019",Podcasts!$E$10:$E$2535,"&lt;01.01.2020")</f>
        <v>0</v>
      </c>
      <c r="BM382" s="243">
        <f>COUNTIFS(Podcasts!$D$10:$D$2535,"="&amp;BM$373,Podcasts!$E$10:$E$2535,"&gt;=1.1.2019",Podcasts!$E$10:$E$2535,"&lt;01.01.2020")</f>
        <v>0</v>
      </c>
      <c r="BN382" s="243">
        <f>COUNTIFS(Podcasts!$D$10:$D$2535,"="&amp;BN$373,Podcasts!$E$10:$E$2535,"&gt;=1.1.2019",Podcasts!$E$10:$E$2535,"&lt;01.01.2020")</f>
        <v>0</v>
      </c>
      <c r="BO382" s="243">
        <f>COUNTIFS(Podcasts!$D$10:$D$2535,"="&amp;BO$373,Podcasts!$E$10:$E$2535,"&gt;=1.1.2019",Podcasts!$E$10:$E$2535,"&lt;01.01.2020")</f>
        <v>1</v>
      </c>
      <c r="BP382" s="243">
        <f>COUNTIFS(Podcasts!$D$10:$D$2535,"="&amp;BP$373,Podcasts!$E$10:$E$2535,"&gt;=1.1.2019",Podcasts!$E$10:$E$2535,"&lt;01.01.2020")</f>
        <v>0</v>
      </c>
      <c r="BQ382" s="243">
        <f>COUNTIFS(Podcasts!$D$10:$D$2535,"="&amp;BQ$373,Podcasts!$E$10:$E$2535,"&gt;=1.1.2019",Podcasts!$E$10:$E$2535,"&lt;01.01.2020")</f>
        <v>0</v>
      </c>
      <c r="BR382" s="243">
        <f>COUNTIFS(Podcasts!$D$10:$D$2535,"="&amp;BR$373,Podcasts!$E$10:$E$2535,"&gt;=1.1.2019",Podcasts!$E$10:$E$2535,"&lt;01.01.2020")</f>
        <v>0</v>
      </c>
      <c r="BS382" s="243">
        <f>COUNTIFS(Podcasts!$D$10:$D$2535,"="&amp;BS$373,Podcasts!$E$10:$E$2535,"&gt;=1.1.2019",Podcasts!$E$10:$E$2535,"&lt;01.01.2020")</f>
        <v>0</v>
      </c>
      <c r="BT382" s="243">
        <f>COUNTIFS(Podcasts!$D$10:$D$2535,"="&amp;BT$373,Podcasts!$E$10:$E$2535,"&gt;=1.1.2019",Podcasts!$E$10:$E$2535,"&lt;01.01.2020")</f>
        <v>0</v>
      </c>
      <c r="BU382" s="243">
        <f>COUNTIFS(Podcasts!$D$10:$D$2535,"="&amp;BU$373,Podcasts!$E$10:$E$2535,"&gt;=1.1.2019",Podcasts!$E$10:$E$2535,"&lt;01.01.2020")</f>
        <v>0</v>
      </c>
      <c r="BV382" s="243">
        <f>COUNTIFS(Podcasts!$D$10:$D$2535,"="&amp;BV$373,Podcasts!$E$10:$E$2535,"&gt;=1.1.2019",Podcasts!$E$10:$E$2535,"&lt;01.01.2020")</f>
        <v>0</v>
      </c>
      <c r="BW382" s="243">
        <f>COUNTIFS(Podcasts!$D$10:$D$2535,"="&amp;BW$373,Podcasts!$E$10:$E$2535,"&gt;=1.1.2019",Podcasts!$E$10:$E$2535,"&lt;01.01.2020")</f>
        <v>0</v>
      </c>
      <c r="BX382" s="243">
        <f>COUNTIFS(Podcasts!$D$10:$D$2535,"="&amp;BX$373,Podcasts!$E$10:$E$2535,"&gt;=1.1.2019",Podcasts!$E$10:$E$2535,"&lt;01.01.2020")</f>
        <v>2</v>
      </c>
      <c r="BY382" s="243">
        <f>COUNTIFS(Podcasts!$D$10:$D$2535,"="&amp;BY$373,Podcasts!$E$10:$E$2535,"&gt;=1.1.2019",Podcasts!$E$10:$E$2535,"&lt;01.01.2020")</f>
        <v>1</v>
      </c>
      <c r="BZ382" s="243">
        <f>COUNTIFS(Podcasts!$D$10:$D$2535,"="&amp;BZ$373,Podcasts!$E$10:$E$2535,"&gt;=1.1.2019",Podcasts!$E$10:$E$2535,"&lt;01.01.2020")</f>
        <v>1</v>
      </c>
      <c r="CA382" s="243">
        <f>COUNTIFS(Podcasts!$D$10:$D$2535,"="&amp;CA$373,Podcasts!$E$10:$E$2535,"&gt;=1.1.2019",Podcasts!$E$10:$E$2535,"&lt;01.01.2020")</f>
        <v>0</v>
      </c>
      <c r="CB382" s="243">
        <f>COUNTIFS(Podcasts!$D$10:$D$2535,"="&amp;CB$373,Podcasts!$E$10:$E$2535,"&gt;=1.1.2019",Podcasts!$E$10:$E$2535,"&lt;01.01.2020")</f>
        <v>0</v>
      </c>
      <c r="CC382" s="243">
        <f>COUNTIFS(Podcasts!$D$10:$D$2535,"="&amp;CC$373,Podcasts!$E$10:$E$2535,"&gt;=1.1.2019",Podcasts!$E$10:$E$2535,"&lt;01.01.2020")</f>
        <v>0</v>
      </c>
      <c r="CD382" s="243">
        <f>COUNTIFS(Podcasts!$D$10:$D$2535,"="&amp;CD$373,Podcasts!$E$10:$E$2535,"&gt;=1.1.2019",Podcasts!$E$10:$E$2535,"&lt;01.01.2020")</f>
        <v>0</v>
      </c>
      <c r="CE382" s="243">
        <f>COUNTIFS(Podcasts!$D$10:$D$2535,"="&amp;CE$373,Podcasts!$E$10:$E$2535,"&gt;=1.1.2019",Podcasts!$E$10:$E$2535,"&lt;01.01.2020")</f>
        <v>0</v>
      </c>
      <c r="CF382" s="243">
        <f>COUNTIFS(Podcasts!$D$10:$D$2535,"="&amp;CF$373,Podcasts!$E$10:$E$2535,"&gt;=1.1.2019",Podcasts!$E$10:$E$2535,"&lt;01.01.2020")</f>
        <v>0</v>
      </c>
      <c r="CG382" s="243">
        <f>COUNTIFS(Podcasts!$D$10:$D$2535,"="&amp;CG$373,Podcasts!$E$10:$E$2535,"&gt;=1.1.2019",Podcasts!$E$10:$E$2535,"&lt;01.01.2020")</f>
        <v>0</v>
      </c>
      <c r="CH382" s="243">
        <f>COUNTIFS(Podcasts!$D$10:$D$2535,"="&amp;CH$373,Podcasts!$E$10:$E$2535,"&gt;=1.1.2019",Podcasts!$E$10:$E$2535,"&lt;01.01.2020")</f>
        <v>0</v>
      </c>
      <c r="CI382" s="243">
        <f>COUNTIFS(Podcasts!$D$10:$D$2535,"="&amp;CI$373,Podcasts!$E$10:$E$2535,"&gt;=1.1.2019",Podcasts!$E$10:$E$2535,"&lt;01.01.2020")</f>
        <v>0</v>
      </c>
      <c r="CJ382" s="243">
        <f>COUNTIFS(Podcasts!$D$10:$D$2535,"="&amp;CJ$373,Podcasts!$E$10:$E$2535,"&gt;=1.1.2019",Podcasts!$E$10:$E$2535,"&lt;01.01.2020")</f>
        <v>3</v>
      </c>
      <c r="CK382" s="243">
        <f>COUNTIFS(Podcasts!$D$10:$D$2535,"="&amp;CK$373,Podcasts!$E$10:$E$2535,"&gt;=1.1.2019",Podcasts!$E$10:$E$2535,"&lt;01.01.2020")</f>
        <v>0</v>
      </c>
      <c r="CL382" s="243">
        <f>COUNTIFS(Podcasts!$D$10:$D$2535,"="&amp;CL$373,Podcasts!$E$10:$E$2535,"&gt;=1.1.2019",Podcasts!$E$10:$E$2535,"&lt;01.01.2020")</f>
        <v>1</v>
      </c>
      <c r="CM382" s="243">
        <f>COUNTIFS(Podcasts!$D$10:$D$2535,"="&amp;CM$373,Podcasts!$E$10:$E$2535,"&gt;=1.1.2019",Podcasts!$E$10:$E$2535,"&lt;01.01.2020")</f>
        <v>0</v>
      </c>
      <c r="CN382" s="243">
        <f>COUNTIFS(Podcasts!$D$10:$D$2535,"="&amp;CN$373,Podcasts!$E$10:$E$2535,"&gt;=1.1.2019",Podcasts!$E$10:$E$2535,"&lt;01.01.2020")</f>
        <v>0</v>
      </c>
      <c r="CO382" s="243">
        <f>COUNTIFS(Podcasts!$D$10:$D$2535,"="&amp;CO$373,Podcasts!$E$10:$E$2535,"&gt;=1.1.2019",Podcasts!$E$10:$E$2535,"&lt;01.01.2020")</f>
        <v>1</v>
      </c>
      <c r="CP382" s="243">
        <f>COUNTIFS(Podcasts!$D$10:$D$2535,"="&amp;CP$373,Podcasts!$E$10:$E$2535,"&gt;=1.1.2019",Podcasts!$E$10:$E$2535,"&lt;01.01.2020")</f>
        <v>1</v>
      </c>
      <c r="CQ382" s="243">
        <f>COUNTIFS(Podcasts!$D$10:$D$2535,"="&amp;CQ$373,Podcasts!$E$10:$E$2535,"&gt;=1.1.2019",Podcasts!$E$10:$E$2535,"&lt;01.01.2020")</f>
        <v>0</v>
      </c>
      <c r="CR382" s="243">
        <f>COUNTIFS(Podcasts!$D$10:$D$2535,"="&amp;CR$373,Podcasts!$E$10:$E$2535,"&gt;=1.1.2019",Podcasts!$E$10:$E$2535,"&lt;01.01.2020")</f>
        <v>2</v>
      </c>
      <c r="CS382" s="243">
        <f>COUNTIFS(Podcasts!$D$10:$D$2535,"="&amp;CS$373,Podcasts!$E$10:$E$2535,"&gt;=1.1.2019",Podcasts!$E$10:$E$2535,"&lt;01.01.2020")</f>
        <v>0</v>
      </c>
      <c r="CT382" s="243">
        <f>COUNTIFS(Podcasts!$D$10:$D$2535,"="&amp;CT$373,Podcasts!$E$10:$E$2535,"&gt;=1.1.2019",Podcasts!$E$10:$E$2535,"&lt;01.01.2020")</f>
        <v>0</v>
      </c>
      <c r="CU382" s="243">
        <f>COUNTIFS(Podcasts!$D$10:$D$2535,"="&amp;CU$373,Podcasts!$E$10:$E$2535,"&gt;=1.1.2019",Podcasts!$E$10:$E$2535,"&lt;01.01.2020")</f>
        <v>1</v>
      </c>
      <c r="CV382" s="243">
        <f>COUNTIFS(Podcasts!$D$10:$D$2535,"="&amp;CV$373,Podcasts!$E$10:$E$2535,"&gt;=1.1.2019",Podcasts!$E$10:$E$2535,"&lt;01.01.2020")</f>
        <v>0</v>
      </c>
      <c r="CW382" s="243">
        <f>COUNTIFS(Podcasts!$D$10:$D$2535,"="&amp;CW$373,Podcasts!$E$10:$E$2535,"&gt;=1.1.2019",Podcasts!$E$10:$E$2535,"&lt;01.01.2020")</f>
        <v>0</v>
      </c>
      <c r="CX382" s="243">
        <f>COUNTIFS(Podcasts!$D$10:$D$2535,"="&amp;CX$373,Podcasts!$E$10:$E$2535,"&gt;=1.1.2019",Podcasts!$E$10:$E$2535,"&lt;01.01.2020")</f>
        <v>0</v>
      </c>
      <c r="CY382" s="243">
        <f>COUNTIFS(Podcasts!$D$10:$D$2535,"="&amp;CY$373,Podcasts!$E$10:$E$2535,"&gt;=1.1.2019",Podcasts!$E$10:$E$2535,"&lt;01.01.2020")</f>
        <v>0</v>
      </c>
      <c r="CZ382" s="243">
        <f>COUNTIFS(Podcasts!$D$10:$D$2535,"="&amp;CZ$373,Podcasts!$E$10:$E$2535,"&gt;=1.1.2019",Podcasts!$E$10:$E$2535,"&lt;01.01.2020")</f>
        <v>0</v>
      </c>
      <c r="DA382" s="243">
        <f>COUNTIFS(Podcasts!$D$10:$D$2535,"="&amp;DA$373,Podcasts!$E$10:$E$2535,"&gt;=1.1.2019",Podcasts!$E$10:$E$2535,"&lt;01.01.2020")</f>
        <v>0</v>
      </c>
      <c r="DB382" s="243">
        <f>COUNTIFS(Podcasts!$D$10:$D$2535,"="&amp;DB$373,Podcasts!$E$10:$E$2535,"&gt;=1.1.2019",Podcasts!$E$10:$E$2535,"&lt;01.01.2020")</f>
        <v>0</v>
      </c>
      <c r="DC382" s="243">
        <f>COUNTIFS(Podcasts!$D$10:$D$2535,"="&amp;DC$373,Podcasts!$E$10:$E$2535,"&gt;=1.1.2019",Podcasts!$E$10:$E$2535,"&lt;01.01.2020")</f>
        <v>0</v>
      </c>
      <c r="DD382" s="243">
        <f>COUNTIFS(Podcasts!$D$10:$D$2535,"="&amp;DD$373,Podcasts!$E$10:$E$2535,"&gt;=1.1.2019",Podcasts!$E$10:$E$2535,"&lt;01.01.2020")</f>
        <v>0</v>
      </c>
      <c r="DE382" s="243">
        <f>COUNTIFS(Podcasts!$D$10:$D$2535,"="&amp;DE$373,Podcasts!$E$10:$E$2535,"&gt;=1.1.2019",Podcasts!$E$10:$E$2535,"&lt;01.01.2020")</f>
        <v>2</v>
      </c>
      <c r="DF382" s="243">
        <f>COUNTIFS(Podcasts!$D$10:$D$2535,"="&amp;DF$373,Podcasts!$E$10:$E$2535,"&gt;=1.1.2019",Podcasts!$E$10:$E$2535,"&lt;01.01.2020")</f>
        <v>0</v>
      </c>
      <c r="DG382" s="243">
        <f>COUNTIFS(Podcasts!$D$10:$D$2535,"="&amp;DG$373,Podcasts!$E$10:$E$2535,"&gt;=1.1.2019",Podcasts!$E$10:$E$2535,"&lt;01.01.2020")</f>
        <v>1</v>
      </c>
      <c r="DH382" s="243">
        <f>COUNTIFS(Podcasts!$D$10:$D$2535,"="&amp;DH$373,Podcasts!$E$10:$E$2535,"&gt;=1.1.2019",Podcasts!$E$10:$E$2535,"&lt;01.01.2020")</f>
        <v>0</v>
      </c>
      <c r="DI382" s="243">
        <f>COUNTIFS(Podcasts!$D$10:$D$2535,"="&amp;DI$373,Podcasts!$E$10:$E$2535,"&gt;=1.1.2019",Podcasts!$E$10:$E$2535,"&lt;01.01.2020")</f>
        <v>0</v>
      </c>
      <c r="DJ382" s="243">
        <f>COUNTIFS(Podcasts!$D$10:$D$2535,"="&amp;DJ$373,Podcasts!$E$10:$E$2535,"&gt;=1.1.2019",Podcasts!$E$10:$E$2535,"&lt;01.01.2020")-1</f>
        <v>1</v>
      </c>
      <c r="DK382" s="243">
        <f>COUNTIFS(Podcasts!$D$10:$D$2535,"="&amp;DK$373,Podcasts!$E$10:$E$2535,"&gt;=1.1.2019",Podcasts!$E$10:$E$2535,"&lt;01.01.2020")</f>
        <v>0</v>
      </c>
      <c r="DL382" s="243">
        <f>COUNTIFS(Podcasts!$D$10:$D$2535,"="&amp;DL$373,Podcasts!$E$10:$E$2535,"&gt;=1.1.2019",Podcasts!$E$10:$E$2535,"&lt;01.01.2020")</f>
        <v>1</v>
      </c>
      <c r="DM382" s="243">
        <f>COUNTIFS(Podcasts!$D$10:$D$2535,"="&amp;DM$373,Podcasts!$E$10:$E$2535,"&gt;=1.1.2019",Podcasts!$E$10:$E$2535,"&lt;01.01.2020")</f>
        <v>0</v>
      </c>
      <c r="DN382" s="243">
        <f>COUNTIFS(Podcasts!$D$10:$D$2535,"="&amp;DN$373,Podcasts!$E$10:$E$2535,"&gt;=1.1.2019",Podcasts!$E$10:$E$2535,"&lt;01.01.2020")</f>
        <v>0</v>
      </c>
      <c r="DO382" s="243">
        <f>COUNTIFS(Podcasts!$D$10:$D$2535,"="&amp;DO$373,Podcasts!$E$10:$E$2535,"&gt;=1.1.2019",Podcasts!$E$10:$E$2535,"&lt;01.01.2020")</f>
        <v>0</v>
      </c>
      <c r="DP382" s="243">
        <f>COUNTIFS(Podcasts!$D$10:$D$2535,"="&amp;DP$373,Podcasts!$E$10:$E$2535,"&gt;=1.1.2019",Podcasts!$E$10:$E$2535,"&lt;01.01.2020")</f>
        <v>0</v>
      </c>
      <c r="DQ382" s="243">
        <f>COUNTIFS(Podcasts!$D$10:$D$2535,"="&amp;DQ$373,Podcasts!$E$10:$E$2535,"&gt;=1.1.2019",Podcasts!$E$10:$E$2535,"&lt;01.01.2020")</f>
        <v>0</v>
      </c>
      <c r="DR382" s="243">
        <f>COUNTIFS(Podcasts!$D$10:$D$2535,"="&amp;DR$373,Podcasts!$E$10:$E$2535,"&gt;=1.1.2019",Podcasts!$E$10:$E$2535,"&lt;01.01.2020")</f>
        <v>0</v>
      </c>
      <c r="DS382" s="243">
        <f>COUNTIFS(Podcasts!$D$10:$D$2535,"="&amp;DS$373,Podcasts!$E$10:$E$2535,"&gt;=1.1.2019",Podcasts!$E$10:$E$2535,"&lt;01.01.2020")</f>
        <v>0</v>
      </c>
      <c r="DT382" s="243">
        <f>COUNTIFS(Podcasts!$D$10:$D$2535,"="&amp;DT$373,Podcasts!$E$10:$E$2535,"&gt;=1.1.2019",Podcasts!$E$10:$E$2535,"&lt;01.01.2020")</f>
        <v>0</v>
      </c>
      <c r="DU382" s="243">
        <f>COUNTIFS(Podcasts!$D$10:$D$2535,"="&amp;DU$373,Podcasts!$E$10:$E$2535,"&gt;=1.1.2019",Podcasts!$E$10:$E$2535,"&lt;01.01.2020")</f>
        <v>0</v>
      </c>
      <c r="DV382" s="243">
        <f>COUNTIFS(Podcasts!$D$10:$D$2535,"="&amp;DV$373,Podcasts!$E$10:$E$2535,"&gt;=1.1.2019",Podcasts!$E$10:$E$2535,"&lt;01.01.2020")</f>
        <v>0</v>
      </c>
      <c r="DW382" s="243">
        <f>COUNTIFS(Podcasts!$D$10:$D$2535,"="&amp;DW$373,Podcasts!$E$10:$E$2535,"&gt;=1.1.2019",Podcasts!$E$10:$E$2535,"&lt;01.01.2020")</f>
        <v>0</v>
      </c>
      <c r="DX382" s="243">
        <f>COUNTIFS(Podcasts!$D$10:$D$2535,"="&amp;DX$373,Podcasts!$E$10:$E$2535,"&gt;=1.1.2019",Podcasts!$E$10:$E$2535,"&lt;01.01.2020")</f>
        <v>0</v>
      </c>
      <c r="DY382" s="243">
        <f>COUNTIFS(Podcasts!$D$10:$D$2535,"="&amp;DY$373,Podcasts!$E$10:$E$2535,"&gt;=1.1.2019",Podcasts!$E$10:$E$2535,"&lt;01.01.2020")</f>
        <v>0</v>
      </c>
      <c r="DZ382" s="243">
        <f>COUNTIFS(Podcasts!$D$10:$D$2535,"="&amp;DZ$373,Podcasts!$E$10:$E$2535,"&gt;=1.1.2019",Podcasts!$E$10:$E$2535,"&lt;01.01.2020")</f>
        <v>0</v>
      </c>
      <c r="EA382" s="243">
        <f>COUNTIFS(Podcasts!$D$10:$D$2535,"="&amp;EA$373,Podcasts!$E$10:$E$2535,"&gt;=1.1.2019",Podcasts!$E$10:$E$2535,"&lt;01.01.2020")</f>
        <v>0</v>
      </c>
      <c r="EB382" s="243">
        <f>COUNTIFS(Podcasts!$D$10:$D$2535,"="&amp;EB$373,Podcasts!$E$10:$E$2535,"&gt;=1.1.2019",Podcasts!$E$10:$E$2535,"&lt;01.01.2020")</f>
        <v>0</v>
      </c>
      <c r="EC382" s="243">
        <f>COUNTIFS(Podcasts!$D$10:$D$2535,"="&amp;EC$373,Podcasts!$E$10:$E$2535,"&gt;=1.1.2019",Podcasts!$E$10:$E$2535,"&lt;01.01.2020")</f>
        <v>2</v>
      </c>
      <c r="ED382" s="243">
        <f>COUNTIFS(Podcasts!$D$10:$D$2535,"="&amp;ED$373,Podcasts!$E$10:$E$2535,"&gt;=1.1.2019",Podcasts!$E$10:$E$2535,"&lt;01.01.2020")</f>
        <v>0</v>
      </c>
      <c r="EE382" s="243">
        <f>COUNTIFS(Podcasts!$D$10:$D$2535,"="&amp;EE$373,Podcasts!$E$10:$E$2535,"&gt;=1.1.2019",Podcasts!$E$10:$E$2535,"&lt;01.01.2020")</f>
        <v>0</v>
      </c>
      <c r="EF382" s="243">
        <f>COUNTIFS(Podcasts!$D$10:$D$2535,"="&amp;EF$373,Podcasts!$E$10:$E$2535,"&gt;=1.1.2019",Podcasts!$E$10:$E$2535,"&lt;01.01.2020")</f>
        <v>1</v>
      </c>
      <c r="EG382" s="243">
        <f>COUNTIFS(Podcasts!$D$10:$D$2535,"="&amp;EG$373,Podcasts!$E$10:$E$2535,"&gt;=1.1.2019",Podcasts!$E$10:$E$2535,"&lt;01.01.2020")</f>
        <v>0</v>
      </c>
      <c r="EH382" s="243">
        <f>COUNTIFS(Podcasts!$D$10:$D$2535,"="&amp;EH$373,Podcasts!$E$10:$E$2535,"&gt;=1.1.2019",Podcasts!$E$10:$E$2535,"&lt;01.01.2020")</f>
        <v>0</v>
      </c>
      <c r="EI382" s="243">
        <f>COUNTIFS(Podcasts!$D$10:$D$2535,"="&amp;EI$373,Podcasts!$E$10:$E$2535,"&gt;=1.1.2019",Podcasts!$E$10:$E$2535,"&lt;01.01.2020")</f>
        <v>0</v>
      </c>
      <c r="EJ382" s="243">
        <f>COUNTIFS(Podcasts!$D$10:$D$2535,"="&amp;EJ$373,Podcasts!$E$10:$E$2535,"&gt;=1.1.2019",Podcasts!$E$10:$E$2535,"&lt;01.01.2020")</f>
        <v>2</v>
      </c>
      <c r="EK382" s="243">
        <f>COUNTIFS(Podcasts!$D$10:$D$2535,"="&amp;EK$373,Podcasts!$E$10:$E$2535,"&gt;=1.1.2019",Podcasts!$E$10:$E$2535,"&lt;01.01.2020")</f>
        <v>0</v>
      </c>
      <c r="EL382" s="243">
        <f>COUNTIFS(Podcasts!$D$10:$D$2535,"="&amp;EL$373,Podcasts!$E$10:$E$2535,"&gt;=1.1.2019",Podcasts!$E$10:$E$2535,"&lt;01.01.2020")</f>
        <v>0</v>
      </c>
      <c r="EM382" s="243">
        <f>COUNTIFS(Podcasts!$D$10:$D$2535,"="&amp;EM$373,Podcasts!$E$10:$E$2535,"&gt;=1.1.2019",Podcasts!$E$10:$E$2535,"&lt;01.01.2020")</f>
        <v>0</v>
      </c>
      <c r="EN382" s="243">
        <f>COUNTIFS(Podcasts!$D$10:$D$2535,"="&amp;EN$373,Podcasts!$E$10:$E$2535,"&gt;=1.1.2019",Podcasts!$E$10:$E$2535,"&lt;01.01.2020")</f>
        <v>0</v>
      </c>
      <c r="EO382" s="243">
        <f>COUNTIFS(Podcasts!$D$10:$D$2535,"="&amp;EO$373,Podcasts!$E$10:$E$2535,"&gt;=1.1.2019",Podcasts!$E$10:$E$2535,"&lt;01.01.2020")</f>
        <v>0</v>
      </c>
      <c r="EP382" s="243">
        <f>COUNTIFS(Podcasts!$D$10:$D$2535,"="&amp;EP$373,Podcasts!$E$10:$E$2535,"&gt;=1.1.2019",Podcasts!$E$10:$E$2535,"&lt;01.01.2020")</f>
        <v>0</v>
      </c>
      <c r="EQ382" s="243">
        <f>COUNTIFS(Podcasts!$D$10:$D$2535,"="&amp;EQ$373,Podcasts!$E$10:$E$2535,"&gt;=1.1.2019",Podcasts!$E$10:$E$2535,"&lt;01.01.2020")</f>
        <v>0</v>
      </c>
      <c r="ER382" s="243">
        <f>COUNTIFS(Podcasts!$D$10:$D$2535,"="&amp;ER$373,Podcasts!$E$10:$E$2535,"&gt;=1.1.2019",Podcasts!$E$10:$E$2535,"&lt;01.01.2020")</f>
        <v>0</v>
      </c>
      <c r="ES382" s="243">
        <f>COUNTIFS(Podcasts!$D$10:$D$2535,"="&amp;ES$373,Podcasts!$E$10:$E$2535,"&gt;=1.1.2019",Podcasts!$E$10:$E$2535,"&lt;01.01.2020")</f>
        <v>0</v>
      </c>
      <c r="ET382" s="243">
        <f>COUNTIFS(Podcasts!$D$10:$D$2535,"="&amp;ET$373,Podcasts!$E$10:$E$2535,"&gt;=1.1.2019",Podcasts!$E$10:$E$2535,"&lt;01.01.2020")</f>
        <v>0</v>
      </c>
      <c r="EU382" s="243">
        <f>COUNTIFS(Podcasts!$D$10:$D$2535,"="&amp;EU$373,Podcasts!$E$10:$E$2535,"&gt;=1.1.2019",Podcasts!$E$10:$E$2535,"&lt;01.01.2020")</f>
        <v>1</v>
      </c>
      <c r="EV382" s="243">
        <f>COUNTIFS(Podcasts!$D$10:$D$2535,"="&amp;EV$373,Podcasts!$E$10:$E$2535,"&gt;=1.1.2019",Podcasts!$E$10:$E$2535,"&lt;01.01.2020")</f>
        <v>0</v>
      </c>
      <c r="EW382" s="243">
        <f>COUNTIFS(Podcasts!$D$10:$D$2535,"="&amp;EW$373,Podcasts!$E$10:$E$2535,"&gt;=1.1.2019",Podcasts!$E$10:$E$2535,"&lt;01.01.2020")</f>
        <v>0</v>
      </c>
      <c r="EX382" s="243">
        <f>COUNTIFS(Podcasts!$D$10:$D$2535,"="&amp;EX$373,Podcasts!$E$10:$E$2535,"&gt;=1.1.2019",Podcasts!$E$10:$E$2535,"&lt;01.01.2020")</f>
        <v>0</v>
      </c>
      <c r="EY382" s="243">
        <f>COUNTIFS(Podcasts!$D$10:$D$2535,"="&amp;EY$373,Podcasts!$E$10:$E$2535,"&gt;=1.1.2019",Podcasts!$E$10:$E$2535,"&lt;01.01.2020")</f>
        <v>0</v>
      </c>
      <c r="EZ382" s="243">
        <f>COUNTIFS(Podcasts!$D$10:$D$2535,"="&amp;EZ$373,Podcasts!$E$10:$E$2535,"&gt;=1.1.2019",Podcasts!$E$10:$E$2535,"&lt;01.01.2020")</f>
        <v>0</v>
      </c>
      <c r="FA382" s="243">
        <f>COUNTIFS(Podcasts!$D$10:$D$2535,"="&amp;FA$373,Podcasts!$E$10:$E$2535,"&gt;=1.1.2019",Podcasts!$E$10:$E$2535,"&lt;01.01.2020")</f>
        <v>0</v>
      </c>
      <c r="FB382" s="243">
        <f>COUNTIFS(Podcasts!$D$10:$D$2535,"="&amp;FB$373,Podcasts!$E$10:$E$2535,"&gt;=1.1.2019",Podcasts!$E$10:$E$2535,"&lt;01.01.2020")</f>
        <v>0</v>
      </c>
      <c r="FC382" s="243">
        <f>COUNTIFS(Podcasts!$D$10:$D$2535,"="&amp;FC$373,Podcasts!$E$10:$E$2535,"&gt;=1.1.2019",Podcasts!$E$10:$E$2535,"&lt;01.01.2020")</f>
        <v>0</v>
      </c>
      <c r="FD382" s="243">
        <f>COUNTIFS(Podcasts!$D$10:$D$2535,"="&amp;FD$373,Podcasts!$E$10:$E$2535,"&gt;=1.1.2019",Podcasts!$E$10:$E$2535,"&lt;01.01.2020")</f>
        <v>0</v>
      </c>
      <c r="FE382" s="243">
        <f>COUNTIFS(Podcasts!$D$10:$D$2535,"="&amp;FE$373,Podcasts!$E$10:$E$2535,"&gt;=1.1.2019",Podcasts!$E$10:$E$2535,"&lt;01.01.2020")</f>
        <v>0</v>
      </c>
      <c r="FF382" s="243">
        <f>COUNTIFS(Podcasts!$D$10:$D$2535,"="&amp;FF$373,Podcasts!$E$10:$E$2535,"&gt;=1.1.2019",Podcasts!$E$10:$E$2535,"&lt;01.01.2020")</f>
        <v>0</v>
      </c>
      <c r="FG382" s="243">
        <f>COUNTIFS(Podcasts!$D$10:$D$2535,"="&amp;FG$373,Podcasts!$E$10:$E$2535,"&gt;=1.1.2019",Podcasts!$E$10:$E$2535,"&lt;01.01.2020")</f>
        <v>0</v>
      </c>
      <c r="FH382" s="243">
        <f>COUNTIFS(Podcasts!$D$10:$D$2535,"="&amp;FH$373,Podcasts!$E$10:$E$2535,"&gt;=1.1.2019",Podcasts!$E$10:$E$2535,"&lt;01.01.2020")</f>
        <v>1</v>
      </c>
      <c r="FI382" s="243">
        <f>COUNTIFS(Podcasts!$D$10:$D$2535,"="&amp;FI$373,Podcasts!$E$10:$E$2535,"&gt;=1.1.2019",Podcasts!$E$10:$E$2535,"&lt;01.01.2020")</f>
        <v>0</v>
      </c>
      <c r="FJ382" s="243">
        <f>COUNTIFS(Podcasts!$D$10:$D$2535,"="&amp;FJ$373,Podcasts!$E$10:$E$2535,"&gt;=1.1.2019",Podcasts!$E$10:$E$2535,"&lt;01.01.2020")</f>
        <v>0</v>
      </c>
      <c r="FK382" s="243">
        <f>COUNTIFS(Podcasts!$D$10:$D$2535,"="&amp;FK$373,Podcasts!$E$10:$E$2535,"&gt;=1.1.2019",Podcasts!$E$10:$E$2535,"&lt;01.01.2020")</f>
        <v>0</v>
      </c>
      <c r="FL382" s="243">
        <f>COUNTIFS(Podcasts!$D$10:$D$2535,"="&amp;FL$373,Podcasts!$E$10:$E$2535,"&gt;=1.1.2019",Podcasts!$E$10:$E$2535,"&lt;01.01.2020")</f>
        <v>0</v>
      </c>
      <c r="FM382" s="243">
        <f>COUNTIFS(Podcasts!$D$10:$D$2535,"="&amp;FM$373,Podcasts!$E$10:$E$2535,"&gt;=1.1.2019",Podcasts!$E$10:$E$2535,"&lt;01.01.2020")</f>
        <v>0</v>
      </c>
      <c r="FN382" s="243">
        <f>COUNTIFS(Podcasts!$D$10:$D$2535,"="&amp;FN$373,Podcasts!$E$10:$E$2535,"&gt;=1.1.2019",Podcasts!$E$10:$E$2535,"&lt;01.01.2020")</f>
        <v>0</v>
      </c>
      <c r="FO382" s="243">
        <f>COUNTIFS(Podcasts!$D$10:$D$2535,"="&amp;FO$373,Podcasts!$E$10:$E$2535,"&gt;=1.1.2019",Podcasts!$E$10:$E$2535,"&lt;01.01.2020")</f>
        <v>0</v>
      </c>
      <c r="FP382" s="243">
        <f>COUNTIFS(Podcasts!$D$10:$D$2535,"="&amp;FP$373,Podcasts!$E$10:$E$2535,"&gt;=1.1.2019",Podcasts!$E$10:$E$2535,"&lt;01.01.2020")</f>
        <v>0</v>
      </c>
      <c r="FQ382" s="243">
        <f>COUNTIFS(Podcasts!$D$10:$D$2535,"="&amp;FQ$373,Podcasts!$E$10:$E$2535,"&gt;=1.1.2019",Podcasts!$E$10:$E$2535,"&lt;01.01.2020")</f>
        <v>1</v>
      </c>
      <c r="FR382" s="243">
        <f>COUNTIFS(Podcasts!$D$10:$D$2535,"="&amp;FR$373,Podcasts!$E$10:$E$2535,"&gt;=1.1.2019",Podcasts!$E$10:$E$2535,"&lt;01.01.2020")</f>
        <v>0</v>
      </c>
      <c r="FS382" s="243">
        <f>COUNTIFS(Podcasts!$D$10:$D$2535,"="&amp;FS$373,Podcasts!$E$10:$E$2535,"&gt;=1.1.2019",Podcasts!$E$10:$E$2535,"&lt;01.01.2020")</f>
        <v>0</v>
      </c>
      <c r="FT382" s="243">
        <f>COUNTIFS(Podcasts!$D$10:$D$2535,"="&amp;FT$373,Podcasts!$E$10:$E$2535,"&gt;=1.1.2019",Podcasts!$E$10:$E$2535,"&lt;01.01.2020")</f>
        <v>0</v>
      </c>
      <c r="FU382" s="243">
        <f>COUNTIFS(Podcasts!$D$10:$D$2535,"="&amp;FU$373,Podcasts!$E$10:$E$2535,"&gt;=1.1.2019",Podcasts!$E$10:$E$2535,"&lt;01.01.2020")</f>
        <v>0</v>
      </c>
      <c r="FV382" s="243">
        <f>COUNTIFS(Podcasts!$D$10:$D$2535,"="&amp;FV$373,Podcasts!$E$10:$E$2535,"&gt;=1.1.2019",Podcasts!$E$10:$E$2535,"&lt;01.01.2020")</f>
        <v>0</v>
      </c>
      <c r="FW382" s="243">
        <f>COUNTIFS(Podcasts!$D$10:$D$2535,"="&amp;FW$373,Podcasts!$E$10:$E$2535,"&gt;=1.1.2019",Podcasts!$E$10:$E$2535,"&lt;01.01.2020")</f>
        <v>0</v>
      </c>
      <c r="FX382" s="243">
        <f>COUNTIFS(Podcasts!$D$10:$D$2535,"="&amp;FX$373,Podcasts!$E$10:$E$2535,"&gt;=1.1.2019",Podcasts!$E$10:$E$2535,"&lt;01.01.2020")</f>
        <v>0</v>
      </c>
      <c r="FY382" s="243">
        <f>COUNTIFS(Podcasts!$D$10:$D$2535,"="&amp;FY$373,Podcasts!$E$10:$E$2535,"&gt;=1.1.2019",Podcasts!$E$10:$E$2535,"&lt;01.01.2020")</f>
        <v>0</v>
      </c>
      <c r="FZ382" s="243">
        <f>COUNTIFS(Podcasts!$D$10:$D$2535,"="&amp;FZ$373,Podcasts!$E$10:$E$2535,"&gt;=1.1.2019",Podcasts!$E$10:$E$2535,"&lt;01.01.2020")</f>
        <v>0</v>
      </c>
      <c r="GA382" s="243">
        <f>COUNTIFS(Podcasts!$D$10:$D$2535,"="&amp;GA$373,Podcasts!$E$10:$E$2535,"&gt;=1.1.2019",Podcasts!$E$10:$E$2535,"&lt;01.01.2020")</f>
        <v>0</v>
      </c>
      <c r="GB382" s="243">
        <f>COUNTIFS(Podcasts!$D$10:$D$2535,"="&amp;GB$373,Podcasts!$E$10:$E$2535,"&gt;=1.1.2019",Podcasts!$E$10:$E$2535,"&lt;01.01.2020")</f>
        <v>1</v>
      </c>
      <c r="GC382" s="243">
        <f>COUNTIFS(Podcasts!$D$10:$D$2535,"="&amp;GC$373,Podcasts!$E$10:$E$2535,"&gt;=1.1.2019",Podcasts!$E$10:$E$2535,"&lt;01.01.2020")</f>
        <v>0</v>
      </c>
      <c r="GD382" s="243">
        <f>COUNTIFS(Podcasts!$D$10:$D$2535,"="&amp;GD$373,Podcasts!$E$10:$E$2535,"&gt;=1.1.2019",Podcasts!$E$10:$E$2535,"&lt;01.01.2020")</f>
        <v>0</v>
      </c>
      <c r="GE382" s="243">
        <f>COUNTIFS(Podcasts!$D$10:$D$2535,"="&amp;GE$373,Podcasts!$E$10:$E$2535,"&gt;=1.1.2019",Podcasts!$E$10:$E$2535,"&lt;01.01.2020")</f>
        <v>1</v>
      </c>
      <c r="GF382" s="243">
        <f>COUNTIFS(Podcasts!$D$10:$D$2535,"="&amp;GF$373,Podcasts!$E$10:$E$2535,"&gt;=1.1.2019",Podcasts!$E$10:$E$2535,"&lt;01.01.2020")</f>
        <v>0</v>
      </c>
      <c r="GG382" s="243">
        <f>COUNTIFS(Podcasts!$D$10:$D$2535,"="&amp;GG$373,Podcasts!$E$10:$E$2535,"&gt;=1.1.2019",Podcasts!$E$10:$E$2535,"&lt;01.01.2020")</f>
        <v>1</v>
      </c>
      <c r="GH382" s="243">
        <f>COUNTIFS(Podcasts!$D$10:$D$2535,"="&amp;GH$373,Podcasts!$E$10:$E$2535,"&gt;=1.1.2019",Podcasts!$E$10:$E$2535,"&lt;01.01.2020")</f>
        <v>2</v>
      </c>
      <c r="GI382" s="243">
        <f>COUNTIFS(Podcasts!$D$10:$D$2535,"="&amp;GI$373,Podcasts!$E$10:$E$2535,"&gt;=1.1.2019",Podcasts!$E$10:$E$2535,"&lt;01.01.2020")</f>
        <v>0</v>
      </c>
      <c r="GJ382" s="243">
        <f>COUNTIFS(Podcasts!$D$10:$D$2535,"="&amp;GJ$373,Podcasts!$E$10:$E$2535,"&gt;=1.1.2019",Podcasts!$E$10:$E$2535,"&lt;01.01.2020")</f>
        <v>1</v>
      </c>
      <c r="GK382" s="243">
        <f>COUNTIFS(Podcasts!$D$10:$D$2535,"="&amp;GK$373,Podcasts!$E$10:$E$2535,"&gt;=1.1.2019",Podcasts!$E$10:$E$2535,"&lt;01.01.2020")</f>
        <v>0</v>
      </c>
      <c r="GL382" s="243">
        <f>COUNTIFS(Podcasts!$D$10:$D$2535,"="&amp;GL$373,Podcasts!$E$10:$E$2535,"&gt;=1.1.2019",Podcasts!$E$10:$E$2535,"&lt;01.01.2020")</f>
        <v>0</v>
      </c>
      <c r="GM382" s="243">
        <f>COUNTIFS(Podcasts!$D$10:$D$2535,"="&amp;GM$373,Podcasts!$E$10:$E$2535,"&gt;=1.1.2019",Podcasts!$E$10:$E$2535,"&lt;01.01.2020")</f>
        <v>0</v>
      </c>
      <c r="GN382" s="243">
        <f>COUNTIFS(Podcasts!$D$10:$D$2535,"="&amp;GN$373,Podcasts!$E$10:$E$2535,"&gt;=1.1.2019",Podcasts!$E$10:$E$2535,"&lt;01.01.2020")</f>
        <v>0</v>
      </c>
      <c r="GO382" s="243">
        <f>COUNTIFS(Podcasts!$D$10:$D$2535,"="&amp;GO$373,Podcasts!$E$10:$E$2535,"&gt;=1.1.2019",Podcasts!$E$10:$E$2535,"&lt;01.01.2020")</f>
        <v>0</v>
      </c>
      <c r="GP382" s="243">
        <f>COUNTIFS(Podcasts!$D$10:$D$2535,"="&amp;GP$373,Podcasts!$E$10:$E$2535,"&gt;=1.1.2019",Podcasts!$E$10:$E$2535,"&lt;01.01.2020")</f>
        <v>1</v>
      </c>
      <c r="GQ382" s="243">
        <f>COUNTIFS(Podcasts!$D$10:$D$2535,"="&amp;GQ$373,Podcasts!$E$10:$E$2535,"&gt;=1.1.2019",Podcasts!$E$10:$E$2535,"&lt;01.01.2020")</f>
        <v>0</v>
      </c>
      <c r="GR382" s="243">
        <f>COUNTIFS(Podcasts!$D$10:$D$2535,"="&amp;GR$373,Podcasts!$E$10:$E$2535,"&gt;=1.1.2019",Podcasts!$E$10:$E$2535,"&lt;01.01.2020")</f>
        <v>2</v>
      </c>
      <c r="GS382" s="243">
        <f>COUNTIFS(Podcasts!$D$10:$D$2535,"="&amp;GS$373,Podcasts!$E$10:$E$2535,"&gt;=1.1.2019",Podcasts!$E$10:$E$2535,"&lt;01.01.2020")</f>
        <v>2</v>
      </c>
      <c r="GT382" s="243">
        <f>COUNTIFS(Podcasts!$D$10:$D$2535,"="&amp;GT$373,Podcasts!$E$10:$E$2535,"&gt;=1.1.2019",Podcasts!$E$10:$E$2535,"&lt;01.01.2020")</f>
        <v>2</v>
      </c>
      <c r="GU382" s="243">
        <f>COUNTIFS(Podcasts!$D$10:$D$2535,"="&amp;GU$373,Podcasts!$E$10:$E$2535,"&gt;=1.1.2019",Podcasts!$E$10:$E$2535,"&lt;01.01.2020")</f>
        <v>2</v>
      </c>
      <c r="GV382" s="243">
        <f>COUNTIFS(Podcasts!$D$10:$D$2535,"="&amp;GV$373,Podcasts!$E$10:$E$2535,"&gt;=1.1.2019",Podcasts!$E$10:$E$2535,"&lt;01.01.2020")-3</f>
        <v>3</v>
      </c>
      <c r="GW382" s="243">
        <f>COUNTIFS(Podcasts!$D$10:$D$2535,"="&amp;GW$373,Podcasts!$E$10:$E$2535,"&gt;=1.1.2019",Podcasts!$E$10:$E$2535,"&lt;01.01.2020")</f>
        <v>1</v>
      </c>
      <c r="GX382" s="243">
        <f>COUNTIFS(Podcasts!$D$10:$D$2535,"="&amp;GX$373,Podcasts!$E$10:$E$2535,"&gt;=1.1.2019",Podcasts!$E$10:$E$2535,"&lt;01.01.2020")</f>
        <v>0</v>
      </c>
      <c r="GY382" s="243">
        <f>COUNTIFS(Podcasts!$D$10:$D$2535,"="&amp;GY$373,Podcasts!$E$10:$E$2535,"&gt;=1.1.2019",Podcasts!$E$10:$E$2535,"&lt;01.01.2020")</f>
        <v>0</v>
      </c>
      <c r="GZ382" s="243">
        <f>COUNTIFS(Podcasts!$D$10:$D$2535,"="&amp;GZ$373,Podcasts!$E$10:$E$2535,"&gt;=1.1.2019",Podcasts!$E$10:$E$2535,"&lt;01.01.2020")</f>
        <v>0</v>
      </c>
      <c r="HA382" s="243">
        <f>COUNTIFS(Podcasts!$D$10:$D$2535,"="&amp;HA$373,Podcasts!$E$10:$E$2535,"&gt;=1.1.2019",Podcasts!$E$10:$E$2535,"&lt;01.01.2020")</f>
        <v>0</v>
      </c>
      <c r="HB382" s="243">
        <f>COUNTIFS(Podcasts!$D$10:$D$2535,"="&amp;HB$373,Podcasts!$E$10:$E$2535,"&gt;=1.1.2019",Podcasts!$E$10:$E$2535,"&lt;01.01.2020")</f>
        <v>0</v>
      </c>
      <c r="HC382" s="243">
        <f>COUNTIFS(Podcasts!$D$10:$D$2535,"="&amp;HC$373,Podcasts!$E$10:$E$2535,"&gt;=1.1.2019",Podcasts!$E$10:$E$2535,"&lt;01.01.2020")</f>
        <v>0</v>
      </c>
      <c r="HD382" s="243">
        <f>COUNTIFS(Podcasts!$D$10:$D$2535,"="&amp;HD$373,Podcasts!$E$10:$E$2535,"&gt;=1.1.2019",Podcasts!$E$10:$E$2535,"&lt;01.01.2020")</f>
        <v>0</v>
      </c>
      <c r="HE382" s="243">
        <f>COUNTIFS(Podcasts!$D$10:$D$2535,"="&amp;HE$373,Podcasts!$E$10:$E$2535,"&gt;=1.1.2019",Podcasts!$E$10:$E$2535,"&lt;01.01.2020")</f>
        <v>0</v>
      </c>
      <c r="HF382" s="243">
        <f>COUNTIFS(Podcasts!$D$10:$D$2535,"="&amp;HF$373,Podcasts!$E$10:$E$2535,"&gt;=1.1.2019",Podcasts!$E$10:$E$2535,"&lt;01.01.2020")</f>
        <v>0</v>
      </c>
      <c r="HG382" s="243">
        <f>COUNTIFS(Podcasts!$D$10:$D$2535,"="&amp;HG$373,Podcasts!$E$10:$E$2535,"&gt;=1.1.2019",Podcasts!$E$10:$E$2535,"&lt;01.01.2020")</f>
        <v>0</v>
      </c>
      <c r="HH382" s="243">
        <f>COUNTIFS(Podcasts!$D$10:$D$2535,"="&amp;HH$373,Podcasts!$E$10:$E$2535,"&gt;=1.1.2019",Podcasts!$E$10:$E$2535,"&lt;01.01.2020")</f>
        <v>0</v>
      </c>
      <c r="HI382" s="243">
        <f>COUNTIFS(Podcasts!$D$10:$D$2535,"="&amp;HI$373,Podcasts!$E$10:$E$2535,"&gt;=1.1.2019",Podcasts!$E$10:$E$2535,"&lt;01.01.2020")</f>
        <v>0</v>
      </c>
      <c r="HJ382" s="243">
        <f>COUNTIFS(Podcasts!$D$10:$D$2535,"="&amp;HJ$373,Podcasts!$E$10:$E$2535,"&gt;=1.1.2019",Podcasts!$E$10:$E$2535,"&lt;01.01.2020")</f>
        <v>0</v>
      </c>
      <c r="HK382" s="243">
        <f>COUNTIFS(Podcasts!$D$10:$D$2535,"="&amp;HK$373,Podcasts!$E$10:$E$2535,"&gt;=1.1.2019",Podcasts!$E$10:$E$2535,"&lt;01.01.2020")</f>
        <v>0</v>
      </c>
      <c r="HL382" s="243">
        <f>COUNTIFS(Podcasts!$D$10:$D$2535,"="&amp;HL$373,Podcasts!$E$10:$E$2535,"&gt;=1.1.2019",Podcasts!$E$10:$E$2535,"&lt;01.01.2020")</f>
        <v>0</v>
      </c>
      <c r="HM382" s="243">
        <f>COUNTIFS(Podcasts!$D$10:$D$2535,"="&amp;HM$373,Podcasts!$E$10:$E$2535,"&gt;=1.1.2019",Podcasts!$E$10:$E$2535,"&lt;01.01.2020")</f>
        <v>0</v>
      </c>
      <c r="HN382" s="243">
        <f>COUNTIFS(Podcasts!$D$10:$D$2535,"="&amp;HN$373,Podcasts!$E$10:$E$2535,"&gt;=1.1.2019",Podcasts!$E$10:$E$2535,"&lt;01.01.2020")</f>
        <v>0</v>
      </c>
      <c r="HO382" s="243">
        <f>COUNTIFS(Podcasts!$D$10:$D$2535,"="&amp;HO$373,Podcasts!$E$10:$E$2535,"&gt;=1.1.2019",Podcasts!$E$10:$E$2535,"&lt;01.01.2020")</f>
        <v>0</v>
      </c>
      <c r="HP382" s="243">
        <f>COUNTIFS(Podcasts!$D$10:$D$2535,"="&amp;HP$373,Podcasts!$E$10:$E$2535,"&gt;=1.1.2019",Podcasts!$E$10:$E$2535,"&lt;01.01.2020")</f>
        <v>0</v>
      </c>
      <c r="HQ382" s="243">
        <f>COUNTIFS(Podcasts!$D$10:$D$2535,"="&amp;HQ$373,Podcasts!$E$10:$E$2535,"&gt;=1.1.2019",Podcasts!$E$10:$E$2535,"&lt;01.01.2020")</f>
        <v>0</v>
      </c>
      <c r="HR382" s="243">
        <f>COUNTIFS(Podcasts!$D$10:$D$2535,"="&amp;HR$373,Podcasts!$E$10:$E$2535,"&gt;=1.1.2019",Podcasts!$E$10:$E$2535,"&lt;01.01.2020")</f>
        <v>0</v>
      </c>
      <c r="HS382" s="243">
        <f>COUNTIFS(Podcasts!$D$10:$D$2535,"="&amp;HS$373,Podcasts!$E$10:$E$2535,"&gt;=1.1.2019",Podcasts!$E$10:$E$2535,"&lt;01.01.2020")</f>
        <v>0</v>
      </c>
      <c r="HT382" s="243">
        <f>COUNTIFS(Podcasts!$D$10:$D$2535,"="&amp;HT$373,Podcasts!$E$10:$E$2535,"&gt;=1.1.2019",Podcasts!$E$10:$E$2535,"&lt;01.01.2020")</f>
        <v>0</v>
      </c>
      <c r="HU382" s="243">
        <f>COUNTIFS(Podcasts!$D$10:$D$2535,"="&amp;HU$373,Podcasts!$E$10:$E$2535,"&gt;=1.1.2019",Podcasts!$E$10:$E$2535,"&lt;01.01.2020")</f>
        <v>0</v>
      </c>
      <c r="HV382" s="243">
        <f>COUNTIFS(Podcasts!$D$10:$D$2535,"="&amp;HV$373,Podcasts!$E$10:$E$2535,"&gt;=1.1.2019",Podcasts!$E$10:$E$2535,"&lt;01.01.2020")</f>
        <v>0</v>
      </c>
      <c r="HW382" s="243">
        <f>COUNTIFS(Podcasts!$D$10:$D$2535,"="&amp;HW$373,Podcasts!$E$10:$E$2535,"&gt;=1.1.2019",Podcasts!$E$10:$E$2535,"&lt;01.01.2020")</f>
        <v>0</v>
      </c>
      <c r="HX382" s="243">
        <f>COUNTIFS(Podcasts!$D$10:$D$2535,"="&amp;HX$373,Podcasts!$E$10:$E$2535,"&gt;=1.1.2019",Podcasts!$E$10:$E$2535,"&lt;01.01.2020")</f>
        <v>0</v>
      </c>
      <c r="HY382" s="243">
        <f>COUNTIFS(Podcasts!$D$10:$D$2535,"="&amp;HY$373,Podcasts!$E$10:$E$2535,"&gt;=1.1.2019",Podcasts!$E$10:$E$2535,"&lt;01.01.2020")</f>
        <v>0</v>
      </c>
      <c r="HZ382" s="243">
        <f>COUNTIFS(Podcasts!$D$10:$D$2535,"="&amp;HZ$373,Podcasts!$E$10:$E$2535,"&gt;=1.1.2019",Podcasts!$E$10:$E$2535,"&lt;01.01.2020")</f>
        <v>0</v>
      </c>
    </row>
    <row r="383" spans="1:234">
      <c r="A383" s="28"/>
      <c r="B383" s="28"/>
      <c r="C383" s="457">
        <v>2013</v>
      </c>
      <c r="D383" s="28"/>
      <c r="E383" s="243">
        <f>COUNTIFS(Podcasts!$D$10:$D$2535,"="&amp;E$373,Podcasts!$E$10:$E$2535,"&gt;=1.1.2020",Podcasts!$E$10:$E$2535,"&lt;01.01.2021")</f>
        <v>5</v>
      </c>
      <c r="F383" s="243">
        <f>COUNTIFS(Podcasts!$D$10:$D$2535,"="&amp;F$373,Podcasts!$E$10:$E$2535,"&gt;=1.1.2020",Podcasts!$E$10:$E$2535,"&lt;01.01.2021")</f>
        <v>4</v>
      </c>
      <c r="G383" s="243">
        <f>COUNTIFS(Podcasts!$D$10:$D$2535,"="&amp;G$373,Podcasts!$E$10:$E$2535,"&gt;=1.1.2020",Podcasts!$E$10:$E$2535,"&lt;01.01.2021")</f>
        <v>3</v>
      </c>
      <c r="H383" s="243">
        <f>COUNTIFS(Podcasts!$D$10:$D$2535,"="&amp;H$373,Podcasts!$E$10:$E$2535,"&gt;=1.1.2020",Podcasts!$E$10:$E$2535,"&lt;01.01.2021")</f>
        <v>2</v>
      </c>
      <c r="I383" s="243">
        <f>COUNTIFS(Podcasts!$D$10:$D$2535,"="&amp;I$373,Podcasts!$E$10:$E$2535,"&gt;=1.1.2020",Podcasts!$E$10:$E$2535,"&lt;01.01.2021")</f>
        <v>3</v>
      </c>
      <c r="J383" s="243">
        <f>COUNTIFS(Podcasts!$D$10:$D$2535,"="&amp;J$373,Podcasts!$E$10:$E$2535,"&gt;=1.1.2020",Podcasts!$E$10:$E$2535,"&lt;01.01.2021")</f>
        <v>1</v>
      </c>
      <c r="K383" s="243">
        <f>COUNTIFS(Podcasts!$D$10:$D$2535,"="&amp;K$373,Podcasts!$E$10:$E$2535,"&gt;=1.1.2020",Podcasts!$E$10:$E$2535,"&lt;01.01.2021")</f>
        <v>1</v>
      </c>
      <c r="L383" s="243">
        <f>COUNTIFS(Podcasts!$D$10:$D$2535,"="&amp;L$373,Podcasts!$E$10:$E$2535,"&gt;=1.1.2020",Podcasts!$E$10:$E$2535,"&lt;01.01.2021")</f>
        <v>2</v>
      </c>
      <c r="M383" s="285">
        <f>COUNTIFS(Podcasts!$D$10:$D$2535,"="&amp;M$373,Podcasts!$E$10:$E$2535,"&gt;=1.1.2020",Podcasts!$E$10:$E$2535,"&lt;01.01.2021")</f>
        <v>1</v>
      </c>
      <c r="N383" s="285">
        <f>COUNTIFS(Podcasts!$D$10:$D$2535,"="&amp;N$373,Podcasts!$E$10:$E$2535,"&gt;=1.1.2020",Podcasts!$E$10:$E$2535,"&lt;01.01.2021")</f>
        <v>2</v>
      </c>
      <c r="O383" s="243">
        <f>COUNTIFS(Podcasts!$D$10:$D$2535,"="&amp;O$373,Podcasts!$E$10:$E$2535,"&gt;=1.1.2020",Podcasts!$E$10:$E$2535,"&lt;01.01.2021")</f>
        <v>3</v>
      </c>
      <c r="P383" s="243">
        <f>COUNTIFS(Podcasts!$D$10:$D$2535,"="&amp;P$373,Podcasts!$E$10:$E$2535,"&gt;=1.1.2020",Podcasts!$E$10:$E$2535,"&lt;01.01.2021")</f>
        <v>1</v>
      </c>
      <c r="Q383" s="243">
        <f>COUNTIFS(Podcasts!$D$10:$D$2535,"="&amp;Q$373,Podcasts!$E$10:$E$2535,"&gt;=1.1.2020",Podcasts!$E$10:$E$2535,"&lt;01.01.2021")</f>
        <v>0</v>
      </c>
      <c r="R383" s="243">
        <f>COUNTIFS(Podcasts!$D$10:$D$2535,"="&amp;R$373,Podcasts!$E$10:$E$2535,"&gt;=1.1.2020",Podcasts!$E$10:$E$2535,"&lt;01.01.2021")</f>
        <v>1</v>
      </c>
      <c r="S383" s="243">
        <f>COUNTIFS(Podcasts!$D$10:$D$2535,"="&amp;S$373,Podcasts!$E$10:$E$2535,"&gt;=1.1.2020",Podcasts!$E$10:$E$2535,"&lt;01.01.2021")</f>
        <v>0</v>
      </c>
      <c r="T383" s="243">
        <f>COUNTIFS(Podcasts!$D$10:$D$2535,"="&amp;T$373,Podcasts!$E$10:$E$2535,"&gt;=1.1.2020",Podcasts!$E$10:$E$2535,"&lt;01.01.2021")</f>
        <v>2</v>
      </c>
      <c r="U383" s="243">
        <f>COUNTIFS(Podcasts!$D$10:$D$2535,"="&amp;U$373,Podcasts!$E$10:$E$2535,"&gt;=1.1.2020",Podcasts!$E$10:$E$2535,"&lt;01.01.2021")</f>
        <v>0</v>
      </c>
      <c r="V383" s="243">
        <f>COUNTIFS(Podcasts!$D$10:$D$2535,"="&amp;V$373,Podcasts!$E$10:$E$2535,"&gt;=1.1.2020",Podcasts!$E$10:$E$2535,"&lt;01.01.2021")</f>
        <v>2</v>
      </c>
      <c r="W383" s="243">
        <f>COUNTIFS(Podcasts!$D$10:$D$2535,"="&amp;W$373,Podcasts!$E$10:$E$2535,"&gt;=1.1.2020",Podcasts!$E$10:$E$2535,"&lt;01.01.2021")</f>
        <v>0</v>
      </c>
      <c r="X383" s="243">
        <f>COUNTIFS(Podcasts!$D$10:$D$2535,"="&amp;X$373,Podcasts!$E$10:$E$2535,"&gt;=1.1.2020",Podcasts!$E$10:$E$2535,"&lt;01.01.2021")</f>
        <v>0</v>
      </c>
      <c r="Y383" s="243">
        <f>COUNTIFS(Podcasts!$D$10:$D$2535,"="&amp;Y$373,Podcasts!$E$10:$E$2535,"&gt;=1.1.2020",Podcasts!$E$10:$E$2535,"&lt;01.01.2021")</f>
        <v>0</v>
      </c>
      <c r="Z383" s="243">
        <f>COUNTIFS(Podcasts!$D$10:$D$2535,"="&amp;Z$373,Podcasts!$E$10:$E$2535,"&gt;=1.1.2020",Podcasts!$E$10:$E$2535,"&lt;01.01.2021")</f>
        <v>0</v>
      </c>
      <c r="AA383" s="243">
        <f>COUNTIFS(Podcasts!$D$10:$D$2535,"="&amp;AA$373,Podcasts!$E$10:$E$2535,"&gt;=1.1.2020",Podcasts!$E$10:$E$2535,"&lt;01.01.2021")</f>
        <v>0</v>
      </c>
      <c r="AB383" s="243">
        <f>COUNTIFS(Podcasts!$D$10:$D$2535,"="&amp;AB$373,Podcasts!$E$10:$E$2535,"&gt;=1.1.2020",Podcasts!$E$10:$E$2535,"&lt;01.01.2021")</f>
        <v>1</v>
      </c>
      <c r="AC383" s="243">
        <f>COUNTIFS(Podcasts!$D$10:$D$2535,"="&amp;AC$373,Podcasts!$E$10:$E$2535,"&gt;=1.1.2020",Podcasts!$E$10:$E$2535,"&lt;01.01.2021")</f>
        <v>1</v>
      </c>
      <c r="AD383" s="243">
        <f>COUNTIFS(Podcasts!$D$10:$D$2535,"="&amp;AD$373,Podcasts!$E$10:$E$2535,"&gt;=1.1.2020",Podcasts!$E$10:$E$2535,"&lt;01.01.2021")-1</f>
        <v>1</v>
      </c>
      <c r="AE383" s="243">
        <f>COUNTIFS(Podcasts!$D$10:$D$2535,"="&amp;AE$373,Podcasts!$E$10:$E$2535,"&gt;=1.1.2020",Podcasts!$E$10:$E$2535,"&lt;01.01.2021")</f>
        <v>0</v>
      </c>
      <c r="AF383" s="243">
        <f>COUNTIFS(Podcasts!$D$10:$D$2535,"="&amp;AF$373,Podcasts!$E$10:$E$2535,"&gt;=1.1.2020",Podcasts!$E$10:$E$2535,"&lt;01.01.2021")</f>
        <v>0</v>
      </c>
      <c r="AG383" s="243">
        <f>COUNTIFS(Podcasts!$D$10:$D$2535,"="&amp;AG$373,Podcasts!$E$10:$E$2535,"&gt;=1.1.2020",Podcasts!$E$10:$E$2535,"&lt;01.01.2021")</f>
        <v>1</v>
      </c>
      <c r="AH383" s="243">
        <f>COUNTIFS(Podcasts!$D$10:$D$2535,"="&amp;AH$373,Podcasts!$E$10:$E$2535,"&gt;=1.1.2020",Podcasts!$E$10:$E$2535,"&lt;01.01.2021")</f>
        <v>0</v>
      </c>
      <c r="AI383" s="243">
        <f>COUNTIFS(Podcasts!$D$10:$D$2535,"="&amp;AI$373,Podcasts!$E$10:$E$2535,"&gt;=1.1.2020",Podcasts!$E$10:$E$2535,"&lt;01.01.2021")</f>
        <v>2</v>
      </c>
      <c r="AJ383" s="243">
        <f>COUNTIFS(Podcasts!$D$10:$D$2535,"="&amp;AJ$373,Podcasts!$E$10:$E$2535,"&gt;=1.1.2020",Podcasts!$E$10:$E$2535,"&lt;01.01.2021")</f>
        <v>0</v>
      </c>
      <c r="AK383" s="243">
        <f>COUNTIFS(Podcasts!$D$10:$D$2535,"="&amp;AK$373,Podcasts!$E$10:$E$2535,"&gt;=1.1.2020",Podcasts!$E$10:$E$2535,"&lt;01.01.2021")</f>
        <v>1</v>
      </c>
      <c r="AL383" s="243">
        <f>COUNTIFS(Podcasts!$D$10:$D$2535,"="&amp;AL$373,Podcasts!$E$10:$E$2535,"&gt;=1.1.2020",Podcasts!$E$10:$E$2535,"&lt;01.01.2021")</f>
        <v>0</v>
      </c>
      <c r="AM383" s="243">
        <f>COUNTIFS(Podcasts!$D$10:$D$2535,"="&amp;AM$373,Podcasts!$E$10:$E$2535,"&gt;=1.1.2020",Podcasts!$E$10:$E$2535,"&lt;01.01.2021")</f>
        <v>1</v>
      </c>
      <c r="AN383" s="243">
        <f>COUNTIFS(Podcasts!$D$10:$D$2535,"="&amp;AN$373,Podcasts!$E$10:$E$2535,"&gt;=1.1.2020",Podcasts!$E$10:$E$2535,"&lt;01.01.2021")</f>
        <v>1</v>
      </c>
      <c r="AO383" s="243">
        <f>COUNTIFS(Podcasts!$D$10:$D$2535,"="&amp;AO$373,Podcasts!$E$10:$E$2535,"&gt;=1.1.2020",Podcasts!$E$10:$E$2535,"&lt;01.01.2021")</f>
        <v>0</v>
      </c>
      <c r="AP383" s="243">
        <f>COUNTIFS(Podcasts!$D$10:$D$2535,"="&amp;AP$373,Podcasts!$E$10:$E$2535,"&gt;=1.1.2020",Podcasts!$E$10:$E$2535,"&lt;01.01.2021")</f>
        <v>0</v>
      </c>
      <c r="AQ383" s="243">
        <f>COUNTIFS(Podcasts!$D$10:$D$2535,"="&amp;AQ$373,Podcasts!$E$10:$E$2535,"&gt;=1.1.2020",Podcasts!$E$10:$E$2535,"&lt;01.01.2021")</f>
        <v>0</v>
      </c>
      <c r="AR383" s="243">
        <f>COUNTIFS(Podcasts!$D$10:$D$2535,"="&amp;AR$373,Podcasts!$E$10:$E$2535,"&gt;=1.1.2020",Podcasts!$E$10:$E$2535,"&lt;01.01.2021")</f>
        <v>0</v>
      </c>
      <c r="AS383" s="243">
        <f>COUNTIFS(Podcasts!$D$10:$D$2535,"="&amp;AS$373,Podcasts!$E$10:$E$2535,"&gt;=1.1.2020",Podcasts!$E$10:$E$2535,"&lt;01.01.2021")</f>
        <v>1</v>
      </c>
      <c r="AT383" s="243">
        <f>COUNTIFS(Podcasts!$D$10:$D$2535,"="&amp;AT$373,Podcasts!$E$10:$E$2535,"&gt;=1.1.2020",Podcasts!$E$10:$E$2535,"&lt;01.01.2021")</f>
        <v>0</v>
      </c>
      <c r="AU383" s="243">
        <f>COUNTIFS(Podcasts!$D$10:$D$2535,"="&amp;AU$373,Podcasts!$E$10:$E$2535,"&gt;=1.1.2020",Podcasts!$E$10:$E$2535,"&lt;01.01.2021")</f>
        <v>1</v>
      </c>
      <c r="AV383" s="243">
        <f>COUNTIFS(Podcasts!$D$10:$D$2535,"="&amp;AV$373,Podcasts!$E$10:$E$2535,"&gt;=1.1.2020",Podcasts!$E$10:$E$2535,"&lt;01.01.2021")</f>
        <v>2</v>
      </c>
      <c r="AW383" s="243">
        <f>COUNTIFS(Podcasts!$D$10:$D$2535,"="&amp;AW$373,Podcasts!$E$10:$E$2535,"&gt;=1.1.2020",Podcasts!$E$10:$E$2535,"&lt;01.01.2021")</f>
        <v>2</v>
      </c>
      <c r="AX383" s="243">
        <f>COUNTIFS(Podcasts!$D$10:$D$2535,"="&amp;AX$373,Podcasts!$E$10:$E$2535,"&gt;=1.1.2020",Podcasts!$E$10:$E$2535,"&lt;01.01.2021")</f>
        <v>0</v>
      </c>
      <c r="AY383" s="243">
        <f>COUNTIFS(Podcasts!$D$10:$D$2535,"="&amp;AY$373,Podcasts!$E$10:$E$2535,"&gt;=1.1.2020",Podcasts!$E$10:$E$2535,"&lt;01.01.2021")</f>
        <v>1</v>
      </c>
      <c r="AZ383" s="243">
        <f>COUNTIFS(Podcasts!$D$10:$D$2535,"="&amp;AZ$373,Podcasts!$E$10:$E$2535,"&gt;=1.1.2020",Podcasts!$E$10:$E$2535,"&lt;01.01.2021")</f>
        <v>0</v>
      </c>
      <c r="BA383" s="243">
        <f>COUNTIFS(Podcasts!$D$10:$D$2535,"="&amp;BA$373,Podcasts!$E$10:$E$2535,"&gt;=1.1.2020",Podcasts!$E$10:$E$2535,"&lt;01.01.2021")</f>
        <v>0</v>
      </c>
      <c r="BB383" s="243">
        <f>COUNTIFS(Podcasts!$D$10:$D$2535,"="&amp;BB$373,Podcasts!$E$10:$E$2535,"&gt;=1.1.2020",Podcasts!$E$10:$E$2535,"&lt;01.01.2021")</f>
        <v>1</v>
      </c>
      <c r="BC383" s="243">
        <f>COUNTIFS(Podcasts!$D$10:$D$2535,"="&amp;BC$373,Podcasts!$E$10:$E$2535,"&gt;=1.1.2020",Podcasts!$E$10:$E$2535,"&lt;01.01.2021")</f>
        <v>0</v>
      </c>
      <c r="BD383" s="243">
        <f>COUNTIFS(Podcasts!$D$10:$D$2535,"="&amp;BD$373,Podcasts!$E$10:$E$2535,"&gt;=1.1.2020",Podcasts!$E$10:$E$2535,"&lt;01.01.2021")</f>
        <v>1</v>
      </c>
      <c r="BE383" s="243">
        <f>COUNTIFS(Podcasts!$D$10:$D$2535,"="&amp;BE$373,Podcasts!$E$10:$E$2535,"&gt;=1.1.2020",Podcasts!$E$10:$E$2535,"&lt;01.01.2021")</f>
        <v>0</v>
      </c>
      <c r="BF383" s="243">
        <f>COUNTIFS(Podcasts!$D$10:$D$2535,"="&amp;BF$373,Podcasts!$E$10:$E$2535,"&gt;=1.1.2020",Podcasts!$E$10:$E$2535,"&lt;01.01.2021")</f>
        <v>0</v>
      </c>
      <c r="BG383" s="243">
        <f>COUNTIFS(Podcasts!$D$10:$D$2535,"="&amp;BG$373,Podcasts!$E$10:$E$2535,"&gt;=1.1.2020",Podcasts!$E$10:$E$2535,"&lt;01.01.2021")</f>
        <v>0</v>
      </c>
      <c r="BH383" s="243">
        <f>COUNTIFS(Podcasts!$D$10:$D$2535,"="&amp;BH$373,Podcasts!$E$10:$E$2535,"&gt;=1.1.2020",Podcasts!$E$10:$E$2535,"&lt;01.01.2021")</f>
        <v>1</v>
      </c>
      <c r="BI383" s="243">
        <f>COUNTIFS(Podcasts!$D$10:$D$2535,"="&amp;BI$373,Podcasts!$E$10:$E$2535,"&gt;=1.1.2020",Podcasts!$E$10:$E$2535,"&lt;01.01.2021")</f>
        <v>0</v>
      </c>
      <c r="BJ383" s="243">
        <f>COUNTIFS(Podcasts!$D$10:$D$2535,"="&amp;BJ$373,Podcasts!$E$10:$E$2535,"&gt;=1.1.2020",Podcasts!$E$10:$E$2535,"&lt;01.01.2021")</f>
        <v>0</v>
      </c>
      <c r="BK383" s="243">
        <f>COUNTIFS(Podcasts!$D$10:$D$2535,"="&amp;BK$373,Podcasts!$E$10:$E$2535,"&gt;=1.1.2020",Podcasts!$E$10:$E$2535,"&lt;01.01.2021")</f>
        <v>1</v>
      </c>
      <c r="BL383" s="243">
        <f>COUNTIFS(Podcasts!$D$10:$D$2535,"="&amp;BL$373,Podcasts!$E$10:$E$2535,"&gt;=1.1.2020",Podcasts!$E$10:$E$2535,"&lt;01.01.2021")</f>
        <v>0</v>
      </c>
      <c r="BM383" s="243">
        <f>COUNTIFS(Podcasts!$D$10:$D$2535,"="&amp;BM$373,Podcasts!$E$10:$E$2535,"&gt;=1.1.2020",Podcasts!$E$10:$E$2535,"&lt;01.01.2021")</f>
        <v>0</v>
      </c>
      <c r="BN383" s="243">
        <f>COUNTIFS(Podcasts!$D$10:$D$2535,"="&amp;BN$373,Podcasts!$E$10:$E$2535,"&gt;=1.1.2020",Podcasts!$E$10:$E$2535,"&lt;01.01.2021")</f>
        <v>0</v>
      </c>
      <c r="BO383" s="243">
        <f>COUNTIFS(Podcasts!$D$10:$D$2535,"="&amp;BO$373,Podcasts!$E$10:$E$2535,"&gt;=1.1.2020",Podcasts!$E$10:$E$2535,"&lt;01.01.2021")</f>
        <v>0</v>
      </c>
      <c r="BP383" s="243">
        <f>COUNTIFS(Podcasts!$D$10:$D$2535,"="&amp;BP$373,Podcasts!$E$10:$E$2535,"&gt;=1.1.2020",Podcasts!$E$10:$E$2535,"&lt;01.01.2021")</f>
        <v>0</v>
      </c>
      <c r="BQ383" s="243">
        <f>COUNTIFS(Podcasts!$D$10:$D$2535,"="&amp;BQ$373,Podcasts!$E$10:$E$2535,"&gt;=1.1.2020",Podcasts!$E$10:$E$2535,"&lt;01.01.2021")</f>
        <v>0</v>
      </c>
      <c r="BR383" s="243">
        <f>COUNTIFS(Podcasts!$D$10:$D$2535,"="&amp;BR$373,Podcasts!$E$10:$E$2535,"&gt;=1.1.2020",Podcasts!$E$10:$E$2535,"&lt;01.01.2021")</f>
        <v>0</v>
      </c>
      <c r="BS383" s="243">
        <f>COUNTIFS(Podcasts!$D$10:$D$2535,"="&amp;BS$373,Podcasts!$E$10:$E$2535,"&gt;=1.1.2020",Podcasts!$E$10:$E$2535,"&lt;01.01.2021")</f>
        <v>0</v>
      </c>
      <c r="BT383" s="243">
        <f>COUNTIFS(Podcasts!$D$10:$D$2535,"="&amp;BT$373,Podcasts!$E$10:$E$2535,"&gt;=1.1.2020",Podcasts!$E$10:$E$2535,"&lt;01.01.2021")</f>
        <v>0</v>
      </c>
      <c r="BU383" s="243">
        <f>COUNTIFS(Podcasts!$D$10:$D$2535,"="&amp;BU$373,Podcasts!$E$10:$E$2535,"&gt;=1.1.2020",Podcasts!$E$10:$E$2535,"&lt;01.01.2021")</f>
        <v>1</v>
      </c>
      <c r="BV383" s="243">
        <f>COUNTIFS(Podcasts!$D$10:$D$2535,"="&amp;BV$373,Podcasts!$E$10:$E$2535,"&gt;=1.1.2020",Podcasts!$E$10:$E$2535,"&lt;01.01.2021")</f>
        <v>0</v>
      </c>
      <c r="BW383" s="243">
        <f>COUNTIFS(Podcasts!$D$10:$D$2535,"="&amp;BW$373,Podcasts!$E$10:$E$2535,"&gt;=1.1.2020",Podcasts!$E$10:$E$2535,"&lt;01.01.2021")</f>
        <v>0</v>
      </c>
      <c r="BX383" s="243">
        <f>COUNTIFS(Podcasts!$D$10:$D$2535,"="&amp;BX$373,Podcasts!$E$10:$E$2535,"&gt;=1.1.2020",Podcasts!$E$10:$E$2535,"&lt;01.01.2021")</f>
        <v>0</v>
      </c>
      <c r="BY383" s="243">
        <f>COUNTIFS(Podcasts!$D$10:$D$2535,"="&amp;BY$373,Podcasts!$E$10:$E$2535,"&gt;=1.1.2020",Podcasts!$E$10:$E$2535,"&lt;01.01.2021")</f>
        <v>1</v>
      </c>
      <c r="BZ383" s="243">
        <f>COUNTIFS(Podcasts!$D$10:$D$2535,"="&amp;BZ$373,Podcasts!$E$10:$E$2535,"&gt;=1.1.2020",Podcasts!$E$10:$E$2535,"&lt;01.01.2021")</f>
        <v>0</v>
      </c>
      <c r="CA383" s="243">
        <f>COUNTIFS(Podcasts!$D$10:$D$2535,"="&amp;CA$373,Podcasts!$E$10:$E$2535,"&gt;=1.1.2020",Podcasts!$E$10:$E$2535,"&lt;01.01.2021")</f>
        <v>0</v>
      </c>
      <c r="CB383" s="243">
        <f>COUNTIFS(Podcasts!$D$10:$D$2535,"="&amp;CB$373,Podcasts!$E$10:$E$2535,"&gt;=1.1.2020",Podcasts!$E$10:$E$2535,"&lt;01.01.2021")</f>
        <v>1</v>
      </c>
      <c r="CC383" s="243">
        <f>COUNTIFS(Podcasts!$D$10:$D$2535,"="&amp;CC$373,Podcasts!$E$10:$E$2535,"&gt;=1.1.2020",Podcasts!$E$10:$E$2535,"&lt;01.01.2021")</f>
        <v>0</v>
      </c>
      <c r="CD383" s="243">
        <f>COUNTIFS(Podcasts!$D$10:$D$2535,"="&amp;CD$373,Podcasts!$E$10:$E$2535,"&gt;=1.1.2020",Podcasts!$E$10:$E$2535,"&lt;01.01.2021")</f>
        <v>1</v>
      </c>
      <c r="CE383" s="243">
        <f>COUNTIFS(Podcasts!$D$10:$D$2535,"="&amp;CE$373,Podcasts!$E$10:$E$2535,"&gt;=1.1.2020",Podcasts!$E$10:$E$2535,"&lt;01.01.2021")</f>
        <v>0</v>
      </c>
      <c r="CF383" s="243">
        <f>COUNTIFS(Podcasts!$D$10:$D$2535,"="&amp;CF$373,Podcasts!$E$10:$E$2535,"&gt;=1.1.2020",Podcasts!$E$10:$E$2535,"&lt;01.01.2021")</f>
        <v>1</v>
      </c>
      <c r="CG383" s="243">
        <f>COUNTIFS(Podcasts!$D$10:$D$2535,"="&amp;CG$373,Podcasts!$E$10:$E$2535,"&gt;=1.1.2020",Podcasts!$E$10:$E$2535,"&lt;01.01.2021")</f>
        <v>0</v>
      </c>
      <c r="CH383" s="243">
        <f>COUNTIFS(Podcasts!$D$10:$D$2535,"="&amp;CH$373,Podcasts!$E$10:$E$2535,"&gt;=1.1.2020",Podcasts!$E$10:$E$2535,"&lt;01.01.2021")</f>
        <v>0</v>
      </c>
      <c r="CI383" s="243">
        <f>COUNTIFS(Podcasts!$D$10:$D$2535,"="&amp;CI$373,Podcasts!$E$10:$E$2535,"&gt;=1.1.2020",Podcasts!$E$10:$E$2535,"&lt;01.01.2021")</f>
        <v>0</v>
      </c>
      <c r="CJ383" s="243">
        <f>COUNTIFS(Podcasts!$D$10:$D$2535,"="&amp;CJ$373,Podcasts!$E$10:$E$2535,"&gt;=1.1.2020",Podcasts!$E$10:$E$2535,"&lt;01.01.2021")</f>
        <v>1</v>
      </c>
      <c r="CK383" s="243">
        <f>COUNTIFS(Podcasts!$D$10:$D$2535,"="&amp;CK$373,Podcasts!$E$10:$E$2535,"&gt;=1.1.2020",Podcasts!$E$10:$E$2535,"&lt;01.01.2021")</f>
        <v>1</v>
      </c>
      <c r="CL383" s="243">
        <f>COUNTIFS(Podcasts!$D$10:$D$2535,"="&amp;CL$373,Podcasts!$E$10:$E$2535,"&gt;=1.1.2020",Podcasts!$E$10:$E$2535,"&lt;01.01.2021")</f>
        <v>0</v>
      </c>
      <c r="CM383" s="243">
        <f>COUNTIFS(Podcasts!$D$10:$D$2535,"="&amp;CM$373,Podcasts!$E$10:$E$2535,"&gt;=1.1.2020",Podcasts!$E$10:$E$2535,"&lt;01.01.2021")</f>
        <v>0</v>
      </c>
      <c r="CN383" s="243">
        <f>COUNTIFS(Podcasts!$D$10:$D$2535,"="&amp;CN$373,Podcasts!$E$10:$E$2535,"&gt;=1.1.2020",Podcasts!$E$10:$E$2535,"&lt;01.01.2021")</f>
        <v>0</v>
      </c>
      <c r="CO383" s="243">
        <f>COUNTIFS(Podcasts!$D$10:$D$2535,"="&amp;CO$373,Podcasts!$E$10:$E$2535,"&gt;=1.1.2020",Podcasts!$E$10:$E$2535,"&lt;01.01.2021")</f>
        <v>0</v>
      </c>
      <c r="CP383" s="243">
        <f>COUNTIFS(Podcasts!$D$10:$D$2535,"="&amp;CP$373,Podcasts!$E$10:$E$2535,"&gt;=1.1.2020",Podcasts!$E$10:$E$2535,"&lt;01.01.2021")</f>
        <v>0</v>
      </c>
      <c r="CQ383" s="243">
        <f>COUNTIFS(Podcasts!$D$10:$D$2535,"="&amp;CQ$373,Podcasts!$E$10:$E$2535,"&gt;=1.1.2020",Podcasts!$E$10:$E$2535,"&lt;01.01.2021")</f>
        <v>0</v>
      </c>
      <c r="CR383" s="243">
        <f>COUNTIFS(Podcasts!$D$10:$D$2535,"="&amp;CR$373,Podcasts!$E$10:$E$2535,"&gt;=1.1.2020",Podcasts!$E$10:$E$2535,"&lt;01.01.2021")</f>
        <v>0</v>
      </c>
      <c r="CS383" s="243">
        <f>COUNTIFS(Podcasts!$D$10:$D$2535,"="&amp;CS$373,Podcasts!$E$10:$E$2535,"&gt;=1.1.2020",Podcasts!$E$10:$E$2535,"&lt;01.01.2021")</f>
        <v>0</v>
      </c>
      <c r="CT383" s="243">
        <f>COUNTIFS(Podcasts!$D$10:$D$2535,"="&amp;CT$373,Podcasts!$E$10:$E$2535,"&gt;=1.1.2020",Podcasts!$E$10:$E$2535,"&lt;01.01.2021")</f>
        <v>0</v>
      </c>
      <c r="CU383" s="243">
        <f>COUNTIFS(Podcasts!$D$10:$D$2535,"="&amp;CU$373,Podcasts!$E$10:$E$2535,"&gt;=1.1.2020",Podcasts!$E$10:$E$2535,"&lt;01.01.2021")</f>
        <v>0</v>
      </c>
      <c r="CV383" s="243">
        <f>COUNTIFS(Podcasts!$D$10:$D$2535,"="&amp;CV$373,Podcasts!$E$10:$E$2535,"&gt;=1.1.2020",Podcasts!$E$10:$E$2535,"&lt;01.01.2021")</f>
        <v>0</v>
      </c>
      <c r="CW383" s="243">
        <f>COUNTIFS(Podcasts!$D$10:$D$2535,"="&amp;CW$373,Podcasts!$E$10:$E$2535,"&gt;=1.1.2020",Podcasts!$E$10:$E$2535,"&lt;01.01.2021")</f>
        <v>1</v>
      </c>
      <c r="CX383" s="243">
        <f>COUNTIFS(Podcasts!$D$10:$D$2535,"="&amp;CX$373,Podcasts!$E$10:$E$2535,"&gt;=1.1.2020",Podcasts!$E$10:$E$2535,"&lt;01.01.2021")</f>
        <v>0</v>
      </c>
      <c r="CY383" s="243">
        <f>COUNTIFS(Podcasts!$D$10:$D$2535,"="&amp;CY$373,Podcasts!$E$10:$E$2535,"&gt;=1.1.2020",Podcasts!$E$10:$E$2535,"&lt;01.01.2021")</f>
        <v>0</v>
      </c>
      <c r="CZ383" s="243">
        <f>COUNTIFS(Podcasts!$D$10:$D$2535,"="&amp;CZ$373,Podcasts!$E$10:$E$2535,"&gt;=1.1.2020",Podcasts!$E$10:$E$2535,"&lt;01.01.2021")</f>
        <v>0</v>
      </c>
      <c r="DA383" s="243">
        <f>COUNTIFS(Podcasts!$D$10:$D$2535,"="&amp;DA$373,Podcasts!$E$10:$E$2535,"&gt;=1.1.2020",Podcasts!$E$10:$E$2535,"&lt;01.01.2021")</f>
        <v>3</v>
      </c>
      <c r="DB383" s="243">
        <f>COUNTIFS(Podcasts!$D$10:$D$2535,"="&amp;DB$373,Podcasts!$E$10:$E$2535,"&gt;=1.1.2020",Podcasts!$E$10:$E$2535,"&lt;01.01.2021")</f>
        <v>0</v>
      </c>
      <c r="DC383" s="243">
        <f>COUNTIFS(Podcasts!$D$10:$D$2535,"="&amp;DC$373,Podcasts!$E$10:$E$2535,"&gt;=1.1.2020",Podcasts!$E$10:$E$2535,"&lt;01.01.2021")</f>
        <v>0</v>
      </c>
      <c r="DD383" s="243">
        <f>COUNTIFS(Podcasts!$D$10:$D$2535,"="&amp;DD$373,Podcasts!$E$10:$E$2535,"&gt;=1.1.2020",Podcasts!$E$10:$E$2535,"&lt;01.01.2021")</f>
        <v>1</v>
      </c>
      <c r="DE383" s="243">
        <f>COUNTIFS(Podcasts!$D$10:$D$2535,"="&amp;DE$373,Podcasts!$E$10:$E$2535,"&gt;=1.1.2020",Podcasts!$E$10:$E$2535,"&lt;01.01.2021")</f>
        <v>0</v>
      </c>
      <c r="DF383" s="243">
        <f>COUNTIFS(Podcasts!$D$10:$D$2535,"="&amp;DF$373,Podcasts!$E$10:$E$2535,"&gt;=1.1.2020",Podcasts!$E$10:$E$2535,"&lt;01.01.2021")</f>
        <v>1</v>
      </c>
      <c r="DG383" s="243">
        <f>COUNTIFS(Podcasts!$D$10:$D$2535,"="&amp;DG$373,Podcasts!$E$10:$E$2535,"&gt;=1.1.2020",Podcasts!$E$10:$E$2535,"&lt;01.01.2021")</f>
        <v>0</v>
      </c>
      <c r="DH383" s="243">
        <f>COUNTIFS(Podcasts!$D$10:$D$2535,"="&amp;DH$373,Podcasts!$E$10:$E$2535,"&gt;=1.1.2020",Podcasts!$E$10:$E$2535,"&lt;01.01.2021")</f>
        <v>0</v>
      </c>
      <c r="DI383" s="243">
        <f>COUNTIFS(Podcasts!$D$10:$D$2535,"="&amp;DI$373,Podcasts!$E$10:$E$2535,"&gt;=1.1.2020",Podcasts!$E$10:$E$2535,"&lt;01.01.2021")</f>
        <v>0</v>
      </c>
      <c r="DJ383" s="243">
        <f>COUNTIFS(Podcasts!$D$10:$D$2535,"="&amp;DJ$373,Podcasts!$E$10:$E$2535,"&gt;=1.1.2020",Podcasts!$E$10:$E$2535,"&lt;01.01.2021")</f>
        <v>1</v>
      </c>
      <c r="DK383" s="243">
        <f>COUNTIFS(Podcasts!$D$10:$D$2535,"="&amp;DK$373,Podcasts!$E$10:$E$2535,"&gt;=1.1.2020",Podcasts!$E$10:$E$2535,"&lt;01.01.2021")</f>
        <v>0</v>
      </c>
      <c r="DL383" s="243">
        <f>COUNTIFS(Podcasts!$D$10:$D$2535,"="&amp;DL$373,Podcasts!$E$10:$E$2535,"&gt;=1.1.2020",Podcasts!$E$10:$E$2535,"&lt;01.01.2021")</f>
        <v>0</v>
      </c>
      <c r="DM383" s="243">
        <f>COUNTIFS(Podcasts!$D$10:$D$2535,"="&amp;DM$373,Podcasts!$E$10:$E$2535,"&gt;=1.1.2020",Podcasts!$E$10:$E$2535,"&lt;01.01.2021")</f>
        <v>1</v>
      </c>
      <c r="DN383" s="243">
        <f>COUNTIFS(Podcasts!$D$10:$D$2535,"="&amp;DN$373,Podcasts!$E$10:$E$2535,"&gt;=1.1.2020",Podcasts!$E$10:$E$2535,"&lt;01.01.2021")</f>
        <v>2</v>
      </c>
      <c r="DO383" s="243">
        <f>COUNTIFS(Podcasts!$D$10:$D$2535,"="&amp;DO$373,Podcasts!$E$10:$E$2535,"&gt;=1.1.2020",Podcasts!$E$10:$E$2535,"&lt;01.01.2021")</f>
        <v>0</v>
      </c>
      <c r="DP383" s="243">
        <f>COUNTIFS(Podcasts!$D$10:$D$2535,"="&amp;DP$373,Podcasts!$E$10:$E$2535,"&gt;=1.1.2020",Podcasts!$E$10:$E$2535,"&lt;01.01.2021")</f>
        <v>0</v>
      </c>
      <c r="DQ383" s="243">
        <f>COUNTIFS(Podcasts!$D$10:$D$2535,"="&amp;DQ$373,Podcasts!$E$10:$E$2535,"&gt;=1.1.2020",Podcasts!$E$10:$E$2535,"&lt;01.01.2021")</f>
        <v>0</v>
      </c>
      <c r="DR383" s="243">
        <f>COUNTIFS(Podcasts!$D$10:$D$2535,"="&amp;DR$373,Podcasts!$E$10:$E$2535,"&gt;=1.1.2020",Podcasts!$E$10:$E$2535,"&lt;01.01.2021")</f>
        <v>0</v>
      </c>
      <c r="DS383" s="243">
        <f>COUNTIFS(Podcasts!$D$10:$D$2535,"="&amp;DS$373,Podcasts!$E$10:$E$2535,"&gt;=1.1.2020",Podcasts!$E$10:$E$2535,"&lt;01.01.2021")</f>
        <v>1</v>
      </c>
      <c r="DT383" s="243">
        <f>COUNTIFS(Podcasts!$D$10:$D$2535,"="&amp;DT$373,Podcasts!$E$10:$E$2535,"&gt;=1.1.2020",Podcasts!$E$10:$E$2535,"&lt;01.01.2021")</f>
        <v>1</v>
      </c>
      <c r="DU383" s="243">
        <f>COUNTIFS(Podcasts!$D$10:$D$2535,"="&amp;DU$373,Podcasts!$E$10:$E$2535,"&gt;=1.1.2020",Podcasts!$E$10:$E$2535,"&lt;01.01.2021")</f>
        <v>1</v>
      </c>
      <c r="DV383" s="243">
        <f>COUNTIFS(Podcasts!$D$10:$D$2535,"="&amp;DV$373,Podcasts!$E$10:$E$2535,"&gt;=1.1.2020",Podcasts!$E$10:$E$2535,"&lt;01.01.2021")</f>
        <v>0</v>
      </c>
      <c r="DW383" s="243">
        <f>COUNTIFS(Podcasts!$D$10:$D$2535,"="&amp;DW$373,Podcasts!$E$10:$E$2535,"&gt;=1.1.2020",Podcasts!$E$10:$E$2535,"&lt;01.01.2021")</f>
        <v>1</v>
      </c>
      <c r="DX383" s="243">
        <f>COUNTIFS(Podcasts!$D$10:$D$2535,"="&amp;DX$373,Podcasts!$E$10:$E$2535,"&gt;=1.1.2020",Podcasts!$E$10:$E$2535,"&lt;01.01.2021")-1</f>
        <v>1</v>
      </c>
      <c r="DY383" s="243">
        <f>COUNTIFS(Podcasts!$D$10:$D$2535,"="&amp;DY$373,Podcasts!$E$10:$E$2535,"&gt;=1.1.2020",Podcasts!$E$10:$E$2535,"&lt;01.01.2021")</f>
        <v>0</v>
      </c>
      <c r="DZ383" s="243">
        <f>COUNTIFS(Podcasts!$D$10:$D$2535,"="&amp;DZ$373,Podcasts!$E$10:$E$2535,"&gt;=1.1.2020",Podcasts!$E$10:$E$2535,"&lt;01.01.2021")</f>
        <v>0</v>
      </c>
      <c r="EA383" s="243">
        <f>COUNTIFS(Podcasts!$D$10:$D$2535,"="&amp;EA$373,Podcasts!$E$10:$E$2535,"&gt;=1.1.2020",Podcasts!$E$10:$E$2535,"&lt;01.01.2021")</f>
        <v>0</v>
      </c>
      <c r="EB383" s="243">
        <f>COUNTIFS(Podcasts!$D$10:$D$2535,"="&amp;EB$373,Podcasts!$E$10:$E$2535,"&gt;=1.1.2020",Podcasts!$E$10:$E$2535,"&lt;01.01.2021")</f>
        <v>0</v>
      </c>
      <c r="EC383" s="243">
        <f>COUNTIFS(Podcasts!$D$10:$D$2535,"="&amp;EC$373,Podcasts!$E$10:$E$2535,"&gt;=1.1.2020",Podcasts!$E$10:$E$2535,"&lt;01.01.2021")</f>
        <v>0</v>
      </c>
      <c r="ED383" s="243">
        <f>COUNTIFS(Podcasts!$D$10:$D$2535,"="&amp;ED$373,Podcasts!$E$10:$E$2535,"&gt;=1.1.2020",Podcasts!$E$10:$E$2535,"&lt;01.01.2021")</f>
        <v>0</v>
      </c>
      <c r="EE383" s="243">
        <f>COUNTIFS(Podcasts!$D$10:$D$2535,"="&amp;EE$373,Podcasts!$E$10:$E$2535,"&gt;=1.1.2020",Podcasts!$E$10:$E$2535,"&lt;01.01.2021")</f>
        <v>0</v>
      </c>
      <c r="EF383" s="243">
        <f>COUNTIFS(Podcasts!$D$10:$D$2535,"="&amp;EF$373,Podcasts!$E$10:$E$2535,"&gt;=1.1.2020",Podcasts!$E$10:$E$2535,"&lt;01.01.2021")</f>
        <v>0</v>
      </c>
      <c r="EG383" s="243">
        <f>COUNTIFS(Podcasts!$D$10:$D$2535,"="&amp;EG$373,Podcasts!$E$10:$E$2535,"&gt;=1.1.2020",Podcasts!$E$10:$E$2535,"&lt;01.01.2021")</f>
        <v>0</v>
      </c>
      <c r="EH383" s="243">
        <f>COUNTIFS(Podcasts!$D$10:$D$2535,"="&amp;EH$373,Podcasts!$E$10:$E$2535,"&gt;=1.1.2020",Podcasts!$E$10:$E$2535,"&lt;01.01.2021")</f>
        <v>0</v>
      </c>
      <c r="EI383" s="243">
        <f>COUNTIFS(Podcasts!$D$10:$D$2535,"="&amp;EI$373,Podcasts!$E$10:$E$2535,"&gt;=1.1.2020",Podcasts!$E$10:$E$2535,"&lt;01.01.2021")</f>
        <v>0</v>
      </c>
      <c r="EJ383" s="243">
        <f>COUNTIFS(Podcasts!$D$10:$D$2535,"="&amp;EJ$373,Podcasts!$E$10:$E$2535,"&gt;=1.1.2020",Podcasts!$E$10:$E$2535,"&lt;01.01.2021")</f>
        <v>0</v>
      </c>
      <c r="EK383" s="243">
        <f>COUNTIFS(Podcasts!$D$10:$D$2535,"="&amp;EK$373,Podcasts!$E$10:$E$2535,"&gt;=1.1.2020",Podcasts!$E$10:$E$2535,"&lt;01.01.2021")</f>
        <v>0</v>
      </c>
      <c r="EL383" s="243">
        <f>COUNTIFS(Podcasts!$D$10:$D$2535,"="&amp;EL$373,Podcasts!$E$10:$E$2535,"&gt;=1.1.2020",Podcasts!$E$10:$E$2535,"&lt;01.01.2021")</f>
        <v>1</v>
      </c>
      <c r="EM383" s="243">
        <f>COUNTIFS(Podcasts!$D$10:$D$2535,"="&amp;EM$373,Podcasts!$E$10:$E$2535,"&gt;=1.1.2020",Podcasts!$E$10:$E$2535,"&lt;01.01.2021")</f>
        <v>0</v>
      </c>
      <c r="EN383" s="243">
        <f>COUNTIFS(Podcasts!$D$10:$D$2535,"="&amp;EN$373,Podcasts!$E$10:$E$2535,"&gt;=1.1.2020",Podcasts!$E$10:$E$2535,"&lt;01.01.2021")</f>
        <v>0</v>
      </c>
      <c r="EO383" s="243">
        <f>COUNTIFS(Podcasts!$D$10:$D$2535,"="&amp;EO$373,Podcasts!$E$10:$E$2535,"&gt;=1.1.2020",Podcasts!$E$10:$E$2535,"&lt;01.01.2021")</f>
        <v>1</v>
      </c>
      <c r="EP383" s="243">
        <f>COUNTIFS(Podcasts!$D$10:$D$2535,"="&amp;EP$373,Podcasts!$E$10:$E$2535,"&gt;=1.1.2020",Podcasts!$E$10:$E$2535,"&lt;01.01.2021")</f>
        <v>0</v>
      </c>
      <c r="EQ383" s="243">
        <f>COUNTIFS(Podcasts!$D$10:$D$2535,"="&amp;EQ$373,Podcasts!$E$10:$E$2535,"&gt;=1.1.2020",Podcasts!$E$10:$E$2535,"&lt;01.01.2021")</f>
        <v>0</v>
      </c>
      <c r="ER383" s="243">
        <f>COUNTIFS(Podcasts!$D$10:$D$2535,"="&amp;ER$373,Podcasts!$E$10:$E$2535,"&gt;=1.1.2020",Podcasts!$E$10:$E$2535,"&lt;01.01.2021")</f>
        <v>0</v>
      </c>
      <c r="ES383" s="243">
        <f>COUNTIFS(Podcasts!$D$10:$D$2535,"="&amp;ES$373,Podcasts!$E$10:$E$2535,"&gt;=1.1.2020",Podcasts!$E$10:$E$2535,"&lt;01.01.2021")</f>
        <v>0</v>
      </c>
      <c r="ET383" s="243">
        <f>COUNTIFS(Podcasts!$D$10:$D$2535,"="&amp;ET$373,Podcasts!$E$10:$E$2535,"&gt;=1.1.2020",Podcasts!$E$10:$E$2535,"&lt;01.01.2021")</f>
        <v>0</v>
      </c>
      <c r="EU383" s="243">
        <f>COUNTIFS(Podcasts!$D$10:$D$2535,"="&amp;EU$373,Podcasts!$E$10:$E$2535,"&gt;=1.1.2020",Podcasts!$E$10:$E$2535,"&lt;01.01.2021")</f>
        <v>0</v>
      </c>
      <c r="EV383" s="243">
        <f>COUNTIFS(Podcasts!$D$10:$D$2535,"="&amp;EV$373,Podcasts!$E$10:$E$2535,"&gt;=1.1.2020",Podcasts!$E$10:$E$2535,"&lt;01.01.2021")-1</f>
        <v>0</v>
      </c>
      <c r="EW383" s="243">
        <f>COUNTIFS(Podcasts!$D$10:$D$2535,"="&amp;EW$373,Podcasts!$E$10:$E$2535,"&gt;=1.1.2020",Podcasts!$E$10:$E$2535,"&lt;01.01.2021")</f>
        <v>1</v>
      </c>
      <c r="EX383" s="243">
        <f>COUNTIFS(Podcasts!$D$10:$D$2535,"="&amp;EX$373,Podcasts!$E$10:$E$2535,"&gt;=1.1.2020",Podcasts!$E$10:$E$2535,"&lt;01.01.2021")-2</f>
        <v>1</v>
      </c>
      <c r="EY383" s="243">
        <f>COUNTIFS(Podcasts!$D$10:$D$2535,"="&amp;EY$373,Podcasts!$E$10:$E$2535,"&gt;=1.1.2020",Podcasts!$E$10:$E$2535,"&lt;01.01.2021")</f>
        <v>1</v>
      </c>
      <c r="EZ383" s="243">
        <f>COUNTIFS(Podcasts!$D$10:$D$2535,"="&amp;EZ$373,Podcasts!$E$10:$E$2535,"&gt;=1.1.2020",Podcasts!$E$10:$E$2535,"&lt;01.01.2021")</f>
        <v>2</v>
      </c>
      <c r="FA383" s="243">
        <f>COUNTIFS(Podcasts!$D$10:$D$2535,"="&amp;FA$373,Podcasts!$E$10:$E$2535,"&gt;=1.1.2020",Podcasts!$E$10:$E$2535,"&lt;01.01.2021")</f>
        <v>1</v>
      </c>
      <c r="FB383" s="243">
        <f>COUNTIFS(Podcasts!$D$10:$D$2535,"="&amp;FB$373,Podcasts!$E$10:$E$2535,"&gt;=1.1.2020",Podcasts!$E$10:$E$2535,"&lt;01.01.2021")</f>
        <v>0</v>
      </c>
      <c r="FC383" s="243">
        <f>COUNTIFS(Podcasts!$D$10:$D$2535,"="&amp;FC$373,Podcasts!$E$10:$E$2535,"&gt;=1.1.2020",Podcasts!$E$10:$E$2535,"&lt;01.01.2021")</f>
        <v>0</v>
      </c>
      <c r="FD383" s="243">
        <f>COUNTIFS(Podcasts!$D$10:$D$2535,"="&amp;FD$373,Podcasts!$E$10:$E$2535,"&gt;=1.1.2020",Podcasts!$E$10:$E$2535,"&lt;01.01.2021")</f>
        <v>0</v>
      </c>
      <c r="FE383" s="243">
        <f>COUNTIFS(Podcasts!$D$10:$D$2535,"="&amp;FE$373,Podcasts!$E$10:$E$2535,"&gt;=1.1.2020",Podcasts!$E$10:$E$2535,"&lt;01.01.2021")</f>
        <v>0</v>
      </c>
      <c r="FF383" s="243">
        <f>COUNTIFS(Podcasts!$D$10:$D$2535,"="&amp;FF$373,Podcasts!$E$10:$E$2535,"&gt;=1.1.2020",Podcasts!$E$10:$E$2535,"&lt;01.01.2021")</f>
        <v>0</v>
      </c>
      <c r="FG383" s="243">
        <f>COUNTIFS(Podcasts!$D$10:$D$2535,"="&amp;FG$373,Podcasts!$E$10:$E$2535,"&gt;=1.1.2020",Podcasts!$E$10:$E$2535,"&lt;01.01.2021")</f>
        <v>0</v>
      </c>
      <c r="FH383" s="243">
        <f>COUNTIFS(Podcasts!$D$10:$D$2535,"="&amp;FH$373,Podcasts!$E$10:$E$2535,"&gt;=1.1.2020",Podcasts!$E$10:$E$2535,"&lt;01.01.2021")</f>
        <v>0</v>
      </c>
      <c r="FI383" s="243">
        <f>COUNTIFS(Podcasts!$D$10:$D$2535,"="&amp;FI$373,Podcasts!$E$10:$E$2535,"&gt;=1.1.2020",Podcasts!$E$10:$E$2535,"&lt;01.01.2021")</f>
        <v>1</v>
      </c>
      <c r="FJ383" s="243">
        <f>COUNTIFS(Podcasts!$D$10:$D$2535,"="&amp;FJ$373,Podcasts!$E$10:$E$2535,"&gt;=1.1.2020",Podcasts!$E$10:$E$2535,"&lt;01.01.2021")</f>
        <v>1</v>
      </c>
      <c r="FK383" s="243">
        <f>COUNTIFS(Podcasts!$D$10:$D$2535,"="&amp;FK$373,Podcasts!$E$10:$E$2535,"&gt;=1.1.2020",Podcasts!$E$10:$E$2535,"&lt;01.01.2021")</f>
        <v>0</v>
      </c>
      <c r="FL383" s="243">
        <f>COUNTIFS(Podcasts!$D$10:$D$2535,"="&amp;FL$373,Podcasts!$E$10:$E$2535,"&gt;=1.1.2020",Podcasts!$E$10:$E$2535,"&lt;01.01.2021")</f>
        <v>0</v>
      </c>
      <c r="FM383" s="243">
        <f>COUNTIFS(Podcasts!$D$10:$D$2535,"="&amp;FM$373,Podcasts!$E$10:$E$2535,"&gt;=1.1.2020",Podcasts!$E$10:$E$2535,"&lt;01.01.2021")</f>
        <v>0</v>
      </c>
      <c r="FN383" s="243">
        <f>COUNTIFS(Podcasts!$D$10:$D$2535,"="&amp;FN$373,Podcasts!$E$10:$E$2535,"&gt;=1.1.2020",Podcasts!$E$10:$E$2535,"&lt;01.01.2021")</f>
        <v>1</v>
      </c>
      <c r="FO383" s="243">
        <f>COUNTIFS(Podcasts!$D$10:$D$2535,"="&amp;FO$373,Podcasts!$E$10:$E$2535,"&gt;=1.1.2020",Podcasts!$E$10:$E$2535,"&lt;01.01.2021")</f>
        <v>1</v>
      </c>
      <c r="FP383" s="243">
        <f>COUNTIFS(Podcasts!$D$10:$D$2535,"="&amp;FP$373,Podcasts!$E$10:$E$2535,"&gt;=1.1.2020",Podcasts!$E$10:$E$2535,"&lt;01.01.2021")</f>
        <v>0</v>
      </c>
      <c r="FQ383" s="243">
        <f>COUNTIFS(Podcasts!$D$10:$D$2535,"="&amp;FQ$373,Podcasts!$E$10:$E$2535,"&gt;=1.1.2020",Podcasts!$E$10:$E$2535,"&lt;01.01.2021")</f>
        <v>0</v>
      </c>
      <c r="FR383" s="243">
        <f>COUNTIFS(Podcasts!$D$10:$D$2535,"="&amp;FR$373,Podcasts!$E$10:$E$2535,"&gt;=1.1.2020",Podcasts!$E$10:$E$2535,"&lt;01.01.2021")</f>
        <v>2</v>
      </c>
      <c r="FS383" s="243">
        <f>COUNTIFS(Podcasts!$D$10:$D$2535,"="&amp;FS$373,Podcasts!$E$10:$E$2535,"&gt;=1.1.2020",Podcasts!$E$10:$E$2535,"&lt;01.01.2021")</f>
        <v>0</v>
      </c>
      <c r="FT383" s="243">
        <f>COUNTIFS(Podcasts!$D$10:$D$2535,"="&amp;FT$373,Podcasts!$E$10:$E$2535,"&gt;=1.1.2020",Podcasts!$E$10:$E$2535,"&lt;01.01.2021")</f>
        <v>0</v>
      </c>
      <c r="FU383" s="243">
        <f>COUNTIFS(Podcasts!$D$10:$D$2535,"="&amp;FU$373,Podcasts!$E$10:$E$2535,"&gt;=1.1.2020",Podcasts!$E$10:$E$2535,"&lt;01.01.2021")</f>
        <v>0</v>
      </c>
      <c r="FV383" s="243">
        <f>COUNTIFS(Podcasts!$D$10:$D$2535,"="&amp;FV$373,Podcasts!$E$10:$E$2535,"&gt;=1.1.2020",Podcasts!$E$10:$E$2535,"&lt;01.01.2021")</f>
        <v>0</v>
      </c>
      <c r="FW383" s="243">
        <f>COUNTIFS(Podcasts!$D$10:$D$2535,"="&amp;FW$373,Podcasts!$E$10:$E$2535,"&gt;=1.1.2020",Podcasts!$E$10:$E$2535,"&lt;01.01.2021")</f>
        <v>0</v>
      </c>
      <c r="FX383" s="243">
        <f>COUNTIFS(Podcasts!$D$10:$D$2535,"="&amp;FX$373,Podcasts!$E$10:$E$2535,"&gt;=1.1.2020",Podcasts!$E$10:$E$2535,"&lt;01.01.2021")</f>
        <v>0</v>
      </c>
      <c r="FY383" s="243">
        <f>COUNTIFS(Podcasts!$D$10:$D$2535,"="&amp;FY$373,Podcasts!$E$10:$E$2535,"&gt;=1.1.2020",Podcasts!$E$10:$E$2535,"&lt;01.01.2021")</f>
        <v>0</v>
      </c>
      <c r="FZ383" s="243">
        <f>COUNTIFS(Podcasts!$D$10:$D$2535,"="&amp;FZ$373,Podcasts!$E$10:$E$2535,"&gt;=1.1.2020",Podcasts!$E$10:$E$2535,"&lt;01.01.2021")</f>
        <v>0</v>
      </c>
      <c r="GA383" s="243">
        <f>COUNTIFS(Podcasts!$D$10:$D$2535,"="&amp;GA$373,Podcasts!$E$10:$E$2535,"&gt;=1.1.2020",Podcasts!$E$10:$E$2535,"&lt;01.01.2021")</f>
        <v>0</v>
      </c>
      <c r="GB383" s="243">
        <f>COUNTIFS(Podcasts!$D$10:$D$2535,"="&amp;GB$373,Podcasts!$E$10:$E$2535,"&gt;=1.1.2020",Podcasts!$E$10:$E$2535,"&lt;01.01.2021")</f>
        <v>0</v>
      </c>
      <c r="GC383" s="243">
        <f>COUNTIFS(Podcasts!$D$10:$D$2535,"="&amp;GC$373,Podcasts!$E$10:$E$2535,"&gt;=1.1.2020",Podcasts!$E$10:$E$2535,"&lt;01.01.2021")</f>
        <v>0</v>
      </c>
      <c r="GD383" s="243">
        <f>COUNTIFS(Podcasts!$D$10:$D$2535,"="&amp;GD$373,Podcasts!$E$10:$E$2535,"&gt;=1.1.2020",Podcasts!$E$10:$E$2535,"&lt;01.01.2021")</f>
        <v>0</v>
      </c>
      <c r="GE383" s="243">
        <f>COUNTIFS(Podcasts!$D$10:$D$2535,"="&amp;GE$373,Podcasts!$E$10:$E$2535,"&gt;=1.1.2020",Podcasts!$E$10:$E$2535,"&lt;01.01.2021")</f>
        <v>0</v>
      </c>
      <c r="GF383" s="243">
        <f>COUNTIFS(Podcasts!$D$10:$D$2535,"="&amp;GF$373,Podcasts!$E$10:$E$2535,"&gt;=1.1.2020",Podcasts!$E$10:$E$2535,"&lt;01.01.2021")</f>
        <v>1</v>
      </c>
      <c r="GG383" s="243">
        <f>COUNTIFS(Podcasts!$D$10:$D$2535,"="&amp;GG$373,Podcasts!$E$10:$E$2535,"&gt;=1.1.2020",Podcasts!$E$10:$E$2535,"&lt;01.01.2021")</f>
        <v>0</v>
      </c>
      <c r="GH383" s="243">
        <f>COUNTIFS(Podcasts!$D$10:$D$2535,"="&amp;GH$373,Podcasts!$E$10:$E$2535,"&gt;=1.1.2020",Podcasts!$E$10:$E$2535,"&lt;01.01.2021")</f>
        <v>0</v>
      </c>
      <c r="GI383" s="243">
        <f>COUNTIFS(Podcasts!$D$10:$D$2535,"="&amp;GI$373,Podcasts!$E$10:$E$2535,"&gt;=1.1.2020",Podcasts!$E$10:$E$2535,"&lt;01.01.2021")</f>
        <v>0</v>
      </c>
      <c r="GJ383" s="243">
        <f>COUNTIFS(Podcasts!$D$10:$D$2535,"="&amp;GJ$373,Podcasts!$E$10:$E$2535,"&gt;=1.1.2020",Podcasts!$E$10:$E$2535,"&lt;01.01.2021")</f>
        <v>1</v>
      </c>
      <c r="GK383" s="243">
        <f>COUNTIFS(Podcasts!$D$10:$D$2535,"="&amp;GK$373,Podcasts!$E$10:$E$2535,"&gt;=1.1.2020",Podcasts!$E$10:$E$2535,"&lt;01.01.2021")</f>
        <v>1</v>
      </c>
      <c r="GL383" s="243">
        <f>COUNTIFS(Podcasts!$D$10:$D$2535,"="&amp;GL$373,Podcasts!$E$10:$E$2535,"&gt;=1.1.2020",Podcasts!$E$10:$E$2535,"&lt;01.01.2021")</f>
        <v>1</v>
      </c>
      <c r="GM383" s="243">
        <f>COUNTIFS(Podcasts!$D$10:$D$2535,"="&amp;GM$373,Podcasts!$E$10:$E$2535,"&gt;=1.1.2020",Podcasts!$E$10:$E$2535,"&lt;01.01.2021")</f>
        <v>0</v>
      </c>
      <c r="GN383" s="243">
        <f>COUNTIFS(Podcasts!$D$10:$D$2535,"="&amp;GN$373,Podcasts!$E$10:$E$2535,"&gt;=1.1.2020",Podcasts!$E$10:$E$2535,"&lt;01.01.2021")</f>
        <v>1</v>
      </c>
      <c r="GO383" s="243">
        <f>COUNTIFS(Podcasts!$D$10:$D$2535,"="&amp;GO$373,Podcasts!$E$10:$E$2535,"&gt;=1.1.2020",Podcasts!$E$10:$E$2535,"&lt;01.01.2021")</f>
        <v>0</v>
      </c>
      <c r="GP383" s="243">
        <f>COUNTIFS(Podcasts!$D$10:$D$2535,"="&amp;GP$373,Podcasts!$E$10:$E$2535,"&gt;=1.1.2020",Podcasts!$E$10:$E$2535,"&lt;01.01.2021")</f>
        <v>0</v>
      </c>
      <c r="GQ383" s="243">
        <f>COUNTIFS(Podcasts!$D$10:$D$2535,"="&amp;GQ$373,Podcasts!$E$10:$E$2535,"&gt;=1.1.2020",Podcasts!$E$10:$E$2535,"&lt;01.01.2021")</f>
        <v>0</v>
      </c>
      <c r="GR383" s="243">
        <f>COUNTIFS(Podcasts!$D$10:$D$2535,"="&amp;GR$373,Podcasts!$E$10:$E$2535,"&gt;=1.1.2020",Podcasts!$E$10:$E$2535,"&lt;01.01.2021")</f>
        <v>0</v>
      </c>
      <c r="GS383" s="243">
        <f>COUNTIFS(Podcasts!$D$10:$D$2535,"="&amp;GS$373,Podcasts!$E$10:$E$2535,"&gt;=1.1.2020",Podcasts!$E$10:$E$2535,"&lt;01.01.2021")</f>
        <v>0</v>
      </c>
      <c r="GT383" s="243">
        <f>COUNTIFS(Podcasts!$D$10:$D$2535,"="&amp;GT$373,Podcasts!$E$10:$E$2535,"&gt;=1.1.2020",Podcasts!$E$10:$E$2535,"&lt;01.01.2021")</f>
        <v>0</v>
      </c>
      <c r="GU383" s="243">
        <f>COUNTIFS(Podcasts!$D$10:$D$2535,"="&amp;GU$373,Podcasts!$E$10:$E$2535,"&gt;=1.1.2020",Podcasts!$E$10:$E$2535,"&lt;01.01.2021")</f>
        <v>0</v>
      </c>
      <c r="GV383" s="243">
        <f>COUNTIFS(Podcasts!$D$10:$D$2535,"="&amp;GV$373,Podcasts!$E$10:$E$2535,"&gt;=1.1.2020",Podcasts!$E$10:$E$2535,"&lt;01.01.2021")-3</f>
        <v>1</v>
      </c>
      <c r="GW383" s="243">
        <f>COUNTIFS(Podcasts!$D$10:$D$2535,"="&amp;GW$373,Podcasts!$E$10:$E$2535,"&gt;=1.1.2020",Podcasts!$E$10:$E$2535,"&lt;01.01.2021")</f>
        <v>1</v>
      </c>
      <c r="GX383" s="243">
        <f>COUNTIFS(Podcasts!$D$10:$D$2535,"="&amp;GX$373,Podcasts!$E$10:$E$2535,"&gt;=1.1.2020",Podcasts!$E$10:$E$2535,"&lt;01.01.2021")</f>
        <v>2</v>
      </c>
      <c r="GY383" s="243">
        <f>COUNTIFS(Podcasts!$D$10:$D$2535,"="&amp;GY$373,Podcasts!$E$10:$E$2535,"&gt;=1.1.2020",Podcasts!$E$10:$E$2535,"&lt;01.01.2021")</f>
        <v>1</v>
      </c>
      <c r="GZ383" s="243">
        <f>COUNTIFS(Podcasts!$D$10:$D$2535,"="&amp;GZ$373,Podcasts!$E$10:$E$2535,"&gt;=1.1.2020",Podcasts!$E$10:$E$2535,"&lt;01.01.2021")</f>
        <v>1</v>
      </c>
      <c r="HA383" s="243">
        <f>COUNTIFS(Podcasts!$D$10:$D$2535,"="&amp;HA$373,Podcasts!$E$10:$E$2535,"&gt;=1.1.2020",Podcasts!$E$10:$E$2535,"&lt;01.01.2021")</f>
        <v>3</v>
      </c>
      <c r="HB383" s="243">
        <f>COUNTIFS(Podcasts!$D$10:$D$2535,"="&amp;HB$373,Podcasts!$E$10:$E$2535,"&gt;=1.1.2020",Podcasts!$E$10:$E$2535,"&lt;01.01.2021")</f>
        <v>2</v>
      </c>
      <c r="HC383" s="243">
        <f>COUNTIFS(Podcasts!$D$10:$D$2535,"="&amp;HC$373,Podcasts!$E$10:$E$2535,"&gt;=1.1.2020",Podcasts!$E$10:$E$2535,"&lt;01.01.2021")</f>
        <v>3</v>
      </c>
      <c r="HD383" s="243">
        <f>COUNTIFS(Podcasts!$D$10:$D$2535,"="&amp;HD$373,Podcasts!$E$10:$E$2535,"&gt;=1.1.2020",Podcasts!$E$10:$E$2535,"&lt;01.01.2021")</f>
        <v>0</v>
      </c>
      <c r="HE383" s="243">
        <f>COUNTIFS(Podcasts!$D$10:$D$2535,"="&amp;HE$373,Podcasts!$E$10:$E$2535,"&gt;=1.1.2020",Podcasts!$E$10:$E$2535,"&lt;01.01.2021")</f>
        <v>0</v>
      </c>
      <c r="HF383" s="243">
        <f>COUNTIFS(Podcasts!$D$10:$D$2535,"="&amp;HF$373,Podcasts!$E$10:$E$2535,"&gt;=1.1.2020",Podcasts!$E$10:$E$2535,"&lt;01.01.2021")</f>
        <v>0</v>
      </c>
      <c r="HG383" s="243">
        <f>COUNTIFS(Podcasts!$D$10:$D$2535,"="&amp;HG$373,Podcasts!$E$10:$E$2535,"&gt;=1.1.2020",Podcasts!$E$10:$E$2535,"&lt;01.01.2021")</f>
        <v>0</v>
      </c>
      <c r="HH383" s="243">
        <f>COUNTIFS(Podcasts!$D$10:$D$2535,"="&amp;HH$373,Podcasts!$E$10:$E$2535,"&gt;=1.1.2020",Podcasts!$E$10:$E$2535,"&lt;01.01.2021")</f>
        <v>0</v>
      </c>
      <c r="HI383" s="243">
        <f>COUNTIFS(Podcasts!$D$10:$D$2535,"="&amp;HI$373,Podcasts!$E$10:$E$2535,"&gt;=1.1.2020",Podcasts!$E$10:$E$2535,"&lt;01.01.2021")</f>
        <v>0</v>
      </c>
      <c r="HJ383" s="243">
        <f>COUNTIFS(Podcasts!$D$10:$D$2535,"="&amp;HJ$373,Podcasts!$E$10:$E$2535,"&gt;=1.1.2020",Podcasts!$E$10:$E$2535,"&lt;01.01.2021")</f>
        <v>0</v>
      </c>
      <c r="HK383" s="243">
        <f>COUNTIFS(Podcasts!$D$10:$D$2535,"="&amp;HK$373,Podcasts!$E$10:$E$2535,"&gt;=1.1.2020",Podcasts!$E$10:$E$2535,"&lt;01.01.2021")</f>
        <v>0</v>
      </c>
      <c r="HL383" s="243">
        <f>COUNTIFS(Podcasts!$D$10:$D$2535,"="&amp;HL$373,Podcasts!$E$10:$E$2535,"&gt;=1.1.2020",Podcasts!$E$10:$E$2535,"&lt;01.01.2021")</f>
        <v>0</v>
      </c>
      <c r="HM383" s="243">
        <f>COUNTIFS(Podcasts!$D$10:$D$2535,"="&amp;HM$373,Podcasts!$E$10:$E$2535,"&gt;=1.1.2020",Podcasts!$E$10:$E$2535,"&lt;01.01.2021")</f>
        <v>0</v>
      </c>
      <c r="HN383" s="243">
        <f>COUNTIFS(Podcasts!$D$10:$D$2535,"="&amp;HN$373,Podcasts!$E$10:$E$2535,"&gt;=1.1.2020",Podcasts!$E$10:$E$2535,"&lt;01.01.2021")</f>
        <v>0</v>
      </c>
      <c r="HO383" s="243">
        <f>COUNTIFS(Podcasts!$D$10:$D$2535,"="&amp;HO$373,Podcasts!$E$10:$E$2535,"&gt;=1.1.2020",Podcasts!$E$10:$E$2535,"&lt;01.01.2021")</f>
        <v>0</v>
      </c>
      <c r="HP383" s="243">
        <f>COUNTIFS(Podcasts!$D$10:$D$2535,"="&amp;HP$373,Podcasts!$E$10:$E$2535,"&gt;=1.1.2020",Podcasts!$E$10:$E$2535,"&lt;01.01.2021")</f>
        <v>0</v>
      </c>
      <c r="HQ383" s="243">
        <f>COUNTIFS(Podcasts!$D$10:$D$2535,"="&amp;HQ$373,Podcasts!$E$10:$E$2535,"&gt;=1.1.2020",Podcasts!$E$10:$E$2535,"&lt;01.01.2021")</f>
        <v>0</v>
      </c>
      <c r="HR383" s="243">
        <f>COUNTIFS(Podcasts!$D$10:$D$2535,"="&amp;HR$373,Podcasts!$E$10:$E$2535,"&gt;=1.1.2020",Podcasts!$E$10:$E$2535,"&lt;01.01.2021")</f>
        <v>0</v>
      </c>
      <c r="HS383" s="243">
        <f>COUNTIFS(Podcasts!$D$10:$D$2535,"="&amp;HS$373,Podcasts!$E$10:$E$2535,"&gt;=1.1.2020",Podcasts!$E$10:$E$2535,"&lt;01.01.2021")</f>
        <v>0</v>
      </c>
      <c r="HT383" s="243">
        <f>COUNTIFS(Podcasts!$D$10:$D$2535,"="&amp;HT$373,Podcasts!$E$10:$E$2535,"&gt;=1.1.2020",Podcasts!$E$10:$E$2535,"&lt;01.01.2021")</f>
        <v>0</v>
      </c>
      <c r="HU383" s="243">
        <f>COUNTIFS(Podcasts!$D$10:$D$2535,"="&amp;HU$373,Podcasts!$E$10:$E$2535,"&gt;=1.1.2020",Podcasts!$E$10:$E$2535,"&lt;01.01.2021")</f>
        <v>0</v>
      </c>
      <c r="HV383" s="243">
        <f>COUNTIFS(Podcasts!$D$10:$D$2535,"="&amp;HV$373,Podcasts!$E$10:$E$2535,"&gt;=1.1.2020",Podcasts!$E$10:$E$2535,"&lt;01.01.2021")</f>
        <v>0</v>
      </c>
      <c r="HW383" s="243">
        <f>COUNTIFS(Podcasts!$D$10:$D$2535,"="&amp;HW$373,Podcasts!$E$10:$E$2535,"&gt;=1.1.2020",Podcasts!$E$10:$E$2535,"&lt;01.01.2021")</f>
        <v>0</v>
      </c>
      <c r="HX383" s="243">
        <f>COUNTIFS(Podcasts!$D$10:$D$2535,"="&amp;HX$373,Podcasts!$E$10:$E$2535,"&gt;=1.1.2020",Podcasts!$E$10:$E$2535,"&lt;01.01.2021")</f>
        <v>0</v>
      </c>
      <c r="HY383" s="243">
        <f>COUNTIFS(Podcasts!$D$10:$D$2535,"="&amp;HY$373,Podcasts!$E$10:$E$2535,"&gt;=1.1.2020",Podcasts!$E$10:$E$2535,"&lt;01.01.2021")</f>
        <v>0</v>
      </c>
      <c r="HZ383" s="243">
        <f>COUNTIFS(Podcasts!$D$10:$D$2535,"="&amp;HZ$373,Podcasts!$E$10:$E$2535,"&gt;=1.1.2020",Podcasts!$E$10:$E$2535,"&lt;01.01.2021")</f>
        <v>0</v>
      </c>
    </row>
    <row r="384" spans="1:234">
      <c r="A384" s="28"/>
      <c r="B384" s="28"/>
      <c r="C384" s="456">
        <v>2012</v>
      </c>
      <c r="D384" s="28"/>
      <c r="E384" s="243">
        <f>COUNTIFS(Podcasts!$D$10:$D$2535,"="&amp;E$373,Podcasts!$E$10:$E$2535,"&gt;=1.1.2021",Podcasts!$E$10:$E$2535,"&lt;01.01.2022")</f>
        <v>2</v>
      </c>
      <c r="F384" s="243">
        <f>COUNTIFS(Podcasts!$D$10:$D$2535,"="&amp;F$373,Podcasts!$E$10:$E$2535,"&gt;=1.1.2021",Podcasts!$E$10:$E$2535,"&lt;01.01.2022")</f>
        <v>3</v>
      </c>
      <c r="G384" s="243">
        <f>COUNTIFS(Podcasts!$D$10:$D$2535,"="&amp;G$373,Podcasts!$E$10:$E$2535,"&gt;=1.1.2021",Podcasts!$E$10:$E$2535,"&lt;01.01.2022")</f>
        <v>2</v>
      </c>
      <c r="H384" s="243">
        <f>COUNTIFS(Podcasts!$D$10:$D$2535,"="&amp;H$373,Podcasts!$E$10:$E$2535,"&gt;=1.1.2021",Podcasts!$E$10:$E$2535,"&lt;01.01.2022")</f>
        <v>3</v>
      </c>
      <c r="I384" s="243">
        <f>COUNTIFS(Podcasts!$D$10:$D$2535,"="&amp;I$373,Podcasts!$E$10:$E$2535,"&gt;=1.1.2021",Podcasts!$E$10:$E$2535,"&lt;01.01.2022")</f>
        <v>1</v>
      </c>
      <c r="J384" s="243">
        <f>COUNTIFS(Podcasts!$D$10:$D$2535,"="&amp;J$373,Podcasts!$E$10:$E$2535,"&gt;=1.1.2021",Podcasts!$E$10:$E$2535,"&lt;01.01.2022")</f>
        <v>2</v>
      </c>
      <c r="K384" s="243">
        <f>COUNTIFS(Podcasts!$D$10:$D$2535,"="&amp;K$373,Podcasts!$E$10:$E$2535,"&gt;=1.1.2021",Podcasts!$E$10:$E$2535,"&lt;01.01.2022")</f>
        <v>2</v>
      </c>
      <c r="L384" s="243">
        <f>COUNTIFS(Podcasts!$D$10:$D$2535,"="&amp;L$373,Podcasts!$E$10:$E$2535,"&gt;=1.1.2021",Podcasts!$E$10:$E$2535,"&lt;01.01.2022")</f>
        <v>2</v>
      </c>
      <c r="M384" s="285">
        <f>COUNTIFS(Podcasts!$D$10:$D$2535,"="&amp;M$373,Podcasts!$E$10:$E$2535,"&gt;=1.1.2021",Podcasts!$E$10:$E$2535,"&lt;01.01.2022")</f>
        <v>3</v>
      </c>
      <c r="N384" s="285">
        <f>COUNTIFS(Podcasts!$D$10:$D$2535,"="&amp;N$373,Podcasts!$E$10:$E$2535,"&gt;=1.1.2021",Podcasts!$E$10:$E$2535,"&lt;01.01.2022")</f>
        <v>3</v>
      </c>
      <c r="O384" s="243">
        <f>COUNTIFS(Podcasts!$D$10:$D$2535,"="&amp;O$373,Podcasts!$E$10:$E$2535,"&gt;=1.1.2021",Podcasts!$E$10:$E$2535,"&lt;01.01.2022")</f>
        <v>2</v>
      </c>
      <c r="P384" s="243">
        <f>COUNTIFS(Podcasts!$D$10:$D$2535,"="&amp;P$373,Podcasts!$E$10:$E$2535,"&gt;=1.1.2021",Podcasts!$E$10:$E$2535,"&lt;01.01.2022")</f>
        <v>1</v>
      </c>
      <c r="Q384" s="243">
        <f>COUNTIFS(Podcasts!$D$10:$D$2535,"="&amp;Q$373,Podcasts!$E$10:$E$2535,"&gt;=1.1.2021",Podcasts!$E$10:$E$2535,"&lt;01.01.2022")</f>
        <v>1</v>
      </c>
      <c r="R384" s="243">
        <f>COUNTIFS(Podcasts!$D$10:$D$2535,"="&amp;R$373,Podcasts!$E$10:$E$2535,"&gt;=1.1.2021",Podcasts!$E$10:$E$2535,"&lt;01.01.2022")</f>
        <v>3</v>
      </c>
      <c r="S384" s="243">
        <f>COUNTIFS(Podcasts!$D$10:$D$2535,"="&amp;S$373,Podcasts!$E$10:$E$2535,"&gt;=1.1.2021",Podcasts!$E$10:$E$2535,"&lt;01.01.2022")</f>
        <v>1</v>
      </c>
      <c r="T384" s="243">
        <f>COUNTIFS(Podcasts!$D$10:$D$2535,"="&amp;T$373,Podcasts!$E$10:$E$2535,"&gt;=1.1.2021",Podcasts!$E$10:$E$2535,"&lt;01.01.2022")</f>
        <v>1</v>
      </c>
      <c r="U384" s="243">
        <f>COUNTIFS(Podcasts!$D$10:$D$2535,"="&amp;U$373,Podcasts!$E$10:$E$2535,"&gt;=1.1.2021",Podcasts!$E$10:$E$2535,"&lt;01.01.2022")</f>
        <v>3</v>
      </c>
      <c r="V384" s="243">
        <f>COUNTIFS(Podcasts!$D$10:$D$2535,"="&amp;V$373,Podcasts!$E$10:$E$2535,"&gt;=1.1.2021",Podcasts!$E$10:$E$2535,"&lt;01.01.2022")</f>
        <v>2</v>
      </c>
      <c r="W384" s="243">
        <f>COUNTIFS(Podcasts!$D$10:$D$2535,"="&amp;W$373,Podcasts!$E$10:$E$2535,"&gt;=1.1.2021",Podcasts!$E$10:$E$2535,"&lt;01.01.2022")</f>
        <v>2</v>
      </c>
      <c r="X384" s="243">
        <f>COUNTIFS(Podcasts!$D$10:$D$2535,"="&amp;X$373,Podcasts!$E$10:$E$2535,"&gt;=1.1.2021",Podcasts!$E$10:$E$2535,"&lt;01.01.2022")</f>
        <v>3</v>
      </c>
      <c r="Y384" s="243">
        <f>COUNTIFS(Podcasts!$D$10:$D$2535,"="&amp;Y$373,Podcasts!$E$10:$E$2535,"&gt;=1.1.2021",Podcasts!$E$10:$E$2535,"&lt;01.01.2022")</f>
        <v>2</v>
      </c>
      <c r="Z384" s="243">
        <f>COUNTIFS(Podcasts!$D$10:$D$2535,"="&amp;Z$373,Podcasts!$E$10:$E$2535,"&gt;=1.1.2021",Podcasts!$E$10:$E$2535,"&lt;01.01.2022")</f>
        <v>1</v>
      </c>
      <c r="AA384" s="243">
        <f>COUNTIFS(Podcasts!$D$10:$D$2535,"="&amp;AA$373,Podcasts!$E$10:$E$2535,"&gt;=1.1.2021",Podcasts!$E$10:$E$2535,"&lt;01.01.2022")</f>
        <v>2</v>
      </c>
      <c r="AB384" s="243">
        <f>COUNTIFS(Podcasts!$D$10:$D$2535,"="&amp;AB$373,Podcasts!$E$10:$E$2535,"&gt;=1.1.2021",Podcasts!$E$10:$E$2535,"&lt;01.01.2022")</f>
        <v>1</v>
      </c>
      <c r="AC384" s="243">
        <f>COUNTIFS(Podcasts!$D$10:$D$2535,"="&amp;AC$373,Podcasts!$E$10:$E$2535,"&gt;=1.1.2021",Podcasts!$E$10:$E$2535,"&lt;01.01.2022")</f>
        <v>1</v>
      </c>
      <c r="AD384" s="243">
        <f>COUNTIFS(Podcasts!$D$10:$D$2535,"="&amp;AD$373,Podcasts!$E$10:$E$2535,"&gt;=1.1.2021",Podcasts!$E$10:$E$2535,"&lt;01.01.2022")</f>
        <v>1</v>
      </c>
      <c r="AE384" s="243">
        <f>COUNTIFS(Podcasts!$D$10:$D$2535,"="&amp;AE$373,Podcasts!$E$10:$E$2535,"&gt;=1.1.2021",Podcasts!$E$10:$E$2535,"&lt;01.01.2022")</f>
        <v>1</v>
      </c>
      <c r="AF384" s="243">
        <f>COUNTIFS(Podcasts!$D$10:$D$2535,"="&amp;AF$373,Podcasts!$E$10:$E$2535,"&gt;=1.1.2021",Podcasts!$E$10:$E$2535,"&lt;01.01.2022")</f>
        <v>1</v>
      </c>
      <c r="AG384" s="243">
        <f>COUNTIFS(Podcasts!$D$10:$D$2535,"="&amp;AG$373,Podcasts!$E$10:$E$2535,"&gt;=1.1.2021",Podcasts!$E$10:$E$2535,"&lt;01.01.2022")</f>
        <v>0</v>
      </c>
      <c r="AH384" s="243">
        <f>COUNTIFS(Podcasts!$D$10:$D$2535,"="&amp;AH$373,Podcasts!$E$10:$E$2535,"&gt;=1.1.2021",Podcasts!$E$10:$E$2535,"&lt;01.01.2022")</f>
        <v>1</v>
      </c>
      <c r="AI384" s="243">
        <f>COUNTIFS(Podcasts!$D$10:$D$2535,"="&amp;AI$373,Podcasts!$E$10:$E$2535,"&gt;=1.1.2021",Podcasts!$E$10:$E$2535,"&lt;01.01.2022")</f>
        <v>0</v>
      </c>
      <c r="AJ384" s="243">
        <f>COUNTIFS(Podcasts!$D$10:$D$2535,"="&amp;AJ$373,Podcasts!$E$10:$E$2535,"&gt;=1.1.2021",Podcasts!$E$10:$E$2535,"&lt;01.01.2022")</f>
        <v>1</v>
      </c>
      <c r="AK384" s="243">
        <f>COUNTIFS(Podcasts!$D$10:$D$2535,"="&amp;AK$373,Podcasts!$E$10:$E$2535,"&gt;=1.1.2021",Podcasts!$E$10:$E$2535,"&lt;01.01.2022")</f>
        <v>0</v>
      </c>
      <c r="AL384" s="243">
        <f>COUNTIFS(Podcasts!$D$10:$D$2535,"="&amp;AL$373,Podcasts!$E$10:$E$2535,"&gt;=1.1.2021",Podcasts!$E$10:$E$2535,"&lt;01.01.2022")</f>
        <v>0</v>
      </c>
      <c r="AM384" s="243">
        <f>COUNTIFS(Podcasts!$D$10:$D$2535,"="&amp;AM$373,Podcasts!$E$10:$E$2535,"&gt;=1.1.2021",Podcasts!$E$10:$E$2535,"&lt;01.01.2022")</f>
        <v>1</v>
      </c>
      <c r="AN384" s="243">
        <f>COUNTIFS(Podcasts!$D$10:$D$2535,"="&amp;AN$373,Podcasts!$E$10:$E$2535,"&gt;=1.1.2021",Podcasts!$E$10:$E$2535,"&lt;01.01.2022")</f>
        <v>0</v>
      </c>
      <c r="AO384" s="243">
        <f>COUNTIFS(Podcasts!$D$10:$D$2535,"="&amp;AO$373,Podcasts!$E$10:$E$2535,"&gt;=1.1.2021",Podcasts!$E$10:$E$2535,"&lt;01.01.2022")</f>
        <v>0</v>
      </c>
      <c r="AP384" s="243">
        <f>COUNTIFS(Podcasts!$D$10:$D$2535,"="&amp;AP$373,Podcasts!$E$10:$E$2535,"&gt;=1.1.2021",Podcasts!$E$10:$E$2535,"&lt;01.01.2022")</f>
        <v>0</v>
      </c>
      <c r="AQ384" s="243">
        <f>COUNTIFS(Podcasts!$D$10:$D$2535,"="&amp;AQ$373,Podcasts!$E$10:$E$2535,"&gt;=1.1.2021",Podcasts!$E$10:$E$2535,"&lt;01.01.2022")</f>
        <v>1</v>
      </c>
      <c r="AR384" s="243">
        <f>COUNTIFS(Podcasts!$D$10:$D$2535,"="&amp;AR$373,Podcasts!$E$10:$E$2535,"&gt;=1.1.2021",Podcasts!$E$10:$E$2535,"&lt;01.01.2022")</f>
        <v>0</v>
      </c>
      <c r="AS384" s="243">
        <f>COUNTIFS(Podcasts!$D$10:$D$2535,"="&amp;AS$373,Podcasts!$E$10:$E$2535,"&gt;=1.1.2021",Podcasts!$E$10:$E$2535,"&lt;01.01.2022")</f>
        <v>1</v>
      </c>
      <c r="AT384" s="243">
        <f>COUNTIFS(Podcasts!$D$10:$D$2535,"="&amp;AT$373,Podcasts!$E$10:$E$2535,"&gt;=1.1.2021",Podcasts!$E$10:$E$2535,"&lt;01.01.2022")</f>
        <v>1</v>
      </c>
      <c r="AU384" s="243">
        <f>COUNTIFS(Podcasts!$D$10:$D$2535,"="&amp;AU$373,Podcasts!$E$10:$E$2535,"&gt;=1.1.2021",Podcasts!$E$10:$E$2535,"&lt;01.01.2022")</f>
        <v>0</v>
      </c>
      <c r="AV384" s="243">
        <f>COUNTIFS(Podcasts!$D$10:$D$2535,"="&amp;AV$373,Podcasts!$E$10:$E$2535,"&gt;=1.1.2021",Podcasts!$E$10:$E$2535,"&lt;01.01.2022")</f>
        <v>0</v>
      </c>
      <c r="AW384" s="243">
        <f>COUNTIFS(Podcasts!$D$10:$D$2535,"="&amp;AW$373,Podcasts!$E$10:$E$2535,"&gt;=1.1.2021",Podcasts!$E$10:$E$2535,"&lt;01.01.2022")</f>
        <v>0</v>
      </c>
      <c r="AX384" s="243">
        <f>COUNTIFS(Podcasts!$D$10:$D$2535,"="&amp;AX$373,Podcasts!$E$10:$E$2535,"&gt;=1.1.2021",Podcasts!$E$10:$E$2535,"&lt;01.01.2022")</f>
        <v>1</v>
      </c>
      <c r="AY384" s="243">
        <f>COUNTIFS(Podcasts!$D$10:$D$2535,"="&amp;AY$373,Podcasts!$E$10:$E$2535,"&gt;=1.1.2021",Podcasts!$E$10:$E$2535,"&lt;01.01.2022")</f>
        <v>0</v>
      </c>
      <c r="AZ384" s="243">
        <f>COUNTIFS(Podcasts!$D$10:$D$2535,"="&amp;AZ$373,Podcasts!$E$10:$E$2535,"&gt;=1.1.2021",Podcasts!$E$10:$E$2535,"&lt;01.01.2022")</f>
        <v>1</v>
      </c>
      <c r="BA384" s="243">
        <f>COUNTIFS(Podcasts!$D$10:$D$2535,"="&amp;BA$373,Podcasts!$E$10:$E$2535,"&gt;=1.1.2021",Podcasts!$E$10:$E$2535,"&lt;01.01.2022")</f>
        <v>1</v>
      </c>
      <c r="BB384" s="243">
        <f>COUNTIFS(Podcasts!$D$10:$D$2535,"="&amp;BB$373,Podcasts!$E$10:$E$2535,"&gt;=1.1.2021",Podcasts!$E$10:$E$2535,"&lt;01.01.2022")</f>
        <v>1</v>
      </c>
      <c r="BC384" s="243">
        <f>COUNTIFS(Podcasts!$D$10:$D$2535,"="&amp;BC$373,Podcasts!$E$10:$E$2535,"&gt;=1.1.2021",Podcasts!$E$10:$E$2535,"&lt;01.01.2022")</f>
        <v>0</v>
      </c>
      <c r="BD384" s="243">
        <f>COUNTIFS(Podcasts!$D$10:$D$2535,"="&amp;BD$373,Podcasts!$E$10:$E$2535,"&gt;=1.1.2021",Podcasts!$E$10:$E$2535,"&lt;01.01.2022")</f>
        <v>1</v>
      </c>
      <c r="BE384" s="243">
        <f>COUNTIFS(Podcasts!$D$10:$D$2535,"="&amp;BE$373,Podcasts!$E$10:$E$2535,"&gt;=1.1.2021",Podcasts!$E$10:$E$2535,"&lt;01.01.2022")</f>
        <v>0</v>
      </c>
      <c r="BF384" s="243">
        <f>COUNTIFS(Podcasts!$D$10:$D$2535,"="&amp;BF$373,Podcasts!$E$10:$E$2535,"&gt;=1.1.2021",Podcasts!$E$10:$E$2535,"&lt;01.01.2022")</f>
        <v>2</v>
      </c>
      <c r="BG384" s="243">
        <f>COUNTIFS(Podcasts!$D$10:$D$2535,"="&amp;BG$373,Podcasts!$E$10:$E$2535,"&gt;=1.1.2021",Podcasts!$E$10:$E$2535,"&lt;01.01.2022")</f>
        <v>0</v>
      </c>
      <c r="BH384" s="243">
        <f>COUNTIFS(Podcasts!$D$10:$D$2535,"="&amp;BH$373,Podcasts!$E$10:$E$2535,"&gt;=1.1.2021",Podcasts!$E$10:$E$2535,"&lt;01.01.2022")</f>
        <v>1</v>
      </c>
      <c r="BI384" s="243">
        <f>COUNTIFS(Podcasts!$D$10:$D$2535,"="&amp;BI$373,Podcasts!$E$10:$E$2535,"&gt;=1.1.2021",Podcasts!$E$10:$E$2535,"&lt;01.01.2022")</f>
        <v>0</v>
      </c>
      <c r="BJ384" s="243">
        <f>COUNTIFS(Podcasts!$D$10:$D$2535,"="&amp;BJ$373,Podcasts!$E$10:$E$2535,"&gt;=1.1.2021",Podcasts!$E$10:$E$2535,"&lt;01.01.2022")</f>
        <v>0</v>
      </c>
      <c r="BK384" s="243">
        <f>COUNTIFS(Podcasts!$D$10:$D$2535,"="&amp;BK$373,Podcasts!$E$10:$E$2535,"&gt;=1.1.2021",Podcasts!$E$10:$E$2535,"&lt;01.01.2022")</f>
        <v>1</v>
      </c>
      <c r="BL384" s="243">
        <f>COUNTIFS(Podcasts!$D$10:$D$2535,"="&amp;BL$373,Podcasts!$E$10:$E$2535,"&gt;=1.1.2021",Podcasts!$E$10:$E$2535,"&lt;01.01.2022")</f>
        <v>0</v>
      </c>
      <c r="BM384" s="243">
        <f>COUNTIFS(Podcasts!$D$10:$D$2535,"="&amp;BM$373,Podcasts!$E$10:$E$2535,"&gt;=1.1.2021",Podcasts!$E$10:$E$2535,"&lt;01.01.2022")</f>
        <v>0</v>
      </c>
      <c r="BN384" s="243">
        <f>COUNTIFS(Podcasts!$D$10:$D$2535,"="&amp;BN$373,Podcasts!$E$10:$E$2535,"&gt;=1.1.2021",Podcasts!$E$10:$E$2535,"&lt;01.01.2022")</f>
        <v>2</v>
      </c>
      <c r="BO384" s="243">
        <f>COUNTIFS(Podcasts!$D$10:$D$2535,"="&amp;BO$373,Podcasts!$E$10:$E$2535,"&gt;=1.1.2021",Podcasts!$E$10:$E$2535,"&lt;01.01.2022")</f>
        <v>2</v>
      </c>
      <c r="BP384" s="243">
        <f>COUNTIFS(Podcasts!$D$10:$D$2535,"="&amp;BP$373,Podcasts!$E$10:$E$2535,"&gt;=1.1.2021",Podcasts!$E$10:$E$2535,"&lt;01.01.2022")</f>
        <v>0</v>
      </c>
      <c r="BQ384" s="243">
        <f>COUNTIFS(Podcasts!$D$10:$D$2535,"="&amp;BQ$373,Podcasts!$E$10:$E$2535,"&gt;=1.1.2021",Podcasts!$E$10:$E$2535,"&lt;01.01.2022")</f>
        <v>1</v>
      </c>
      <c r="BR384" s="243">
        <f>COUNTIFS(Podcasts!$D$10:$D$2535,"="&amp;BR$373,Podcasts!$E$10:$E$2535,"&gt;=1.1.2021",Podcasts!$E$10:$E$2535,"&lt;01.01.2022")</f>
        <v>2</v>
      </c>
      <c r="BS384" s="243">
        <f>COUNTIFS(Podcasts!$D$10:$D$2535,"="&amp;BS$373,Podcasts!$E$10:$E$2535,"&gt;=1.1.2021",Podcasts!$E$10:$E$2535,"&lt;01.01.2022")</f>
        <v>1</v>
      </c>
      <c r="BT384" s="243">
        <f>COUNTIFS(Podcasts!$D$10:$D$2535,"="&amp;BT$373,Podcasts!$E$10:$E$2535,"&gt;=1.1.2021",Podcasts!$E$10:$E$2535,"&lt;01.01.2022")</f>
        <v>0</v>
      </c>
      <c r="BU384" s="243">
        <f>COUNTIFS(Podcasts!$D$10:$D$2535,"="&amp;BU$373,Podcasts!$E$10:$E$2535,"&gt;=1.1.2021",Podcasts!$E$10:$E$2535,"&lt;01.01.2022")</f>
        <v>1</v>
      </c>
      <c r="BV384" s="243">
        <f>COUNTIFS(Podcasts!$D$10:$D$2535,"="&amp;BV$373,Podcasts!$E$10:$E$2535,"&gt;=1.1.2021",Podcasts!$E$10:$E$2535,"&lt;01.01.2022")</f>
        <v>0</v>
      </c>
      <c r="BW384" s="243">
        <f>COUNTIFS(Podcasts!$D$10:$D$2535,"="&amp;BW$373,Podcasts!$E$10:$E$2535,"&gt;=1.1.2021",Podcasts!$E$10:$E$2535,"&lt;01.01.2022")</f>
        <v>1</v>
      </c>
      <c r="BX384" s="243">
        <f>COUNTIFS(Podcasts!$D$10:$D$2535,"="&amp;BX$373,Podcasts!$E$10:$E$2535,"&gt;=1.1.2021",Podcasts!$E$10:$E$2535,"&lt;01.01.2022")</f>
        <v>0</v>
      </c>
      <c r="BY384" s="243">
        <f>COUNTIFS(Podcasts!$D$10:$D$2535,"="&amp;BY$373,Podcasts!$E$10:$E$2535,"&gt;=1.1.2021",Podcasts!$E$10:$E$2535,"&lt;01.01.2022")</f>
        <v>3</v>
      </c>
      <c r="BZ384" s="243">
        <f>COUNTIFS(Podcasts!$D$10:$D$2535,"="&amp;BZ$373,Podcasts!$E$10:$E$2535,"&gt;=1.1.2021",Podcasts!$E$10:$E$2535,"&lt;01.01.2022")</f>
        <v>1</v>
      </c>
      <c r="CA384" s="243">
        <f>COUNTIFS(Podcasts!$D$10:$D$2535,"="&amp;CA$373,Podcasts!$E$10:$E$2535,"&gt;=1.1.2021",Podcasts!$E$10:$E$2535,"&lt;01.01.2022")</f>
        <v>1</v>
      </c>
      <c r="CB384" s="243">
        <f>COUNTIFS(Podcasts!$D$10:$D$2535,"="&amp;CB$373,Podcasts!$E$10:$E$2535,"&gt;=1.1.2021",Podcasts!$E$10:$E$2535,"&lt;01.01.2022")</f>
        <v>3</v>
      </c>
      <c r="CC384" s="243">
        <f>COUNTIFS(Podcasts!$D$10:$D$2535,"="&amp;CC$373,Podcasts!$E$10:$E$2535,"&gt;=1.1.2021",Podcasts!$E$10:$E$2535,"&lt;01.01.2022")</f>
        <v>0</v>
      </c>
      <c r="CD384" s="243">
        <f>COUNTIFS(Podcasts!$D$10:$D$2535,"="&amp;CD$373,Podcasts!$E$10:$E$2535,"&gt;=1.1.2021",Podcasts!$E$10:$E$2535,"&lt;01.01.2022")</f>
        <v>1</v>
      </c>
      <c r="CE384" s="243">
        <f>COUNTIFS(Podcasts!$D$10:$D$2535,"="&amp;CE$373,Podcasts!$E$10:$E$2535,"&gt;=1.1.2021",Podcasts!$E$10:$E$2535,"&lt;01.01.2022")</f>
        <v>1</v>
      </c>
      <c r="CF384" s="243">
        <f>COUNTIFS(Podcasts!$D$10:$D$2535,"="&amp;CF$373,Podcasts!$E$10:$E$2535,"&gt;=1.1.2021",Podcasts!$E$10:$E$2535,"&lt;01.01.2022")</f>
        <v>0</v>
      </c>
      <c r="CG384" s="243">
        <f>COUNTIFS(Podcasts!$D$10:$D$2535,"="&amp;CG$373,Podcasts!$E$10:$E$2535,"&gt;=1.1.2021",Podcasts!$E$10:$E$2535,"&lt;01.01.2022")</f>
        <v>0</v>
      </c>
      <c r="CH384" s="243">
        <f>COUNTIFS(Podcasts!$D$10:$D$2535,"="&amp;CH$373,Podcasts!$E$10:$E$2535,"&gt;=1.1.2021",Podcasts!$E$10:$E$2535,"&lt;01.01.2022")</f>
        <v>1</v>
      </c>
      <c r="CI384" s="243">
        <f>COUNTIFS(Podcasts!$D$10:$D$2535,"="&amp;CI$373,Podcasts!$E$10:$E$2535,"&gt;=1.1.2021",Podcasts!$E$10:$E$2535,"&lt;01.01.2022")</f>
        <v>1</v>
      </c>
      <c r="CJ384" s="243">
        <f>COUNTIFS(Podcasts!$D$10:$D$2535,"="&amp;CJ$373,Podcasts!$E$10:$E$2535,"&gt;=1.1.2021",Podcasts!$E$10:$E$2535,"&lt;01.01.2022")</f>
        <v>1</v>
      </c>
      <c r="CK384" s="243">
        <f>COUNTIFS(Podcasts!$D$10:$D$2535,"="&amp;CK$373,Podcasts!$E$10:$E$2535,"&gt;=1.1.2021",Podcasts!$E$10:$E$2535,"&lt;01.01.2022")</f>
        <v>1</v>
      </c>
      <c r="CL384" s="243">
        <f>COUNTIFS(Podcasts!$D$10:$D$2535,"="&amp;CL$373,Podcasts!$E$10:$E$2535,"&gt;=1.1.2021",Podcasts!$E$10:$E$2535,"&lt;01.01.2022")</f>
        <v>3</v>
      </c>
      <c r="CM384" s="243">
        <f>COUNTIFS(Podcasts!$D$10:$D$2535,"="&amp;CM$373,Podcasts!$E$10:$E$2535,"&gt;=1.1.2021",Podcasts!$E$10:$E$2535,"&lt;01.01.2022")</f>
        <v>2</v>
      </c>
      <c r="CN384" s="243">
        <f>COUNTIFS(Podcasts!$D$10:$D$2535,"="&amp;CN$373,Podcasts!$E$10:$E$2535,"&gt;=1.1.2021",Podcasts!$E$10:$E$2535,"&lt;01.01.2022")</f>
        <v>3</v>
      </c>
      <c r="CO384" s="243">
        <f>COUNTIFS(Podcasts!$D$10:$D$2535,"="&amp;CO$373,Podcasts!$E$10:$E$2535,"&gt;=1.1.2021",Podcasts!$E$10:$E$2535,"&lt;01.01.2022")</f>
        <v>3</v>
      </c>
      <c r="CP384" s="243">
        <f>COUNTIFS(Podcasts!$D$10:$D$2535,"="&amp;CP$373,Podcasts!$E$10:$E$2535,"&gt;=1.1.2021",Podcasts!$E$10:$E$2535,"&lt;01.01.2022")</f>
        <v>0</v>
      </c>
      <c r="CQ384" s="243">
        <f>COUNTIFS(Podcasts!$D$10:$D$2535,"="&amp;CQ$373,Podcasts!$E$10:$E$2535,"&gt;=1.1.2021",Podcasts!$E$10:$E$2535,"&lt;01.01.2022")</f>
        <v>0</v>
      </c>
      <c r="CR384" s="243">
        <f>COUNTIFS(Podcasts!$D$10:$D$2535,"="&amp;CR$373,Podcasts!$E$10:$E$2535,"&gt;=1.1.2021",Podcasts!$E$10:$E$2535,"&lt;01.01.2022")</f>
        <v>0</v>
      </c>
      <c r="CS384" s="243">
        <f>COUNTIFS(Podcasts!$D$10:$D$2535,"="&amp;CS$373,Podcasts!$E$10:$E$2535,"&gt;=1.1.2021",Podcasts!$E$10:$E$2535,"&lt;01.01.2022")</f>
        <v>1</v>
      </c>
      <c r="CT384" s="243">
        <f>COUNTIFS(Podcasts!$D$10:$D$2535,"="&amp;CT$373,Podcasts!$E$10:$E$2535,"&gt;=1.1.2021",Podcasts!$E$10:$E$2535,"&lt;01.01.2022")</f>
        <v>0</v>
      </c>
      <c r="CU384" s="243">
        <f>COUNTIFS(Podcasts!$D$10:$D$2535,"="&amp;CU$373,Podcasts!$E$10:$E$2535,"&gt;=1.1.2021",Podcasts!$E$10:$E$2535,"&lt;01.01.2022")</f>
        <v>0</v>
      </c>
      <c r="CV384" s="243">
        <f>COUNTIFS(Podcasts!$D$10:$D$2535,"="&amp;CV$373,Podcasts!$E$10:$E$2535,"&gt;=1.1.2021",Podcasts!$E$10:$E$2535,"&lt;01.01.2022")</f>
        <v>0</v>
      </c>
      <c r="CW384" s="243">
        <f>COUNTIFS(Podcasts!$D$10:$D$2535,"="&amp;CW$373,Podcasts!$E$10:$E$2535,"&gt;=1.1.2021",Podcasts!$E$10:$E$2535,"&lt;01.01.2022")</f>
        <v>2</v>
      </c>
      <c r="CX384" s="243">
        <f>COUNTIFS(Podcasts!$D$10:$D$2535,"="&amp;CX$373,Podcasts!$E$10:$E$2535,"&gt;=1.1.2021",Podcasts!$E$10:$E$2535,"&lt;01.01.2022")</f>
        <v>0</v>
      </c>
      <c r="CY384" s="243">
        <f>COUNTIFS(Podcasts!$D$10:$D$2535,"="&amp;CY$373,Podcasts!$E$10:$E$2535,"&gt;=1.1.2021",Podcasts!$E$10:$E$2535,"&lt;01.01.2022")</f>
        <v>2</v>
      </c>
      <c r="CZ384" s="243">
        <f>COUNTIFS(Podcasts!$D$10:$D$2535,"="&amp;CZ$373,Podcasts!$E$10:$E$2535,"&gt;=1.1.2021",Podcasts!$E$10:$E$2535,"&lt;01.01.2022")</f>
        <v>0</v>
      </c>
      <c r="DA384" s="243">
        <f>COUNTIFS(Podcasts!$D$10:$D$2535,"="&amp;DA$373,Podcasts!$E$10:$E$2535,"&gt;=1.1.2021",Podcasts!$E$10:$E$2535,"&lt;01.01.2022")</f>
        <v>0</v>
      </c>
      <c r="DB384" s="243">
        <f>COUNTIFS(Podcasts!$D$10:$D$2535,"="&amp;DB$373,Podcasts!$E$10:$E$2535,"&gt;=1.1.2021",Podcasts!$E$10:$E$2535,"&lt;01.01.2022")</f>
        <v>0</v>
      </c>
      <c r="DC384" s="243">
        <f>COUNTIFS(Podcasts!$D$10:$D$2535,"="&amp;DC$373,Podcasts!$E$10:$E$2535,"&gt;=1.1.2021",Podcasts!$E$10:$E$2535,"&lt;01.01.2022")</f>
        <v>4</v>
      </c>
      <c r="DD384" s="243">
        <f>COUNTIFS(Podcasts!$D$10:$D$2535,"="&amp;DD$373,Podcasts!$E$10:$E$2535,"&gt;=1.1.2021",Podcasts!$E$10:$E$2535,"&lt;01.01.2022")</f>
        <v>0</v>
      </c>
      <c r="DE384" s="243">
        <f>COUNTIFS(Podcasts!$D$10:$D$2535,"="&amp;DE$373,Podcasts!$E$10:$E$2535,"&gt;=1.1.2021",Podcasts!$E$10:$E$2535,"&lt;01.01.2022")</f>
        <v>0</v>
      </c>
      <c r="DF384" s="243">
        <f>COUNTIFS(Podcasts!$D$10:$D$2535,"="&amp;DF$373,Podcasts!$E$10:$E$2535,"&gt;=1.1.2021",Podcasts!$E$10:$E$2535,"&lt;01.01.2022")</f>
        <v>2</v>
      </c>
      <c r="DG384" s="243">
        <f>COUNTIFS(Podcasts!$D$10:$D$2535,"="&amp;DG$373,Podcasts!$E$10:$E$2535,"&gt;=1.1.2021",Podcasts!$E$10:$E$2535,"&lt;01.01.2022")</f>
        <v>1</v>
      </c>
      <c r="DH384" s="243">
        <f>COUNTIFS(Podcasts!$D$10:$D$2535,"="&amp;DH$373,Podcasts!$E$10:$E$2535,"&gt;=1.1.2021",Podcasts!$E$10:$E$2535,"&lt;01.01.2022")</f>
        <v>0</v>
      </c>
      <c r="DI384" s="243">
        <f>COUNTIFS(Podcasts!$D$10:$D$2535,"="&amp;DI$373,Podcasts!$E$10:$E$2535,"&gt;=1.1.2021",Podcasts!$E$10:$E$2535,"&lt;01.01.2022")</f>
        <v>0</v>
      </c>
      <c r="DJ384" s="243">
        <f>COUNTIFS(Podcasts!$D$10:$D$2535,"="&amp;DJ$373,Podcasts!$E$10:$E$2535,"&gt;=1.1.2021",Podcasts!$E$10:$E$2535,"&lt;01.01.2022")</f>
        <v>1</v>
      </c>
      <c r="DK384" s="243">
        <f>COUNTIFS(Podcasts!$D$10:$D$2535,"="&amp;DK$373,Podcasts!$E$10:$E$2535,"&gt;=1.1.2021",Podcasts!$E$10:$E$2535,"&lt;01.01.2022")</f>
        <v>2</v>
      </c>
      <c r="DL384" s="243">
        <f>COUNTIFS(Podcasts!$D$10:$D$2535,"="&amp;DL$373,Podcasts!$E$10:$E$2535,"&gt;=1.1.2021",Podcasts!$E$10:$E$2535,"&lt;01.01.2022")</f>
        <v>0</v>
      </c>
      <c r="DM384" s="243">
        <f>COUNTIFS(Podcasts!$D$10:$D$2535,"="&amp;DM$373,Podcasts!$E$10:$E$2535,"&gt;=1.1.2021",Podcasts!$E$10:$E$2535,"&lt;01.01.2022")</f>
        <v>1</v>
      </c>
      <c r="DN384" s="243">
        <f>COUNTIFS(Podcasts!$D$10:$D$2535,"="&amp;DN$373,Podcasts!$E$10:$E$2535,"&gt;=1.1.2021",Podcasts!$E$10:$E$2535,"&lt;01.01.2022")</f>
        <v>1</v>
      </c>
      <c r="DO384" s="243">
        <f>COUNTIFS(Podcasts!$D$10:$D$2535,"="&amp;DO$373,Podcasts!$E$10:$E$2535,"&gt;=1.1.2021",Podcasts!$E$10:$E$2535,"&lt;01.01.2022")</f>
        <v>0</v>
      </c>
      <c r="DP384" s="243">
        <f>COUNTIFS(Podcasts!$D$10:$D$2535,"="&amp;DP$373,Podcasts!$E$10:$E$2535,"&gt;=1.1.2021",Podcasts!$E$10:$E$2535,"&lt;01.01.2022")</f>
        <v>0</v>
      </c>
      <c r="DQ384" s="243">
        <f>COUNTIFS(Podcasts!$D$10:$D$2535,"="&amp;DQ$373,Podcasts!$E$10:$E$2535,"&gt;=1.1.2021",Podcasts!$E$10:$E$2535,"&lt;01.01.2022")</f>
        <v>0</v>
      </c>
      <c r="DR384" s="243">
        <f>COUNTIFS(Podcasts!$D$10:$D$2535,"="&amp;DR$373,Podcasts!$E$10:$E$2535,"&gt;=1.1.2021",Podcasts!$E$10:$E$2535,"&lt;01.01.2022")</f>
        <v>0</v>
      </c>
      <c r="DS384" s="243">
        <f>COUNTIFS(Podcasts!$D$10:$D$2535,"="&amp;DS$373,Podcasts!$E$10:$E$2535,"&gt;=1.1.2021",Podcasts!$E$10:$E$2535,"&lt;01.01.2022")</f>
        <v>0</v>
      </c>
      <c r="DT384" s="243">
        <f>COUNTIFS(Podcasts!$D$10:$D$2535,"="&amp;DT$373,Podcasts!$E$10:$E$2535,"&gt;=1.1.2021",Podcasts!$E$10:$E$2535,"&lt;01.01.2022")</f>
        <v>0</v>
      </c>
      <c r="DU384" s="243">
        <f>COUNTIFS(Podcasts!$D$10:$D$2535,"="&amp;DU$373,Podcasts!$E$10:$E$2535,"&gt;=1.1.2021",Podcasts!$E$10:$E$2535,"&lt;01.01.2022")</f>
        <v>1</v>
      </c>
      <c r="DV384" s="243">
        <f>COUNTIFS(Podcasts!$D$10:$D$2535,"="&amp;DV$373,Podcasts!$E$10:$E$2535,"&gt;=1.1.2021",Podcasts!$E$10:$E$2535,"&lt;01.01.2022")</f>
        <v>1</v>
      </c>
      <c r="DW384" s="243">
        <f>COUNTIFS(Podcasts!$D$10:$D$2535,"="&amp;DW$373,Podcasts!$E$10:$E$2535,"&gt;=1.1.2021",Podcasts!$E$10:$E$2535,"&lt;01.01.2022")</f>
        <v>0</v>
      </c>
      <c r="DX384" s="243">
        <f>COUNTIFS(Podcasts!$D$10:$D$2535,"="&amp;DX$373,Podcasts!$E$10:$E$2535,"&gt;=1.1.2021",Podcasts!$E$10:$E$2535,"&lt;01.01.2022")</f>
        <v>1</v>
      </c>
      <c r="DY384" s="243">
        <f>COUNTIFS(Podcasts!$D$10:$D$2535,"="&amp;DY$373,Podcasts!$E$10:$E$2535,"&gt;=1.1.2021",Podcasts!$E$10:$E$2535,"&lt;01.01.2022")</f>
        <v>2</v>
      </c>
      <c r="DZ384" s="243">
        <f>COUNTIFS(Podcasts!$D$10:$D$2535,"="&amp;DZ$373,Podcasts!$E$10:$E$2535,"&gt;=1.1.2021",Podcasts!$E$10:$E$2535,"&lt;01.01.2022")</f>
        <v>0</v>
      </c>
      <c r="EA384" s="243">
        <f>COUNTIFS(Podcasts!$D$10:$D$2535,"="&amp;EA$373,Podcasts!$E$10:$E$2535,"&gt;=1.1.2021",Podcasts!$E$10:$E$2535,"&lt;01.01.2022")</f>
        <v>1</v>
      </c>
      <c r="EB384" s="243">
        <f>COUNTIFS(Podcasts!$D$10:$D$2535,"="&amp;EB$373,Podcasts!$E$10:$E$2535,"&gt;=1.1.2021",Podcasts!$E$10:$E$2535,"&lt;01.01.2022")</f>
        <v>1</v>
      </c>
      <c r="EC384" s="243">
        <f>COUNTIFS(Podcasts!$D$10:$D$2535,"="&amp;EC$373,Podcasts!$E$10:$E$2535,"&gt;=1.1.2021",Podcasts!$E$10:$E$2535,"&lt;01.01.2022")</f>
        <v>1</v>
      </c>
      <c r="ED384" s="243">
        <f>COUNTIFS(Podcasts!$D$10:$D$2535,"="&amp;ED$373,Podcasts!$E$10:$E$2535,"&gt;=1.1.2021",Podcasts!$E$10:$E$2535,"&lt;01.01.2022")</f>
        <v>2</v>
      </c>
      <c r="EE384" s="243">
        <f>COUNTIFS(Podcasts!$D$10:$D$2535,"="&amp;EE$373,Podcasts!$E$10:$E$2535,"&gt;=1.1.2021",Podcasts!$E$10:$E$2535,"&lt;01.01.2022")</f>
        <v>2</v>
      </c>
      <c r="EF384" s="243">
        <f>COUNTIFS(Podcasts!$D$10:$D$2535,"="&amp;EF$373,Podcasts!$E$10:$E$2535,"&gt;=1.1.2021",Podcasts!$E$10:$E$2535,"&lt;01.01.2022")</f>
        <v>0</v>
      </c>
      <c r="EG384" s="243">
        <f>COUNTIFS(Podcasts!$D$10:$D$2535,"="&amp;EG$373,Podcasts!$E$10:$E$2535,"&gt;=1.1.2021",Podcasts!$E$10:$E$2535,"&lt;01.01.2022")</f>
        <v>0</v>
      </c>
      <c r="EH384" s="243">
        <f>COUNTIFS(Podcasts!$D$10:$D$2535,"="&amp;EH$373,Podcasts!$E$10:$E$2535,"&gt;=1.1.2021",Podcasts!$E$10:$E$2535,"&lt;01.01.2022")</f>
        <v>0</v>
      </c>
      <c r="EI384" s="243">
        <f>COUNTIFS(Podcasts!$D$10:$D$2535,"="&amp;EI$373,Podcasts!$E$10:$E$2535,"&gt;=1.1.2021",Podcasts!$E$10:$E$2535,"&lt;01.01.2022")</f>
        <v>0</v>
      </c>
      <c r="EJ384" s="243">
        <f>COUNTIFS(Podcasts!$D$10:$D$2535,"="&amp;EJ$373,Podcasts!$E$10:$E$2535,"&gt;=1.1.2021",Podcasts!$E$10:$E$2535,"&lt;01.01.2022")</f>
        <v>2</v>
      </c>
      <c r="EK384" s="243">
        <f>COUNTIFS(Podcasts!$D$10:$D$2535,"="&amp;EK$373,Podcasts!$E$10:$E$2535,"&gt;=1.1.2021",Podcasts!$E$10:$E$2535,"&lt;01.01.2022")</f>
        <v>0</v>
      </c>
      <c r="EL384" s="243">
        <f>COUNTIFS(Podcasts!$D$10:$D$2535,"="&amp;EL$373,Podcasts!$E$10:$E$2535,"&gt;=1.1.2021",Podcasts!$E$10:$E$2535,"&lt;01.01.2022")</f>
        <v>1</v>
      </c>
      <c r="EM384" s="243">
        <f>COUNTIFS(Podcasts!$D$10:$D$2535,"="&amp;EM$373,Podcasts!$E$10:$E$2535,"&gt;=1.1.2021",Podcasts!$E$10:$E$2535,"&lt;01.01.2022")</f>
        <v>0</v>
      </c>
      <c r="EN384" s="243">
        <f>COUNTIFS(Podcasts!$D$10:$D$2535,"="&amp;EN$373,Podcasts!$E$10:$E$2535,"&gt;=1.1.2021",Podcasts!$E$10:$E$2535,"&lt;01.01.2022")</f>
        <v>0</v>
      </c>
      <c r="EO384" s="243">
        <f>COUNTIFS(Podcasts!$D$10:$D$2535,"="&amp;EO$373,Podcasts!$E$10:$E$2535,"&gt;=1.1.2021",Podcasts!$E$10:$E$2535,"&lt;01.01.2022")</f>
        <v>0</v>
      </c>
      <c r="EP384" s="243">
        <f>COUNTIFS(Podcasts!$D$10:$D$2535,"="&amp;EP$373,Podcasts!$E$10:$E$2535,"&gt;=1.1.2021",Podcasts!$E$10:$E$2535,"&lt;01.01.2022")</f>
        <v>0</v>
      </c>
      <c r="EQ384" s="243">
        <f>COUNTIFS(Podcasts!$D$10:$D$2535,"="&amp;EQ$373,Podcasts!$E$10:$E$2535,"&gt;=1.1.2021",Podcasts!$E$10:$E$2535,"&lt;01.01.2022")</f>
        <v>2</v>
      </c>
      <c r="ER384" s="243">
        <f>COUNTIFS(Podcasts!$D$10:$D$2535,"="&amp;ER$373,Podcasts!$E$10:$E$2535,"&gt;=1.1.2021",Podcasts!$E$10:$E$2535,"&lt;01.01.2022")</f>
        <v>0</v>
      </c>
      <c r="ES384" s="243">
        <f>COUNTIFS(Podcasts!$D$10:$D$2535,"="&amp;ES$373,Podcasts!$E$10:$E$2535,"&gt;=1.1.2021",Podcasts!$E$10:$E$2535,"&lt;01.01.2022")</f>
        <v>0</v>
      </c>
      <c r="ET384" s="243">
        <f>COUNTIFS(Podcasts!$D$10:$D$2535,"="&amp;ET$373,Podcasts!$E$10:$E$2535,"&gt;=1.1.2021",Podcasts!$E$10:$E$2535,"&lt;01.01.2022")</f>
        <v>1</v>
      </c>
      <c r="EU384" s="243">
        <f>COUNTIFS(Podcasts!$D$10:$D$2535,"="&amp;EU$373,Podcasts!$E$10:$E$2535,"&gt;=1.1.2021",Podcasts!$E$10:$E$2535,"&lt;01.01.2022")</f>
        <v>1</v>
      </c>
      <c r="EV384" s="243">
        <f>COUNTIFS(Podcasts!$D$10:$D$2535,"="&amp;EV$373,Podcasts!$E$10:$E$2535,"&gt;=1.1.2021",Podcasts!$E$10:$E$2535,"&lt;01.01.2022")</f>
        <v>1</v>
      </c>
      <c r="EW384" s="243">
        <f>COUNTIFS(Podcasts!$D$10:$D$2535,"="&amp;EW$373,Podcasts!$E$10:$E$2535,"&gt;=1.1.2021",Podcasts!$E$10:$E$2535,"&lt;01.01.2022")</f>
        <v>1</v>
      </c>
      <c r="EX384" s="243">
        <f>COUNTIFS(Podcasts!$D$10:$D$2535,"="&amp;EX$373,Podcasts!$E$10:$E$2535,"&gt;=1.1.2021",Podcasts!$E$10:$E$2535,"&lt;01.01.2022")</f>
        <v>0</v>
      </c>
      <c r="EY384" s="243">
        <f>COUNTIFS(Podcasts!$D$10:$D$2535,"="&amp;EY$373,Podcasts!$E$10:$E$2535,"&gt;=1.1.2021",Podcasts!$E$10:$E$2535,"&lt;01.01.2022")</f>
        <v>1</v>
      </c>
      <c r="EZ384" s="243">
        <f>COUNTIFS(Podcasts!$D$10:$D$2535,"="&amp;EZ$373,Podcasts!$E$10:$E$2535,"&gt;=1.1.2021",Podcasts!$E$10:$E$2535,"&lt;01.01.2022")</f>
        <v>0</v>
      </c>
      <c r="FA384" s="243">
        <f>COUNTIFS(Podcasts!$D$10:$D$2535,"="&amp;FA$373,Podcasts!$E$10:$E$2535,"&gt;=1.1.2021",Podcasts!$E$10:$E$2535,"&lt;01.01.2022")</f>
        <v>1</v>
      </c>
      <c r="FB384" s="243">
        <f>COUNTIFS(Podcasts!$D$10:$D$2535,"="&amp;FB$373,Podcasts!$E$10:$E$2535,"&gt;=1.1.2021",Podcasts!$E$10:$E$2535,"&lt;01.01.2022")</f>
        <v>0</v>
      </c>
      <c r="FC384" s="243">
        <f>COUNTIFS(Podcasts!$D$10:$D$2535,"="&amp;FC$373,Podcasts!$E$10:$E$2535,"&gt;=1.1.2021",Podcasts!$E$10:$E$2535,"&lt;01.01.2022")</f>
        <v>1</v>
      </c>
      <c r="FD384" s="243">
        <f>COUNTIFS(Podcasts!$D$10:$D$2535,"="&amp;FD$373,Podcasts!$E$10:$E$2535,"&gt;=1.1.2021",Podcasts!$E$10:$E$2535,"&lt;01.01.2022")</f>
        <v>0</v>
      </c>
      <c r="FE384" s="243">
        <f>COUNTIFS(Podcasts!$D$10:$D$2535,"="&amp;FE$373,Podcasts!$E$10:$E$2535,"&gt;=1.1.2021",Podcasts!$E$10:$E$2535,"&lt;01.01.2022")</f>
        <v>0</v>
      </c>
      <c r="FF384" s="243">
        <f>COUNTIFS(Podcasts!$D$10:$D$2535,"="&amp;FF$373,Podcasts!$E$10:$E$2535,"&gt;=1.1.2021",Podcasts!$E$10:$E$2535,"&lt;01.01.2022")</f>
        <v>0</v>
      </c>
      <c r="FG384" s="243">
        <f>COUNTIFS(Podcasts!$D$10:$D$2535,"="&amp;FG$373,Podcasts!$E$10:$E$2535,"&gt;=1.1.2021",Podcasts!$E$10:$E$2535,"&lt;01.01.2022")</f>
        <v>2</v>
      </c>
      <c r="FH384" s="243">
        <f>COUNTIFS(Podcasts!$D$10:$D$2535,"="&amp;FH$373,Podcasts!$E$10:$E$2535,"&gt;=1.1.2021",Podcasts!$E$10:$E$2535,"&lt;01.01.2022")</f>
        <v>0</v>
      </c>
      <c r="FI384" s="243">
        <f>COUNTIFS(Podcasts!$D$10:$D$2535,"="&amp;FI$373,Podcasts!$E$10:$E$2535,"&gt;=1.1.2021",Podcasts!$E$10:$E$2535,"&lt;01.01.2022")</f>
        <v>0</v>
      </c>
      <c r="FJ384" s="243">
        <f>COUNTIFS(Podcasts!$D$10:$D$2535,"="&amp;FJ$373,Podcasts!$E$10:$E$2535,"&gt;=1.1.2021",Podcasts!$E$10:$E$2535,"&lt;01.01.2022")</f>
        <v>0</v>
      </c>
      <c r="FK384" s="243">
        <f>COUNTIFS(Podcasts!$D$10:$D$2535,"="&amp;FK$373,Podcasts!$E$10:$E$2535,"&gt;=1.1.2021",Podcasts!$E$10:$E$2535,"&lt;01.01.2022")</f>
        <v>1</v>
      </c>
      <c r="FL384" s="243">
        <f>COUNTIFS(Podcasts!$D$10:$D$2535,"="&amp;FL$373,Podcasts!$E$10:$E$2535,"&gt;=1.1.2021",Podcasts!$E$10:$E$2535,"&lt;01.01.2022")</f>
        <v>0</v>
      </c>
      <c r="FM384" s="243">
        <f>COUNTIFS(Podcasts!$D$10:$D$2535,"="&amp;FM$373,Podcasts!$E$10:$E$2535,"&gt;=1.1.2021",Podcasts!$E$10:$E$2535,"&lt;01.01.2022")</f>
        <v>2</v>
      </c>
      <c r="FN384" s="243">
        <f>COUNTIFS(Podcasts!$D$10:$D$2535,"="&amp;FN$373,Podcasts!$E$10:$E$2535,"&gt;=1.1.2021",Podcasts!$E$10:$E$2535,"&lt;01.01.2022")</f>
        <v>0</v>
      </c>
      <c r="FO384" s="243">
        <f>COUNTIFS(Podcasts!$D$10:$D$2535,"="&amp;FO$373,Podcasts!$E$10:$E$2535,"&gt;=1.1.2021",Podcasts!$E$10:$E$2535,"&lt;01.01.2022")</f>
        <v>1</v>
      </c>
      <c r="FP384" s="243">
        <f>COUNTIFS(Podcasts!$D$10:$D$2535,"="&amp;FP$373,Podcasts!$E$10:$E$2535,"&gt;=1.1.2021",Podcasts!$E$10:$E$2535,"&lt;01.01.2022")</f>
        <v>0</v>
      </c>
      <c r="FQ384" s="243">
        <f>COUNTIFS(Podcasts!$D$10:$D$2535,"="&amp;FQ$373,Podcasts!$E$10:$E$2535,"&gt;=1.1.2021",Podcasts!$E$10:$E$2535,"&lt;01.01.2022")</f>
        <v>1</v>
      </c>
      <c r="FR384" s="243">
        <f>COUNTIFS(Podcasts!$D$10:$D$2535,"="&amp;FR$373,Podcasts!$E$10:$E$2535,"&gt;=1.1.2021",Podcasts!$E$10:$E$2535,"&lt;01.01.2022")</f>
        <v>1</v>
      </c>
      <c r="FS384" s="243">
        <f>COUNTIFS(Podcasts!$D$10:$D$2535,"="&amp;FS$373,Podcasts!$E$10:$E$2535,"&gt;=1.1.2021",Podcasts!$E$10:$E$2535,"&lt;01.01.2022")</f>
        <v>1</v>
      </c>
      <c r="FT384" s="243">
        <f>COUNTIFS(Podcasts!$D$10:$D$2535,"="&amp;FT$373,Podcasts!$E$10:$E$2535,"&gt;=1.1.2021",Podcasts!$E$10:$E$2535,"&lt;01.01.2022")</f>
        <v>1</v>
      </c>
      <c r="FU384" s="243">
        <f>COUNTIFS(Podcasts!$D$10:$D$2535,"="&amp;FU$373,Podcasts!$E$10:$E$2535,"&gt;=1.1.2021",Podcasts!$E$10:$E$2535,"&lt;01.01.2022")</f>
        <v>1</v>
      </c>
      <c r="FV384" s="243">
        <f>COUNTIFS(Podcasts!$D$10:$D$2535,"="&amp;FV$373,Podcasts!$E$10:$E$2535,"&gt;=1.1.2021",Podcasts!$E$10:$E$2535,"&lt;01.01.2022")</f>
        <v>1</v>
      </c>
      <c r="FW384" s="243">
        <f>COUNTIFS(Podcasts!$D$10:$D$2535,"="&amp;FW$373,Podcasts!$E$10:$E$2535,"&gt;=1.1.2021",Podcasts!$E$10:$E$2535,"&lt;01.01.2022")</f>
        <v>1</v>
      </c>
      <c r="FX384" s="243">
        <f>COUNTIFS(Podcasts!$D$10:$D$2535,"="&amp;FX$373,Podcasts!$E$10:$E$2535,"&gt;=1.1.2021",Podcasts!$E$10:$E$2535,"&lt;01.01.2022")</f>
        <v>0</v>
      </c>
      <c r="FY384" s="243">
        <f>COUNTIFS(Podcasts!$D$10:$D$2535,"="&amp;FY$373,Podcasts!$E$10:$E$2535,"&gt;=1.1.2021",Podcasts!$E$10:$E$2535,"&lt;01.01.2022")</f>
        <v>1</v>
      </c>
      <c r="FZ384" s="243">
        <f>COUNTIFS(Podcasts!$D$10:$D$2535,"="&amp;FZ$373,Podcasts!$E$10:$E$2535,"&gt;=1.1.2021",Podcasts!$E$10:$E$2535,"&lt;01.01.2022")</f>
        <v>0</v>
      </c>
      <c r="GA384" s="243">
        <f>COUNTIFS(Podcasts!$D$10:$D$2535,"="&amp;GA$373,Podcasts!$E$10:$E$2535,"&gt;=1.1.2021",Podcasts!$E$10:$E$2535,"&lt;01.01.2022")</f>
        <v>1</v>
      </c>
      <c r="GB384" s="243">
        <f>COUNTIFS(Podcasts!$D$10:$D$2535,"="&amp;GB$373,Podcasts!$E$10:$E$2535,"&gt;=1.1.2021",Podcasts!$E$10:$E$2535,"&lt;01.01.2022")</f>
        <v>2</v>
      </c>
      <c r="GC384" s="243">
        <f>COUNTIFS(Podcasts!$D$10:$D$2535,"="&amp;GC$373,Podcasts!$E$10:$E$2535,"&gt;=1.1.2021",Podcasts!$E$10:$E$2535,"&lt;01.01.2022")</f>
        <v>0</v>
      </c>
      <c r="GD384" s="243">
        <f>COUNTIFS(Podcasts!$D$10:$D$2535,"="&amp;GD$373,Podcasts!$E$10:$E$2535,"&gt;=1.1.2021",Podcasts!$E$10:$E$2535,"&lt;01.01.2022")</f>
        <v>0</v>
      </c>
      <c r="GE384" s="243">
        <f>COUNTIFS(Podcasts!$D$10:$D$2535,"="&amp;GE$373,Podcasts!$E$10:$E$2535,"&gt;=1.1.2021",Podcasts!$E$10:$E$2535,"&lt;01.01.2022")</f>
        <v>1</v>
      </c>
      <c r="GF384" s="243">
        <f>COUNTIFS(Podcasts!$D$10:$D$2535,"="&amp;GF$373,Podcasts!$E$10:$E$2535,"&gt;=1.1.2021",Podcasts!$E$10:$E$2535,"&lt;01.01.2022")</f>
        <v>2</v>
      </c>
      <c r="GG384" s="243">
        <f>COUNTIFS(Podcasts!$D$10:$D$2535,"="&amp;GG$373,Podcasts!$E$10:$E$2535,"&gt;=1.1.2021",Podcasts!$E$10:$E$2535,"&lt;01.01.2022")</f>
        <v>0</v>
      </c>
      <c r="GH384" s="243">
        <f>COUNTIFS(Podcasts!$D$10:$D$2535,"="&amp;GH$373,Podcasts!$E$10:$E$2535,"&gt;=1.1.2021",Podcasts!$E$10:$E$2535,"&lt;01.01.2022")</f>
        <v>1</v>
      </c>
      <c r="GI384" s="243">
        <f>COUNTIFS(Podcasts!$D$10:$D$2535,"="&amp;GI$373,Podcasts!$E$10:$E$2535,"&gt;=1.1.2021",Podcasts!$E$10:$E$2535,"&lt;01.01.2022")</f>
        <v>1</v>
      </c>
      <c r="GJ384" s="243">
        <f>COUNTIFS(Podcasts!$D$10:$D$2535,"="&amp;GJ$373,Podcasts!$E$10:$E$2535,"&gt;=1.1.2021",Podcasts!$E$10:$E$2535,"&lt;01.01.2022")</f>
        <v>2</v>
      </c>
      <c r="GK384" s="243">
        <f>COUNTIFS(Podcasts!$D$10:$D$2535,"="&amp;GK$373,Podcasts!$E$10:$E$2535,"&gt;=1.1.2021",Podcasts!$E$10:$E$2535,"&lt;01.01.2022")</f>
        <v>0</v>
      </c>
      <c r="GL384" s="243">
        <f>COUNTIFS(Podcasts!$D$10:$D$2535,"="&amp;GL$373,Podcasts!$E$10:$E$2535,"&gt;=1.1.2021",Podcasts!$E$10:$E$2535,"&lt;01.01.2022")</f>
        <v>0</v>
      </c>
      <c r="GM384" s="243">
        <f>COUNTIFS(Podcasts!$D$10:$D$2535,"="&amp;GM$373,Podcasts!$E$10:$E$2535,"&gt;=1.1.2021",Podcasts!$E$10:$E$2535,"&lt;01.01.2022")</f>
        <v>1</v>
      </c>
      <c r="GN384" s="243">
        <f>COUNTIFS(Podcasts!$D$10:$D$2535,"="&amp;GN$373,Podcasts!$E$10:$E$2535,"&gt;=1.1.2021",Podcasts!$E$10:$E$2535,"&lt;01.01.2022")</f>
        <v>0</v>
      </c>
      <c r="GO384" s="243">
        <f>COUNTIFS(Podcasts!$D$10:$D$2535,"="&amp;GO$373,Podcasts!$E$10:$E$2535,"&gt;=1.1.2021",Podcasts!$E$10:$E$2535,"&lt;01.01.2022")</f>
        <v>0</v>
      </c>
      <c r="GP384" s="243">
        <f>COUNTIFS(Podcasts!$D$10:$D$2535,"="&amp;GP$373,Podcasts!$E$10:$E$2535,"&gt;=1.1.2021",Podcasts!$E$10:$E$2535,"&lt;01.01.2022")</f>
        <v>2</v>
      </c>
      <c r="GQ384" s="243">
        <f>COUNTIFS(Podcasts!$D$10:$D$2535,"="&amp;GQ$373,Podcasts!$E$10:$E$2535,"&gt;=1.1.2021",Podcasts!$E$10:$E$2535,"&lt;01.01.2022")</f>
        <v>1</v>
      </c>
      <c r="GR384" s="243">
        <f>COUNTIFS(Podcasts!$D$10:$D$2535,"="&amp;GR$373,Podcasts!$E$10:$E$2535,"&gt;=1.1.2021",Podcasts!$E$10:$E$2535,"&lt;01.01.2022")</f>
        <v>0</v>
      </c>
      <c r="GS384" s="243">
        <f>COUNTIFS(Podcasts!$D$10:$D$2535,"="&amp;GS$373,Podcasts!$E$10:$E$2535,"&gt;=1.1.2021",Podcasts!$E$10:$E$2535,"&lt;01.01.2022")</f>
        <v>0</v>
      </c>
      <c r="GT384" s="243">
        <f>COUNTIFS(Podcasts!$D$10:$D$2535,"="&amp;GT$373,Podcasts!$E$10:$E$2535,"&gt;=1.1.2021",Podcasts!$E$10:$E$2535,"&lt;01.01.2022")</f>
        <v>1</v>
      </c>
      <c r="GU384" s="243">
        <f>COUNTIFS(Podcasts!$D$10:$D$2535,"="&amp;GU$373,Podcasts!$E$10:$E$2535,"&gt;=1.1.2021",Podcasts!$E$10:$E$2535,"&lt;01.01.2022")</f>
        <v>1</v>
      </c>
      <c r="GV384" s="243">
        <f>COUNTIFS(Podcasts!$D$10:$D$2535,"="&amp;GV$373,Podcasts!$E$10:$E$2535,"&gt;=1.1.2021",Podcasts!$E$10:$E$2535,"&lt;01.01.2022")-3</f>
        <v>2</v>
      </c>
      <c r="GW384" s="243">
        <f>COUNTIFS(Podcasts!$D$10:$D$2535,"="&amp;GW$373,Podcasts!$E$10:$E$2535,"&gt;=1.1.2021",Podcasts!$E$10:$E$2535,"&lt;01.01.2022")</f>
        <v>0</v>
      </c>
      <c r="GX384" s="243">
        <f>COUNTIFS(Podcasts!$D$10:$D$2535,"="&amp;GX$373,Podcasts!$E$10:$E$2535,"&gt;=1.1.2021",Podcasts!$E$10:$E$2535,"&lt;01.01.2022")</f>
        <v>2</v>
      </c>
      <c r="GY384" s="243">
        <f>COUNTIFS(Podcasts!$D$10:$D$2535,"="&amp;GY$373,Podcasts!$E$10:$E$2535,"&gt;=1.1.2021",Podcasts!$E$10:$E$2535,"&lt;01.01.2022")</f>
        <v>1</v>
      </c>
      <c r="GZ384" s="243">
        <f>COUNTIFS(Podcasts!$D$10:$D$2535,"="&amp;GZ$373,Podcasts!$E$10:$E$2535,"&gt;=1.1.2021",Podcasts!$E$10:$E$2535,"&lt;01.01.2022")</f>
        <v>0</v>
      </c>
      <c r="HA384" s="243">
        <f>COUNTIFS(Podcasts!$D$10:$D$2535,"="&amp;HA$373,Podcasts!$E$10:$E$2535,"&gt;=1.1.2021",Podcasts!$E$10:$E$2535,"&lt;01.01.2022")</f>
        <v>0</v>
      </c>
      <c r="HB384" s="243">
        <f>COUNTIFS(Podcasts!$D$10:$D$2535,"="&amp;HB$373,Podcasts!$E$10:$E$2535,"&gt;=1.1.2021",Podcasts!$E$10:$E$2535,"&lt;01.01.2022")</f>
        <v>1</v>
      </c>
      <c r="HC384" s="243">
        <f>COUNTIFS(Podcasts!$D$10:$D$2535,"="&amp;HC$373,Podcasts!$E$10:$E$2535,"&gt;=1.1.2021",Podcasts!$E$10:$E$2535,"&lt;01.01.2022")</f>
        <v>0</v>
      </c>
      <c r="HD384" s="243">
        <f>COUNTIFS(Podcasts!$D$10:$D$2535,"="&amp;HD$373,Podcasts!$E$10:$E$2535,"&gt;=1.1.2021",Podcasts!$E$10:$E$2535,"&lt;01.01.2022")</f>
        <v>2</v>
      </c>
      <c r="HE384" s="243">
        <f>COUNTIFS(Podcasts!$D$10:$D$2535,"="&amp;HE$373,Podcasts!$E$10:$E$2535,"&gt;=1.1.2021",Podcasts!$E$10:$E$2535,"&lt;01.01.2022")</f>
        <v>2</v>
      </c>
      <c r="HF384" s="243">
        <f>COUNTIFS(Podcasts!$D$10:$D$2535,"="&amp;HF$373,Podcasts!$E$10:$E$2535,"&gt;=1.1.2021",Podcasts!$E$10:$E$2535,"&lt;01.01.2022")</f>
        <v>3</v>
      </c>
      <c r="HG384" s="243">
        <f>COUNTIFS(Podcasts!$D$10:$D$2535,"="&amp;HG$373,Podcasts!$E$10:$E$2535,"&gt;=1.1.2021",Podcasts!$E$10:$E$2535,"&lt;01.01.2022")</f>
        <v>3</v>
      </c>
      <c r="HH384" s="243">
        <f>COUNTIFS(Podcasts!$D$10:$D$2535,"="&amp;HH$373,Podcasts!$E$10:$E$2535,"&gt;=1.1.2021",Podcasts!$E$10:$E$2535,"&lt;01.01.2022")</f>
        <v>3</v>
      </c>
      <c r="HI384" s="243">
        <f>COUNTIFS(Podcasts!$D$10:$D$2535,"="&amp;HI$373,Podcasts!$E$10:$E$2535,"&gt;=1.1.2021",Podcasts!$E$10:$E$2535,"&lt;01.01.2022")</f>
        <v>2</v>
      </c>
      <c r="HJ384" s="243">
        <f>COUNTIFS(Podcasts!$D$10:$D$2535,"="&amp;HJ$373,Podcasts!$E$10:$E$2535,"&gt;=1.1.2021",Podcasts!$E$10:$E$2535,"&lt;01.01.2022")</f>
        <v>0</v>
      </c>
      <c r="HK384" s="243">
        <f>COUNTIFS(Podcasts!$D$10:$D$2535,"="&amp;HK$373,Podcasts!$E$10:$E$2535,"&gt;=1.1.2021",Podcasts!$E$10:$E$2535,"&lt;01.01.2022")</f>
        <v>0</v>
      </c>
      <c r="HL384" s="243">
        <f>COUNTIFS(Podcasts!$D$10:$D$2535,"="&amp;HL$373,Podcasts!$E$10:$E$2535,"&gt;=1.1.2021",Podcasts!$E$10:$E$2535,"&lt;01.01.2022")</f>
        <v>0</v>
      </c>
      <c r="HM384" s="243">
        <f>COUNTIFS(Podcasts!$D$10:$D$2535,"="&amp;HM$373,Podcasts!$E$10:$E$2535,"&gt;=1.1.2021",Podcasts!$E$10:$E$2535,"&lt;01.01.2022")</f>
        <v>0</v>
      </c>
      <c r="HN384" s="243">
        <f>COUNTIFS(Podcasts!$D$10:$D$2535,"="&amp;HN$373,Podcasts!$E$10:$E$2535,"&gt;=1.1.2021",Podcasts!$E$10:$E$2535,"&lt;01.01.2022")</f>
        <v>0</v>
      </c>
      <c r="HO384" s="243">
        <f>COUNTIFS(Podcasts!$D$10:$D$2535,"="&amp;HO$373,Podcasts!$E$10:$E$2535,"&gt;=1.1.2021",Podcasts!$E$10:$E$2535,"&lt;01.01.2022")</f>
        <v>0</v>
      </c>
      <c r="HP384" s="243">
        <f>COUNTIFS(Podcasts!$D$10:$D$2535,"="&amp;HP$373,Podcasts!$E$10:$E$2535,"&gt;=1.1.2021",Podcasts!$E$10:$E$2535,"&lt;01.01.2022")</f>
        <v>0</v>
      </c>
      <c r="HQ384" s="243">
        <f>COUNTIFS(Podcasts!$D$10:$D$2535,"="&amp;HQ$373,Podcasts!$E$10:$E$2535,"&gt;=1.1.2021",Podcasts!$E$10:$E$2535,"&lt;01.01.2022")</f>
        <v>0</v>
      </c>
      <c r="HR384" s="243">
        <f>COUNTIFS(Podcasts!$D$10:$D$2535,"="&amp;HR$373,Podcasts!$E$10:$E$2535,"&gt;=1.1.2021",Podcasts!$E$10:$E$2535,"&lt;01.01.2022")</f>
        <v>0</v>
      </c>
      <c r="HS384" s="243">
        <f>COUNTIFS(Podcasts!$D$10:$D$2535,"="&amp;HS$373,Podcasts!$E$10:$E$2535,"&gt;=1.1.2021",Podcasts!$E$10:$E$2535,"&lt;01.01.2022")</f>
        <v>0</v>
      </c>
      <c r="HT384" s="243">
        <f>COUNTIFS(Podcasts!$D$10:$D$2535,"="&amp;HT$373,Podcasts!$E$10:$E$2535,"&gt;=1.1.2021",Podcasts!$E$10:$E$2535,"&lt;01.01.2022")</f>
        <v>0</v>
      </c>
      <c r="HU384" s="243">
        <f>COUNTIFS(Podcasts!$D$10:$D$2535,"="&amp;HU$373,Podcasts!$E$10:$E$2535,"&gt;=1.1.2021",Podcasts!$E$10:$E$2535,"&lt;01.01.2022")</f>
        <v>0</v>
      </c>
      <c r="HV384" s="243">
        <f>COUNTIFS(Podcasts!$D$10:$D$2535,"="&amp;HV$373,Podcasts!$E$10:$E$2535,"&gt;=1.1.2021",Podcasts!$E$10:$E$2535,"&lt;01.01.2022")</f>
        <v>0</v>
      </c>
      <c r="HW384" s="243">
        <f>COUNTIFS(Podcasts!$D$10:$D$2535,"="&amp;HW$373,Podcasts!$E$10:$E$2535,"&gt;=1.1.2021",Podcasts!$E$10:$E$2535,"&lt;01.01.2022")</f>
        <v>0</v>
      </c>
      <c r="HX384" s="243">
        <f>COUNTIFS(Podcasts!$D$10:$D$2535,"="&amp;HX$373,Podcasts!$E$10:$E$2535,"&gt;=1.1.2021",Podcasts!$E$10:$E$2535,"&lt;01.01.2022")</f>
        <v>0</v>
      </c>
      <c r="HY384" s="243">
        <f>COUNTIFS(Podcasts!$D$10:$D$2535,"="&amp;HY$373,Podcasts!$E$10:$E$2535,"&gt;=1.1.2021",Podcasts!$E$10:$E$2535,"&lt;01.01.2022")</f>
        <v>0</v>
      </c>
      <c r="HZ384" s="243">
        <f>COUNTIFS(Podcasts!$D$10:$D$2535,"="&amp;HZ$373,Podcasts!$E$10:$E$2535,"&gt;=1.1.2021",Podcasts!$E$10:$E$2535,"&lt;01.01.2022")</f>
        <v>0</v>
      </c>
    </row>
    <row r="385" spans="1:234">
      <c r="A385" s="28"/>
      <c r="B385" s="28"/>
      <c r="C385" s="455">
        <v>2011</v>
      </c>
      <c r="D385" s="28"/>
      <c r="E385" s="243">
        <f>COUNTIFS(Podcasts!$D$10:$D$2535,"="&amp;E$373,Podcasts!$E$10:$E$2535,"&gt;=1.1.2022",Podcasts!$E$10:$E$2535,"&lt;01.01.2023")</f>
        <v>4</v>
      </c>
      <c r="F385" s="243">
        <f>COUNTIFS(Podcasts!$D$10:$D$2535,"="&amp;F$373,Podcasts!$E$10:$E$2535,"&gt;=1.1.2022",Podcasts!$E$10:$E$2535,"&lt;01.01.2023")</f>
        <v>3</v>
      </c>
      <c r="G385" s="243">
        <f>COUNTIFS(Podcasts!$D$10:$D$2535,"="&amp;G$373,Podcasts!$E$10:$E$2535,"&gt;=1.1.2022",Podcasts!$E$10:$E$2535,"&lt;01.01.2023")</f>
        <v>3</v>
      </c>
      <c r="H385" s="243">
        <f>COUNTIFS(Podcasts!$D$10:$D$2535,"="&amp;H$373,Podcasts!$E$10:$E$2535,"&gt;=1.1.2022",Podcasts!$E$10:$E$2535,"&lt;01.01.2023")</f>
        <v>2</v>
      </c>
      <c r="I385" s="243">
        <f>COUNTIFS(Podcasts!$D$10:$D$2535,"="&amp;I$373,Podcasts!$E$10:$E$2535,"&gt;=1.1.2022",Podcasts!$E$10:$E$2535,"&lt;01.01.2023")</f>
        <v>2</v>
      </c>
      <c r="J385" s="243">
        <f>COUNTIFS(Podcasts!$D$10:$D$2535,"="&amp;J$373,Podcasts!$E$10:$E$2535,"&gt;=1.1.2022",Podcasts!$E$10:$E$2535,"&lt;01.01.2023")</f>
        <v>2</v>
      </c>
      <c r="K385" s="243">
        <f>COUNTIFS(Podcasts!$D$10:$D$2535,"="&amp;K$373,Podcasts!$E$10:$E$2535,"&gt;=1.1.2022",Podcasts!$E$10:$E$2535,"&lt;01.01.2023")</f>
        <v>2</v>
      </c>
      <c r="L385" s="243">
        <f>COUNTIFS(Podcasts!$D$10:$D$2535,"="&amp;L$373,Podcasts!$E$10:$E$2535,"&gt;=1.1.2022",Podcasts!$E$10:$E$2535,"&lt;01.01.2023")</f>
        <v>2</v>
      </c>
      <c r="M385" s="285">
        <f>COUNTIFS(Podcasts!$D$10:$D$2535,"="&amp;M$373,Podcasts!$E$10:$E$2535,"&gt;=1.1.2022",Podcasts!$E$10:$E$2535,"&lt;01.01.2023")</f>
        <v>2</v>
      </c>
      <c r="N385" s="285">
        <f>COUNTIFS(Podcasts!$D$10:$D$2535,"="&amp;N$373,Podcasts!$E$10:$E$2535,"&gt;=1.1.2022",Podcasts!$E$10:$E$2535,"&lt;01.01.2023")-1</f>
        <v>1</v>
      </c>
      <c r="O385" s="243">
        <f>COUNTIFS(Podcasts!$D$10:$D$2535,"="&amp;O$373,Podcasts!$E$10:$E$2535,"&gt;=1.1.2022",Podcasts!$E$10:$E$2535,"&lt;01.01.2023")</f>
        <v>5</v>
      </c>
      <c r="P385" s="243">
        <f>COUNTIFS(Podcasts!$D$10:$D$2535,"="&amp;P$373,Podcasts!$E$10:$E$2535,"&gt;=1.1.2022",Podcasts!$E$10:$E$2535,"&lt;01.01.2023")</f>
        <v>5</v>
      </c>
      <c r="Q385" s="243">
        <f>COUNTIFS(Podcasts!$D$10:$D$2535,"="&amp;Q$373,Podcasts!$E$10:$E$2535,"&gt;=1.1.2022",Podcasts!$E$10:$E$2535,"&lt;01.01.2023")</f>
        <v>4</v>
      </c>
      <c r="R385" s="243">
        <f>COUNTIFS(Podcasts!$D$10:$D$2535,"="&amp;R$373,Podcasts!$E$10:$E$2535,"&gt;=1.1.2022",Podcasts!$E$10:$E$2535,"&lt;01.01.2023")</f>
        <v>3</v>
      </c>
      <c r="S385" s="243">
        <f>COUNTIFS(Podcasts!$D$10:$D$2535,"="&amp;S$373,Podcasts!$E$10:$E$2535,"&gt;=1.1.2022",Podcasts!$E$10:$E$2535,"&lt;01.01.2023")</f>
        <v>3</v>
      </c>
      <c r="T385" s="243">
        <f>COUNTIFS(Podcasts!$D$10:$D$2535,"="&amp;T$373,Podcasts!$E$10:$E$2535,"&gt;=1.1.2022",Podcasts!$E$10:$E$2535,"&lt;01.01.2023")</f>
        <v>6</v>
      </c>
      <c r="U385" s="243">
        <f>COUNTIFS(Podcasts!$D$10:$D$2535,"="&amp;U$373,Podcasts!$E$10:$E$2535,"&gt;=1.1.2022",Podcasts!$E$10:$E$2535,"&lt;01.01.2023")</f>
        <v>3</v>
      </c>
      <c r="V385" s="243">
        <f>COUNTIFS(Podcasts!$D$10:$D$2535,"="&amp;V$373,Podcasts!$E$10:$E$2535,"&gt;=1.1.2022",Podcasts!$E$10:$E$2535,"&lt;01.01.2023")</f>
        <v>2</v>
      </c>
      <c r="W385" s="243">
        <f>COUNTIFS(Podcasts!$D$10:$D$2535,"="&amp;W$373,Podcasts!$E$10:$E$2535,"&gt;=1.1.2022",Podcasts!$E$10:$E$2535,"&lt;01.01.2023")</f>
        <v>1</v>
      </c>
      <c r="X385" s="243">
        <f>COUNTIFS(Podcasts!$D$10:$D$2535,"="&amp;X$373,Podcasts!$E$10:$E$2535,"&gt;=1.1.2022",Podcasts!$E$10:$E$2535,"&lt;01.01.2023")</f>
        <v>1</v>
      </c>
      <c r="Y385" s="243">
        <f>COUNTIFS(Podcasts!$D$10:$D$2535,"="&amp;Y$373,Podcasts!$E$10:$E$2535,"&gt;=1.1.2022",Podcasts!$E$10:$E$2535,"&lt;01.01.2023")</f>
        <v>2</v>
      </c>
      <c r="Z385" s="243">
        <f>COUNTIFS(Podcasts!$D$10:$D$2535,"="&amp;Z$373,Podcasts!$E$10:$E$2535,"&gt;=1.1.2022",Podcasts!$E$10:$E$2535,"&lt;01.01.2023")</f>
        <v>2</v>
      </c>
      <c r="AA385" s="243">
        <f>COUNTIFS(Podcasts!$D$10:$D$2535,"="&amp;AA$373,Podcasts!$E$10:$E$2535,"&gt;=1.1.2022",Podcasts!$E$10:$E$2535,"&lt;01.01.2023")</f>
        <v>2</v>
      </c>
      <c r="AB385" s="243">
        <f>COUNTIFS(Podcasts!$D$10:$D$2535,"="&amp;AB$373,Podcasts!$E$10:$E$2535,"&gt;=1.1.2022",Podcasts!$E$10:$E$2535,"&lt;01.01.2023")</f>
        <v>1</v>
      </c>
      <c r="AC385" s="243">
        <f>COUNTIFS(Podcasts!$D$10:$D$2535,"="&amp;AC$373,Podcasts!$E$10:$E$2535,"&gt;=1.1.2022",Podcasts!$E$10:$E$2535,"&lt;01.01.2023")</f>
        <v>4</v>
      </c>
      <c r="AD385" s="243">
        <f>COUNTIFS(Podcasts!$D$10:$D$2535,"="&amp;AD$373,Podcasts!$E$10:$E$2535,"&gt;=1.1.2022",Podcasts!$E$10:$E$2535,"&lt;01.01.2023")</f>
        <v>1</v>
      </c>
      <c r="AE385" s="243">
        <f>COUNTIFS(Podcasts!$D$10:$D$2535,"="&amp;AE$373,Podcasts!$E$10:$E$2535,"&gt;=1.1.2022",Podcasts!$E$10:$E$2535,"&lt;01.01.2023")</f>
        <v>1</v>
      </c>
      <c r="AF385" s="243">
        <f>COUNTIFS(Podcasts!$D$10:$D$2535,"="&amp;AF$373,Podcasts!$E$10:$E$2535,"&gt;=1.1.2022",Podcasts!$E$10:$E$2535,"&lt;01.01.2023")</f>
        <v>2</v>
      </c>
      <c r="AG385" s="243">
        <f>COUNTIFS(Podcasts!$D$10:$D$2535,"="&amp;AG$373,Podcasts!$E$10:$E$2535,"&gt;=1.1.2022",Podcasts!$E$10:$E$2535,"&lt;01.01.2023")</f>
        <v>1</v>
      </c>
      <c r="AH385" s="243">
        <f>COUNTIFS(Podcasts!$D$10:$D$2535,"="&amp;AH$373,Podcasts!$E$10:$E$2535,"&gt;=1.1.2022",Podcasts!$E$10:$E$2535,"&lt;01.01.2023")</f>
        <v>3</v>
      </c>
      <c r="AI385" s="243">
        <f>COUNTIFS(Podcasts!$D$10:$D$2535,"="&amp;AI$373,Podcasts!$E$10:$E$2535,"&gt;=1.1.2022",Podcasts!$E$10:$E$2535,"&lt;01.01.2023")</f>
        <v>1</v>
      </c>
      <c r="AJ385" s="243">
        <f>COUNTIFS(Podcasts!$D$10:$D$2535,"="&amp;AJ$373,Podcasts!$E$10:$E$2535,"&gt;=1.1.2022",Podcasts!$E$10:$E$2535,"&lt;01.01.2023")</f>
        <v>1</v>
      </c>
      <c r="AK385" s="243">
        <f>COUNTIFS(Podcasts!$D$10:$D$2535,"="&amp;AK$373,Podcasts!$E$10:$E$2535,"&gt;=1.1.2022",Podcasts!$E$10:$E$2535,"&lt;01.01.2023")</f>
        <v>1</v>
      </c>
      <c r="AL385" s="243">
        <f>COUNTIFS(Podcasts!$D$10:$D$2535,"="&amp;AL$373,Podcasts!$E$10:$E$2535,"&gt;=1.1.2022",Podcasts!$E$10:$E$2535,"&lt;01.01.2023")</f>
        <v>0</v>
      </c>
      <c r="AM385" s="243">
        <f>COUNTIFS(Podcasts!$D$10:$D$2535,"="&amp;AM$373,Podcasts!$E$10:$E$2535,"&gt;=1.1.2022",Podcasts!$E$10:$E$2535,"&lt;01.01.2023")</f>
        <v>1</v>
      </c>
      <c r="AN385" s="243">
        <f>COUNTIFS(Podcasts!$D$10:$D$2535,"="&amp;AN$373,Podcasts!$E$10:$E$2535,"&gt;=1.1.2022",Podcasts!$E$10:$E$2535,"&lt;01.01.2023")</f>
        <v>0</v>
      </c>
      <c r="AO385" s="243">
        <f>COUNTIFS(Podcasts!$D$10:$D$2535,"="&amp;AO$373,Podcasts!$E$10:$E$2535,"&gt;=1.1.2022",Podcasts!$E$10:$E$2535,"&lt;01.01.2023")</f>
        <v>2</v>
      </c>
      <c r="AP385" s="243">
        <f>COUNTIFS(Podcasts!$D$10:$D$2535,"="&amp;AP$373,Podcasts!$E$10:$E$2535,"&gt;=1.1.2022",Podcasts!$E$10:$E$2535,"&lt;01.01.2023")</f>
        <v>0</v>
      </c>
      <c r="AQ385" s="243">
        <f>COUNTIFS(Podcasts!$D$10:$D$2535,"="&amp;AQ$373,Podcasts!$E$10:$E$2535,"&gt;=1.1.2022",Podcasts!$E$10:$E$2535,"&lt;01.01.2023")</f>
        <v>0</v>
      </c>
      <c r="AR385" s="243">
        <f>COUNTIFS(Podcasts!$D$10:$D$2535,"="&amp;AR$373,Podcasts!$E$10:$E$2535,"&gt;=1.1.2022",Podcasts!$E$10:$E$2535,"&lt;01.01.2023")</f>
        <v>0</v>
      </c>
      <c r="AS385" s="243">
        <f>COUNTIFS(Podcasts!$D$10:$D$2535,"="&amp;AS$373,Podcasts!$E$10:$E$2535,"&gt;=1.1.2022",Podcasts!$E$10:$E$2535,"&lt;01.01.2023")</f>
        <v>0</v>
      </c>
      <c r="AT385" s="243">
        <f>COUNTIFS(Podcasts!$D$10:$D$2535,"="&amp;AT$373,Podcasts!$E$10:$E$2535,"&gt;=1.1.2022",Podcasts!$E$10:$E$2535,"&lt;01.01.2023")</f>
        <v>2</v>
      </c>
      <c r="AU385" s="243">
        <f>COUNTIFS(Podcasts!$D$10:$D$2535,"="&amp;AU$373,Podcasts!$E$10:$E$2535,"&gt;=1.1.2022",Podcasts!$E$10:$E$2535,"&lt;01.01.2023")</f>
        <v>0</v>
      </c>
      <c r="AV385" s="243">
        <f>COUNTIFS(Podcasts!$D$10:$D$2535,"="&amp;AV$373,Podcasts!$E$10:$E$2535,"&gt;=1.1.2022",Podcasts!$E$10:$E$2535,"&lt;01.01.2023")</f>
        <v>0</v>
      </c>
      <c r="AW385" s="243">
        <f>COUNTIFS(Podcasts!$D$10:$D$2535,"="&amp;AW$373,Podcasts!$E$10:$E$2535,"&gt;=1.1.2022",Podcasts!$E$10:$E$2535,"&lt;01.01.2023")-1</f>
        <v>0</v>
      </c>
      <c r="AX385" s="243">
        <f>COUNTIFS(Podcasts!$D$10:$D$2535,"="&amp;AX$373,Podcasts!$E$10:$E$2535,"&gt;=1.1.2022",Podcasts!$E$10:$E$2535,"&lt;01.01.2023")</f>
        <v>0</v>
      </c>
      <c r="AY385" s="243">
        <f>COUNTIFS(Podcasts!$D$10:$D$2535,"="&amp;AY$373,Podcasts!$E$10:$E$2535,"&gt;=1.1.2022",Podcasts!$E$10:$E$2535,"&lt;01.01.2023")</f>
        <v>1</v>
      </c>
      <c r="AZ385" s="243">
        <f>COUNTIFS(Podcasts!$D$10:$D$2535,"="&amp;AZ$373,Podcasts!$E$10:$E$2535,"&gt;=1.1.2022",Podcasts!$E$10:$E$2535,"&lt;01.01.2023")</f>
        <v>0</v>
      </c>
      <c r="BA385" s="243">
        <f>COUNTIFS(Podcasts!$D$10:$D$2535,"="&amp;BA$373,Podcasts!$E$10:$E$2535,"&gt;=1.1.2022",Podcasts!$E$10:$E$2535,"&lt;01.01.2023")</f>
        <v>0</v>
      </c>
      <c r="BB385" s="243">
        <f>COUNTIFS(Podcasts!$D$10:$D$2535,"="&amp;BB$373,Podcasts!$E$10:$E$2535,"&gt;=1.1.2022",Podcasts!$E$10:$E$2535,"&lt;01.01.2023")</f>
        <v>0</v>
      </c>
      <c r="BC385" s="243">
        <f>COUNTIFS(Podcasts!$D$10:$D$2535,"="&amp;BC$373,Podcasts!$E$10:$E$2535,"&gt;=1.1.2022",Podcasts!$E$10:$E$2535,"&lt;01.01.2023")</f>
        <v>1</v>
      </c>
      <c r="BD385" s="243">
        <f>COUNTIFS(Podcasts!$D$10:$D$2535,"="&amp;BD$373,Podcasts!$E$10:$E$2535,"&gt;=1.1.2022",Podcasts!$E$10:$E$2535,"&lt;01.01.2023")</f>
        <v>0</v>
      </c>
      <c r="BE385" s="243">
        <f>COUNTIFS(Podcasts!$D$10:$D$2535,"="&amp;BE$373,Podcasts!$E$10:$E$2535,"&gt;=1.1.2022",Podcasts!$E$10:$E$2535,"&lt;01.01.2023")</f>
        <v>1</v>
      </c>
      <c r="BF385" s="243">
        <f>COUNTIFS(Podcasts!$D$10:$D$2535,"="&amp;BF$373,Podcasts!$E$10:$E$2535,"&gt;=1.1.2022",Podcasts!$E$10:$E$2535,"&lt;01.01.2023")</f>
        <v>0</v>
      </c>
      <c r="BG385" s="243">
        <f>COUNTIFS(Podcasts!$D$10:$D$2535,"="&amp;BG$373,Podcasts!$E$10:$E$2535,"&gt;=1.1.2022",Podcasts!$E$10:$E$2535,"&lt;01.01.2023")</f>
        <v>0</v>
      </c>
      <c r="BH385" s="243">
        <f>COUNTIFS(Podcasts!$D$10:$D$2535,"="&amp;BH$373,Podcasts!$E$10:$E$2535,"&gt;=1.1.2022",Podcasts!$E$10:$E$2535,"&lt;01.01.2023")</f>
        <v>0</v>
      </c>
      <c r="BI385" s="243">
        <f>COUNTIFS(Podcasts!$D$10:$D$2535,"="&amp;BI$373,Podcasts!$E$10:$E$2535,"&gt;=1.1.2022",Podcasts!$E$10:$E$2535,"&lt;01.01.2023")</f>
        <v>1</v>
      </c>
      <c r="BJ385" s="243">
        <f>COUNTIFS(Podcasts!$D$10:$D$2535,"="&amp;BJ$373,Podcasts!$E$10:$E$2535,"&gt;=1.1.2022",Podcasts!$E$10:$E$2535,"&lt;01.01.2023")</f>
        <v>0</v>
      </c>
      <c r="BK385" s="243">
        <f>COUNTIFS(Podcasts!$D$10:$D$2535,"="&amp;BK$373,Podcasts!$E$10:$E$2535,"&gt;=1.1.2022",Podcasts!$E$10:$E$2535,"&lt;01.01.2023")</f>
        <v>0</v>
      </c>
      <c r="BL385" s="243">
        <f>COUNTIFS(Podcasts!$D$10:$D$2535,"="&amp;BL$373,Podcasts!$E$10:$E$2535,"&gt;=1.1.2022",Podcasts!$E$10:$E$2535,"&lt;01.01.2023")</f>
        <v>0</v>
      </c>
      <c r="BM385" s="243">
        <f>COUNTIFS(Podcasts!$D$10:$D$2535,"="&amp;BM$373,Podcasts!$E$10:$E$2535,"&gt;=1.1.2022",Podcasts!$E$10:$E$2535,"&lt;01.01.2023")</f>
        <v>2</v>
      </c>
      <c r="BN385" s="243">
        <f>COUNTIFS(Podcasts!$D$10:$D$2535,"="&amp;BN$373,Podcasts!$E$10:$E$2535,"&gt;=1.1.2022",Podcasts!$E$10:$E$2535,"&lt;01.01.2023")</f>
        <v>1</v>
      </c>
      <c r="BO385" s="243">
        <f>COUNTIFS(Podcasts!$D$10:$D$2535,"="&amp;BO$373,Podcasts!$E$10:$E$2535,"&gt;=1.1.2022",Podcasts!$E$10:$E$2535,"&lt;01.01.2023")</f>
        <v>0</v>
      </c>
      <c r="BP385" s="243">
        <f>COUNTIFS(Podcasts!$D$10:$D$2535,"="&amp;BP$373,Podcasts!$E$10:$E$2535,"&gt;=1.1.2022",Podcasts!$E$10:$E$2535,"&lt;01.01.2023")</f>
        <v>0</v>
      </c>
      <c r="BQ385" s="243">
        <f>COUNTIFS(Podcasts!$D$10:$D$2535,"="&amp;BQ$373,Podcasts!$E$10:$E$2535,"&gt;=1.1.2022",Podcasts!$E$10:$E$2535,"&lt;01.01.2023")</f>
        <v>1</v>
      </c>
      <c r="BR385" s="243">
        <f>COUNTIFS(Podcasts!$D$10:$D$2535,"="&amp;BR$373,Podcasts!$E$10:$E$2535,"&gt;=1.1.2022",Podcasts!$E$10:$E$2535,"&lt;01.01.2023")</f>
        <v>0</v>
      </c>
      <c r="BS385" s="243">
        <f>COUNTIFS(Podcasts!$D$10:$D$2535,"="&amp;BS$373,Podcasts!$E$10:$E$2535,"&gt;=1.1.2022",Podcasts!$E$10:$E$2535,"&lt;01.01.2023")</f>
        <v>2</v>
      </c>
      <c r="BT385" s="243">
        <f>COUNTIFS(Podcasts!$D$10:$D$2535,"="&amp;BT$373,Podcasts!$E$10:$E$2535,"&gt;=1.1.2022",Podcasts!$E$10:$E$2535,"&lt;01.01.2023")</f>
        <v>1</v>
      </c>
      <c r="BU385" s="243">
        <f>COUNTIFS(Podcasts!$D$10:$D$2535,"="&amp;BU$373,Podcasts!$E$10:$E$2535,"&gt;=1.1.2022",Podcasts!$E$10:$E$2535,"&lt;01.01.2023")</f>
        <v>0</v>
      </c>
      <c r="BV385" s="243">
        <f>COUNTIFS(Podcasts!$D$10:$D$2535,"="&amp;BV$373,Podcasts!$E$10:$E$2535,"&gt;=1.1.2022",Podcasts!$E$10:$E$2535,"&lt;01.01.2023")</f>
        <v>1</v>
      </c>
      <c r="BW385" s="243">
        <f>COUNTIFS(Podcasts!$D$10:$D$2535,"="&amp;BW$373,Podcasts!$E$10:$E$2535,"&gt;=1.1.2022",Podcasts!$E$10:$E$2535,"&lt;01.01.2023")</f>
        <v>0</v>
      </c>
      <c r="BX385" s="243">
        <f>COUNTIFS(Podcasts!$D$10:$D$2535,"="&amp;BX$373,Podcasts!$E$10:$E$2535,"&gt;=1.1.2022",Podcasts!$E$10:$E$2535,"&lt;01.01.2023")</f>
        <v>1</v>
      </c>
      <c r="BY385" s="243">
        <f>COUNTIFS(Podcasts!$D$10:$D$2535,"="&amp;BY$373,Podcasts!$E$10:$E$2535,"&gt;=1.1.2022",Podcasts!$E$10:$E$2535,"&lt;01.01.2023")</f>
        <v>1</v>
      </c>
      <c r="BZ385" s="243">
        <f>COUNTIFS(Podcasts!$D$10:$D$2535,"="&amp;BZ$373,Podcasts!$E$10:$E$2535,"&gt;=1.1.2022",Podcasts!$E$10:$E$2535,"&lt;01.01.2023")</f>
        <v>0</v>
      </c>
      <c r="CA385" s="243">
        <f>COUNTIFS(Podcasts!$D$10:$D$2535,"="&amp;CA$373,Podcasts!$E$10:$E$2535,"&gt;=1.1.2022",Podcasts!$E$10:$E$2535,"&lt;01.01.2023")</f>
        <v>1</v>
      </c>
      <c r="CB385" s="243">
        <f>COUNTIFS(Podcasts!$D$10:$D$2535,"="&amp;CB$373,Podcasts!$E$10:$E$2535,"&gt;=1.1.2022",Podcasts!$E$10:$E$2535,"&lt;01.01.2023")</f>
        <v>2</v>
      </c>
      <c r="CC385" s="243">
        <f>COUNTIFS(Podcasts!$D$10:$D$2535,"="&amp;CC$373,Podcasts!$E$10:$E$2535,"&gt;=1.1.2022",Podcasts!$E$10:$E$2535,"&lt;01.01.2023")</f>
        <v>3</v>
      </c>
      <c r="CD385" s="243">
        <f>COUNTIFS(Podcasts!$D$10:$D$2535,"="&amp;CD$373,Podcasts!$E$10:$E$2535,"&gt;=1.1.2022",Podcasts!$E$10:$E$2535,"&lt;01.01.2023")</f>
        <v>1</v>
      </c>
      <c r="CE385" s="243">
        <f>COUNTIFS(Podcasts!$D$10:$D$2535,"="&amp;CE$373,Podcasts!$E$10:$E$2535,"&gt;=1.1.2022",Podcasts!$E$10:$E$2535,"&lt;01.01.2023")</f>
        <v>2</v>
      </c>
      <c r="CF385" s="243">
        <f>COUNTIFS(Podcasts!$D$10:$D$2535,"="&amp;CF$373,Podcasts!$E$10:$E$2535,"&gt;=1.1.2022",Podcasts!$E$10:$E$2535,"&lt;01.01.2023")</f>
        <v>0</v>
      </c>
      <c r="CG385" s="243">
        <f>COUNTIFS(Podcasts!$D$10:$D$2535,"="&amp;CG$373,Podcasts!$E$10:$E$2535,"&gt;=1.1.2022",Podcasts!$E$10:$E$2535,"&lt;01.01.2023")</f>
        <v>2</v>
      </c>
      <c r="CH385" s="243">
        <f>COUNTIFS(Podcasts!$D$10:$D$2535,"="&amp;CH$373,Podcasts!$E$10:$E$2535,"&gt;=1.1.2022",Podcasts!$E$10:$E$2535,"&lt;01.01.2023")</f>
        <v>1</v>
      </c>
      <c r="CI385" s="243">
        <f>COUNTIFS(Podcasts!$D$10:$D$2535,"="&amp;CI$373,Podcasts!$E$10:$E$2535,"&gt;=1.1.2022",Podcasts!$E$10:$E$2535,"&lt;01.01.2023")</f>
        <v>0</v>
      </c>
      <c r="CJ385" s="243">
        <f>COUNTIFS(Podcasts!$D$10:$D$2535,"="&amp;CJ$373,Podcasts!$E$10:$E$2535,"&gt;=1.1.2022",Podcasts!$E$10:$E$2535,"&lt;01.01.2023")</f>
        <v>2</v>
      </c>
      <c r="CK385" s="243">
        <f>COUNTIFS(Podcasts!$D$10:$D$2535,"="&amp;CK$373,Podcasts!$E$10:$E$2535,"&gt;=1.1.2022",Podcasts!$E$10:$E$2535,"&lt;01.01.2023")</f>
        <v>0</v>
      </c>
      <c r="CL385" s="243">
        <f>COUNTIFS(Podcasts!$D$10:$D$2535,"="&amp;CL$373,Podcasts!$E$10:$E$2535,"&gt;=1.1.2022",Podcasts!$E$10:$E$2535,"&lt;01.01.2023")</f>
        <v>1</v>
      </c>
      <c r="CM385" s="243">
        <f>COUNTIFS(Podcasts!$D$10:$D$2535,"="&amp;CM$373,Podcasts!$E$10:$E$2535,"&gt;=1.1.2022",Podcasts!$E$10:$E$2535,"&lt;01.01.2023")</f>
        <v>1</v>
      </c>
      <c r="CN385" s="243">
        <f>COUNTIFS(Podcasts!$D$10:$D$2535,"="&amp;CN$373,Podcasts!$E$10:$E$2535,"&gt;=1.1.2022",Podcasts!$E$10:$E$2535,"&lt;01.01.2023")</f>
        <v>0</v>
      </c>
      <c r="CO385" s="243">
        <f>COUNTIFS(Podcasts!$D$10:$D$2535,"="&amp;CO$373,Podcasts!$E$10:$E$2535,"&gt;=1.1.2022",Podcasts!$E$10:$E$2535,"&lt;01.01.2023")</f>
        <v>2</v>
      </c>
      <c r="CP385" s="243">
        <f>COUNTIFS(Podcasts!$D$10:$D$2535,"="&amp;CP$373,Podcasts!$E$10:$E$2535,"&gt;=1.1.2022",Podcasts!$E$10:$E$2535,"&lt;01.01.2023")</f>
        <v>3</v>
      </c>
      <c r="CQ385" s="243">
        <f>COUNTIFS(Podcasts!$D$10:$D$2535,"="&amp;CQ$373,Podcasts!$E$10:$E$2535,"&gt;=1.1.2022",Podcasts!$E$10:$E$2535,"&lt;01.01.2023")</f>
        <v>2</v>
      </c>
      <c r="CR385" s="243">
        <f>COUNTIFS(Podcasts!$D$10:$D$2535,"="&amp;CR$373,Podcasts!$E$10:$E$2535,"&gt;=1.1.2022",Podcasts!$E$10:$E$2535,"&lt;01.01.2023")</f>
        <v>2</v>
      </c>
      <c r="CS385" s="243">
        <f>COUNTIFS(Podcasts!$D$10:$D$2535,"="&amp;CS$373,Podcasts!$E$10:$E$2535,"&gt;=1.1.2022",Podcasts!$E$10:$E$2535,"&lt;01.01.2023")</f>
        <v>0</v>
      </c>
      <c r="CT385" s="243">
        <f>COUNTIFS(Podcasts!$D$10:$D$2535,"="&amp;CT$373,Podcasts!$E$10:$E$2535,"&gt;=1.1.2022",Podcasts!$E$10:$E$2535,"&lt;01.01.2023")</f>
        <v>2</v>
      </c>
      <c r="CU385" s="243">
        <f>COUNTIFS(Podcasts!$D$10:$D$2535,"="&amp;CU$373,Podcasts!$E$10:$E$2535,"&gt;=1.1.2022",Podcasts!$E$10:$E$2535,"&lt;01.01.2023")</f>
        <v>0</v>
      </c>
      <c r="CV385" s="243">
        <f>COUNTIFS(Podcasts!$D$10:$D$2535,"="&amp;CV$373,Podcasts!$E$10:$E$2535,"&gt;=1.1.2022",Podcasts!$E$10:$E$2535,"&lt;01.01.2023")</f>
        <v>0</v>
      </c>
      <c r="CW385" s="243">
        <f>COUNTIFS(Podcasts!$D$10:$D$2535,"="&amp;CW$373,Podcasts!$E$10:$E$2535,"&gt;=1.1.2022",Podcasts!$E$10:$E$2535,"&lt;01.01.2023")</f>
        <v>0</v>
      </c>
      <c r="CX385" s="243">
        <f>COUNTIFS(Podcasts!$D$10:$D$2535,"="&amp;CX$373,Podcasts!$E$10:$E$2535,"&gt;=1.1.2022",Podcasts!$E$10:$E$2535,"&lt;01.01.2023")</f>
        <v>0</v>
      </c>
      <c r="CY385" s="243">
        <f>COUNTIFS(Podcasts!$D$10:$D$2535,"="&amp;CY$373,Podcasts!$E$10:$E$2535,"&gt;=1.1.2022",Podcasts!$E$10:$E$2535,"&lt;01.01.2023")</f>
        <v>0</v>
      </c>
      <c r="CZ385" s="243">
        <f>COUNTIFS(Podcasts!$D$10:$D$2535,"="&amp;CZ$373,Podcasts!$E$10:$E$2535,"&gt;=1.1.2022",Podcasts!$E$10:$E$2535,"&lt;01.01.2023")</f>
        <v>1</v>
      </c>
      <c r="DA385" s="243">
        <f>COUNTIFS(Podcasts!$D$10:$D$2535,"="&amp;DA$373,Podcasts!$E$10:$E$2535,"&gt;=1.1.2022",Podcasts!$E$10:$E$2535,"&lt;01.01.2023")</f>
        <v>1</v>
      </c>
      <c r="DB385" s="243">
        <f>COUNTIFS(Podcasts!$D$10:$D$2535,"="&amp;DB$373,Podcasts!$E$10:$E$2535,"&gt;=1.1.2022",Podcasts!$E$10:$E$2535,"&lt;01.01.2023")</f>
        <v>1</v>
      </c>
      <c r="DC385" s="243">
        <f>COUNTIFS(Podcasts!$D$10:$D$2535,"="&amp;DC$373,Podcasts!$E$10:$E$2535,"&gt;=1.1.2022",Podcasts!$E$10:$E$2535,"&lt;01.01.2023")</f>
        <v>1</v>
      </c>
      <c r="DD385" s="243">
        <f>COUNTIFS(Podcasts!$D$10:$D$2535,"="&amp;DD$373,Podcasts!$E$10:$E$2535,"&gt;=1.1.2022",Podcasts!$E$10:$E$2535,"&lt;01.01.2023")</f>
        <v>1</v>
      </c>
      <c r="DE385" s="243">
        <f>COUNTIFS(Podcasts!$D$10:$D$2535,"="&amp;DE$373,Podcasts!$E$10:$E$2535,"&gt;=1.1.2022",Podcasts!$E$10:$E$2535,"&lt;01.01.2023")</f>
        <v>1</v>
      </c>
      <c r="DF385" s="243">
        <f>COUNTIFS(Podcasts!$D$10:$D$2535,"="&amp;DF$373,Podcasts!$E$10:$E$2535,"&gt;=1.1.2022",Podcasts!$E$10:$E$2535,"&lt;01.01.2023")</f>
        <v>1</v>
      </c>
      <c r="DG385" s="243">
        <f>COUNTIFS(Podcasts!$D$10:$D$2535,"="&amp;DG$373,Podcasts!$E$10:$E$2535,"&gt;=1.1.2022",Podcasts!$E$10:$E$2535,"&lt;01.01.2023")</f>
        <v>2</v>
      </c>
      <c r="DH385" s="243">
        <f>COUNTIFS(Podcasts!$D$10:$D$2535,"="&amp;DH$373,Podcasts!$E$10:$E$2535,"&gt;=1.1.2022",Podcasts!$E$10:$E$2535,"&lt;01.01.2023")</f>
        <v>0</v>
      </c>
      <c r="DI385" s="243">
        <f>COUNTIFS(Podcasts!$D$10:$D$2535,"="&amp;DI$373,Podcasts!$E$10:$E$2535,"&gt;=1.1.2022",Podcasts!$E$10:$E$2535,"&lt;01.01.2023")</f>
        <v>0</v>
      </c>
      <c r="DJ385" s="243">
        <f>COUNTIFS(Podcasts!$D$10:$D$2535,"="&amp;DJ$373,Podcasts!$E$10:$E$2535,"&gt;=1.1.2022",Podcasts!$E$10:$E$2535,"&lt;01.01.2023")</f>
        <v>1</v>
      </c>
      <c r="DK385" s="243">
        <f>COUNTIFS(Podcasts!$D$10:$D$2535,"="&amp;DK$373,Podcasts!$E$10:$E$2535,"&gt;=1.1.2022",Podcasts!$E$10:$E$2535,"&lt;01.01.2023")</f>
        <v>1</v>
      </c>
      <c r="DL385" s="243">
        <f>COUNTIFS(Podcasts!$D$10:$D$2535,"="&amp;DL$373,Podcasts!$E$10:$E$2535,"&gt;=1.1.2022",Podcasts!$E$10:$E$2535,"&lt;01.01.2023")</f>
        <v>0</v>
      </c>
      <c r="DM385" s="243">
        <f>COUNTIFS(Podcasts!$D$10:$D$2535,"="&amp;DM$373,Podcasts!$E$10:$E$2535,"&gt;=1.1.2022",Podcasts!$E$10:$E$2535,"&lt;01.01.2023")</f>
        <v>1</v>
      </c>
      <c r="DN385" s="243">
        <f>COUNTIFS(Podcasts!$D$10:$D$2535,"="&amp;DN$373,Podcasts!$E$10:$E$2535,"&gt;=1.1.2022",Podcasts!$E$10:$E$2535,"&lt;01.01.2023")</f>
        <v>0</v>
      </c>
      <c r="DO385" s="243">
        <f>COUNTIFS(Podcasts!$D$10:$D$2535,"="&amp;DO$373,Podcasts!$E$10:$E$2535,"&gt;=1.1.2022",Podcasts!$E$10:$E$2535,"&lt;01.01.2023")</f>
        <v>0</v>
      </c>
      <c r="DP385" s="243">
        <f>COUNTIFS(Podcasts!$D$10:$D$2535,"="&amp;DP$373,Podcasts!$E$10:$E$2535,"&gt;=1.1.2022",Podcasts!$E$10:$E$2535,"&lt;01.01.2023")</f>
        <v>0</v>
      </c>
      <c r="DQ385" s="243">
        <f>COUNTIFS(Podcasts!$D$10:$D$2535,"="&amp;DQ$373,Podcasts!$E$10:$E$2535,"&gt;=1.1.2022",Podcasts!$E$10:$E$2535,"&lt;01.01.2023")</f>
        <v>0</v>
      </c>
      <c r="DR385" s="243">
        <f>COUNTIFS(Podcasts!$D$10:$D$2535,"="&amp;DR$373,Podcasts!$E$10:$E$2535,"&gt;=1.1.2022",Podcasts!$E$10:$E$2535,"&lt;01.01.2023")</f>
        <v>0</v>
      </c>
      <c r="DS385" s="243">
        <f>COUNTIFS(Podcasts!$D$10:$D$2535,"="&amp;DS$373,Podcasts!$E$10:$E$2535,"&gt;=1.1.2022",Podcasts!$E$10:$E$2535,"&lt;01.01.2023")</f>
        <v>0</v>
      </c>
      <c r="DT385" s="243">
        <f>COUNTIFS(Podcasts!$D$10:$D$2535,"="&amp;DT$373,Podcasts!$E$10:$E$2535,"&gt;=1.1.2022",Podcasts!$E$10:$E$2535,"&lt;01.01.2023")</f>
        <v>0</v>
      </c>
      <c r="DU385" s="243">
        <f>COUNTIFS(Podcasts!$D$10:$D$2535,"="&amp;DU$373,Podcasts!$E$10:$E$2535,"&gt;=1.1.2022",Podcasts!$E$10:$E$2535,"&lt;01.01.2023")</f>
        <v>0</v>
      </c>
      <c r="DV385" s="243">
        <f>COUNTIFS(Podcasts!$D$10:$D$2535,"="&amp;DV$373,Podcasts!$E$10:$E$2535,"&gt;=1.1.2022",Podcasts!$E$10:$E$2535,"&lt;01.01.2023")</f>
        <v>0</v>
      </c>
      <c r="DW385" s="243">
        <f>COUNTIFS(Podcasts!$D$10:$D$2535,"="&amp;DW$373,Podcasts!$E$10:$E$2535,"&gt;=1.1.2022",Podcasts!$E$10:$E$2535,"&lt;01.01.2023")</f>
        <v>0</v>
      </c>
      <c r="DX385" s="243">
        <f>COUNTIFS(Podcasts!$D$10:$D$2535,"="&amp;DX$373,Podcasts!$E$10:$E$2535,"&gt;=1.1.2022",Podcasts!$E$10:$E$2535,"&lt;01.01.2023")</f>
        <v>0</v>
      </c>
      <c r="DY385" s="243">
        <f>COUNTIFS(Podcasts!$D$10:$D$2535,"="&amp;DY$373,Podcasts!$E$10:$E$2535,"&gt;=1.1.2022",Podcasts!$E$10:$E$2535,"&lt;01.01.2023")-2</f>
        <v>1</v>
      </c>
      <c r="DZ385" s="243">
        <f>COUNTIFS(Podcasts!$D$10:$D$2535,"="&amp;DZ$373,Podcasts!$E$10:$E$2535,"&gt;=1.1.2022",Podcasts!$E$10:$E$2535,"&lt;01.01.2023")</f>
        <v>3</v>
      </c>
      <c r="EA385" s="243">
        <f>COUNTIFS(Podcasts!$D$10:$D$2535,"="&amp;EA$373,Podcasts!$E$10:$E$2535,"&gt;=1.1.2022",Podcasts!$E$10:$E$2535,"&lt;01.01.2023")</f>
        <v>2</v>
      </c>
      <c r="EB385" s="243">
        <f>COUNTIFS(Podcasts!$D$10:$D$2535,"="&amp;EB$373,Podcasts!$E$10:$E$2535,"&gt;=1.1.2022",Podcasts!$E$10:$E$2535,"&lt;01.01.2023")</f>
        <v>2</v>
      </c>
      <c r="EC385" s="243">
        <f>COUNTIFS(Podcasts!$D$10:$D$2535,"="&amp;EC$373,Podcasts!$E$10:$E$2535,"&gt;=1.1.2022",Podcasts!$E$10:$E$2535,"&lt;01.01.2023")</f>
        <v>0</v>
      </c>
      <c r="ED385" s="243">
        <f>COUNTIFS(Podcasts!$D$10:$D$2535,"="&amp;ED$373,Podcasts!$E$10:$E$2535,"&gt;=1.1.2022",Podcasts!$E$10:$E$2535,"&lt;01.01.2023")</f>
        <v>0</v>
      </c>
      <c r="EE385" s="243">
        <f>COUNTIFS(Podcasts!$D$10:$D$2535,"="&amp;EE$373,Podcasts!$E$10:$E$2535,"&gt;=1.1.2022",Podcasts!$E$10:$E$2535,"&lt;01.01.2023")</f>
        <v>0</v>
      </c>
      <c r="EF385" s="243">
        <f>COUNTIFS(Podcasts!$D$10:$D$2535,"="&amp;EF$373,Podcasts!$E$10:$E$2535,"&gt;=1.1.2022",Podcasts!$E$10:$E$2535,"&lt;01.01.2023")</f>
        <v>0</v>
      </c>
      <c r="EG385" s="243">
        <f>COUNTIFS(Podcasts!$D$10:$D$2535,"="&amp;EG$373,Podcasts!$E$10:$E$2535,"&gt;=1.1.2022",Podcasts!$E$10:$E$2535,"&lt;01.01.2023")</f>
        <v>1</v>
      </c>
      <c r="EH385" s="243">
        <f>COUNTIFS(Podcasts!$D$10:$D$2535,"="&amp;EH$373,Podcasts!$E$10:$E$2535,"&gt;=1.1.2022",Podcasts!$E$10:$E$2535,"&lt;01.01.2023")</f>
        <v>0</v>
      </c>
      <c r="EI385" s="243">
        <f>COUNTIFS(Podcasts!$D$10:$D$2535,"="&amp;EI$373,Podcasts!$E$10:$E$2535,"&gt;=1.1.2022",Podcasts!$E$10:$E$2535,"&lt;01.01.2023")</f>
        <v>0</v>
      </c>
      <c r="EJ385" s="243">
        <f>COUNTIFS(Podcasts!$D$10:$D$2535,"="&amp;EJ$373,Podcasts!$E$10:$E$2535,"&gt;=1.1.2022",Podcasts!$E$10:$E$2535,"&lt;01.01.2023")</f>
        <v>1</v>
      </c>
      <c r="EK385" s="243">
        <f>COUNTIFS(Podcasts!$D$10:$D$2535,"="&amp;EK$373,Podcasts!$E$10:$E$2535,"&gt;=1.1.2022",Podcasts!$E$10:$E$2535,"&lt;01.01.2023")</f>
        <v>0</v>
      </c>
      <c r="EL385" s="243">
        <f>COUNTIFS(Podcasts!$D$10:$D$2535,"="&amp;EL$373,Podcasts!$E$10:$E$2535,"&gt;=1.1.2022",Podcasts!$E$10:$E$2535,"&lt;01.01.2023")</f>
        <v>0</v>
      </c>
      <c r="EM385" s="243">
        <f>COUNTIFS(Podcasts!$D$10:$D$2535,"="&amp;EM$373,Podcasts!$E$10:$E$2535,"&gt;=1.1.2022",Podcasts!$E$10:$E$2535,"&lt;01.01.2023")</f>
        <v>1</v>
      </c>
      <c r="EN385" s="243">
        <f>COUNTIFS(Podcasts!$D$10:$D$2535,"="&amp;EN$373,Podcasts!$E$10:$E$2535,"&gt;=1.1.2022",Podcasts!$E$10:$E$2535,"&lt;01.01.2023")</f>
        <v>0</v>
      </c>
      <c r="EO385" s="243">
        <f>COUNTIFS(Podcasts!$D$10:$D$2535,"="&amp;EO$373,Podcasts!$E$10:$E$2535,"&gt;=1.1.2022",Podcasts!$E$10:$E$2535,"&lt;01.01.2023")</f>
        <v>0</v>
      </c>
      <c r="EP385" s="243">
        <f>COUNTIFS(Podcasts!$D$10:$D$2535,"="&amp;EP$373,Podcasts!$E$10:$E$2535,"&gt;=1.1.2022",Podcasts!$E$10:$E$2535,"&lt;01.01.2023")</f>
        <v>1</v>
      </c>
      <c r="EQ385" s="243">
        <f>COUNTIFS(Podcasts!$D$10:$D$2535,"="&amp;EQ$373,Podcasts!$E$10:$E$2535,"&gt;=1.1.2022",Podcasts!$E$10:$E$2535,"&lt;01.01.2023")</f>
        <v>0</v>
      </c>
      <c r="ER385" s="243">
        <f>COUNTIFS(Podcasts!$D$10:$D$2535,"="&amp;ER$373,Podcasts!$E$10:$E$2535,"&gt;=1.1.2022",Podcasts!$E$10:$E$2535,"&lt;01.01.2023")</f>
        <v>1</v>
      </c>
      <c r="ES385" s="243">
        <f>COUNTIFS(Podcasts!$D$10:$D$2535,"="&amp;ES$373,Podcasts!$E$10:$E$2535,"&gt;=1.1.2022",Podcasts!$E$10:$E$2535,"&lt;01.01.2023")</f>
        <v>0</v>
      </c>
      <c r="ET385" s="243">
        <f>COUNTIFS(Podcasts!$D$10:$D$2535,"="&amp;ET$373,Podcasts!$E$10:$E$2535,"&gt;=1.1.2022",Podcasts!$E$10:$E$2535,"&lt;01.01.2023")</f>
        <v>0</v>
      </c>
      <c r="EU385" s="243">
        <f>COUNTIFS(Podcasts!$D$10:$D$2535,"="&amp;EU$373,Podcasts!$E$10:$E$2535,"&gt;=1.1.2022",Podcasts!$E$10:$E$2535,"&lt;01.01.2023")</f>
        <v>3</v>
      </c>
      <c r="EV385" s="243">
        <f>COUNTIFS(Podcasts!$D$10:$D$2535,"="&amp;EV$373,Podcasts!$E$10:$E$2535,"&gt;=1.1.2022",Podcasts!$E$10:$E$2535,"&lt;01.01.2023")</f>
        <v>0</v>
      </c>
      <c r="EW385" s="243">
        <f>COUNTIFS(Podcasts!$D$10:$D$2535,"="&amp;EW$373,Podcasts!$E$10:$E$2535,"&gt;=1.1.2022",Podcasts!$E$10:$E$2535,"&lt;01.01.2023")</f>
        <v>0</v>
      </c>
      <c r="EX385" s="243">
        <f>COUNTIFS(Podcasts!$D$10:$D$2535,"="&amp;EX$373,Podcasts!$E$10:$E$2535,"&gt;=1.1.2022",Podcasts!$E$10:$E$2535,"&lt;01.01.2023")</f>
        <v>0</v>
      </c>
      <c r="EY385" s="243">
        <f>COUNTIFS(Podcasts!$D$10:$D$2535,"="&amp;EY$373,Podcasts!$E$10:$E$2535,"&gt;=1.1.2022",Podcasts!$E$10:$E$2535,"&lt;01.01.2023")</f>
        <v>0</v>
      </c>
      <c r="EZ385" s="243">
        <f>COUNTIFS(Podcasts!$D$10:$D$2535,"="&amp;EZ$373,Podcasts!$E$10:$E$2535,"&gt;=1.1.2022",Podcasts!$E$10:$E$2535,"&lt;01.01.2023")</f>
        <v>0</v>
      </c>
      <c r="FA385" s="243">
        <f>COUNTIFS(Podcasts!$D$10:$D$2535,"="&amp;FA$373,Podcasts!$E$10:$E$2535,"&gt;=1.1.2022",Podcasts!$E$10:$E$2535,"&lt;01.01.2023")</f>
        <v>0</v>
      </c>
      <c r="FB385" s="243">
        <f>COUNTIFS(Podcasts!$D$10:$D$2535,"="&amp;FB$373,Podcasts!$E$10:$E$2535,"&gt;=1.1.2022",Podcasts!$E$10:$E$2535,"&lt;01.01.2023")</f>
        <v>2</v>
      </c>
      <c r="FC385" s="243">
        <f>COUNTIFS(Podcasts!$D$10:$D$2535,"="&amp;FC$373,Podcasts!$E$10:$E$2535,"&gt;=1.1.2022",Podcasts!$E$10:$E$2535,"&lt;01.01.2023")</f>
        <v>0</v>
      </c>
      <c r="FD385" s="243">
        <f>COUNTIFS(Podcasts!$D$10:$D$2535,"="&amp;FD$373,Podcasts!$E$10:$E$2535,"&gt;=1.1.2022",Podcasts!$E$10:$E$2535,"&lt;01.01.2023")</f>
        <v>2</v>
      </c>
      <c r="FE385" s="243">
        <f>COUNTIFS(Podcasts!$D$10:$D$2535,"="&amp;FE$373,Podcasts!$E$10:$E$2535,"&gt;=1.1.2022",Podcasts!$E$10:$E$2535,"&lt;01.01.2023")</f>
        <v>1</v>
      </c>
      <c r="FF385" s="243">
        <f>COUNTIFS(Podcasts!$D$10:$D$2535,"="&amp;FF$373,Podcasts!$E$10:$E$2535,"&gt;=1.1.2022",Podcasts!$E$10:$E$2535,"&lt;01.01.2023")</f>
        <v>0</v>
      </c>
      <c r="FG385" s="243">
        <f>COUNTIFS(Podcasts!$D$10:$D$2535,"="&amp;FG$373,Podcasts!$E$10:$E$2535,"&gt;=1.1.2022",Podcasts!$E$10:$E$2535,"&lt;01.01.2023")</f>
        <v>0</v>
      </c>
      <c r="FH385" s="243">
        <f>COUNTIFS(Podcasts!$D$10:$D$2535,"="&amp;FH$373,Podcasts!$E$10:$E$2535,"&gt;=1.1.2022",Podcasts!$E$10:$E$2535,"&lt;01.01.2023")</f>
        <v>0</v>
      </c>
      <c r="FI385" s="243">
        <f>COUNTIFS(Podcasts!$D$10:$D$2535,"="&amp;FI$373,Podcasts!$E$10:$E$2535,"&gt;=1.1.2022",Podcasts!$E$10:$E$2535,"&lt;01.01.2023")</f>
        <v>1</v>
      </c>
      <c r="FJ385" s="243">
        <f>COUNTIFS(Podcasts!$D$10:$D$2535,"="&amp;FJ$373,Podcasts!$E$10:$E$2535,"&gt;=1.1.2022",Podcasts!$E$10:$E$2535,"&lt;01.01.2023")</f>
        <v>0</v>
      </c>
      <c r="FK385" s="243">
        <f>COUNTIFS(Podcasts!$D$10:$D$2535,"="&amp;FK$373,Podcasts!$E$10:$E$2535,"&gt;=1.1.2022",Podcasts!$E$10:$E$2535,"&lt;01.01.2023")</f>
        <v>0</v>
      </c>
      <c r="FL385" s="243">
        <f>COUNTIFS(Podcasts!$D$10:$D$2535,"="&amp;FL$373,Podcasts!$E$10:$E$2535,"&gt;=1.1.2022",Podcasts!$E$10:$E$2535,"&lt;01.01.2023")</f>
        <v>0</v>
      </c>
      <c r="FM385" s="243">
        <f>COUNTIFS(Podcasts!$D$10:$D$2535,"="&amp;FM$373,Podcasts!$E$10:$E$2535,"&gt;=1.1.2022",Podcasts!$E$10:$E$2535,"&lt;01.01.2023")</f>
        <v>1</v>
      </c>
      <c r="FN385" s="243">
        <f>COUNTIFS(Podcasts!$D$10:$D$2535,"="&amp;FN$373,Podcasts!$E$10:$E$2535,"&gt;=1.1.2022",Podcasts!$E$10:$E$2535,"&lt;01.01.2023")</f>
        <v>0</v>
      </c>
      <c r="FO385" s="243">
        <f>COUNTIFS(Podcasts!$D$10:$D$2535,"="&amp;FO$373,Podcasts!$E$10:$E$2535,"&gt;=1.1.2022",Podcasts!$E$10:$E$2535,"&lt;01.01.2023")</f>
        <v>2</v>
      </c>
      <c r="FP385" s="243">
        <f>COUNTIFS(Podcasts!$D$10:$D$2535,"="&amp;FP$373,Podcasts!$E$10:$E$2535,"&gt;=1.1.2022",Podcasts!$E$10:$E$2535,"&lt;01.01.2023")</f>
        <v>1</v>
      </c>
      <c r="FQ385" s="243">
        <f>COUNTIFS(Podcasts!$D$10:$D$2535,"="&amp;FQ$373,Podcasts!$E$10:$E$2535,"&gt;=1.1.2022",Podcasts!$E$10:$E$2535,"&lt;01.01.2023")</f>
        <v>1</v>
      </c>
      <c r="FR385" s="243">
        <f>COUNTIFS(Podcasts!$D$10:$D$2535,"="&amp;FR$373,Podcasts!$E$10:$E$2535,"&gt;=1.1.2022",Podcasts!$E$10:$E$2535,"&lt;01.01.2023")</f>
        <v>0</v>
      </c>
      <c r="FS385" s="243">
        <f>COUNTIFS(Podcasts!$D$10:$D$2535,"="&amp;FS$373,Podcasts!$E$10:$E$2535,"&gt;=1.1.2022",Podcasts!$E$10:$E$2535,"&lt;01.01.2023")</f>
        <v>1</v>
      </c>
      <c r="FT385" s="243">
        <f>COUNTIFS(Podcasts!$D$10:$D$2535,"="&amp;FT$373,Podcasts!$E$10:$E$2535,"&gt;=1.1.2022",Podcasts!$E$10:$E$2535,"&lt;01.01.2023")</f>
        <v>1</v>
      </c>
      <c r="FU385" s="243">
        <f>COUNTIFS(Podcasts!$D$10:$D$2535,"="&amp;FU$373,Podcasts!$E$10:$E$2535,"&gt;=1.1.2022",Podcasts!$E$10:$E$2535,"&lt;01.01.2023")</f>
        <v>0</v>
      </c>
      <c r="FV385" s="243">
        <f>COUNTIFS(Podcasts!$D$10:$D$2535,"="&amp;FV$373,Podcasts!$E$10:$E$2535,"&gt;=1.1.2022",Podcasts!$E$10:$E$2535,"&lt;01.01.2023")</f>
        <v>1</v>
      </c>
      <c r="FW385" s="243">
        <f>COUNTIFS(Podcasts!$D$10:$D$2535,"="&amp;FW$373,Podcasts!$E$10:$E$2535,"&gt;=1.1.2022",Podcasts!$E$10:$E$2535,"&lt;01.01.2023")</f>
        <v>0</v>
      </c>
      <c r="FX385" s="243">
        <f>COUNTIFS(Podcasts!$D$10:$D$2535,"="&amp;FX$373,Podcasts!$E$10:$E$2535,"&gt;=1.1.2022",Podcasts!$E$10:$E$2535,"&lt;01.01.2023")</f>
        <v>0</v>
      </c>
      <c r="FY385" s="243">
        <f>COUNTIFS(Podcasts!$D$10:$D$2535,"="&amp;FY$373,Podcasts!$E$10:$E$2535,"&gt;=1.1.2022",Podcasts!$E$10:$E$2535,"&lt;01.01.2023")</f>
        <v>1</v>
      </c>
      <c r="FZ385" s="243">
        <f>COUNTIFS(Podcasts!$D$10:$D$2535,"="&amp;FZ$373,Podcasts!$E$10:$E$2535,"&gt;=1.1.2022",Podcasts!$E$10:$E$2535,"&lt;01.01.2023")</f>
        <v>0</v>
      </c>
      <c r="GA385" s="243">
        <f>COUNTIFS(Podcasts!$D$10:$D$2535,"="&amp;GA$373,Podcasts!$E$10:$E$2535,"&gt;=1.1.2022",Podcasts!$E$10:$E$2535,"&lt;01.01.2023")</f>
        <v>0</v>
      </c>
      <c r="GB385" s="243">
        <f>COUNTIFS(Podcasts!$D$10:$D$2535,"="&amp;GB$373,Podcasts!$E$10:$E$2535,"&gt;=1.1.2022",Podcasts!$E$10:$E$2535,"&lt;01.01.2023")</f>
        <v>0</v>
      </c>
      <c r="GC385" s="243">
        <f>COUNTIFS(Podcasts!$D$10:$D$2535,"="&amp;GC$373,Podcasts!$E$10:$E$2535,"&gt;=1.1.2022",Podcasts!$E$10:$E$2535,"&lt;01.01.2023")</f>
        <v>2</v>
      </c>
      <c r="GD385" s="243">
        <f>COUNTIFS(Podcasts!$D$10:$D$2535,"="&amp;GD$373,Podcasts!$E$10:$E$2535,"&gt;=1.1.2022",Podcasts!$E$10:$E$2535,"&lt;01.01.2023")</f>
        <v>0</v>
      </c>
      <c r="GE385" s="243">
        <f>COUNTIFS(Podcasts!$D$10:$D$2535,"="&amp;GE$373,Podcasts!$E$10:$E$2535,"&gt;=1.1.2022",Podcasts!$E$10:$E$2535,"&lt;01.01.2023")</f>
        <v>1</v>
      </c>
      <c r="GF385" s="243">
        <f>COUNTIFS(Podcasts!$D$10:$D$2535,"="&amp;GF$373,Podcasts!$E$10:$E$2535,"&gt;=1.1.2022",Podcasts!$E$10:$E$2535,"&lt;01.01.2023")</f>
        <v>0</v>
      </c>
      <c r="GG385" s="243">
        <f>COUNTIFS(Podcasts!$D$10:$D$2535,"="&amp;GG$373,Podcasts!$E$10:$E$2535,"&gt;=1.1.2022",Podcasts!$E$10:$E$2535,"&lt;01.01.2023")</f>
        <v>1</v>
      </c>
      <c r="GH385" s="243">
        <f>COUNTIFS(Podcasts!$D$10:$D$2535,"="&amp;GH$373,Podcasts!$E$10:$E$2535,"&gt;=1.1.2022",Podcasts!$E$10:$E$2535,"&lt;01.01.2023")</f>
        <v>0</v>
      </c>
      <c r="GI385" s="243">
        <f>COUNTIFS(Podcasts!$D$10:$D$2535,"="&amp;GI$373,Podcasts!$E$10:$E$2535,"&gt;=1.1.2022",Podcasts!$E$10:$E$2535,"&lt;01.01.2023")</f>
        <v>0</v>
      </c>
      <c r="GJ385" s="243">
        <f>COUNTIFS(Podcasts!$D$10:$D$2535,"="&amp;GJ$373,Podcasts!$E$10:$E$2535,"&gt;=1.1.2022",Podcasts!$E$10:$E$2535,"&lt;01.01.2023")</f>
        <v>0</v>
      </c>
      <c r="GK385" s="243">
        <f>COUNTIFS(Podcasts!$D$10:$D$2535,"="&amp;GK$373,Podcasts!$E$10:$E$2535,"&gt;=1.1.2022",Podcasts!$E$10:$E$2535,"&lt;01.01.2023")</f>
        <v>0</v>
      </c>
      <c r="GL385" s="243">
        <f>COUNTIFS(Podcasts!$D$10:$D$2535,"="&amp;GL$373,Podcasts!$E$10:$E$2535,"&gt;=1.1.2022",Podcasts!$E$10:$E$2535,"&lt;01.01.2023")</f>
        <v>0</v>
      </c>
      <c r="GM385" s="243">
        <f>COUNTIFS(Podcasts!$D$10:$D$2535,"="&amp;GM$373,Podcasts!$E$10:$E$2535,"&gt;=1.1.2022",Podcasts!$E$10:$E$2535,"&lt;01.01.2023")</f>
        <v>0</v>
      </c>
      <c r="GN385" s="243">
        <f>COUNTIFS(Podcasts!$D$10:$D$2535,"="&amp;GN$373,Podcasts!$E$10:$E$2535,"&gt;=1.1.2022",Podcasts!$E$10:$E$2535,"&lt;01.01.2023")</f>
        <v>1</v>
      </c>
      <c r="GO385" s="243">
        <f>COUNTIFS(Podcasts!$D$10:$D$2535,"="&amp;GO$373,Podcasts!$E$10:$E$2535,"&gt;=1.1.2022",Podcasts!$E$10:$E$2535,"&lt;01.01.2023")</f>
        <v>0</v>
      </c>
      <c r="GP385" s="243">
        <f>COUNTIFS(Podcasts!$D$10:$D$2535,"="&amp;GP$373,Podcasts!$E$10:$E$2535,"&gt;=1.1.2022",Podcasts!$E$10:$E$2535,"&lt;01.01.2023")</f>
        <v>0</v>
      </c>
      <c r="GQ385" s="243">
        <f>COUNTIFS(Podcasts!$D$10:$D$2535,"="&amp;GQ$373,Podcasts!$E$10:$E$2535,"&gt;=1.1.2022",Podcasts!$E$10:$E$2535,"&lt;01.01.2023")</f>
        <v>0</v>
      </c>
      <c r="GR385" s="243">
        <f>COUNTIFS(Podcasts!$D$10:$D$2535,"="&amp;GR$373,Podcasts!$E$10:$E$2535,"&gt;=1.1.2022",Podcasts!$E$10:$E$2535,"&lt;01.01.2023")</f>
        <v>0</v>
      </c>
      <c r="GS385" s="243">
        <f>COUNTIFS(Podcasts!$D$10:$D$2535,"="&amp;GS$373,Podcasts!$E$10:$E$2535,"&gt;=1.1.2022",Podcasts!$E$10:$E$2535,"&lt;01.01.2023")</f>
        <v>1</v>
      </c>
      <c r="GT385" s="243">
        <f>COUNTIFS(Podcasts!$D$10:$D$2535,"="&amp;GT$373,Podcasts!$E$10:$E$2535,"&gt;=1.1.2022",Podcasts!$E$10:$E$2535,"&lt;01.01.2023")</f>
        <v>0</v>
      </c>
      <c r="GU385" s="243">
        <f>COUNTIFS(Podcasts!$D$10:$D$2535,"="&amp;GU$373,Podcasts!$E$10:$E$2535,"&gt;=1.1.2022",Podcasts!$E$10:$E$2535,"&lt;01.01.2023")</f>
        <v>0</v>
      </c>
      <c r="GV385" s="243">
        <f>COUNTIFS(Podcasts!$D$10:$D$2535,"="&amp;GV$373,Podcasts!$E$10:$E$2535,"&gt;=1.1.2022",Podcasts!$E$10:$E$2535,"&lt;01.01.2023")</f>
        <v>0</v>
      </c>
      <c r="GW385" s="243">
        <f>COUNTIFS(Podcasts!$D$10:$D$2535,"="&amp;GW$373,Podcasts!$E$10:$E$2535,"&gt;=1.1.2022",Podcasts!$E$10:$E$2535,"&lt;01.01.2023")</f>
        <v>1</v>
      </c>
      <c r="GX385" s="243">
        <f>COUNTIFS(Podcasts!$D$10:$D$2535,"="&amp;GX$373,Podcasts!$E$10:$E$2535,"&gt;=1.1.2022",Podcasts!$E$10:$E$2535,"&lt;01.01.2023")</f>
        <v>1</v>
      </c>
      <c r="GY385" s="243">
        <f>COUNTIFS(Podcasts!$D$10:$D$2535,"="&amp;GY$373,Podcasts!$E$10:$E$2535,"&gt;=1.1.2022",Podcasts!$E$10:$E$2535,"&lt;01.01.2023")</f>
        <v>1</v>
      </c>
      <c r="GZ385" s="243">
        <f>COUNTIFS(Podcasts!$D$10:$D$2535,"="&amp;GZ$373,Podcasts!$E$10:$E$2535,"&gt;=1.1.2022",Podcasts!$E$10:$E$2535,"&lt;01.01.2023")</f>
        <v>0</v>
      </c>
      <c r="HA385" s="243">
        <f>COUNTIFS(Podcasts!$D$10:$D$2535,"="&amp;HA$373,Podcasts!$E$10:$E$2535,"&gt;=1.1.2022",Podcasts!$E$10:$E$2535,"&lt;01.01.2023")</f>
        <v>0</v>
      </c>
      <c r="HB385" s="243">
        <f>COUNTIFS(Podcasts!$D$10:$D$2535,"="&amp;HB$373,Podcasts!$E$10:$E$2535,"&gt;=1.1.2022",Podcasts!$E$10:$E$2535,"&lt;01.01.2023")</f>
        <v>0</v>
      </c>
      <c r="HC385" s="243">
        <f>COUNTIFS(Podcasts!$D$10:$D$2535,"="&amp;HC$373,Podcasts!$E$10:$E$2535,"&gt;=1.1.2022",Podcasts!$E$10:$E$2535,"&lt;01.01.2023")</f>
        <v>1</v>
      </c>
      <c r="HD385" s="243">
        <f>COUNTIFS(Podcasts!$D$10:$D$2535,"="&amp;HD$373,Podcasts!$E$10:$E$2535,"&gt;=1.1.2022",Podcasts!$E$10:$E$2535,"&lt;01.01.2023")</f>
        <v>0</v>
      </c>
      <c r="HE385" s="243">
        <f>COUNTIFS(Podcasts!$D$10:$D$2535,"="&amp;HE$373,Podcasts!$E$10:$E$2535,"&gt;=1.1.2022",Podcasts!$E$10:$E$2535,"&lt;01.01.2023")</f>
        <v>4</v>
      </c>
      <c r="HF385" s="243">
        <f>COUNTIFS(Podcasts!$D$10:$D$2535,"="&amp;HF$373,Podcasts!$E$10:$E$2535,"&gt;=1.1.2022",Podcasts!$E$10:$E$2535,"&lt;01.01.2023")</f>
        <v>1</v>
      </c>
      <c r="HG385" s="243">
        <f>COUNTIFS(Podcasts!$D$10:$D$2535,"="&amp;HG$373,Podcasts!$E$10:$E$2535,"&gt;=1.1.2022",Podcasts!$E$10:$E$2535,"&lt;01.01.2023")</f>
        <v>1</v>
      </c>
      <c r="HH385" s="243">
        <f>COUNTIFS(Podcasts!$D$10:$D$2535,"="&amp;HH$373,Podcasts!$E$10:$E$2535,"&gt;=1.1.2022",Podcasts!$E$10:$E$2535,"&lt;01.01.2023")</f>
        <v>0</v>
      </c>
      <c r="HI385" s="243">
        <f>COUNTIFS(Podcasts!$D$10:$D$2535,"="&amp;HI$373,Podcasts!$E$10:$E$2535,"&gt;=1.1.2022",Podcasts!$E$10:$E$2535,"&lt;01.01.2023")</f>
        <v>0</v>
      </c>
      <c r="HJ385" s="243">
        <f>COUNTIFS(Podcasts!$D$10:$D$2535,"="&amp;HJ$373,Podcasts!$E$10:$E$2535,"&gt;=1.1.2022",Podcasts!$E$10:$E$2535,"&lt;01.01.2023")</f>
        <v>4</v>
      </c>
      <c r="HK385" s="243">
        <f>COUNTIFS(Podcasts!$D$10:$D$2535,"="&amp;HK$373,Podcasts!$E$10:$E$2535,"&gt;=1.1.2022",Podcasts!$E$10:$E$2535,"&lt;01.01.2023")</f>
        <v>2</v>
      </c>
      <c r="HL385" s="243">
        <f>COUNTIFS(Podcasts!$D$10:$D$2535,"="&amp;HL$373,Podcasts!$E$10:$E$2535,"&gt;=1.1.2022",Podcasts!$E$10:$E$2535,"&lt;01.01.2023")</f>
        <v>5</v>
      </c>
      <c r="HM385" s="243">
        <f>COUNTIFS(Podcasts!$D$10:$D$2535,"="&amp;HM$373,Podcasts!$E$10:$E$2535,"&gt;=1.1.2022",Podcasts!$E$10:$E$2535,"&lt;01.01.2023")</f>
        <v>3</v>
      </c>
      <c r="HN385" s="243">
        <f>COUNTIFS(Podcasts!$D$10:$D$2535,"="&amp;HN$373,Podcasts!$E$10:$E$2535,"&gt;=1.1.2022",Podcasts!$E$10:$E$2535,"&lt;01.01.2023")</f>
        <v>2</v>
      </c>
      <c r="HO385" s="243">
        <f>COUNTIFS(Podcasts!$D$10:$D$2535,"="&amp;HO$373,Podcasts!$E$10:$E$2535,"&gt;=1.1.2022",Podcasts!$E$10:$E$2535,"&lt;01.01.2023")</f>
        <v>2</v>
      </c>
      <c r="HP385" s="243">
        <f>COUNTIFS(Podcasts!$D$10:$D$2535,"="&amp;HP$373,Podcasts!$E$10:$E$2535,"&gt;=1.1.2022",Podcasts!$E$10:$E$2535,"&lt;01.01.2023")</f>
        <v>0</v>
      </c>
      <c r="HQ385" s="243">
        <f>COUNTIFS(Podcasts!$D$10:$D$2535,"="&amp;HQ$373,Podcasts!$E$10:$E$2535,"&gt;=1.1.2022",Podcasts!$E$10:$E$2535,"&lt;01.01.2023")</f>
        <v>0</v>
      </c>
      <c r="HR385" s="243">
        <f>COUNTIFS(Podcasts!$D$10:$D$2535,"="&amp;HR$373,Podcasts!$E$10:$E$2535,"&gt;=1.1.2022",Podcasts!$E$10:$E$2535,"&lt;01.01.2023")</f>
        <v>0</v>
      </c>
      <c r="HS385" s="243">
        <f>COUNTIFS(Podcasts!$D$10:$D$2535,"="&amp;HS$373,Podcasts!$E$10:$E$2535,"&gt;=1.1.2022",Podcasts!$E$10:$E$2535,"&lt;01.01.2023")</f>
        <v>0</v>
      </c>
      <c r="HT385" s="243">
        <f>COUNTIFS(Podcasts!$D$10:$D$2535,"="&amp;HT$373,Podcasts!$E$10:$E$2535,"&gt;=1.1.2022",Podcasts!$E$10:$E$2535,"&lt;01.01.2023")</f>
        <v>0</v>
      </c>
      <c r="HU385" s="243">
        <f>COUNTIFS(Podcasts!$D$10:$D$2535,"="&amp;HU$373,Podcasts!$E$10:$E$2535,"&gt;=1.1.2022",Podcasts!$E$10:$E$2535,"&lt;01.01.2023")</f>
        <v>0</v>
      </c>
      <c r="HV385" s="243">
        <f>COUNTIFS(Podcasts!$D$10:$D$2535,"="&amp;HV$373,Podcasts!$E$10:$E$2535,"&gt;=1.1.2022",Podcasts!$E$10:$E$2535,"&lt;01.01.2023")</f>
        <v>0</v>
      </c>
      <c r="HW385" s="243">
        <f>COUNTIFS(Podcasts!$D$10:$D$2535,"="&amp;HW$373,Podcasts!$E$10:$E$2535,"&gt;=1.1.2022",Podcasts!$E$10:$E$2535,"&lt;01.01.2023")</f>
        <v>0</v>
      </c>
      <c r="HX385" s="243">
        <f>COUNTIFS(Podcasts!$D$10:$D$2535,"="&amp;HX$373,Podcasts!$E$10:$E$2535,"&gt;=1.1.2022",Podcasts!$E$10:$E$2535,"&lt;01.01.2023")</f>
        <v>0</v>
      </c>
      <c r="HY385" s="243">
        <f>COUNTIFS(Podcasts!$D$10:$D$2535,"="&amp;HY$373,Podcasts!$E$10:$E$2535,"&gt;=1.1.2022",Podcasts!$E$10:$E$2535,"&lt;01.01.2023")</f>
        <v>0</v>
      </c>
      <c r="HZ385" s="243">
        <f>COUNTIFS(Podcasts!$D$10:$D$2535,"="&amp;HZ$373,Podcasts!$E$10:$E$2535,"&gt;=1.1.2022",Podcasts!$E$10:$E$2535,"&lt;01.01.2023")</f>
        <v>0</v>
      </c>
    </row>
    <row r="386" spans="1:234">
      <c r="A386" s="28"/>
      <c r="B386" s="28"/>
      <c r="C386" s="28"/>
      <c r="D386" s="28"/>
      <c r="E386" s="28"/>
      <c r="F386" s="28"/>
      <c r="G386" s="28"/>
      <c r="H386" s="28"/>
      <c r="I386" s="28"/>
      <c r="J386" s="28"/>
      <c r="M386" s="28"/>
      <c r="N386" s="28"/>
    </row>
    <row r="387" spans="1:234">
      <c r="A387" s="28"/>
      <c r="B387" s="28"/>
      <c r="C387" s="28"/>
      <c r="D387" s="28"/>
      <c r="E387" s="28"/>
      <c r="F387" s="28"/>
      <c r="G387" s="28"/>
      <c r="H387" s="28"/>
      <c r="I387" s="28"/>
      <c r="J387" s="28"/>
      <c r="K387" s="28"/>
      <c r="L387" s="28"/>
      <c r="M387" s="28"/>
      <c r="N387" s="28"/>
    </row>
    <row r="388" spans="1:234">
      <c r="A388" s="28"/>
      <c r="B388" s="28"/>
      <c r="C388" s="28"/>
      <c r="D388" s="28"/>
      <c r="E388" s="28"/>
      <c r="F388" s="28"/>
      <c r="G388" s="28"/>
      <c r="H388" s="28"/>
      <c r="I388" s="28"/>
      <c r="J388" s="28"/>
      <c r="K388" s="28"/>
      <c r="L388" s="28"/>
      <c r="M388" s="28"/>
      <c r="N388" s="28"/>
    </row>
    <row r="389" spans="1:234">
      <c r="A389" s="28"/>
      <c r="B389" s="28"/>
      <c r="C389" s="28"/>
      <c r="D389" s="28"/>
      <c r="E389" s="28"/>
      <c r="F389" s="28"/>
      <c r="G389" s="28"/>
      <c r="H389" s="28"/>
      <c r="I389" s="28"/>
      <c r="J389" s="28"/>
      <c r="K389" s="28"/>
      <c r="L389" s="28"/>
      <c r="M389" s="28"/>
      <c r="N389" s="28"/>
    </row>
    <row r="390" spans="1:234">
      <c r="A390" s="28"/>
      <c r="B390" s="28"/>
      <c r="C390" s="28"/>
      <c r="D390" s="28"/>
      <c r="E390" s="28"/>
      <c r="F390" s="28"/>
      <c r="G390" s="28"/>
      <c r="H390" s="28"/>
      <c r="I390" s="28"/>
      <c r="J390" s="28"/>
      <c r="K390" s="28"/>
      <c r="L390" s="28"/>
      <c r="M390" s="28"/>
      <c r="N390" s="28"/>
    </row>
    <row r="391" spans="1:234">
      <c r="A391" s="28"/>
      <c r="B391" s="28"/>
      <c r="C391" s="28"/>
      <c r="D391" s="505">
        <f>SUM(C44:C273)/K2</f>
        <v>5.2389380530973453</v>
      </c>
      <c r="E391" s="28"/>
      <c r="F391" s="28"/>
      <c r="G391" s="28"/>
      <c r="H391" s="28"/>
      <c r="I391" s="28"/>
      <c r="J391" s="28"/>
      <c r="K391" s="28"/>
      <c r="L391" s="28"/>
      <c r="M391" s="28"/>
      <c r="N391" s="28"/>
    </row>
    <row r="392" spans="1:234">
      <c r="A392" s="28"/>
      <c r="B392" s="28"/>
      <c r="C392" s="28"/>
      <c r="D392" s="28"/>
      <c r="E392" s="28"/>
      <c r="F392" s="28"/>
      <c r="G392" s="28"/>
      <c r="H392" s="28"/>
      <c r="I392" s="28"/>
      <c r="J392" s="28"/>
      <c r="K392" s="28"/>
      <c r="L392" s="28"/>
      <c r="M392" s="28"/>
      <c r="N392" s="28"/>
    </row>
    <row r="393" spans="1:234">
      <c r="A393" s="28"/>
      <c r="B393" s="28"/>
      <c r="C393" s="28"/>
      <c r="D393" s="28"/>
      <c r="E393" s="28"/>
      <c r="F393" s="28"/>
      <c r="G393" s="28"/>
      <c r="H393" s="28"/>
      <c r="I393" s="28"/>
      <c r="J393" s="28"/>
      <c r="K393" s="28"/>
      <c r="L393" s="28"/>
      <c r="M393" s="28"/>
      <c r="N393" s="28"/>
    </row>
    <row r="394" spans="1:234">
      <c r="A394" s="28"/>
      <c r="B394" s="28"/>
      <c r="C394" s="28"/>
      <c r="D394" s="792" t="s">
        <v>3088</v>
      </c>
      <c r="E394" s="793"/>
      <c r="F394" s="793"/>
      <c r="G394" s="794"/>
      <c r="H394" s="28"/>
      <c r="I394" s="797" t="s">
        <v>3089</v>
      </c>
      <c r="J394" s="798"/>
      <c r="K394" s="798"/>
      <c r="L394" s="798"/>
      <c r="M394" s="799"/>
      <c r="N394" s="28"/>
    </row>
    <row r="395" spans="1:234">
      <c r="D395" s="481" t="s">
        <v>8</v>
      </c>
      <c r="E395" s="453" t="s">
        <v>31</v>
      </c>
      <c r="F395" s="454" t="s">
        <v>2591</v>
      </c>
      <c r="G395" s="454" t="s">
        <v>7</v>
      </c>
      <c r="I395" s="795" t="s">
        <v>8</v>
      </c>
      <c r="J395" s="795"/>
      <c r="K395" s="453" t="s">
        <v>31</v>
      </c>
      <c r="L395" s="454" t="s">
        <v>2591</v>
      </c>
      <c r="M395" s="454" t="s">
        <v>7</v>
      </c>
    </row>
    <row r="396" spans="1:234">
      <c r="D396" s="482">
        <v>38756</v>
      </c>
      <c r="E396" s="467" t="s">
        <v>2792</v>
      </c>
      <c r="F396" s="483">
        <v>0</v>
      </c>
      <c r="G396" s="484">
        <v>2.4305555555555556E-3</v>
      </c>
      <c r="H396" s="263" t="str">
        <f>ROMAN(1,0)</f>
        <v>I</v>
      </c>
      <c r="I396" s="796">
        <v>45657</v>
      </c>
      <c r="J396" s="796"/>
      <c r="K396" s="545" t="s">
        <v>3090</v>
      </c>
      <c r="L396" s="546">
        <v>118</v>
      </c>
      <c r="M396" s="547">
        <v>0</v>
      </c>
    </row>
    <row r="397" spans="1:234">
      <c r="D397" s="482">
        <v>38769</v>
      </c>
      <c r="E397" s="467" t="s">
        <v>2792</v>
      </c>
      <c r="F397" s="483">
        <v>0</v>
      </c>
      <c r="G397" s="484">
        <v>4.7453703703703703E-3</v>
      </c>
      <c r="H397" s="263" t="str">
        <f>ROMAN(2,0)</f>
        <v>II</v>
      </c>
      <c r="I397" s="796">
        <v>45657</v>
      </c>
      <c r="J397" s="796"/>
      <c r="K397" s="545" t="s">
        <v>3090</v>
      </c>
      <c r="L397" s="546">
        <v>134</v>
      </c>
      <c r="M397" s="547">
        <v>0</v>
      </c>
    </row>
    <row r="398" spans="1:234">
      <c r="D398" s="482">
        <v>38994</v>
      </c>
      <c r="E398" s="467" t="s">
        <v>2792</v>
      </c>
      <c r="F398" s="483">
        <v>0</v>
      </c>
      <c r="G398" s="484">
        <v>0</v>
      </c>
      <c r="H398" s="263" t="str">
        <f>ROMAN(3,0)</f>
        <v>III</v>
      </c>
      <c r="I398" s="796">
        <v>45657</v>
      </c>
      <c r="J398" s="796"/>
      <c r="K398" s="545" t="s">
        <v>3090</v>
      </c>
      <c r="L398" s="546">
        <v>135</v>
      </c>
      <c r="M398" s="547">
        <v>0</v>
      </c>
    </row>
    <row r="399" spans="1:234">
      <c r="D399" s="482">
        <v>39021</v>
      </c>
      <c r="E399" s="467" t="s">
        <v>2793</v>
      </c>
      <c r="F399" s="483">
        <v>0</v>
      </c>
      <c r="G399" s="484">
        <v>1.7615740740740741E-2</v>
      </c>
      <c r="H399" s="263" t="str">
        <f>ROMAN(4,0)</f>
        <v>IV</v>
      </c>
      <c r="I399" s="800">
        <v>45194</v>
      </c>
      <c r="J399" s="800"/>
      <c r="K399" s="467" t="s">
        <v>1326</v>
      </c>
      <c r="L399" s="483">
        <v>117</v>
      </c>
      <c r="M399" s="490">
        <v>7.5486111111111115E-2</v>
      </c>
    </row>
    <row r="400" spans="1:234">
      <c r="D400" s="482">
        <v>39048</v>
      </c>
      <c r="E400" s="467" t="s">
        <v>2794</v>
      </c>
      <c r="F400" s="483">
        <v>0</v>
      </c>
      <c r="G400" s="484">
        <v>2.2615740740740742E-2</v>
      </c>
      <c r="H400" s="263" t="str">
        <f>ROMAN(5,0)</f>
        <v>V</v>
      </c>
      <c r="I400" s="800">
        <v>44980</v>
      </c>
      <c r="J400" s="800"/>
      <c r="K400" s="467" t="s">
        <v>109</v>
      </c>
      <c r="L400" s="483">
        <v>115</v>
      </c>
      <c r="M400" s="490">
        <v>7.12037037037037E-2</v>
      </c>
    </row>
    <row r="401" spans="4:13">
      <c r="D401" s="482">
        <v>39100</v>
      </c>
      <c r="E401" s="467" t="s">
        <v>2794</v>
      </c>
      <c r="F401" s="483">
        <v>0</v>
      </c>
      <c r="G401" s="484">
        <v>1.9444444444444445E-2</v>
      </c>
      <c r="H401" s="263" t="str">
        <f>ROMAN(6,0)</f>
        <v>VI</v>
      </c>
      <c r="I401" s="800">
        <v>44906</v>
      </c>
      <c r="J401" s="800"/>
      <c r="K401" s="467" t="s">
        <v>1617</v>
      </c>
      <c r="L401" s="483">
        <v>133</v>
      </c>
      <c r="M401" s="490">
        <v>3.8726851851851853E-2</v>
      </c>
    </row>
    <row r="402" spans="4:13">
      <c r="D402" s="482">
        <v>39369</v>
      </c>
      <c r="E402" s="467" t="s">
        <v>2794</v>
      </c>
      <c r="F402" s="483">
        <v>0</v>
      </c>
      <c r="G402" s="484">
        <v>3.9907407407407412E-2</v>
      </c>
      <c r="H402" s="263" t="str">
        <f>ROMAN(7,0)</f>
        <v>VII</v>
      </c>
      <c r="I402" s="800">
        <v>44868</v>
      </c>
      <c r="J402" s="800"/>
      <c r="K402" s="467" t="s">
        <v>1684</v>
      </c>
      <c r="L402" s="483">
        <v>139</v>
      </c>
      <c r="M402" s="490">
        <v>2.3483796296296298E-2</v>
      </c>
    </row>
    <row r="403" spans="4:13">
      <c r="D403" s="482">
        <v>39397</v>
      </c>
      <c r="E403" s="467" t="s">
        <v>2843</v>
      </c>
      <c r="F403" s="483">
        <v>0</v>
      </c>
      <c r="G403" s="484">
        <v>1.0219907407407408E-2</v>
      </c>
      <c r="H403" s="263" t="str">
        <f>ROMAN(8,0)</f>
        <v>VIII</v>
      </c>
      <c r="I403" s="801">
        <v>44705</v>
      </c>
      <c r="J403" s="801"/>
      <c r="K403" s="467" t="s">
        <v>114</v>
      </c>
      <c r="L403" s="483">
        <v>144</v>
      </c>
      <c r="M403" s="484">
        <v>7.5266203703703696E-2</v>
      </c>
    </row>
    <row r="404" spans="4:13">
      <c r="D404" s="482">
        <v>39467</v>
      </c>
      <c r="E404" s="467" t="s">
        <v>2843</v>
      </c>
      <c r="F404" s="483">
        <v>0</v>
      </c>
      <c r="G404" s="484">
        <v>3.2037037037037037E-2</v>
      </c>
      <c r="H404" s="263" t="str">
        <f>ROMAN(9,0)</f>
        <v>IX</v>
      </c>
      <c r="I404" s="801">
        <v>44641</v>
      </c>
      <c r="J404" s="801"/>
      <c r="K404" s="467" t="s">
        <v>109</v>
      </c>
      <c r="L404" s="483">
        <v>102</v>
      </c>
      <c r="M404" s="484">
        <v>7.3935185185185187E-2</v>
      </c>
    </row>
    <row r="405" spans="4:13">
      <c r="D405" s="482">
        <v>39502</v>
      </c>
      <c r="E405" s="467" t="s">
        <v>2843</v>
      </c>
      <c r="F405" s="483">
        <v>0</v>
      </c>
      <c r="G405" s="484">
        <v>3.3090277777777781E-2</v>
      </c>
      <c r="H405" s="263" t="str">
        <f>ROMAN(10,0)</f>
        <v>X</v>
      </c>
      <c r="I405" s="801">
        <v>44406</v>
      </c>
      <c r="J405" s="801"/>
      <c r="K405" s="467" t="s">
        <v>1878</v>
      </c>
      <c r="L405" s="483">
        <v>127</v>
      </c>
      <c r="M405" s="484">
        <v>7.2233796296296296E-2</v>
      </c>
    </row>
    <row r="406" spans="4:13">
      <c r="D406" s="482">
        <v>39558</v>
      </c>
      <c r="E406" s="467" t="s">
        <v>2843</v>
      </c>
      <c r="F406" s="483">
        <v>0</v>
      </c>
      <c r="G406" s="484">
        <v>3.7743055555555557E-2</v>
      </c>
      <c r="H406" s="263" t="str">
        <f>ROMAN(11,0)</f>
        <v>XI</v>
      </c>
      <c r="I406" s="801">
        <v>44351</v>
      </c>
      <c r="J406" s="801"/>
      <c r="K406" s="467" t="s">
        <v>199</v>
      </c>
      <c r="L406" s="483">
        <v>143</v>
      </c>
      <c r="M406" s="484">
        <v>0.11753472222222222</v>
      </c>
    </row>
    <row r="407" spans="4:13">
      <c r="D407" s="482">
        <v>40098</v>
      </c>
      <c r="E407" s="467" t="s">
        <v>2846</v>
      </c>
      <c r="F407" s="483">
        <v>0</v>
      </c>
      <c r="G407" s="484">
        <v>2.7430555555555559E-3</v>
      </c>
      <c r="H407" s="263" t="str">
        <f>ROMAN(12,0)</f>
        <v>XII</v>
      </c>
      <c r="I407" s="801">
        <v>44219</v>
      </c>
      <c r="J407" s="801"/>
      <c r="K407" s="467" t="s">
        <v>114</v>
      </c>
      <c r="L407" s="483">
        <v>128</v>
      </c>
      <c r="M407" s="484">
        <v>6.8634259259259256E-2</v>
      </c>
    </row>
    <row r="408" spans="4:13">
      <c r="D408" s="482">
        <v>40491</v>
      </c>
      <c r="E408" s="467" t="s">
        <v>2795</v>
      </c>
      <c r="F408" s="483">
        <v>0</v>
      </c>
      <c r="G408" s="484">
        <v>3.4953703703703705E-3</v>
      </c>
      <c r="H408" s="263" t="str">
        <f>ROMAN(13,0)</f>
        <v>XIII</v>
      </c>
      <c r="I408" s="801">
        <v>44135</v>
      </c>
      <c r="J408" s="801"/>
      <c r="K408" s="467" t="s">
        <v>44</v>
      </c>
      <c r="L408" s="483">
        <v>114</v>
      </c>
      <c r="M408" s="484">
        <v>0.10315972222222221</v>
      </c>
    </row>
    <row r="409" spans="4:13">
      <c r="D409" s="485">
        <v>40817</v>
      </c>
      <c r="E409" s="467" t="s">
        <v>197</v>
      </c>
      <c r="F409" s="486">
        <v>0</v>
      </c>
      <c r="G409" s="487">
        <v>9.2592592592592585E-4</v>
      </c>
      <c r="H409" s="263" t="str">
        <f>ROMAN(14,0)</f>
        <v>XIV</v>
      </c>
      <c r="I409" s="801">
        <v>44020</v>
      </c>
      <c r="J409" s="801"/>
      <c r="K409" s="467" t="s">
        <v>109</v>
      </c>
      <c r="L409" s="483">
        <v>141</v>
      </c>
      <c r="M409" s="484">
        <v>4.6840277777777779E-2</v>
      </c>
    </row>
    <row r="410" spans="4:13">
      <c r="D410" s="485">
        <v>40866</v>
      </c>
      <c r="E410" s="467" t="s">
        <v>197</v>
      </c>
      <c r="F410" s="486">
        <v>149</v>
      </c>
      <c r="G410" s="487">
        <v>3.5057870370370371E-2</v>
      </c>
      <c r="H410" s="263" t="str">
        <f>ROMAN(15,0)</f>
        <v>XV</v>
      </c>
      <c r="I410" s="801">
        <v>43767</v>
      </c>
      <c r="J410" s="801"/>
      <c r="K410" s="467" t="s">
        <v>109</v>
      </c>
      <c r="L410" s="483">
        <v>132</v>
      </c>
      <c r="M410" s="484">
        <v>7.9050925925925927E-2</v>
      </c>
    </row>
    <row r="411" spans="4:13">
      <c r="D411" s="485">
        <v>40881</v>
      </c>
      <c r="E411" s="467" t="s">
        <v>197</v>
      </c>
      <c r="F411" s="486">
        <v>17</v>
      </c>
      <c r="G411" s="487">
        <v>2.5428240740740741E-2</v>
      </c>
      <c r="H411" s="263" t="str">
        <f>ROMAN(16,0)</f>
        <v>XVI</v>
      </c>
      <c r="I411" s="801">
        <v>43679</v>
      </c>
      <c r="J411" s="801"/>
      <c r="K411" s="467" t="s">
        <v>201</v>
      </c>
      <c r="L411" s="483">
        <v>200</v>
      </c>
      <c r="M411" s="484">
        <v>0.27300925925925928</v>
      </c>
    </row>
    <row r="412" spans="4:13">
      <c r="D412" s="485">
        <v>40881</v>
      </c>
      <c r="E412" s="467" t="s">
        <v>636</v>
      </c>
      <c r="F412" s="486">
        <v>150</v>
      </c>
      <c r="G412" s="487">
        <v>9.0277777777777784E-4</v>
      </c>
      <c r="H412" s="263" t="str">
        <f>ROMAN(17,0)</f>
        <v>XVII</v>
      </c>
      <c r="I412" s="801">
        <v>43643</v>
      </c>
      <c r="J412" s="801"/>
      <c r="K412" s="467" t="s">
        <v>109</v>
      </c>
      <c r="L412" s="483">
        <v>95</v>
      </c>
      <c r="M412" s="484">
        <v>7.1990740740740744E-2</v>
      </c>
    </row>
    <row r="413" spans="4:13">
      <c r="D413" s="485">
        <v>40881</v>
      </c>
      <c r="E413" s="467" t="s">
        <v>636</v>
      </c>
      <c r="F413" s="488" t="s">
        <v>751</v>
      </c>
      <c r="G413" s="487">
        <v>9.0277777777777784E-4</v>
      </c>
      <c r="H413" s="263" t="str">
        <f>ROMAN(18,0)</f>
        <v>XVIII</v>
      </c>
      <c r="I413" s="801">
        <v>43567</v>
      </c>
      <c r="J413" s="801"/>
      <c r="K413" s="467" t="s">
        <v>199</v>
      </c>
      <c r="L413" s="483">
        <v>147</v>
      </c>
      <c r="M413" s="484">
        <v>6.232638888888889E-2</v>
      </c>
    </row>
    <row r="414" spans="4:13">
      <c r="D414" s="485">
        <v>40905</v>
      </c>
      <c r="E414" s="467" t="s">
        <v>197</v>
      </c>
      <c r="F414" s="486">
        <v>12</v>
      </c>
      <c r="G414" s="487">
        <v>3.2812500000000001E-2</v>
      </c>
      <c r="H414" s="263" t="str">
        <f>ROMAN(19,0)</f>
        <v>XIX</v>
      </c>
      <c r="I414" s="801">
        <v>43554</v>
      </c>
      <c r="J414" s="801"/>
      <c r="K414" s="467" t="s">
        <v>199</v>
      </c>
      <c r="L414" s="483">
        <v>198</v>
      </c>
      <c r="M414" s="484">
        <v>0.10244212962962962</v>
      </c>
    </row>
    <row r="415" spans="4:13">
      <c r="D415" s="485">
        <v>40919</v>
      </c>
      <c r="E415" s="467" t="s">
        <v>197</v>
      </c>
      <c r="F415" s="486">
        <v>92</v>
      </c>
      <c r="G415" s="487">
        <v>2.3761574074074074E-2</v>
      </c>
      <c r="H415" s="263" t="str">
        <f>ROMAN(20,0)</f>
        <v>XX</v>
      </c>
      <c r="I415" s="801">
        <v>43539</v>
      </c>
      <c r="J415" s="801"/>
      <c r="K415" s="467" t="s">
        <v>199</v>
      </c>
      <c r="L415" s="483">
        <v>197</v>
      </c>
      <c r="M415" s="484">
        <v>8.7604166666666664E-2</v>
      </c>
    </row>
    <row r="416" spans="4:13">
      <c r="D416" s="485">
        <v>40932</v>
      </c>
      <c r="E416" s="467" t="s">
        <v>197</v>
      </c>
      <c r="F416" s="486">
        <v>116</v>
      </c>
      <c r="G416" s="487">
        <v>3.0266203703703708E-2</v>
      </c>
    </row>
    <row r="417" spans="4:7">
      <c r="D417" s="485">
        <v>40936</v>
      </c>
      <c r="E417" s="467" t="s">
        <v>197</v>
      </c>
      <c r="F417" s="486">
        <v>0</v>
      </c>
      <c r="G417" s="487">
        <v>1.861111111111111E-2</v>
      </c>
    </row>
    <row r="418" spans="4:7">
      <c r="D418" s="485">
        <v>40938</v>
      </c>
      <c r="E418" s="467" t="s">
        <v>636</v>
      </c>
      <c r="F418" s="486">
        <v>151</v>
      </c>
      <c r="G418" s="487">
        <v>8.564814814814815E-4</v>
      </c>
    </row>
    <row r="419" spans="4:7">
      <c r="D419" s="485">
        <v>40938</v>
      </c>
      <c r="E419" s="467" t="s">
        <v>636</v>
      </c>
      <c r="F419" s="488" t="s">
        <v>698</v>
      </c>
      <c r="G419" s="487">
        <v>1.4814814814814814E-3</v>
      </c>
    </row>
    <row r="420" spans="4:7">
      <c r="D420" s="485">
        <v>40944</v>
      </c>
      <c r="E420" s="467" t="s">
        <v>416</v>
      </c>
      <c r="F420" s="486">
        <v>151</v>
      </c>
      <c r="G420" s="487">
        <v>2.3587962962962963E-2</v>
      </c>
    </row>
    <row r="421" spans="4:7">
      <c r="D421" s="485">
        <v>40952</v>
      </c>
      <c r="E421" s="467" t="s">
        <v>197</v>
      </c>
      <c r="F421" s="486">
        <v>0</v>
      </c>
      <c r="G421" s="487">
        <v>6.4583333333333333E-3</v>
      </c>
    </row>
    <row r="422" spans="4:7">
      <c r="D422" s="485">
        <v>40965</v>
      </c>
      <c r="E422" s="467" t="s">
        <v>416</v>
      </c>
      <c r="F422" s="486">
        <v>1</v>
      </c>
      <c r="G422" s="487">
        <v>3.2777777777777781E-2</v>
      </c>
    </row>
    <row r="423" spans="4:7">
      <c r="D423" s="485">
        <v>40966</v>
      </c>
      <c r="E423" s="467" t="s">
        <v>197</v>
      </c>
      <c r="F423" s="486">
        <v>28</v>
      </c>
      <c r="G423" s="487">
        <v>2.7662037037037041E-2</v>
      </c>
    </row>
    <row r="424" spans="4:7">
      <c r="D424" s="485">
        <v>40968</v>
      </c>
      <c r="E424" s="467" t="s">
        <v>197</v>
      </c>
      <c r="F424" s="486">
        <v>0</v>
      </c>
      <c r="G424" s="487">
        <v>2.7777777777777779E-3</v>
      </c>
    </row>
    <row r="425" spans="4:7">
      <c r="D425" s="485">
        <v>40980</v>
      </c>
      <c r="E425" s="467" t="s">
        <v>416</v>
      </c>
      <c r="F425" s="486">
        <v>2</v>
      </c>
      <c r="G425" s="487">
        <v>4.3738425925925924E-2</v>
      </c>
    </row>
    <row r="426" spans="4:7">
      <c r="D426" s="485">
        <v>40981</v>
      </c>
      <c r="E426" s="467" t="s">
        <v>197</v>
      </c>
      <c r="F426" s="486">
        <v>45</v>
      </c>
      <c r="G426" s="487">
        <v>1.5717592592592592E-2</v>
      </c>
    </row>
    <row r="427" spans="4:7">
      <c r="D427" s="485">
        <v>40987</v>
      </c>
      <c r="E427" s="467" t="s">
        <v>636</v>
      </c>
      <c r="F427" s="486">
        <v>152</v>
      </c>
      <c r="G427" s="487">
        <v>1.3078703703703705E-3</v>
      </c>
    </row>
    <row r="428" spans="4:7">
      <c r="D428" s="485">
        <v>40987</v>
      </c>
      <c r="E428" s="467" t="s">
        <v>636</v>
      </c>
      <c r="F428" s="488" t="s">
        <v>696</v>
      </c>
      <c r="G428" s="487">
        <v>1.1689814814814816E-3</v>
      </c>
    </row>
    <row r="429" spans="4:7">
      <c r="D429" s="485">
        <v>41006</v>
      </c>
      <c r="E429" s="467" t="s">
        <v>197</v>
      </c>
      <c r="F429" s="486">
        <v>47</v>
      </c>
      <c r="G429" s="487">
        <v>5.0578703703703709E-2</v>
      </c>
    </row>
    <row r="430" spans="4:7">
      <c r="D430" s="485">
        <v>41007</v>
      </c>
      <c r="E430" s="467" t="s">
        <v>416</v>
      </c>
      <c r="F430" s="486">
        <v>152</v>
      </c>
      <c r="G430" s="487">
        <v>3.7835648148148153E-2</v>
      </c>
    </row>
    <row r="431" spans="4:7">
      <c r="D431" s="482">
        <v>41021</v>
      </c>
      <c r="E431" s="467" t="s">
        <v>2796</v>
      </c>
      <c r="F431" s="483">
        <v>0</v>
      </c>
      <c r="G431" s="484">
        <v>9.5312500000000008E-2</v>
      </c>
    </row>
    <row r="432" spans="4:7">
      <c r="D432" s="485">
        <v>41026</v>
      </c>
      <c r="E432" s="467" t="s">
        <v>636</v>
      </c>
      <c r="F432" s="488">
        <v>153</v>
      </c>
      <c r="G432" s="487">
        <v>1.7592592592592592E-3</v>
      </c>
    </row>
    <row r="433" spans="4:7">
      <c r="D433" s="485">
        <v>41026</v>
      </c>
      <c r="E433" s="467" t="s">
        <v>636</v>
      </c>
      <c r="F433" s="488" t="s">
        <v>732</v>
      </c>
      <c r="G433" s="487">
        <v>7.175925925925927E-4</v>
      </c>
    </row>
    <row r="434" spans="4:7">
      <c r="D434" s="485">
        <v>41029</v>
      </c>
      <c r="E434" s="467" t="s">
        <v>416</v>
      </c>
      <c r="F434" s="486">
        <v>153</v>
      </c>
      <c r="G434" s="487">
        <v>2.2037037037037036E-2</v>
      </c>
    </row>
    <row r="435" spans="4:7">
      <c r="D435" s="485">
        <v>41035</v>
      </c>
      <c r="E435" s="467" t="s">
        <v>197</v>
      </c>
      <c r="F435" s="486">
        <v>49</v>
      </c>
      <c r="G435" s="487">
        <v>3.3472222222222223E-2</v>
      </c>
    </row>
    <row r="436" spans="4:7">
      <c r="D436" s="485">
        <v>41044</v>
      </c>
      <c r="E436" s="467" t="s">
        <v>197</v>
      </c>
      <c r="F436" s="488" t="s">
        <v>2033</v>
      </c>
      <c r="G436" s="487">
        <v>1.4930555555555556E-2</v>
      </c>
    </row>
    <row r="437" spans="4:7">
      <c r="D437" s="485">
        <v>41047</v>
      </c>
      <c r="E437" s="467" t="s">
        <v>197</v>
      </c>
      <c r="F437" s="486">
        <v>154</v>
      </c>
      <c r="G437" s="487">
        <v>5.061342592592593E-2</v>
      </c>
    </row>
    <row r="438" spans="4:7">
      <c r="D438" s="485">
        <v>41059</v>
      </c>
      <c r="E438" s="467" t="s">
        <v>636</v>
      </c>
      <c r="F438" s="486">
        <v>154</v>
      </c>
      <c r="G438" s="487">
        <v>1.4814814814814814E-3</v>
      </c>
    </row>
    <row r="439" spans="4:7">
      <c r="D439" s="485">
        <v>41061</v>
      </c>
      <c r="E439" s="467" t="s">
        <v>416</v>
      </c>
      <c r="F439" s="486">
        <v>3</v>
      </c>
      <c r="G439" s="487">
        <v>2.2743055555555555E-2</v>
      </c>
    </row>
    <row r="440" spans="4:7">
      <c r="D440" s="485">
        <v>41077</v>
      </c>
      <c r="E440" s="467" t="s">
        <v>197</v>
      </c>
      <c r="F440" s="486">
        <v>8</v>
      </c>
      <c r="G440" s="487">
        <v>3.7986111111111116E-2</v>
      </c>
    </row>
    <row r="441" spans="4:7">
      <c r="D441" s="485">
        <v>41084</v>
      </c>
      <c r="E441" s="467" t="s">
        <v>197</v>
      </c>
      <c r="F441" s="486">
        <v>33</v>
      </c>
      <c r="G441" s="487">
        <v>3.5057870370370371E-2</v>
      </c>
    </row>
    <row r="442" spans="4:7">
      <c r="D442" s="485">
        <v>41090</v>
      </c>
      <c r="E442" s="467" t="s">
        <v>197</v>
      </c>
      <c r="F442" s="486">
        <v>0</v>
      </c>
      <c r="G442" s="487">
        <v>3.472222222222222E-3</v>
      </c>
    </row>
    <row r="443" spans="4:7">
      <c r="D443" s="485">
        <v>41104</v>
      </c>
      <c r="E443" s="467" t="s">
        <v>416</v>
      </c>
      <c r="F443" s="486">
        <v>154</v>
      </c>
      <c r="G443" s="487">
        <v>1.283564814814815E-2</v>
      </c>
    </row>
    <row r="444" spans="4:7">
      <c r="D444" s="485">
        <v>41115</v>
      </c>
      <c r="E444" s="467" t="s">
        <v>197</v>
      </c>
      <c r="F444" s="488" t="s">
        <v>2034</v>
      </c>
      <c r="G444" s="487">
        <v>1.7430555555555557E-2</v>
      </c>
    </row>
    <row r="445" spans="4:7">
      <c r="D445" s="485">
        <v>41148</v>
      </c>
      <c r="E445" s="467" t="s">
        <v>416</v>
      </c>
      <c r="F445" s="486">
        <v>155</v>
      </c>
      <c r="G445" s="487">
        <v>3.2731481481481479E-2</v>
      </c>
    </row>
    <row r="446" spans="4:7">
      <c r="D446" s="485">
        <v>41151</v>
      </c>
      <c r="E446" s="467" t="s">
        <v>636</v>
      </c>
      <c r="F446" s="488">
        <v>155</v>
      </c>
      <c r="G446" s="487">
        <v>7.8703703703703705E-4</v>
      </c>
    </row>
    <row r="447" spans="4:7">
      <c r="D447" s="485">
        <v>41151</v>
      </c>
      <c r="E447" s="467" t="s">
        <v>636</v>
      </c>
      <c r="F447" s="486">
        <v>156</v>
      </c>
      <c r="G447" s="487">
        <v>8.9120370370370362E-4</v>
      </c>
    </row>
    <row r="448" spans="4:7">
      <c r="D448" s="485">
        <v>41162</v>
      </c>
      <c r="E448" s="467" t="s">
        <v>197</v>
      </c>
      <c r="F448" s="486">
        <v>155</v>
      </c>
      <c r="G448" s="487">
        <v>4.1666666666666664E-2</v>
      </c>
    </row>
    <row r="449" spans="4:7">
      <c r="D449" s="485">
        <v>41172</v>
      </c>
      <c r="E449" s="467" t="s">
        <v>416</v>
      </c>
      <c r="F449" s="486">
        <v>156</v>
      </c>
      <c r="G449" s="487">
        <v>3.0613425925925929E-2</v>
      </c>
    </row>
    <row r="450" spans="4:7">
      <c r="D450" s="485">
        <v>41178</v>
      </c>
      <c r="E450" s="467" t="s">
        <v>197</v>
      </c>
      <c r="F450" s="486">
        <v>0</v>
      </c>
      <c r="G450" s="487">
        <v>1.3888888888888888E-2</v>
      </c>
    </row>
    <row r="451" spans="4:7">
      <c r="D451" s="485">
        <v>41209</v>
      </c>
      <c r="E451" s="467" t="s">
        <v>636</v>
      </c>
      <c r="F451" s="488" t="s">
        <v>218</v>
      </c>
      <c r="G451" s="487">
        <v>1.6550925925925926E-3</v>
      </c>
    </row>
    <row r="452" spans="4:7">
      <c r="D452" s="485">
        <v>41209</v>
      </c>
      <c r="E452" s="467" t="s">
        <v>636</v>
      </c>
      <c r="F452" s="486">
        <v>157</v>
      </c>
      <c r="G452" s="487">
        <v>2.8703703703703708E-3</v>
      </c>
    </row>
    <row r="453" spans="4:7">
      <c r="D453" s="485">
        <v>41209</v>
      </c>
      <c r="E453" s="467" t="s">
        <v>636</v>
      </c>
      <c r="F453" s="488" t="s">
        <v>726</v>
      </c>
      <c r="G453" s="487">
        <v>1.0995370370370371E-3</v>
      </c>
    </row>
    <row r="454" spans="4:7">
      <c r="D454" s="485">
        <v>41210</v>
      </c>
      <c r="E454" s="467" t="s">
        <v>416</v>
      </c>
      <c r="F454" s="488" t="s">
        <v>218</v>
      </c>
      <c r="G454" s="487">
        <v>4.9837962962962966E-2</v>
      </c>
    </row>
    <row r="455" spans="4:7">
      <c r="D455" s="485">
        <v>41210</v>
      </c>
      <c r="E455" s="467" t="s">
        <v>416</v>
      </c>
      <c r="F455" s="486">
        <v>157</v>
      </c>
      <c r="G455" s="487">
        <v>1.5694444444444445E-2</v>
      </c>
    </row>
    <row r="456" spans="4:7">
      <c r="D456" s="485">
        <v>41210</v>
      </c>
      <c r="E456" s="467" t="s">
        <v>416</v>
      </c>
      <c r="F456" s="486">
        <v>15</v>
      </c>
      <c r="G456" s="487">
        <v>1.7858796296296296E-2</v>
      </c>
    </row>
    <row r="457" spans="4:7">
      <c r="D457" s="485">
        <v>41213</v>
      </c>
      <c r="E457" s="467" t="s">
        <v>416</v>
      </c>
      <c r="F457" s="486">
        <v>90</v>
      </c>
      <c r="G457" s="487">
        <v>1.8449074074074073E-2</v>
      </c>
    </row>
    <row r="458" spans="4:7">
      <c r="D458" s="485">
        <v>41213</v>
      </c>
      <c r="E458" s="467" t="s">
        <v>416</v>
      </c>
      <c r="F458" s="486">
        <v>111</v>
      </c>
      <c r="G458" s="487">
        <v>1.8020833333333333E-2</v>
      </c>
    </row>
    <row r="459" spans="4:7">
      <c r="D459" s="485">
        <v>41233</v>
      </c>
      <c r="E459" s="467" t="s">
        <v>197</v>
      </c>
      <c r="F459" s="486">
        <v>21</v>
      </c>
      <c r="G459" s="487">
        <v>4.3750000000000004E-2</v>
      </c>
    </row>
    <row r="460" spans="4:7">
      <c r="D460" s="485">
        <v>41244</v>
      </c>
      <c r="E460" s="467" t="s">
        <v>197</v>
      </c>
      <c r="F460" s="488" t="s">
        <v>218</v>
      </c>
      <c r="G460" s="487">
        <v>3.8194444444444443E-3</v>
      </c>
    </row>
    <row r="461" spans="4:7">
      <c r="D461" s="485">
        <v>41245</v>
      </c>
      <c r="E461" s="467" t="s">
        <v>197</v>
      </c>
      <c r="F461" s="488" t="s">
        <v>143</v>
      </c>
      <c r="G461" s="487">
        <v>1.4722222222222222E-2</v>
      </c>
    </row>
    <row r="462" spans="4:7">
      <c r="D462" s="485">
        <v>41247</v>
      </c>
      <c r="E462" s="467" t="s">
        <v>197</v>
      </c>
      <c r="F462" s="488" t="s">
        <v>144</v>
      </c>
      <c r="G462" s="487">
        <v>1.2094907407407408E-2</v>
      </c>
    </row>
    <row r="463" spans="4:7">
      <c r="D463" s="485">
        <v>41249</v>
      </c>
      <c r="E463" s="467" t="s">
        <v>197</v>
      </c>
      <c r="F463" s="488" t="s">
        <v>145</v>
      </c>
      <c r="G463" s="487">
        <v>8.5416666666666679E-3</v>
      </c>
    </row>
    <row r="464" spans="4:7">
      <c r="D464" s="485">
        <v>41251</v>
      </c>
      <c r="E464" s="467" t="s">
        <v>197</v>
      </c>
      <c r="F464" s="488" t="s">
        <v>146</v>
      </c>
      <c r="G464" s="487">
        <v>1.8391203703703705E-2</v>
      </c>
    </row>
    <row r="465" spans="4:7">
      <c r="D465" s="485">
        <v>41252</v>
      </c>
      <c r="E465" s="467" t="s">
        <v>416</v>
      </c>
      <c r="F465" s="486">
        <v>158</v>
      </c>
      <c r="G465" s="487">
        <v>2.1087962962962961E-2</v>
      </c>
    </row>
    <row r="466" spans="4:7">
      <c r="D466" s="485">
        <v>41253</v>
      </c>
      <c r="E466" s="467" t="s">
        <v>197</v>
      </c>
      <c r="F466" s="488" t="s">
        <v>147</v>
      </c>
      <c r="G466" s="487">
        <v>1.5625E-2</v>
      </c>
    </row>
    <row r="467" spans="4:7">
      <c r="D467" s="485">
        <v>41255</v>
      </c>
      <c r="E467" s="467" t="s">
        <v>197</v>
      </c>
      <c r="F467" s="488" t="s">
        <v>148</v>
      </c>
      <c r="G467" s="487">
        <v>9.9537037037037042E-3</v>
      </c>
    </row>
    <row r="468" spans="4:7">
      <c r="D468" s="485">
        <v>41257</v>
      </c>
      <c r="E468" s="467" t="s">
        <v>197</v>
      </c>
      <c r="F468" s="488" t="s">
        <v>149</v>
      </c>
      <c r="G468" s="487">
        <v>1.1099537037037038E-2</v>
      </c>
    </row>
    <row r="469" spans="4:7">
      <c r="D469" s="485">
        <v>41259</v>
      </c>
      <c r="E469" s="467" t="s">
        <v>197</v>
      </c>
      <c r="F469" s="488" t="s">
        <v>150</v>
      </c>
      <c r="G469" s="487">
        <v>7.6388888888888886E-3</v>
      </c>
    </row>
    <row r="470" spans="4:7">
      <c r="D470" s="485">
        <v>41261</v>
      </c>
      <c r="E470" s="467" t="s">
        <v>197</v>
      </c>
      <c r="F470" s="488" t="s">
        <v>151</v>
      </c>
      <c r="G470" s="487">
        <v>1.0995370370370371E-2</v>
      </c>
    </row>
    <row r="471" spans="4:7">
      <c r="D471" s="485">
        <v>41263</v>
      </c>
      <c r="E471" s="467" t="s">
        <v>197</v>
      </c>
      <c r="F471" s="488" t="s">
        <v>152</v>
      </c>
      <c r="G471" s="487">
        <v>1.2604166666666666E-2</v>
      </c>
    </row>
    <row r="472" spans="4:7">
      <c r="D472" s="485">
        <v>41265</v>
      </c>
      <c r="E472" s="467" t="s">
        <v>197</v>
      </c>
      <c r="F472" s="488" t="s">
        <v>153</v>
      </c>
      <c r="G472" s="487">
        <v>1.1446759259259261E-2</v>
      </c>
    </row>
    <row r="473" spans="4:7">
      <c r="D473" s="485">
        <v>41267</v>
      </c>
      <c r="E473" s="467" t="s">
        <v>197</v>
      </c>
      <c r="F473" s="488" t="s">
        <v>154</v>
      </c>
      <c r="G473" s="487">
        <v>2.6620370370370374E-2</v>
      </c>
    </row>
    <row r="474" spans="4:7">
      <c r="D474" s="485">
        <v>41281</v>
      </c>
      <c r="E474" s="467" t="s">
        <v>197</v>
      </c>
      <c r="F474" s="486">
        <v>3</v>
      </c>
      <c r="G474" s="487">
        <v>3.3842592592592598E-2</v>
      </c>
    </row>
    <row r="475" spans="4:7">
      <c r="D475" s="485">
        <v>41304</v>
      </c>
      <c r="E475" s="467" t="s">
        <v>197</v>
      </c>
      <c r="F475" s="488" t="s">
        <v>736</v>
      </c>
      <c r="G475" s="487">
        <v>1.3888888888888888E-2</v>
      </c>
    </row>
    <row r="476" spans="4:7">
      <c r="D476" s="485">
        <v>41304</v>
      </c>
      <c r="E476" s="467" t="s">
        <v>636</v>
      </c>
      <c r="F476" s="486">
        <v>159</v>
      </c>
      <c r="G476" s="487">
        <v>2.5347222222222221E-3</v>
      </c>
    </row>
    <row r="477" spans="4:7">
      <c r="D477" s="485">
        <v>41307</v>
      </c>
      <c r="E477" s="467" t="s">
        <v>197</v>
      </c>
      <c r="F477" s="486">
        <v>159</v>
      </c>
      <c r="G477" s="487">
        <v>4.2349537037037033E-2</v>
      </c>
    </row>
    <row r="478" spans="4:7">
      <c r="D478" s="485">
        <v>41326</v>
      </c>
      <c r="E478" s="467" t="s">
        <v>197</v>
      </c>
      <c r="F478" s="488" t="s">
        <v>155</v>
      </c>
      <c r="G478" s="487">
        <v>0</v>
      </c>
    </row>
    <row r="479" spans="4:7">
      <c r="D479" s="485">
        <v>41336</v>
      </c>
      <c r="E479" s="467" t="s">
        <v>636</v>
      </c>
      <c r="F479" s="488" t="s">
        <v>718</v>
      </c>
      <c r="G479" s="487">
        <v>1.1921296296296296E-3</v>
      </c>
    </row>
    <row r="480" spans="4:7">
      <c r="D480" s="485">
        <v>41336</v>
      </c>
      <c r="E480" s="467" t="s">
        <v>636</v>
      </c>
      <c r="F480" s="488" t="s">
        <v>155</v>
      </c>
      <c r="G480" s="487">
        <v>1.9027777777777779E-2</v>
      </c>
    </row>
    <row r="481" spans="4:7">
      <c r="D481" s="485">
        <v>41347</v>
      </c>
      <c r="E481" s="467" t="s">
        <v>197</v>
      </c>
      <c r="F481" s="488" t="s">
        <v>2035</v>
      </c>
      <c r="G481" s="487">
        <v>4.4201388888888887E-2</v>
      </c>
    </row>
    <row r="482" spans="4:7">
      <c r="D482" s="485">
        <v>41363</v>
      </c>
      <c r="E482" s="467" t="s">
        <v>636</v>
      </c>
      <c r="F482" s="486">
        <v>160</v>
      </c>
      <c r="G482" s="487">
        <v>1.4467592592592594E-3</v>
      </c>
    </row>
    <row r="483" spans="4:7">
      <c r="D483" s="485">
        <v>41363</v>
      </c>
      <c r="E483" s="467" t="s">
        <v>636</v>
      </c>
      <c r="F483" s="488" t="s">
        <v>716</v>
      </c>
      <c r="G483" s="487">
        <v>1.3773148148148147E-3</v>
      </c>
    </row>
    <row r="484" spans="4:7">
      <c r="D484" s="489">
        <v>41371</v>
      </c>
      <c r="E484" s="467" t="s">
        <v>2797</v>
      </c>
      <c r="F484" s="483">
        <v>0</v>
      </c>
      <c r="G484" s="490">
        <v>8.369212962962963E-2</v>
      </c>
    </row>
    <row r="485" spans="4:7">
      <c r="D485" s="485">
        <v>41376</v>
      </c>
      <c r="E485" s="467" t="s">
        <v>197</v>
      </c>
      <c r="F485" s="488" t="s">
        <v>514</v>
      </c>
      <c r="G485" s="487">
        <v>3.2986111111111111E-3</v>
      </c>
    </row>
    <row r="486" spans="4:7">
      <c r="D486" s="485">
        <v>41378</v>
      </c>
      <c r="E486" s="467" t="s">
        <v>197</v>
      </c>
      <c r="F486" s="486">
        <v>37</v>
      </c>
      <c r="G486" s="487">
        <v>4.0428240740740744E-2</v>
      </c>
    </row>
    <row r="487" spans="4:7">
      <c r="D487" s="485">
        <v>41391</v>
      </c>
      <c r="E487" s="467" t="s">
        <v>197</v>
      </c>
      <c r="F487" s="486">
        <v>0</v>
      </c>
      <c r="G487" s="487">
        <v>3.0879629629629632E-2</v>
      </c>
    </row>
    <row r="488" spans="4:7">
      <c r="D488" s="485">
        <v>41393</v>
      </c>
      <c r="E488" s="467" t="s">
        <v>197</v>
      </c>
      <c r="F488" s="488" t="s">
        <v>156</v>
      </c>
      <c r="G488" s="487">
        <v>1.0231481481481482E-2</v>
      </c>
    </row>
    <row r="489" spans="4:7">
      <c r="D489" s="485">
        <v>41423</v>
      </c>
      <c r="E489" s="467" t="s">
        <v>636</v>
      </c>
      <c r="F489" s="486">
        <v>161</v>
      </c>
      <c r="G489" s="487">
        <v>9.0277777777777784E-4</v>
      </c>
    </row>
    <row r="490" spans="4:7">
      <c r="D490" s="485">
        <v>41423</v>
      </c>
      <c r="E490" s="467" t="s">
        <v>636</v>
      </c>
      <c r="F490" s="488" t="s">
        <v>712</v>
      </c>
      <c r="G490" s="487">
        <v>1.2731481481481483E-3</v>
      </c>
    </row>
    <row r="491" spans="4:7">
      <c r="D491" s="485">
        <v>41443</v>
      </c>
      <c r="E491" s="467" t="s">
        <v>197</v>
      </c>
      <c r="F491" s="486">
        <v>101</v>
      </c>
      <c r="G491" s="487">
        <v>4.1666666666666664E-2</v>
      </c>
    </row>
    <row r="492" spans="4:7">
      <c r="D492" s="485">
        <v>41458</v>
      </c>
      <c r="E492" s="467" t="s">
        <v>197</v>
      </c>
      <c r="F492" s="486">
        <v>10</v>
      </c>
      <c r="G492" s="487">
        <v>4.8923611111111105E-2</v>
      </c>
    </row>
    <row r="493" spans="4:7">
      <c r="D493" s="485">
        <v>41474</v>
      </c>
      <c r="E493" s="467" t="s">
        <v>636</v>
      </c>
      <c r="F493" s="486">
        <v>162</v>
      </c>
      <c r="G493" s="487">
        <v>1.5856481481481479E-3</v>
      </c>
    </row>
    <row r="494" spans="4:7">
      <c r="D494" s="485">
        <v>41477</v>
      </c>
      <c r="E494" s="467" t="s">
        <v>197</v>
      </c>
      <c r="F494" s="486">
        <v>76</v>
      </c>
      <c r="G494" s="487">
        <v>3.2152777777777773E-2</v>
      </c>
    </row>
    <row r="495" spans="4:7">
      <c r="D495" s="485">
        <v>41518</v>
      </c>
      <c r="E495" s="467" t="s">
        <v>197</v>
      </c>
      <c r="F495" s="486">
        <v>163</v>
      </c>
      <c r="G495" s="487">
        <v>4.6006944444444448E-2</v>
      </c>
    </row>
    <row r="496" spans="4:7">
      <c r="D496" s="485">
        <v>41537</v>
      </c>
      <c r="E496" s="467" t="s">
        <v>416</v>
      </c>
      <c r="F496" s="486">
        <v>4</v>
      </c>
      <c r="G496" s="487">
        <v>1.6550925925925924E-2</v>
      </c>
    </row>
    <row r="497" spans="4:7">
      <c r="D497" s="485">
        <v>41541</v>
      </c>
      <c r="E497" s="467" t="s">
        <v>197</v>
      </c>
      <c r="F497" s="486">
        <v>99</v>
      </c>
      <c r="G497" s="487">
        <v>4.4444444444444446E-2</v>
      </c>
    </row>
    <row r="498" spans="4:7">
      <c r="D498" s="485">
        <v>41543</v>
      </c>
      <c r="E498" s="467" t="s">
        <v>636</v>
      </c>
      <c r="F498" s="486">
        <v>163</v>
      </c>
      <c r="G498" s="487">
        <v>2.0717592592592593E-3</v>
      </c>
    </row>
    <row r="499" spans="4:7">
      <c r="D499" s="485">
        <v>41543</v>
      </c>
      <c r="E499" s="467" t="s">
        <v>636</v>
      </c>
      <c r="F499" s="488" t="s">
        <v>709</v>
      </c>
      <c r="G499" s="487">
        <v>1.5393518518518519E-3</v>
      </c>
    </row>
    <row r="500" spans="4:7">
      <c r="D500" s="485">
        <v>41552</v>
      </c>
      <c r="E500" s="467" t="s">
        <v>197</v>
      </c>
      <c r="F500" s="486">
        <v>0</v>
      </c>
      <c r="G500" s="487">
        <v>3.7453703703703704E-2</v>
      </c>
    </row>
    <row r="501" spans="4:7">
      <c r="D501" s="485">
        <v>41576</v>
      </c>
      <c r="E501" s="467" t="s">
        <v>197</v>
      </c>
      <c r="F501" s="486">
        <v>164</v>
      </c>
      <c r="G501" s="487">
        <v>4.1539351851851855E-2</v>
      </c>
    </row>
    <row r="502" spans="4:7">
      <c r="D502" s="485">
        <v>41578</v>
      </c>
      <c r="E502" s="467" t="s">
        <v>636</v>
      </c>
      <c r="F502" s="486">
        <v>164</v>
      </c>
      <c r="G502" s="487">
        <v>2.5578703703703705E-3</v>
      </c>
    </row>
    <row r="503" spans="4:7">
      <c r="D503" s="485">
        <v>41578</v>
      </c>
      <c r="E503" s="467" t="s">
        <v>636</v>
      </c>
      <c r="F503" s="488" t="s">
        <v>110</v>
      </c>
      <c r="G503" s="487">
        <v>1.2268518518518518E-3</v>
      </c>
    </row>
    <row r="504" spans="4:7">
      <c r="D504" s="485">
        <v>41578</v>
      </c>
      <c r="E504" s="467" t="s">
        <v>636</v>
      </c>
      <c r="F504" s="488" t="s">
        <v>706</v>
      </c>
      <c r="G504" s="487">
        <v>1.0300925925925926E-3</v>
      </c>
    </row>
    <row r="505" spans="4:7">
      <c r="D505" s="485">
        <v>41578</v>
      </c>
      <c r="E505" s="467" t="s">
        <v>416</v>
      </c>
      <c r="F505" s="486">
        <v>162</v>
      </c>
      <c r="G505" s="487">
        <v>1.7569444444444447E-2</v>
      </c>
    </row>
    <row r="506" spans="4:7">
      <c r="D506" s="491">
        <v>41579</v>
      </c>
      <c r="E506" s="467" t="s">
        <v>198</v>
      </c>
      <c r="F506" s="486">
        <v>0</v>
      </c>
      <c r="G506" s="492">
        <v>1.7476851851851852E-3</v>
      </c>
    </row>
    <row r="507" spans="4:7">
      <c r="D507" s="485">
        <v>41594</v>
      </c>
      <c r="E507" s="467" t="s">
        <v>197</v>
      </c>
      <c r="F507" s="486">
        <v>0</v>
      </c>
      <c r="G507" s="487">
        <v>0</v>
      </c>
    </row>
    <row r="508" spans="4:7">
      <c r="D508" s="485">
        <v>41604</v>
      </c>
      <c r="E508" s="467" t="s">
        <v>197</v>
      </c>
      <c r="F508" s="486">
        <v>0</v>
      </c>
      <c r="G508" s="487">
        <v>0</v>
      </c>
    </row>
    <row r="509" spans="4:7">
      <c r="D509" s="485">
        <v>41604</v>
      </c>
      <c r="E509" s="467" t="s">
        <v>197</v>
      </c>
      <c r="F509" s="488" t="s">
        <v>2036</v>
      </c>
      <c r="G509" s="487">
        <v>2.2835648148148147E-2</v>
      </c>
    </row>
    <row r="510" spans="4:7">
      <c r="D510" s="485">
        <v>41607</v>
      </c>
      <c r="E510" s="467" t="s">
        <v>636</v>
      </c>
      <c r="F510" s="488" t="s">
        <v>155</v>
      </c>
      <c r="G510" s="487">
        <v>2.4988425925925928E-2</v>
      </c>
    </row>
    <row r="511" spans="4:7">
      <c r="D511" s="485">
        <v>41609</v>
      </c>
      <c r="E511" s="467" t="s">
        <v>197</v>
      </c>
      <c r="F511" s="486">
        <v>165</v>
      </c>
      <c r="G511" s="487">
        <v>4.1666666666666664E-2</v>
      </c>
    </row>
    <row r="512" spans="4:7">
      <c r="D512" s="485">
        <v>41612</v>
      </c>
      <c r="E512" s="467" t="s">
        <v>197</v>
      </c>
      <c r="F512" s="488" t="s">
        <v>2037</v>
      </c>
      <c r="G512" s="487">
        <v>1.0891203703703703E-2</v>
      </c>
    </row>
    <row r="513" spans="4:7">
      <c r="D513" s="485">
        <v>41615</v>
      </c>
      <c r="E513" s="467" t="s">
        <v>197</v>
      </c>
      <c r="F513" s="488" t="s">
        <v>110</v>
      </c>
      <c r="G513" s="487">
        <v>3.7442129629629624E-2</v>
      </c>
    </row>
    <row r="514" spans="4:7">
      <c r="D514" s="485">
        <v>41618</v>
      </c>
      <c r="E514" s="467" t="s">
        <v>197</v>
      </c>
      <c r="F514" s="488" t="s">
        <v>110</v>
      </c>
      <c r="G514" s="487">
        <v>2.8182870370370372E-2</v>
      </c>
    </row>
    <row r="515" spans="4:7">
      <c r="D515" s="485">
        <v>41624</v>
      </c>
      <c r="E515" s="467" t="s">
        <v>197</v>
      </c>
      <c r="F515" s="488" t="s">
        <v>110</v>
      </c>
      <c r="G515" s="487">
        <v>3.0775462962962966E-2</v>
      </c>
    </row>
    <row r="516" spans="4:7">
      <c r="D516" s="485">
        <v>41632</v>
      </c>
      <c r="E516" s="467" t="s">
        <v>197</v>
      </c>
      <c r="F516" s="486">
        <v>11</v>
      </c>
      <c r="G516" s="487">
        <v>3.6435185185185189E-2</v>
      </c>
    </row>
    <row r="517" spans="4:7">
      <c r="D517" s="485">
        <v>41636</v>
      </c>
      <c r="E517" s="467" t="s">
        <v>636</v>
      </c>
      <c r="F517" s="486">
        <v>165</v>
      </c>
      <c r="G517" s="487">
        <v>1.6203703703703703E-3</v>
      </c>
    </row>
    <row r="518" spans="4:7">
      <c r="D518" s="485">
        <v>41636</v>
      </c>
      <c r="E518" s="467" t="s">
        <v>636</v>
      </c>
      <c r="F518" s="488" t="s">
        <v>702</v>
      </c>
      <c r="G518" s="487">
        <v>2.0601851851851853E-3</v>
      </c>
    </row>
    <row r="519" spans="4:7">
      <c r="D519" s="485">
        <v>41636</v>
      </c>
      <c r="E519" s="467" t="s">
        <v>636</v>
      </c>
      <c r="F519" s="488" t="s">
        <v>701</v>
      </c>
      <c r="G519" s="487">
        <v>1.6435185185185183E-3</v>
      </c>
    </row>
    <row r="520" spans="4:7">
      <c r="D520" s="485">
        <v>41639</v>
      </c>
      <c r="E520" s="467" t="s">
        <v>636</v>
      </c>
      <c r="F520" s="486">
        <v>158</v>
      </c>
      <c r="G520" s="487">
        <v>1.6666666666666668E-3</v>
      </c>
    </row>
    <row r="521" spans="4:7">
      <c r="D521" s="485">
        <v>41639</v>
      </c>
      <c r="E521" s="467" t="s">
        <v>636</v>
      </c>
      <c r="F521" s="488" t="s">
        <v>722</v>
      </c>
      <c r="G521" s="487">
        <v>1.0416666666666667E-3</v>
      </c>
    </row>
    <row r="522" spans="4:7">
      <c r="D522" s="485">
        <v>41663</v>
      </c>
      <c r="E522" s="467" t="s">
        <v>416</v>
      </c>
      <c r="F522" s="486">
        <v>5</v>
      </c>
      <c r="G522" s="487">
        <v>1.7939814814814815E-2</v>
      </c>
    </row>
    <row r="523" spans="4:7">
      <c r="D523" s="485">
        <v>41671</v>
      </c>
      <c r="E523" s="467" t="s">
        <v>636</v>
      </c>
      <c r="F523" s="486">
        <v>166</v>
      </c>
      <c r="G523" s="487">
        <v>2.4074074074074076E-3</v>
      </c>
    </row>
    <row r="524" spans="4:7">
      <c r="D524" s="485">
        <v>41671</v>
      </c>
      <c r="E524" s="467" t="s">
        <v>636</v>
      </c>
      <c r="F524" s="488" t="s">
        <v>693</v>
      </c>
      <c r="G524" s="487">
        <v>1.4814814814814814E-3</v>
      </c>
    </row>
    <row r="525" spans="4:7">
      <c r="D525" s="491">
        <v>41676</v>
      </c>
      <c r="E525" s="467" t="s">
        <v>198</v>
      </c>
      <c r="F525" s="486">
        <v>0</v>
      </c>
      <c r="G525" s="492">
        <v>4.7280092592592589E-2</v>
      </c>
    </row>
    <row r="526" spans="4:7">
      <c r="D526" s="491">
        <v>41684</v>
      </c>
      <c r="E526" s="467" t="s">
        <v>198</v>
      </c>
      <c r="F526" s="486">
        <v>0</v>
      </c>
      <c r="G526" s="492">
        <v>4.7233796296296295E-2</v>
      </c>
    </row>
    <row r="527" spans="4:7">
      <c r="D527" s="485">
        <v>41691</v>
      </c>
      <c r="E527" s="467" t="s">
        <v>416</v>
      </c>
      <c r="F527" s="486">
        <v>163</v>
      </c>
      <c r="G527" s="487">
        <v>1.4513888888888889E-2</v>
      </c>
    </row>
    <row r="528" spans="4:7">
      <c r="D528" s="485">
        <v>41691</v>
      </c>
      <c r="E528" s="467" t="s">
        <v>416</v>
      </c>
      <c r="F528" s="486">
        <v>0</v>
      </c>
      <c r="G528" s="487">
        <v>1.2175925925925929E-2</v>
      </c>
    </row>
    <row r="529" spans="4:7">
      <c r="D529" s="485">
        <v>41705</v>
      </c>
      <c r="E529" s="467" t="s">
        <v>197</v>
      </c>
      <c r="F529" s="486">
        <v>24</v>
      </c>
      <c r="G529" s="487">
        <v>4.2777777777777776E-2</v>
      </c>
    </row>
    <row r="530" spans="4:7">
      <c r="D530" s="491">
        <v>41720</v>
      </c>
      <c r="E530" s="467" t="s">
        <v>198</v>
      </c>
      <c r="F530" s="486">
        <v>0</v>
      </c>
      <c r="G530" s="492">
        <v>5.0543981481481481E-2</v>
      </c>
    </row>
    <row r="531" spans="4:7">
      <c r="D531" s="485">
        <v>41725</v>
      </c>
      <c r="E531" s="467" t="s">
        <v>197</v>
      </c>
      <c r="F531" s="488" t="s">
        <v>155</v>
      </c>
      <c r="G531" s="487">
        <v>2.3715277777777776E-2</v>
      </c>
    </row>
    <row r="532" spans="4:7">
      <c r="D532" s="485">
        <v>41729</v>
      </c>
      <c r="E532" s="467" t="s">
        <v>636</v>
      </c>
      <c r="F532" s="486">
        <v>167</v>
      </c>
      <c r="G532" s="487">
        <v>2.1759259259259258E-3</v>
      </c>
    </row>
    <row r="533" spans="4:7">
      <c r="D533" s="485">
        <v>41729</v>
      </c>
      <c r="E533" s="467" t="s">
        <v>636</v>
      </c>
      <c r="F533" s="488" t="s">
        <v>691</v>
      </c>
      <c r="G533" s="487">
        <v>2.0949074074074073E-3</v>
      </c>
    </row>
    <row r="534" spans="4:7">
      <c r="D534" s="485">
        <v>41729</v>
      </c>
      <c r="E534" s="467" t="s">
        <v>636</v>
      </c>
      <c r="F534" s="488" t="s">
        <v>690</v>
      </c>
      <c r="G534" s="487">
        <v>2.1296296296296298E-3</v>
      </c>
    </row>
    <row r="535" spans="4:7">
      <c r="D535" s="491">
        <v>41731</v>
      </c>
      <c r="E535" s="467" t="s">
        <v>198</v>
      </c>
      <c r="F535" s="486">
        <v>154</v>
      </c>
      <c r="G535" s="490">
        <v>3.1250000000000028E-3</v>
      </c>
    </row>
    <row r="536" spans="4:7">
      <c r="D536" s="491">
        <v>41731</v>
      </c>
      <c r="E536" s="467" t="s">
        <v>198</v>
      </c>
      <c r="F536" s="486">
        <v>126</v>
      </c>
      <c r="G536" s="490">
        <v>5.5555555555555566E-3</v>
      </c>
    </row>
    <row r="537" spans="4:7">
      <c r="D537" s="491">
        <v>41731</v>
      </c>
      <c r="E537" s="467" t="s">
        <v>198</v>
      </c>
      <c r="F537" s="486">
        <v>140</v>
      </c>
      <c r="G537" s="490">
        <v>3.2407407407407385E-3</v>
      </c>
    </row>
    <row r="538" spans="4:7">
      <c r="D538" s="491">
        <v>41731</v>
      </c>
      <c r="E538" s="467" t="s">
        <v>198</v>
      </c>
      <c r="F538" s="486">
        <v>146</v>
      </c>
      <c r="G538" s="490">
        <v>1.6203703703703692E-3</v>
      </c>
    </row>
    <row r="539" spans="4:7">
      <c r="D539" s="491">
        <v>41731</v>
      </c>
      <c r="E539" s="467" t="s">
        <v>198</v>
      </c>
      <c r="F539" s="486">
        <v>157</v>
      </c>
      <c r="G539" s="490">
        <v>2.4884259259259287E-3</v>
      </c>
    </row>
    <row r="540" spans="4:7">
      <c r="D540" s="491">
        <v>41731</v>
      </c>
      <c r="E540" s="467" t="s">
        <v>198</v>
      </c>
      <c r="F540" s="486">
        <v>164</v>
      </c>
      <c r="G540" s="490">
        <v>6.0185185185185168E-3</v>
      </c>
    </row>
    <row r="541" spans="4:7">
      <c r="D541" s="491">
        <v>41731</v>
      </c>
      <c r="E541" s="467" t="s">
        <v>198</v>
      </c>
      <c r="F541" s="486">
        <v>155</v>
      </c>
      <c r="G541" s="490">
        <v>4.3402777777777762E-3</v>
      </c>
    </row>
    <row r="542" spans="4:7">
      <c r="D542" s="491">
        <v>41731</v>
      </c>
      <c r="E542" s="467" t="s">
        <v>198</v>
      </c>
      <c r="F542" s="488" t="s">
        <v>379</v>
      </c>
      <c r="G542" s="490">
        <v>5.3819444444444461E-3</v>
      </c>
    </row>
    <row r="543" spans="4:7">
      <c r="D543" s="491">
        <v>41731</v>
      </c>
      <c r="E543" s="467" t="s">
        <v>198</v>
      </c>
      <c r="F543" s="486">
        <v>107</v>
      </c>
      <c r="G543" s="490">
        <v>5.4976851851851853E-3</v>
      </c>
    </row>
    <row r="544" spans="4:7">
      <c r="D544" s="491">
        <v>41731</v>
      </c>
      <c r="E544" s="467" t="s">
        <v>198</v>
      </c>
      <c r="F544" s="486">
        <v>145</v>
      </c>
      <c r="G544" s="490">
        <v>5.1504629629629626E-3</v>
      </c>
    </row>
    <row r="545" spans="4:7">
      <c r="D545" s="491">
        <v>41731</v>
      </c>
      <c r="E545" s="467" t="s">
        <v>198</v>
      </c>
      <c r="F545" s="486">
        <v>165</v>
      </c>
      <c r="G545" s="490">
        <v>4.6874999999999998E-3</v>
      </c>
    </row>
    <row r="546" spans="4:7">
      <c r="D546" s="491">
        <v>41731</v>
      </c>
      <c r="E546" s="467" t="s">
        <v>198</v>
      </c>
      <c r="F546" s="488" t="s">
        <v>385</v>
      </c>
      <c r="G546" s="490">
        <v>3.3564814814814811E-3</v>
      </c>
    </row>
    <row r="547" spans="4:7">
      <c r="D547" s="491">
        <v>41745</v>
      </c>
      <c r="E547" s="467" t="s">
        <v>198</v>
      </c>
      <c r="F547" s="486">
        <v>129</v>
      </c>
      <c r="G547" s="490">
        <v>3.8194444444444517E-3</v>
      </c>
    </row>
    <row r="548" spans="4:7">
      <c r="D548" s="491">
        <v>41745</v>
      </c>
      <c r="E548" s="467" t="s">
        <v>198</v>
      </c>
      <c r="F548" s="486">
        <v>150</v>
      </c>
      <c r="G548" s="490">
        <v>3.1828703703703706E-3</v>
      </c>
    </row>
    <row r="549" spans="4:7">
      <c r="D549" s="491">
        <v>41745</v>
      </c>
      <c r="E549" s="467" t="s">
        <v>198</v>
      </c>
      <c r="F549" s="486">
        <v>53</v>
      </c>
      <c r="G549" s="490">
        <v>4.4560185185185189E-3</v>
      </c>
    </row>
    <row r="550" spans="4:7">
      <c r="D550" s="491">
        <v>41745</v>
      </c>
      <c r="E550" s="467" t="s">
        <v>198</v>
      </c>
      <c r="F550" s="488" t="s">
        <v>374</v>
      </c>
      <c r="G550" s="490">
        <v>8.7384259259259203E-3</v>
      </c>
    </row>
    <row r="551" spans="4:7">
      <c r="D551" s="491">
        <v>41745</v>
      </c>
      <c r="E551" s="467" t="s">
        <v>198</v>
      </c>
      <c r="F551" s="488" t="s">
        <v>11</v>
      </c>
      <c r="G551" s="490">
        <v>9.0856481481481483E-3</v>
      </c>
    </row>
    <row r="552" spans="4:7">
      <c r="D552" s="491">
        <v>41745</v>
      </c>
      <c r="E552" s="467" t="s">
        <v>198</v>
      </c>
      <c r="F552" s="486">
        <v>77</v>
      </c>
      <c r="G552" s="490">
        <v>5.0347222222222252E-3</v>
      </c>
    </row>
    <row r="553" spans="4:7">
      <c r="D553" s="491">
        <v>41745</v>
      </c>
      <c r="E553" s="467" t="s">
        <v>198</v>
      </c>
      <c r="F553" s="486">
        <v>131</v>
      </c>
      <c r="G553" s="490">
        <v>2.2569444444444468E-3</v>
      </c>
    </row>
    <row r="554" spans="4:7">
      <c r="D554" s="491">
        <v>41745</v>
      </c>
      <c r="E554" s="467" t="s">
        <v>198</v>
      </c>
      <c r="F554" s="488" t="s">
        <v>218</v>
      </c>
      <c r="G554" s="490">
        <v>4.6296296296296294E-3</v>
      </c>
    </row>
    <row r="555" spans="4:7">
      <c r="D555" s="491">
        <v>41745</v>
      </c>
      <c r="E555" s="467" t="s">
        <v>198</v>
      </c>
      <c r="F555" s="486">
        <v>123</v>
      </c>
      <c r="G555" s="490">
        <v>4.2824074074074014E-3</v>
      </c>
    </row>
    <row r="556" spans="4:7">
      <c r="D556" s="491">
        <v>41745</v>
      </c>
      <c r="E556" s="467" t="s">
        <v>198</v>
      </c>
      <c r="F556" s="486">
        <v>109</v>
      </c>
      <c r="G556" s="490">
        <v>5.3240740740740766E-3</v>
      </c>
    </row>
    <row r="557" spans="4:7">
      <c r="D557" s="491">
        <v>41745</v>
      </c>
      <c r="E557" s="467" t="s">
        <v>198</v>
      </c>
      <c r="F557" s="486">
        <v>121</v>
      </c>
      <c r="G557" s="490">
        <v>5.324074074074074E-3</v>
      </c>
    </row>
    <row r="558" spans="4:7">
      <c r="D558" s="491">
        <v>41745</v>
      </c>
      <c r="E558" s="467" t="s">
        <v>198</v>
      </c>
      <c r="F558" s="486">
        <v>28</v>
      </c>
      <c r="G558" s="490">
        <v>4.0509259259259266E-3</v>
      </c>
    </row>
    <row r="559" spans="4:7">
      <c r="D559" s="485">
        <v>41788</v>
      </c>
      <c r="E559" s="467" t="s">
        <v>636</v>
      </c>
      <c r="F559" s="486">
        <v>168</v>
      </c>
      <c r="G559" s="487">
        <v>3.9930555555555561E-3</v>
      </c>
    </row>
    <row r="560" spans="4:7">
      <c r="D560" s="485">
        <v>41788</v>
      </c>
      <c r="E560" s="467" t="s">
        <v>636</v>
      </c>
      <c r="F560" s="488" t="s">
        <v>684</v>
      </c>
      <c r="G560" s="487">
        <v>1.3078703703703705E-3</v>
      </c>
    </row>
    <row r="561" spans="4:7">
      <c r="D561" s="491">
        <v>41803</v>
      </c>
      <c r="E561" s="467" t="s">
        <v>198</v>
      </c>
      <c r="F561" s="486">
        <v>52</v>
      </c>
      <c r="G561" s="490">
        <v>3.3564814814814881E-3</v>
      </c>
    </row>
    <row r="562" spans="4:7">
      <c r="D562" s="491">
        <v>41803</v>
      </c>
      <c r="E562" s="467" t="s">
        <v>198</v>
      </c>
      <c r="F562" s="486">
        <v>92</v>
      </c>
      <c r="G562" s="490">
        <v>7.4652777777777651E-3</v>
      </c>
    </row>
    <row r="563" spans="4:7">
      <c r="D563" s="491">
        <v>41803</v>
      </c>
      <c r="E563" s="467" t="s">
        <v>198</v>
      </c>
      <c r="F563" s="486">
        <v>43</v>
      </c>
      <c r="G563" s="490">
        <v>5.9027777777777846E-3</v>
      </c>
    </row>
    <row r="564" spans="4:7">
      <c r="D564" s="491">
        <v>41803</v>
      </c>
      <c r="E564" s="467" t="s">
        <v>198</v>
      </c>
      <c r="F564" s="486">
        <v>82</v>
      </c>
      <c r="G564" s="490">
        <v>8.7962962962962951E-3</v>
      </c>
    </row>
    <row r="565" spans="4:7">
      <c r="D565" s="491">
        <v>41803</v>
      </c>
      <c r="E565" s="467" t="s">
        <v>198</v>
      </c>
      <c r="F565" s="486">
        <v>104</v>
      </c>
      <c r="G565" s="490">
        <v>6.0763888888888812E-3</v>
      </c>
    </row>
    <row r="566" spans="4:7">
      <c r="D566" s="491">
        <v>41803</v>
      </c>
      <c r="E566" s="467" t="s">
        <v>198</v>
      </c>
      <c r="F566" s="486">
        <v>108</v>
      </c>
      <c r="G566" s="490">
        <v>4.5138888888888937E-3</v>
      </c>
    </row>
    <row r="567" spans="4:7">
      <c r="D567" s="491">
        <v>41803</v>
      </c>
      <c r="E567" s="467" t="s">
        <v>198</v>
      </c>
      <c r="F567" s="486">
        <v>124</v>
      </c>
      <c r="G567" s="490">
        <v>5.2083333333333322E-3</v>
      </c>
    </row>
    <row r="568" spans="4:7">
      <c r="D568" s="491">
        <v>41803</v>
      </c>
      <c r="E568" s="467" t="s">
        <v>198</v>
      </c>
      <c r="F568" s="486">
        <v>44</v>
      </c>
      <c r="G568" s="490">
        <v>7.9282407407407426E-3</v>
      </c>
    </row>
    <row r="569" spans="4:7">
      <c r="D569" s="491">
        <v>41803</v>
      </c>
      <c r="E569" s="467" t="s">
        <v>198</v>
      </c>
      <c r="F569" s="486">
        <v>137</v>
      </c>
      <c r="G569" s="490">
        <v>4.918981481481479E-3</v>
      </c>
    </row>
    <row r="570" spans="4:7">
      <c r="D570" s="491">
        <v>41803</v>
      </c>
      <c r="E570" s="467" t="s">
        <v>198</v>
      </c>
      <c r="F570" s="486">
        <v>9</v>
      </c>
      <c r="G570" s="490">
        <v>3.5879629629629629E-3</v>
      </c>
    </row>
    <row r="571" spans="4:7">
      <c r="D571" s="491">
        <v>41803</v>
      </c>
      <c r="E571" s="467" t="s">
        <v>198</v>
      </c>
      <c r="F571" s="486">
        <v>40</v>
      </c>
      <c r="G571" s="490">
        <v>2.8935185185185201E-3</v>
      </c>
    </row>
    <row r="572" spans="4:7">
      <c r="D572" s="491">
        <v>41803</v>
      </c>
      <c r="E572" s="467" t="s">
        <v>198</v>
      </c>
      <c r="F572" s="486">
        <v>110</v>
      </c>
      <c r="G572" s="490">
        <v>5.6712962962962949E-3</v>
      </c>
    </row>
    <row r="573" spans="4:7">
      <c r="D573" s="491">
        <v>41811</v>
      </c>
      <c r="E573" s="467" t="s">
        <v>198</v>
      </c>
      <c r="F573" s="486">
        <v>38</v>
      </c>
      <c r="G573" s="490">
        <v>4.3981481481481484E-3</v>
      </c>
    </row>
    <row r="574" spans="4:7">
      <c r="D574" s="491">
        <v>41811</v>
      </c>
      <c r="E574" s="467" t="s">
        <v>198</v>
      </c>
      <c r="F574" s="486">
        <v>81</v>
      </c>
      <c r="G574" s="490">
        <v>4.5717592592592615E-3</v>
      </c>
    </row>
    <row r="575" spans="4:7">
      <c r="D575" s="491">
        <v>41811</v>
      </c>
      <c r="E575" s="467" t="s">
        <v>198</v>
      </c>
      <c r="F575" s="486">
        <v>162</v>
      </c>
      <c r="G575" s="490">
        <v>4.0509259259259231E-3</v>
      </c>
    </row>
    <row r="576" spans="4:7">
      <c r="D576" s="491">
        <v>41811</v>
      </c>
      <c r="E576" s="467" t="s">
        <v>198</v>
      </c>
      <c r="F576" s="486">
        <v>89</v>
      </c>
      <c r="G576" s="490">
        <v>4.5138888888888937E-3</v>
      </c>
    </row>
    <row r="577" spans="4:7">
      <c r="D577" s="491">
        <v>41811</v>
      </c>
      <c r="E577" s="467" t="s">
        <v>198</v>
      </c>
      <c r="F577" s="486">
        <v>5</v>
      </c>
      <c r="G577" s="490">
        <v>4.5138888888888867E-3</v>
      </c>
    </row>
    <row r="578" spans="4:7">
      <c r="D578" s="491">
        <v>41811</v>
      </c>
      <c r="E578" s="467" t="s">
        <v>198</v>
      </c>
      <c r="F578" s="486">
        <v>138</v>
      </c>
      <c r="G578" s="490">
        <v>5.0925925925925895E-3</v>
      </c>
    </row>
    <row r="579" spans="4:7">
      <c r="D579" s="491">
        <v>41811</v>
      </c>
      <c r="E579" s="467" t="s">
        <v>198</v>
      </c>
      <c r="F579" s="486">
        <v>50</v>
      </c>
      <c r="G579" s="490">
        <v>3.703703703703709E-3</v>
      </c>
    </row>
    <row r="580" spans="4:7">
      <c r="D580" s="491">
        <v>41811</v>
      </c>
      <c r="E580" s="467" t="s">
        <v>198</v>
      </c>
      <c r="F580" s="486">
        <v>55</v>
      </c>
      <c r="G580" s="490">
        <v>4.2824074074074084E-3</v>
      </c>
    </row>
    <row r="581" spans="4:7">
      <c r="D581" s="491">
        <v>41811</v>
      </c>
      <c r="E581" s="467" t="s">
        <v>198</v>
      </c>
      <c r="F581" s="486">
        <v>125</v>
      </c>
      <c r="G581" s="490">
        <v>5.9027777777777742E-3</v>
      </c>
    </row>
    <row r="582" spans="4:7">
      <c r="D582" s="491">
        <v>41811</v>
      </c>
      <c r="E582" s="467" t="s">
        <v>198</v>
      </c>
      <c r="F582" s="486">
        <v>112</v>
      </c>
      <c r="G582" s="490">
        <v>4.340277777777778E-3</v>
      </c>
    </row>
    <row r="583" spans="4:7">
      <c r="D583" s="491">
        <v>41811</v>
      </c>
      <c r="E583" s="467" t="s">
        <v>198</v>
      </c>
      <c r="F583" s="488" t="s">
        <v>110</v>
      </c>
      <c r="G583" s="490">
        <v>4.2824074074074075E-3</v>
      </c>
    </row>
    <row r="584" spans="4:7">
      <c r="D584" s="491">
        <v>41811</v>
      </c>
      <c r="E584" s="467" t="s">
        <v>198</v>
      </c>
      <c r="F584" s="488" t="s">
        <v>373</v>
      </c>
      <c r="G584" s="490">
        <v>6.0185185185185185E-3</v>
      </c>
    </row>
    <row r="585" spans="4:7">
      <c r="D585" s="485">
        <v>41816</v>
      </c>
      <c r="E585" s="467" t="s">
        <v>197</v>
      </c>
      <c r="F585" s="486">
        <v>0</v>
      </c>
      <c r="G585" s="487">
        <v>9.2476851851851852E-3</v>
      </c>
    </row>
    <row r="586" spans="4:7">
      <c r="D586" s="491">
        <v>41839</v>
      </c>
      <c r="E586" s="467" t="s">
        <v>198</v>
      </c>
      <c r="F586" s="486">
        <v>42</v>
      </c>
      <c r="G586" s="490">
        <v>4.2245370370370371E-3</v>
      </c>
    </row>
    <row r="587" spans="4:7">
      <c r="D587" s="491">
        <v>41839</v>
      </c>
      <c r="E587" s="467" t="s">
        <v>198</v>
      </c>
      <c r="F587" s="486">
        <v>13</v>
      </c>
      <c r="G587" s="490">
        <v>3.8773148148148195E-3</v>
      </c>
    </row>
    <row r="588" spans="4:7">
      <c r="D588" s="491">
        <v>41839</v>
      </c>
      <c r="E588" s="467" t="s">
        <v>198</v>
      </c>
      <c r="F588" s="486">
        <v>94</v>
      </c>
      <c r="G588" s="490">
        <v>4.5138888888888867E-3</v>
      </c>
    </row>
    <row r="589" spans="4:7">
      <c r="D589" s="491">
        <v>41839</v>
      </c>
      <c r="E589" s="467" t="s">
        <v>198</v>
      </c>
      <c r="F589" s="486">
        <v>65</v>
      </c>
      <c r="G589" s="490">
        <v>4.2824074074074014E-3</v>
      </c>
    </row>
    <row r="590" spans="4:7">
      <c r="D590" s="491">
        <v>41839</v>
      </c>
      <c r="E590" s="467" t="s">
        <v>198</v>
      </c>
      <c r="F590" s="486">
        <v>90</v>
      </c>
      <c r="G590" s="490">
        <v>4.2824074074074153E-3</v>
      </c>
    </row>
    <row r="591" spans="4:7">
      <c r="D591" s="491">
        <v>41839</v>
      </c>
      <c r="E591" s="467" t="s">
        <v>198</v>
      </c>
      <c r="F591" s="486">
        <v>4</v>
      </c>
      <c r="G591" s="490">
        <v>5.2083333333333287E-3</v>
      </c>
    </row>
    <row r="592" spans="4:7">
      <c r="D592" s="491">
        <v>41839</v>
      </c>
      <c r="E592" s="467" t="s">
        <v>198</v>
      </c>
      <c r="F592" s="486">
        <v>60</v>
      </c>
      <c r="G592" s="490">
        <v>4.1087962962962979E-3</v>
      </c>
    </row>
    <row r="593" spans="4:7">
      <c r="D593" s="491">
        <v>41839</v>
      </c>
      <c r="E593" s="467" t="s">
        <v>198</v>
      </c>
      <c r="F593" s="486">
        <v>39</v>
      </c>
      <c r="G593" s="490">
        <v>4.2824074074074049E-3</v>
      </c>
    </row>
    <row r="594" spans="4:7">
      <c r="D594" s="491">
        <v>41839</v>
      </c>
      <c r="E594" s="467" t="s">
        <v>198</v>
      </c>
      <c r="F594" s="486">
        <v>72</v>
      </c>
      <c r="G594" s="490">
        <v>5.5555555555555601E-3</v>
      </c>
    </row>
    <row r="595" spans="4:7">
      <c r="D595" s="491">
        <v>41839</v>
      </c>
      <c r="E595" s="467" t="s">
        <v>198</v>
      </c>
      <c r="F595" s="486">
        <v>20</v>
      </c>
      <c r="G595" s="490">
        <v>3.7615740740740717E-3</v>
      </c>
    </row>
    <row r="596" spans="4:7">
      <c r="D596" s="491">
        <v>41839</v>
      </c>
      <c r="E596" s="467" t="s">
        <v>198</v>
      </c>
      <c r="F596" s="486">
        <v>106</v>
      </c>
      <c r="G596" s="490">
        <v>6.1342592592592603E-3</v>
      </c>
    </row>
    <row r="597" spans="4:7">
      <c r="D597" s="491">
        <v>41839</v>
      </c>
      <c r="E597" s="467" t="s">
        <v>198</v>
      </c>
      <c r="F597" s="486">
        <v>69</v>
      </c>
      <c r="G597" s="490">
        <v>7.0023148148148145E-3</v>
      </c>
    </row>
    <row r="598" spans="4:7">
      <c r="D598" s="485">
        <v>41849</v>
      </c>
      <c r="E598" s="467" t="s">
        <v>636</v>
      </c>
      <c r="F598" s="486">
        <v>169</v>
      </c>
      <c r="G598" s="487">
        <v>9.7222222222222209E-4</v>
      </c>
    </row>
    <row r="599" spans="4:7">
      <c r="D599" s="485">
        <v>41852</v>
      </c>
      <c r="E599" s="467" t="s">
        <v>416</v>
      </c>
      <c r="F599" s="486">
        <v>0</v>
      </c>
      <c r="G599" s="487">
        <v>1.1226851851851854E-2</v>
      </c>
    </row>
    <row r="600" spans="4:7">
      <c r="D600" s="485">
        <v>41852</v>
      </c>
      <c r="E600" s="467" t="s">
        <v>416</v>
      </c>
      <c r="F600" s="486">
        <v>164</v>
      </c>
      <c r="G600" s="487">
        <v>1.8680555555555554E-2</v>
      </c>
    </row>
    <row r="601" spans="4:7">
      <c r="D601" s="485">
        <v>41896</v>
      </c>
      <c r="E601" s="467" t="s">
        <v>197</v>
      </c>
      <c r="F601" s="486">
        <v>11</v>
      </c>
      <c r="G601" s="487">
        <v>3.532407407407407E-2</v>
      </c>
    </row>
    <row r="602" spans="4:7">
      <c r="D602" s="491">
        <v>41896</v>
      </c>
      <c r="E602" s="467" t="s">
        <v>198</v>
      </c>
      <c r="F602" s="486">
        <v>31</v>
      </c>
      <c r="G602" s="490">
        <v>4.1666666666666796E-3</v>
      </c>
    </row>
    <row r="603" spans="4:7">
      <c r="D603" s="491">
        <v>41896</v>
      </c>
      <c r="E603" s="467" t="s">
        <v>198</v>
      </c>
      <c r="F603" s="486">
        <v>58</v>
      </c>
      <c r="G603" s="490">
        <v>4.05092592592593E-3</v>
      </c>
    </row>
    <row r="604" spans="4:7">
      <c r="D604" s="491">
        <v>41896</v>
      </c>
      <c r="E604" s="467" t="s">
        <v>198</v>
      </c>
      <c r="F604" s="486">
        <v>16</v>
      </c>
      <c r="G604" s="490">
        <v>6.9444444444444337E-3</v>
      </c>
    </row>
    <row r="605" spans="4:7">
      <c r="D605" s="491">
        <v>41896</v>
      </c>
      <c r="E605" s="467" t="s">
        <v>198</v>
      </c>
      <c r="F605" s="486">
        <v>148</v>
      </c>
      <c r="G605" s="490">
        <v>6.8287037037037049E-3</v>
      </c>
    </row>
    <row r="606" spans="4:7">
      <c r="D606" s="491">
        <v>41896</v>
      </c>
      <c r="E606" s="467" t="s">
        <v>198</v>
      </c>
      <c r="F606" s="486">
        <v>46</v>
      </c>
      <c r="G606" s="490">
        <v>6.0763888888888881E-3</v>
      </c>
    </row>
    <row r="607" spans="4:7">
      <c r="D607" s="491">
        <v>41896</v>
      </c>
      <c r="E607" s="467" t="s">
        <v>198</v>
      </c>
      <c r="F607" s="486">
        <v>29</v>
      </c>
      <c r="G607" s="490">
        <v>6.0185185185185272E-3</v>
      </c>
    </row>
    <row r="608" spans="4:7">
      <c r="D608" s="491">
        <v>41896</v>
      </c>
      <c r="E608" s="467" t="s">
        <v>198</v>
      </c>
      <c r="F608" s="486">
        <v>68</v>
      </c>
      <c r="G608" s="490">
        <v>4.3402777777777762E-3</v>
      </c>
    </row>
    <row r="609" spans="4:7">
      <c r="D609" s="491">
        <v>41896</v>
      </c>
      <c r="E609" s="467" t="s">
        <v>198</v>
      </c>
      <c r="F609" s="486">
        <v>80</v>
      </c>
      <c r="G609" s="490">
        <v>7.291666666666665E-3</v>
      </c>
    </row>
    <row r="610" spans="4:7">
      <c r="D610" s="491">
        <v>41896</v>
      </c>
      <c r="E610" s="467" t="s">
        <v>198</v>
      </c>
      <c r="F610" s="486">
        <v>103</v>
      </c>
      <c r="G610" s="490">
        <v>6.5393518518518483E-3</v>
      </c>
    </row>
    <row r="611" spans="4:7">
      <c r="D611" s="491">
        <v>41896</v>
      </c>
      <c r="E611" s="467" t="s">
        <v>198</v>
      </c>
      <c r="F611" s="486">
        <v>22</v>
      </c>
      <c r="G611" s="490">
        <v>6.1342592592592577E-3</v>
      </c>
    </row>
    <row r="612" spans="4:7">
      <c r="D612" s="491">
        <v>41896</v>
      </c>
      <c r="E612" s="467" t="s">
        <v>198</v>
      </c>
      <c r="F612" s="486">
        <v>113</v>
      </c>
      <c r="G612" s="490">
        <v>5.7870370370370393E-3</v>
      </c>
    </row>
    <row r="613" spans="4:7">
      <c r="D613" s="491">
        <v>41896</v>
      </c>
      <c r="E613" s="467" t="s">
        <v>198</v>
      </c>
      <c r="F613" s="486">
        <v>30</v>
      </c>
      <c r="G613" s="490">
        <v>5.4976851851851853E-3</v>
      </c>
    </row>
    <row r="614" spans="4:7">
      <c r="D614" s="485">
        <v>41913</v>
      </c>
      <c r="E614" s="467" t="s">
        <v>636</v>
      </c>
      <c r="F614" s="486">
        <v>170</v>
      </c>
      <c r="G614" s="487">
        <v>1.8865740740740742E-3</v>
      </c>
    </row>
    <row r="615" spans="4:7">
      <c r="D615" s="485">
        <v>41913</v>
      </c>
      <c r="E615" s="467" t="s">
        <v>636</v>
      </c>
      <c r="F615" s="488" t="s">
        <v>681</v>
      </c>
      <c r="G615" s="487">
        <v>2.2106481481481478E-3</v>
      </c>
    </row>
    <row r="616" spans="4:7">
      <c r="D616" s="491">
        <v>41917</v>
      </c>
      <c r="E616" s="467" t="s">
        <v>198</v>
      </c>
      <c r="F616" s="486">
        <v>88</v>
      </c>
      <c r="G616" s="490">
        <v>7.6388888888889034E-3</v>
      </c>
    </row>
    <row r="617" spans="4:7">
      <c r="D617" s="491">
        <v>41917</v>
      </c>
      <c r="E617" s="467" t="s">
        <v>198</v>
      </c>
      <c r="F617" s="486">
        <v>51</v>
      </c>
      <c r="G617" s="490">
        <v>5.9027777777777707E-3</v>
      </c>
    </row>
    <row r="618" spans="4:7">
      <c r="D618" s="491">
        <v>41917</v>
      </c>
      <c r="E618" s="467" t="s">
        <v>198</v>
      </c>
      <c r="F618" s="486">
        <v>122</v>
      </c>
      <c r="G618" s="490">
        <v>5.6712962962962923E-3</v>
      </c>
    </row>
    <row r="619" spans="4:7">
      <c r="D619" s="491">
        <v>41917</v>
      </c>
      <c r="E619" s="467" t="s">
        <v>198</v>
      </c>
      <c r="F619" s="486">
        <v>78</v>
      </c>
      <c r="G619" s="490">
        <v>7.118055555555558E-3</v>
      </c>
    </row>
    <row r="620" spans="4:7">
      <c r="D620" s="491">
        <v>41917</v>
      </c>
      <c r="E620" s="467" t="s">
        <v>198</v>
      </c>
      <c r="F620" s="486">
        <v>101</v>
      </c>
      <c r="G620" s="490">
        <v>6.8287037037036979E-3</v>
      </c>
    </row>
    <row r="621" spans="4:7">
      <c r="D621" s="491">
        <v>41917</v>
      </c>
      <c r="E621" s="467" t="s">
        <v>198</v>
      </c>
      <c r="F621" s="486">
        <v>34</v>
      </c>
      <c r="G621" s="490">
        <v>5.0347222222222252E-3</v>
      </c>
    </row>
    <row r="622" spans="4:7">
      <c r="D622" s="491">
        <v>41917</v>
      </c>
      <c r="E622" s="467" t="s">
        <v>198</v>
      </c>
      <c r="F622" s="488" t="s">
        <v>371</v>
      </c>
      <c r="G622" s="490">
        <v>8.8541666666666664E-3</v>
      </c>
    </row>
    <row r="623" spans="4:7">
      <c r="D623" s="491">
        <v>41917</v>
      </c>
      <c r="E623" s="467" t="s">
        <v>198</v>
      </c>
      <c r="F623" s="486">
        <v>66</v>
      </c>
      <c r="G623" s="490">
        <v>5.8449074074074063E-3</v>
      </c>
    </row>
    <row r="624" spans="4:7">
      <c r="D624" s="491">
        <v>41917</v>
      </c>
      <c r="E624" s="467" t="s">
        <v>198</v>
      </c>
      <c r="F624" s="486">
        <v>6</v>
      </c>
      <c r="G624" s="490">
        <v>6.7129629629629657E-3</v>
      </c>
    </row>
    <row r="625" spans="4:7">
      <c r="D625" s="491">
        <v>41917</v>
      </c>
      <c r="E625" s="467" t="s">
        <v>198</v>
      </c>
      <c r="F625" s="486">
        <v>93</v>
      </c>
      <c r="G625" s="490">
        <v>5.5555555555555532E-3</v>
      </c>
    </row>
    <row r="626" spans="4:7">
      <c r="D626" s="491">
        <v>41917</v>
      </c>
      <c r="E626" s="467" t="s">
        <v>198</v>
      </c>
      <c r="F626" s="486">
        <v>75</v>
      </c>
      <c r="G626" s="490">
        <v>5.2662037037037044E-3</v>
      </c>
    </row>
    <row r="627" spans="4:7">
      <c r="D627" s="491">
        <v>41917</v>
      </c>
      <c r="E627" s="467" t="s">
        <v>198</v>
      </c>
      <c r="F627" s="486">
        <v>59</v>
      </c>
      <c r="G627" s="490">
        <v>6.0763888888888899E-3</v>
      </c>
    </row>
    <row r="628" spans="4:7">
      <c r="D628" s="491">
        <v>41936</v>
      </c>
      <c r="E628" s="467" t="s">
        <v>198</v>
      </c>
      <c r="F628" s="486">
        <v>86</v>
      </c>
      <c r="G628" s="490">
        <v>5.2083333333333287E-3</v>
      </c>
    </row>
    <row r="629" spans="4:7">
      <c r="D629" s="491">
        <v>41936</v>
      </c>
      <c r="E629" s="467" t="s">
        <v>198</v>
      </c>
      <c r="F629" s="486">
        <v>1</v>
      </c>
      <c r="G629" s="490">
        <v>5.4976851851852027E-3</v>
      </c>
    </row>
    <row r="630" spans="4:7">
      <c r="D630" s="491">
        <v>41936</v>
      </c>
      <c r="E630" s="467" t="s">
        <v>198</v>
      </c>
      <c r="F630" s="486">
        <v>36</v>
      </c>
      <c r="G630" s="490">
        <v>4.8611111111111008E-3</v>
      </c>
    </row>
    <row r="631" spans="4:7">
      <c r="D631" s="491">
        <v>41936</v>
      </c>
      <c r="E631" s="467" t="s">
        <v>198</v>
      </c>
      <c r="F631" s="486">
        <v>11</v>
      </c>
      <c r="G631" s="490">
        <v>5.1504629629629609E-3</v>
      </c>
    </row>
    <row r="632" spans="4:7">
      <c r="D632" s="491">
        <v>41936</v>
      </c>
      <c r="E632" s="467" t="s">
        <v>198</v>
      </c>
      <c r="F632" s="486">
        <v>27</v>
      </c>
      <c r="G632" s="490">
        <v>3.4722222222222307E-3</v>
      </c>
    </row>
    <row r="633" spans="4:7">
      <c r="D633" s="491">
        <v>41936</v>
      </c>
      <c r="E633" s="467" t="s">
        <v>198</v>
      </c>
      <c r="F633" s="486">
        <v>33</v>
      </c>
      <c r="G633" s="490">
        <v>5.092592592592593E-3</v>
      </c>
    </row>
    <row r="634" spans="4:7">
      <c r="D634" s="491">
        <v>41936</v>
      </c>
      <c r="E634" s="467" t="s">
        <v>198</v>
      </c>
      <c r="F634" s="486">
        <v>14</v>
      </c>
      <c r="G634" s="490">
        <v>7.5810185185185147E-3</v>
      </c>
    </row>
    <row r="635" spans="4:7">
      <c r="D635" s="491">
        <v>41936</v>
      </c>
      <c r="E635" s="467" t="s">
        <v>198</v>
      </c>
      <c r="F635" s="486">
        <v>96</v>
      </c>
      <c r="G635" s="490">
        <v>5.1504629629629609E-3</v>
      </c>
    </row>
    <row r="636" spans="4:7">
      <c r="D636" s="491">
        <v>41936</v>
      </c>
      <c r="E636" s="467" t="s">
        <v>198</v>
      </c>
      <c r="F636" s="486">
        <v>29</v>
      </c>
      <c r="G636" s="490">
        <v>6.7708333333333336E-3</v>
      </c>
    </row>
    <row r="637" spans="4:7">
      <c r="D637" s="491">
        <v>41936</v>
      </c>
      <c r="E637" s="467" t="s">
        <v>198</v>
      </c>
      <c r="F637" s="486">
        <v>79</v>
      </c>
      <c r="G637" s="490">
        <v>8.9120370370370378E-3</v>
      </c>
    </row>
    <row r="638" spans="4:7">
      <c r="D638" s="491">
        <v>41936</v>
      </c>
      <c r="E638" s="467" t="s">
        <v>198</v>
      </c>
      <c r="F638" s="486">
        <v>83</v>
      </c>
      <c r="G638" s="490">
        <v>6.8865740740740745E-3</v>
      </c>
    </row>
    <row r="639" spans="4:7">
      <c r="D639" s="491">
        <v>41936</v>
      </c>
      <c r="E639" s="467" t="s">
        <v>198</v>
      </c>
      <c r="F639" s="486">
        <v>87</v>
      </c>
      <c r="G639" s="490">
        <v>7.5231481481481469E-3</v>
      </c>
    </row>
    <row r="640" spans="4:7">
      <c r="D640" s="485">
        <v>41945</v>
      </c>
      <c r="E640" s="467" t="s">
        <v>636</v>
      </c>
      <c r="F640" s="486">
        <v>171</v>
      </c>
      <c r="G640" s="487">
        <v>1.5277777777777779E-3</v>
      </c>
    </row>
    <row r="641" spans="4:7">
      <c r="D641" s="485">
        <v>41945</v>
      </c>
      <c r="E641" s="467" t="s">
        <v>636</v>
      </c>
      <c r="F641" s="488" t="s">
        <v>155</v>
      </c>
      <c r="G641" s="487">
        <v>4.8379629629629632E-3</v>
      </c>
    </row>
    <row r="642" spans="4:7">
      <c r="D642" s="491">
        <v>41959</v>
      </c>
      <c r="E642" s="467" t="s">
        <v>198</v>
      </c>
      <c r="F642" s="486">
        <v>91</v>
      </c>
      <c r="G642" s="487">
        <v>1.0243055555555556E-2</v>
      </c>
    </row>
    <row r="643" spans="4:7">
      <c r="D643" s="491">
        <v>41959</v>
      </c>
      <c r="E643" s="467" t="s">
        <v>198</v>
      </c>
      <c r="F643" s="486">
        <v>19</v>
      </c>
      <c r="G643" s="487">
        <v>5.5555555555555558E-3</v>
      </c>
    </row>
    <row r="644" spans="4:7">
      <c r="D644" s="491">
        <v>41959</v>
      </c>
      <c r="E644" s="467" t="s">
        <v>198</v>
      </c>
      <c r="F644" s="486">
        <v>84</v>
      </c>
      <c r="G644" s="487">
        <v>9.2592592592592605E-3</v>
      </c>
    </row>
    <row r="645" spans="4:7">
      <c r="D645" s="491">
        <v>41959</v>
      </c>
      <c r="E645" s="467" t="s">
        <v>198</v>
      </c>
      <c r="F645" s="486">
        <v>48</v>
      </c>
      <c r="G645" s="487">
        <v>9.0277777777777787E-3</v>
      </c>
    </row>
    <row r="646" spans="4:7">
      <c r="D646" s="491">
        <v>41959</v>
      </c>
      <c r="E646" s="467" t="s">
        <v>198</v>
      </c>
      <c r="F646" s="486">
        <v>71</v>
      </c>
      <c r="G646" s="487">
        <v>6.4814814814814813E-3</v>
      </c>
    </row>
    <row r="647" spans="4:7">
      <c r="D647" s="491">
        <v>41959</v>
      </c>
      <c r="E647" s="467" t="s">
        <v>198</v>
      </c>
      <c r="F647" s="486">
        <v>57</v>
      </c>
      <c r="G647" s="487">
        <v>7.5810185185185182E-3</v>
      </c>
    </row>
    <row r="648" spans="4:7">
      <c r="D648" s="491">
        <v>41959</v>
      </c>
      <c r="E648" s="467" t="s">
        <v>198</v>
      </c>
      <c r="F648" s="486">
        <v>136</v>
      </c>
      <c r="G648" s="487">
        <v>6.076388888888889E-3</v>
      </c>
    </row>
    <row r="649" spans="4:7">
      <c r="D649" s="491">
        <v>41959</v>
      </c>
      <c r="E649" s="467" t="s">
        <v>198</v>
      </c>
      <c r="F649" s="486">
        <v>70</v>
      </c>
      <c r="G649" s="487">
        <v>6.6550925925925935E-3</v>
      </c>
    </row>
    <row r="650" spans="4:7">
      <c r="D650" s="485">
        <v>41978</v>
      </c>
      <c r="E650" s="467" t="s">
        <v>416</v>
      </c>
      <c r="F650" s="486">
        <v>6</v>
      </c>
      <c r="G650" s="487">
        <v>1.3935185185185184E-2</v>
      </c>
    </row>
    <row r="651" spans="4:7">
      <c r="D651" s="491">
        <v>41980</v>
      </c>
      <c r="E651" s="467" t="s">
        <v>198</v>
      </c>
      <c r="F651" s="486">
        <v>49</v>
      </c>
      <c r="G651" s="487">
        <v>5.9027777777777776E-3</v>
      </c>
    </row>
    <row r="652" spans="4:7">
      <c r="D652" s="491">
        <v>41980</v>
      </c>
      <c r="E652" s="467" t="s">
        <v>198</v>
      </c>
      <c r="F652" s="486">
        <v>24</v>
      </c>
      <c r="G652" s="487">
        <v>1.0532407407407407E-2</v>
      </c>
    </row>
    <row r="653" spans="4:7">
      <c r="D653" s="491">
        <v>41980</v>
      </c>
      <c r="E653" s="467" t="s">
        <v>198</v>
      </c>
      <c r="F653" s="486">
        <v>98</v>
      </c>
      <c r="G653" s="487">
        <v>8.2754629629629619E-3</v>
      </c>
    </row>
    <row r="654" spans="4:7">
      <c r="D654" s="491">
        <v>41980</v>
      </c>
      <c r="E654" s="467" t="s">
        <v>198</v>
      </c>
      <c r="F654" s="486">
        <v>119</v>
      </c>
      <c r="G654" s="487">
        <v>7.5810185185185182E-3</v>
      </c>
    </row>
    <row r="655" spans="4:7">
      <c r="D655" s="491">
        <v>41980</v>
      </c>
      <c r="E655" s="467" t="s">
        <v>198</v>
      </c>
      <c r="F655" s="486">
        <v>12</v>
      </c>
      <c r="G655" s="487">
        <v>7.4074074074074068E-3</v>
      </c>
    </row>
    <row r="656" spans="4:7">
      <c r="D656" s="491">
        <v>41980</v>
      </c>
      <c r="E656" s="467" t="s">
        <v>198</v>
      </c>
      <c r="F656" s="486">
        <v>23</v>
      </c>
      <c r="G656" s="487">
        <v>8.2754629629629619E-3</v>
      </c>
    </row>
    <row r="657" spans="4:7">
      <c r="D657" s="491">
        <v>41980</v>
      </c>
      <c r="E657" s="467" t="s">
        <v>198</v>
      </c>
      <c r="F657" s="486">
        <v>10</v>
      </c>
      <c r="G657" s="487">
        <v>6.6550925925925935E-3</v>
      </c>
    </row>
    <row r="658" spans="4:7">
      <c r="D658" s="491">
        <v>41980</v>
      </c>
      <c r="E658" s="467" t="s">
        <v>198</v>
      </c>
      <c r="F658" s="486">
        <v>64</v>
      </c>
      <c r="G658" s="487">
        <v>7.9282407407407409E-3</v>
      </c>
    </row>
    <row r="659" spans="4:7">
      <c r="D659" s="485">
        <v>41994</v>
      </c>
      <c r="E659" s="467" t="s">
        <v>636</v>
      </c>
      <c r="F659" s="486">
        <v>172</v>
      </c>
      <c r="G659" s="487">
        <v>1.8055555555555557E-3</v>
      </c>
    </row>
    <row r="660" spans="4:7">
      <c r="D660" s="485">
        <v>41994</v>
      </c>
      <c r="E660" s="467" t="s">
        <v>636</v>
      </c>
      <c r="F660" s="488" t="s">
        <v>675</v>
      </c>
      <c r="G660" s="487">
        <v>2.1180555555555553E-3</v>
      </c>
    </row>
    <row r="661" spans="4:7">
      <c r="D661" s="485">
        <v>42020</v>
      </c>
      <c r="E661" s="467" t="s">
        <v>416</v>
      </c>
      <c r="F661" s="486">
        <v>0</v>
      </c>
      <c r="G661" s="487">
        <v>1.0925925925925924E-2</v>
      </c>
    </row>
    <row r="662" spans="4:7">
      <c r="D662" s="491">
        <v>42022</v>
      </c>
      <c r="E662" s="467" t="s">
        <v>198</v>
      </c>
      <c r="F662" s="486">
        <v>97</v>
      </c>
      <c r="G662" s="487">
        <v>9.8958333333333329E-3</v>
      </c>
    </row>
    <row r="663" spans="4:7">
      <c r="D663" s="491">
        <v>42022</v>
      </c>
      <c r="E663" s="467" t="s">
        <v>198</v>
      </c>
      <c r="F663" s="486">
        <v>99</v>
      </c>
      <c r="G663" s="487">
        <v>1.3368055555555557E-2</v>
      </c>
    </row>
    <row r="664" spans="4:7">
      <c r="D664" s="491">
        <v>42022</v>
      </c>
      <c r="E664" s="467" t="s">
        <v>198</v>
      </c>
      <c r="F664" s="486">
        <v>15</v>
      </c>
      <c r="G664" s="487">
        <v>8.1018518518518514E-3</v>
      </c>
    </row>
    <row r="665" spans="4:7">
      <c r="D665" s="491">
        <v>42022</v>
      </c>
      <c r="E665" s="467" t="s">
        <v>198</v>
      </c>
      <c r="F665" s="486">
        <v>73</v>
      </c>
      <c r="G665" s="487">
        <v>9.432870370370371E-3</v>
      </c>
    </row>
    <row r="666" spans="4:7">
      <c r="D666" s="491">
        <v>42022</v>
      </c>
      <c r="E666" s="467" t="s">
        <v>198</v>
      </c>
      <c r="F666" s="486">
        <v>111</v>
      </c>
      <c r="G666" s="487">
        <v>7.0023148148148154E-3</v>
      </c>
    </row>
    <row r="667" spans="4:7">
      <c r="D667" s="491">
        <v>42022</v>
      </c>
      <c r="E667" s="467" t="s">
        <v>198</v>
      </c>
      <c r="F667" s="486">
        <v>100</v>
      </c>
      <c r="G667" s="487">
        <v>1.0127314814814815E-2</v>
      </c>
    </row>
    <row r="668" spans="4:7">
      <c r="D668" s="491">
        <v>42022</v>
      </c>
      <c r="E668" s="467" t="s">
        <v>198</v>
      </c>
      <c r="F668" s="486">
        <v>67</v>
      </c>
      <c r="G668" s="487">
        <v>1.1805555555555555E-2</v>
      </c>
    </row>
    <row r="669" spans="4:7">
      <c r="D669" s="491">
        <v>42022</v>
      </c>
      <c r="E669" s="467" t="s">
        <v>198</v>
      </c>
      <c r="F669" s="486">
        <v>74</v>
      </c>
      <c r="G669" s="487">
        <v>8.3912037037037045E-3</v>
      </c>
    </row>
    <row r="670" spans="4:7">
      <c r="D670" s="485">
        <v>42037</v>
      </c>
      <c r="E670" s="467" t="s">
        <v>636</v>
      </c>
      <c r="F670" s="488">
        <v>173</v>
      </c>
      <c r="G670" s="487">
        <v>1.5624999999999999E-3</v>
      </c>
    </row>
    <row r="671" spans="4:7">
      <c r="D671" s="485">
        <v>42037</v>
      </c>
      <c r="E671" s="467" t="s">
        <v>636</v>
      </c>
      <c r="F671" s="488" t="s">
        <v>676</v>
      </c>
      <c r="G671" s="487">
        <v>2.2800925925925927E-3</v>
      </c>
    </row>
    <row r="672" spans="4:7">
      <c r="D672" s="485">
        <v>42048</v>
      </c>
      <c r="E672" s="467" t="s">
        <v>416</v>
      </c>
      <c r="F672" s="486">
        <v>170</v>
      </c>
      <c r="G672" s="487">
        <v>1.7488425925925925E-2</v>
      </c>
    </row>
    <row r="673" spans="4:7">
      <c r="D673" s="485">
        <v>42050</v>
      </c>
      <c r="E673" s="467" t="s">
        <v>198</v>
      </c>
      <c r="F673" s="488" t="s">
        <v>369</v>
      </c>
      <c r="G673" s="487">
        <v>2.193287037037037E-2</v>
      </c>
    </row>
    <row r="674" spans="4:7">
      <c r="D674" s="485">
        <v>42050</v>
      </c>
      <c r="E674" s="467" t="s">
        <v>198</v>
      </c>
      <c r="F674" s="486">
        <v>18</v>
      </c>
      <c r="G674" s="487">
        <v>1.2094907407407408E-2</v>
      </c>
    </row>
    <row r="675" spans="4:7">
      <c r="D675" s="485">
        <v>42050</v>
      </c>
      <c r="E675" s="467" t="s">
        <v>198</v>
      </c>
      <c r="F675" s="486">
        <v>76</v>
      </c>
      <c r="G675" s="487">
        <v>1.3194444444444444E-2</v>
      </c>
    </row>
    <row r="676" spans="4:7">
      <c r="D676" s="485">
        <v>42050</v>
      </c>
      <c r="E676" s="467" t="s">
        <v>198</v>
      </c>
      <c r="F676" s="486">
        <v>37</v>
      </c>
      <c r="G676" s="487">
        <v>1.0416666666666666E-2</v>
      </c>
    </row>
    <row r="677" spans="4:7">
      <c r="D677" s="485">
        <v>42050</v>
      </c>
      <c r="E677" s="467" t="s">
        <v>198</v>
      </c>
      <c r="F677" s="486">
        <v>85</v>
      </c>
      <c r="G677" s="487">
        <v>1.3310185185185187E-2</v>
      </c>
    </row>
    <row r="678" spans="4:7">
      <c r="D678" s="485">
        <v>42050</v>
      </c>
      <c r="E678" s="467" t="s">
        <v>198</v>
      </c>
      <c r="F678" s="486">
        <v>47</v>
      </c>
      <c r="G678" s="487">
        <v>1.3599537037037037E-2</v>
      </c>
    </row>
    <row r="679" spans="4:7">
      <c r="D679" s="485">
        <v>42064</v>
      </c>
      <c r="E679" s="467" t="s">
        <v>198</v>
      </c>
      <c r="F679" s="486">
        <v>3</v>
      </c>
      <c r="G679" s="487">
        <v>1.40625E-2</v>
      </c>
    </row>
    <row r="680" spans="4:7">
      <c r="D680" s="485">
        <v>42064</v>
      </c>
      <c r="E680" s="467" t="s">
        <v>198</v>
      </c>
      <c r="F680" s="486">
        <v>25</v>
      </c>
      <c r="G680" s="487">
        <v>1.0416666666666666E-2</v>
      </c>
    </row>
    <row r="681" spans="4:7">
      <c r="D681" s="485">
        <v>42064</v>
      </c>
      <c r="E681" s="467" t="s">
        <v>198</v>
      </c>
      <c r="F681" s="486">
        <v>17</v>
      </c>
      <c r="G681" s="487">
        <v>1.4293981481481482E-2</v>
      </c>
    </row>
    <row r="682" spans="4:7">
      <c r="D682" s="485">
        <v>42064</v>
      </c>
      <c r="E682" s="467" t="s">
        <v>198</v>
      </c>
      <c r="F682" s="486">
        <v>54</v>
      </c>
      <c r="G682" s="487">
        <v>2.071759259259259E-2</v>
      </c>
    </row>
    <row r="683" spans="4:7">
      <c r="D683" s="485">
        <v>42064</v>
      </c>
      <c r="E683" s="467" t="s">
        <v>198</v>
      </c>
      <c r="F683" s="486">
        <v>56</v>
      </c>
      <c r="G683" s="487">
        <v>2.1238425925925924E-2</v>
      </c>
    </row>
    <row r="684" spans="4:7">
      <c r="D684" s="485">
        <v>42064</v>
      </c>
      <c r="E684" s="467" t="s">
        <v>198</v>
      </c>
      <c r="F684" s="486">
        <v>26</v>
      </c>
      <c r="G684" s="487">
        <v>1.2847222222222223E-2</v>
      </c>
    </row>
    <row r="685" spans="4:7">
      <c r="D685" s="485">
        <v>42092</v>
      </c>
      <c r="E685" s="467" t="s">
        <v>198</v>
      </c>
      <c r="F685" s="486">
        <v>105</v>
      </c>
      <c r="G685" s="487">
        <v>1.3773148148148147E-2</v>
      </c>
    </row>
    <row r="686" spans="4:7">
      <c r="D686" s="485">
        <v>42092</v>
      </c>
      <c r="E686" s="467" t="s">
        <v>198</v>
      </c>
      <c r="F686" s="486">
        <v>7</v>
      </c>
      <c r="G686" s="487">
        <v>1.1458333333333334E-2</v>
      </c>
    </row>
    <row r="687" spans="4:7">
      <c r="D687" s="485">
        <v>42092</v>
      </c>
      <c r="E687" s="467" t="s">
        <v>198</v>
      </c>
      <c r="F687" s="486">
        <v>62</v>
      </c>
      <c r="G687" s="487">
        <v>1.8402777777777778E-2</v>
      </c>
    </row>
    <row r="688" spans="4:7">
      <c r="D688" s="485">
        <v>42092</v>
      </c>
      <c r="E688" s="467" t="s">
        <v>198</v>
      </c>
      <c r="F688" s="486">
        <v>45</v>
      </c>
      <c r="G688" s="487">
        <v>1.2094907407407408E-2</v>
      </c>
    </row>
    <row r="689" spans="4:7">
      <c r="D689" s="485">
        <v>42092</v>
      </c>
      <c r="E689" s="467" t="s">
        <v>198</v>
      </c>
      <c r="F689" s="486">
        <v>35</v>
      </c>
      <c r="G689" s="487">
        <v>1.3599537037037037E-2</v>
      </c>
    </row>
    <row r="690" spans="4:7">
      <c r="D690" s="485">
        <v>42092</v>
      </c>
      <c r="E690" s="467" t="s">
        <v>198</v>
      </c>
      <c r="F690" s="486">
        <v>63</v>
      </c>
      <c r="G690" s="487">
        <v>1.8287037037037036E-2</v>
      </c>
    </row>
    <row r="691" spans="4:7">
      <c r="D691" s="485">
        <v>42095</v>
      </c>
      <c r="E691" s="467" t="s">
        <v>636</v>
      </c>
      <c r="F691" s="486">
        <v>174</v>
      </c>
      <c r="G691" s="487">
        <v>1.712962962962963E-3</v>
      </c>
    </row>
    <row r="692" spans="4:7">
      <c r="D692" s="485">
        <v>42095</v>
      </c>
      <c r="E692" s="467" t="s">
        <v>636</v>
      </c>
      <c r="F692" s="488" t="s">
        <v>671</v>
      </c>
      <c r="G692" s="487">
        <v>1.3194444444444443E-3</v>
      </c>
    </row>
    <row r="693" spans="4:7">
      <c r="D693" s="485">
        <v>42106</v>
      </c>
      <c r="E693" s="467" t="s">
        <v>198</v>
      </c>
      <c r="F693" s="486">
        <v>32</v>
      </c>
      <c r="G693" s="487">
        <v>1.6898148148148148E-2</v>
      </c>
    </row>
    <row r="694" spans="4:7">
      <c r="D694" s="485">
        <v>42106</v>
      </c>
      <c r="E694" s="467" t="s">
        <v>198</v>
      </c>
      <c r="F694" s="486">
        <v>41</v>
      </c>
      <c r="G694" s="487">
        <v>1.695601851851852E-2</v>
      </c>
    </row>
    <row r="695" spans="4:7">
      <c r="D695" s="485">
        <v>42106</v>
      </c>
      <c r="E695" s="467" t="s">
        <v>198</v>
      </c>
      <c r="F695" s="486">
        <v>8</v>
      </c>
      <c r="G695" s="487">
        <v>1.5509259259259257E-2</v>
      </c>
    </row>
    <row r="696" spans="4:7">
      <c r="D696" s="485">
        <v>42106</v>
      </c>
      <c r="E696" s="467" t="s">
        <v>198</v>
      </c>
      <c r="F696" s="486">
        <v>61</v>
      </c>
      <c r="G696" s="487">
        <v>1.3888888888888888E-2</v>
      </c>
    </row>
    <row r="697" spans="4:7">
      <c r="D697" s="485">
        <v>42106</v>
      </c>
      <c r="E697" s="467" t="s">
        <v>198</v>
      </c>
      <c r="F697" s="486">
        <v>21</v>
      </c>
      <c r="G697" s="487">
        <v>1.4004629629629631E-2</v>
      </c>
    </row>
    <row r="698" spans="4:7">
      <c r="D698" s="485">
        <v>42106</v>
      </c>
      <c r="E698" s="467" t="s">
        <v>198</v>
      </c>
      <c r="F698" s="486">
        <v>2</v>
      </c>
      <c r="G698" s="487">
        <v>1.545138888888889E-2</v>
      </c>
    </row>
    <row r="699" spans="4:7">
      <c r="D699" s="491">
        <v>42154</v>
      </c>
      <c r="E699" s="467" t="s">
        <v>198</v>
      </c>
      <c r="F699" s="486">
        <v>175</v>
      </c>
      <c r="G699" s="492">
        <v>6.4456018518518524E-2</v>
      </c>
    </row>
    <row r="700" spans="4:7">
      <c r="D700" s="485">
        <v>42158</v>
      </c>
      <c r="E700" s="467" t="s">
        <v>636</v>
      </c>
      <c r="F700" s="486">
        <v>175</v>
      </c>
      <c r="G700" s="487">
        <v>8.9699074074074073E-3</v>
      </c>
    </row>
    <row r="701" spans="4:7">
      <c r="D701" s="485">
        <v>42158</v>
      </c>
      <c r="E701" s="467" t="s">
        <v>636</v>
      </c>
      <c r="F701" s="488" t="s">
        <v>666</v>
      </c>
      <c r="G701" s="487">
        <v>2.0023148148148148E-3</v>
      </c>
    </row>
    <row r="702" spans="4:7">
      <c r="D702" s="485">
        <v>42174</v>
      </c>
      <c r="E702" s="467" t="s">
        <v>416</v>
      </c>
      <c r="F702" s="486">
        <v>0</v>
      </c>
      <c r="G702" s="487">
        <v>7.6273148148148151E-3</v>
      </c>
    </row>
    <row r="703" spans="4:7">
      <c r="D703" s="485">
        <v>42186</v>
      </c>
      <c r="E703" s="467" t="s">
        <v>197</v>
      </c>
      <c r="F703" s="486">
        <v>4</v>
      </c>
      <c r="G703" s="487">
        <v>5.7164351851851848E-2</v>
      </c>
    </row>
    <row r="704" spans="4:7">
      <c r="D704" s="485">
        <v>42223</v>
      </c>
      <c r="E704" s="467" t="s">
        <v>636</v>
      </c>
      <c r="F704" s="486">
        <v>176</v>
      </c>
      <c r="G704" s="487">
        <v>2.0717592592592593E-3</v>
      </c>
    </row>
    <row r="705" spans="4:7">
      <c r="D705" s="485">
        <v>42223</v>
      </c>
      <c r="E705" s="467" t="s">
        <v>636</v>
      </c>
      <c r="F705" s="488" t="s">
        <v>664</v>
      </c>
      <c r="G705" s="487">
        <v>1.4120370370370369E-3</v>
      </c>
    </row>
    <row r="706" spans="4:7">
      <c r="D706" s="485">
        <v>42258</v>
      </c>
      <c r="E706" s="467" t="s">
        <v>416</v>
      </c>
      <c r="F706" s="486">
        <v>7</v>
      </c>
      <c r="G706" s="487">
        <v>1.8842592592592591E-2</v>
      </c>
    </row>
    <row r="707" spans="4:7">
      <c r="D707" s="485">
        <v>42262</v>
      </c>
      <c r="E707" s="467" t="s">
        <v>197</v>
      </c>
      <c r="F707" s="486">
        <v>176</v>
      </c>
      <c r="G707" s="487">
        <v>5.4305555555555551E-2</v>
      </c>
    </row>
    <row r="708" spans="4:7">
      <c r="D708" s="485">
        <v>42315</v>
      </c>
      <c r="E708" s="467" t="s">
        <v>636</v>
      </c>
      <c r="F708" s="486">
        <v>177</v>
      </c>
      <c r="G708" s="487">
        <v>4.2592592592592595E-3</v>
      </c>
    </row>
    <row r="709" spans="4:7">
      <c r="D709" s="485">
        <v>42315</v>
      </c>
      <c r="E709" s="467" t="s">
        <v>636</v>
      </c>
      <c r="F709" s="488" t="s">
        <v>661</v>
      </c>
      <c r="G709" s="487">
        <v>2.0486111111111113E-3</v>
      </c>
    </row>
    <row r="710" spans="4:7">
      <c r="D710" s="485">
        <v>42321</v>
      </c>
      <c r="E710" s="467" t="s">
        <v>416</v>
      </c>
      <c r="F710" s="486">
        <v>166</v>
      </c>
      <c r="G710" s="487">
        <v>2.4884259259259259E-2</v>
      </c>
    </row>
    <row r="711" spans="4:7">
      <c r="D711" s="485">
        <v>42321</v>
      </c>
      <c r="E711" s="467" t="s">
        <v>416</v>
      </c>
      <c r="F711" s="486">
        <v>0</v>
      </c>
      <c r="G711" s="487">
        <v>2.4155092592592589E-2</v>
      </c>
    </row>
    <row r="712" spans="4:7">
      <c r="D712" s="485">
        <v>42337</v>
      </c>
      <c r="E712" s="467" t="s">
        <v>197</v>
      </c>
      <c r="F712" s="486">
        <v>151</v>
      </c>
      <c r="G712" s="487">
        <v>6.039351851851852E-2</v>
      </c>
    </row>
    <row r="713" spans="4:7">
      <c r="D713" s="485">
        <v>42342</v>
      </c>
      <c r="E713" s="467" t="s">
        <v>197</v>
      </c>
      <c r="F713" s="486">
        <v>0</v>
      </c>
      <c r="G713" s="487">
        <v>1.9259259259259261E-2</v>
      </c>
    </row>
    <row r="714" spans="4:7">
      <c r="D714" s="485">
        <v>42356</v>
      </c>
      <c r="E714" s="467" t="s">
        <v>416</v>
      </c>
      <c r="F714" s="486">
        <v>0</v>
      </c>
      <c r="G714" s="487">
        <v>2.7719907407407405E-2</v>
      </c>
    </row>
    <row r="715" spans="4:7">
      <c r="D715" s="485">
        <v>42362</v>
      </c>
      <c r="E715" s="467" t="s">
        <v>197</v>
      </c>
      <c r="F715" s="488" t="s">
        <v>157</v>
      </c>
      <c r="G715" s="487">
        <v>3.184027777777778E-2</v>
      </c>
    </row>
    <row r="716" spans="4:7">
      <c r="D716" s="491">
        <v>42368</v>
      </c>
      <c r="E716" s="467" t="s">
        <v>198</v>
      </c>
      <c r="F716" s="486">
        <v>0</v>
      </c>
      <c r="G716" s="492">
        <v>6.4965277777777775E-2</v>
      </c>
    </row>
    <row r="717" spans="4:7">
      <c r="D717" s="485">
        <v>42383</v>
      </c>
      <c r="E717" s="467" t="s">
        <v>636</v>
      </c>
      <c r="F717" s="486">
        <v>178</v>
      </c>
      <c r="G717" s="487">
        <v>1.689814814814815E-3</v>
      </c>
    </row>
    <row r="718" spans="4:7">
      <c r="D718" s="485">
        <v>42383</v>
      </c>
      <c r="E718" s="467" t="s">
        <v>636</v>
      </c>
      <c r="F718" s="488" t="s">
        <v>658</v>
      </c>
      <c r="G718" s="487">
        <v>2.1643518518518518E-3</v>
      </c>
    </row>
    <row r="719" spans="4:7">
      <c r="D719" s="485">
        <v>42405</v>
      </c>
      <c r="E719" s="467" t="s">
        <v>636</v>
      </c>
      <c r="F719" s="486">
        <v>179</v>
      </c>
      <c r="G719" s="487">
        <v>2.6967592592592594E-3</v>
      </c>
    </row>
    <row r="720" spans="4:7">
      <c r="D720" s="485">
        <v>42419</v>
      </c>
      <c r="E720" s="467" t="s">
        <v>416</v>
      </c>
      <c r="F720" s="486">
        <v>8</v>
      </c>
      <c r="G720" s="487">
        <v>1.5405092592592593E-2</v>
      </c>
    </row>
    <row r="721" spans="4:7">
      <c r="D721" s="489">
        <v>42424</v>
      </c>
      <c r="E721" s="467" t="s">
        <v>2798</v>
      </c>
      <c r="F721" s="483">
        <v>0</v>
      </c>
      <c r="G721" s="490">
        <v>0.12987268518518519</v>
      </c>
    </row>
    <row r="722" spans="4:7">
      <c r="D722" s="485">
        <v>42442</v>
      </c>
      <c r="E722" s="467" t="s">
        <v>197</v>
      </c>
      <c r="F722" s="486">
        <v>179</v>
      </c>
      <c r="G722" s="487">
        <v>5.7962962962962959E-2</v>
      </c>
    </row>
    <row r="723" spans="4:7">
      <c r="D723" s="485">
        <v>42453</v>
      </c>
      <c r="E723" s="467" t="s">
        <v>197</v>
      </c>
      <c r="F723" s="486">
        <v>0</v>
      </c>
      <c r="G723" s="487">
        <v>2.4652777777777776E-3</v>
      </c>
    </row>
    <row r="724" spans="4:7">
      <c r="D724" s="485">
        <v>42463</v>
      </c>
      <c r="E724" s="467" t="s">
        <v>197</v>
      </c>
      <c r="F724" s="486">
        <v>52</v>
      </c>
      <c r="G724" s="487">
        <v>5.7951388888888893E-2</v>
      </c>
    </row>
    <row r="725" spans="4:7">
      <c r="D725" s="485">
        <v>42471</v>
      </c>
      <c r="E725" s="467" t="s">
        <v>636</v>
      </c>
      <c r="F725" s="486">
        <v>180</v>
      </c>
      <c r="G725" s="487">
        <v>1.8055555555555557E-3</v>
      </c>
    </row>
    <row r="726" spans="4:7">
      <c r="D726" s="485">
        <v>42471</v>
      </c>
      <c r="E726" s="467" t="s">
        <v>636</v>
      </c>
      <c r="F726" s="488" t="s">
        <v>734</v>
      </c>
      <c r="G726" s="487">
        <v>1.7013888888888892E-3</v>
      </c>
    </row>
    <row r="727" spans="4:7">
      <c r="D727" s="485">
        <v>42471</v>
      </c>
      <c r="E727" s="467" t="s">
        <v>636</v>
      </c>
      <c r="F727" s="488" t="s">
        <v>736</v>
      </c>
      <c r="G727" s="487">
        <v>2.6620370370370374E-3</v>
      </c>
    </row>
    <row r="728" spans="4:7">
      <c r="D728" s="485">
        <v>42471</v>
      </c>
      <c r="E728" s="467" t="s">
        <v>636</v>
      </c>
      <c r="F728" s="488" t="s">
        <v>738</v>
      </c>
      <c r="G728" s="487">
        <v>6.018518518518519E-4</v>
      </c>
    </row>
    <row r="729" spans="4:7">
      <c r="D729" s="485">
        <v>42501</v>
      </c>
      <c r="E729" s="467" t="s">
        <v>416</v>
      </c>
      <c r="F729" s="486">
        <v>180</v>
      </c>
      <c r="G729" s="487">
        <v>2.2766203703703702E-2</v>
      </c>
    </row>
    <row r="730" spans="4:7">
      <c r="D730" s="485">
        <v>42526</v>
      </c>
      <c r="E730" s="467" t="s">
        <v>197</v>
      </c>
      <c r="F730" s="486">
        <v>130</v>
      </c>
      <c r="G730" s="487">
        <v>5.5208333333333333E-3</v>
      </c>
    </row>
    <row r="731" spans="4:7">
      <c r="D731" s="485">
        <v>42528</v>
      </c>
      <c r="E731" s="467" t="s">
        <v>636</v>
      </c>
      <c r="F731" s="486">
        <v>181</v>
      </c>
      <c r="G731" s="487">
        <v>1.736111111111111E-3</v>
      </c>
    </row>
    <row r="732" spans="4:7">
      <c r="D732" s="485">
        <v>42577</v>
      </c>
      <c r="E732" s="467" t="s">
        <v>197</v>
      </c>
      <c r="F732" s="486">
        <v>46</v>
      </c>
      <c r="G732" s="487">
        <v>5.2685185185185189E-2</v>
      </c>
    </row>
    <row r="733" spans="4:7">
      <c r="D733" s="485">
        <v>42600</v>
      </c>
      <c r="E733" s="467" t="s">
        <v>396</v>
      </c>
      <c r="F733" s="486">
        <v>78</v>
      </c>
      <c r="G733" s="487">
        <v>4.3356481481481475E-2</v>
      </c>
    </row>
    <row r="734" spans="4:7">
      <c r="D734" s="485">
        <v>42618</v>
      </c>
      <c r="E734" s="467" t="s">
        <v>416</v>
      </c>
      <c r="F734" s="486">
        <v>9</v>
      </c>
      <c r="G734" s="487">
        <v>1.6585648148148148E-2</v>
      </c>
    </row>
    <row r="735" spans="4:7">
      <c r="D735" s="485">
        <v>42622</v>
      </c>
      <c r="E735" s="467" t="s">
        <v>396</v>
      </c>
      <c r="F735" s="488" t="s">
        <v>21</v>
      </c>
      <c r="G735" s="487">
        <v>4.854166666666667E-2</v>
      </c>
    </row>
    <row r="736" spans="4:7">
      <c r="D736" s="485">
        <v>42629</v>
      </c>
      <c r="E736" s="467" t="s">
        <v>636</v>
      </c>
      <c r="F736" s="486">
        <v>182</v>
      </c>
      <c r="G736" s="487">
        <v>1.7824074074074072E-3</v>
      </c>
    </row>
    <row r="737" spans="4:7">
      <c r="D737" s="485">
        <v>42657</v>
      </c>
      <c r="E737" s="467" t="s">
        <v>636</v>
      </c>
      <c r="F737" s="486">
        <v>183</v>
      </c>
      <c r="G737" s="487">
        <v>4.3518518518518515E-3</v>
      </c>
    </row>
    <row r="738" spans="4:7">
      <c r="D738" s="485">
        <v>42689</v>
      </c>
      <c r="E738" s="467" t="s">
        <v>114</v>
      </c>
      <c r="F738" s="486">
        <v>1</v>
      </c>
      <c r="G738" s="487">
        <v>4.0486111111111105E-2</v>
      </c>
    </row>
    <row r="739" spans="4:7">
      <c r="D739" s="485">
        <v>42709</v>
      </c>
      <c r="E739" s="467" t="s">
        <v>114</v>
      </c>
      <c r="F739" s="486">
        <v>14</v>
      </c>
      <c r="G739" s="487">
        <v>4.6342592592592595E-2</v>
      </c>
    </row>
    <row r="740" spans="4:7">
      <c r="D740" s="485">
        <v>42722</v>
      </c>
      <c r="E740" s="467" t="s">
        <v>636</v>
      </c>
      <c r="F740" s="488" t="s">
        <v>746</v>
      </c>
      <c r="G740" s="487">
        <v>3.1481481481481482E-3</v>
      </c>
    </row>
    <row r="741" spans="4:7">
      <c r="D741" s="485">
        <v>42722</v>
      </c>
      <c r="E741" s="467" t="s">
        <v>636</v>
      </c>
      <c r="F741" s="488" t="s">
        <v>748</v>
      </c>
      <c r="G741" s="487">
        <v>2.0833333333333333E-3</v>
      </c>
    </row>
    <row r="742" spans="4:7">
      <c r="D742" s="489">
        <v>42728</v>
      </c>
      <c r="E742" s="467" t="s">
        <v>2799</v>
      </c>
      <c r="F742" s="483">
        <v>0</v>
      </c>
      <c r="G742" s="490">
        <v>3.8483796296296294E-2</v>
      </c>
    </row>
    <row r="743" spans="4:7">
      <c r="D743" s="485">
        <v>42732</v>
      </c>
      <c r="E743" s="467" t="s">
        <v>2762</v>
      </c>
      <c r="F743" s="486">
        <v>175</v>
      </c>
      <c r="G743" s="487">
        <v>3.8182870370370374E-2</v>
      </c>
    </row>
    <row r="744" spans="4:7">
      <c r="D744" s="485">
        <v>42735</v>
      </c>
      <c r="E744" s="467" t="s">
        <v>416</v>
      </c>
      <c r="F744" s="486">
        <v>183</v>
      </c>
      <c r="G744" s="487">
        <v>2.0196759259259258E-2</v>
      </c>
    </row>
    <row r="745" spans="4:7">
      <c r="D745" s="485">
        <v>42748</v>
      </c>
      <c r="E745" s="467" t="s">
        <v>2762</v>
      </c>
      <c r="F745" s="486">
        <v>92</v>
      </c>
      <c r="G745" s="487">
        <v>2.6412037037037036E-2</v>
      </c>
    </row>
    <row r="746" spans="4:7">
      <c r="D746" s="491">
        <v>42750</v>
      </c>
      <c r="E746" s="467" t="s">
        <v>198</v>
      </c>
      <c r="F746" s="486">
        <v>0</v>
      </c>
      <c r="G746" s="492">
        <v>0.12805555555555556</v>
      </c>
    </row>
    <row r="747" spans="4:7">
      <c r="D747" s="485">
        <v>42752</v>
      </c>
      <c r="E747" s="467" t="s">
        <v>114</v>
      </c>
      <c r="F747" s="486">
        <v>2</v>
      </c>
      <c r="G747" s="487">
        <v>4.8321759259259266E-2</v>
      </c>
    </row>
    <row r="748" spans="4:7">
      <c r="D748" s="485">
        <v>42756</v>
      </c>
      <c r="E748" s="467" t="s">
        <v>416</v>
      </c>
      <c r="F748" s="486">
        <v>10</v>
      </c>
      <c r="G748" s="487">
        <v>1.5081018518518516E-2</v>
      </c>
    </row>
    <row r="749" spans="4:7">
      <c r="D749" s="485">
        <v>42761</v>
      </c>
      <c r="E749" s="467" t="s">
        <v>2762</v>
      </c>
      <c r="F749" s="486">
        <v>183</v>
      </c>
      <c r="G749" s="487">
        <v>3.9861111111111111E-2</v>
      </c>
    </row>
    <row r="750" spans="4:7">
      <c r="D750" s="489">
        <v>42763</v>
      </c>
      <c r="E750" s="467" t="s">
        <v>2799</v>
      </c>
      <c r="F750" s="483">
        <v>0</v>
      </c>
      <c r="G750" s="490">
        <v>1.037037037037037E-2</v>
      </c>
    </row>
    <row r="751" spans="4:7">
      <c r="D751" s="485">
        <v>42778</v>
      </c>
      <c r="E751" s="467" t="s">
        <v>416</v>
      </c>
      <c r="F751" s="486">
        <v>76</v>
      </c>
      <c r="G751" s="487">
        <v>2.56712962962963E-2</v>
      </c>
    </row>
    <row r="752" spans="4:7">
      <c r="D752" s="485">
        <v>42783</v>
      </c>
      <c r="E752" s="467" t="s">
        <v>636</v>
      </c>
      <c r="F752" s="486">
        <v>185</v>
      </c>
      <c r="G752" s="487">
        <v>2.2800925925925927E-3</v>
      </c>
    </row>
    <row r="753" spans="4:7">
      <c r="D753" s="485">
        <v>42783</v>
      </c>
      <c r="E753" s="467" t="s">
        <v>636</v>
      </c>
      <c r="F753" s="486">
        <v>184</v>
      </c>
      <c r="G753" s="487">
        <v>2.0717592592592593E-3</v>
      </c>
    </row>
    <row r="754" spans="4:7">
      <c r="D754" s="485">
        <v>42787</v>
      </c>
      <c r="E754" s="467" t="s">
        <v>114</v>
      </c>
      <c r="F754" s="486">
        <v>32</v>
      </c>
      <c r="G754" s="487">
        <v>4.206018518518518E-2</v>
      </c>
    </row>
    <row r="755" spans="4:7">
      <c r="D755" s="485">
        <v>42817</v>
      </c>
      <c r="E755" s="467" t="s">
        <v>2762</v>
      </c>
      <c r="F755" s="486">
        <v>186</v>
      </c>
      <c r="G755" s="487">
        <v>3.2129629629629626E-2</v>
      </c>
    </row>
    <row r="756" spans="4:7">
      <c r="D756" s="485">
        <v>42823</v>
      </c>
      <c r="E756" s="467" t="s">
        <v>109</v>
      </c>
      <c r="F756" s="486">
        <v>0</v>
      </c>
      <c r="G756" s="487">
        <v>3.605324074074074E-2</v>
      </c>
    </row>
    <row r="757" spans="4:7">
      <c r="D757" s="485">
        <v>42826</v>
      </c>
      <c r="E757" s="467" t="s">
        <v>109</v>
      </c>
      <c r="F757" s="486">
        <v>1</v>
      </c>
      <c r="G757" s="487">
        <v>5.6620370370370376E-2</v>
      </c>
    </row>
    <row r="758" spans="4:7">
      <c r="D758" s="485">
        <v>42831</v>
      </c>
      <c r="E758" s="467" t="s">
        <v>114</v>
      </c>
      <c r="F758" s="486">
        <v>3</v>
      </c>
      <c r="G758" s="487">
        <v>4.8576388888888884E-2</v>
      </c>
    </row>
    <row r="759" spans="4:7">
      <c r="D759" s="485">
        <v>42838</v>
      </c>
      <c r="E759" s="467" t="s">
        <v>109</v>
      </c>
      <c r="F759" s="488" t="s">
        <v>1271</v>
      </c>
      <c r="G759" s="487">
        <v>2.4872685185185189E-2</v>
      </c>
    </row>
    <row r="760" spans="4:7">
      <c r="D760" s="485">
        <v>42840</v>
      </c>
      <c r="E760" s="467" t="s">
        <v>109</v>
      </c>
      <c r="F760" s="486">
        <v>24</v>
      </c>
      <c r="G760" s="487">
        <v>5.0578703703703709E-2</v>
      </c>
    </row>
    <row r="761" spans="4:7">
      <c r="D761" s="485">
        <v>42846</v>
      </c>
      <c r="E761" s="467" t="s">
        <v>636</v>
      </c>
      <c r="F761" s="486">
        <v>186</v>
      </c>
      <c r="G761" s="487">
        <v>3.6342592592592594E-3</v>
      </c>
    </row>
    <row r="762" spans="4:7">
      <c r="D762" s="485">
        <v>42846</v>
      </c>
      <c r="E762" s="467" t="s">
        <v>636</v>
      </c>
      <c r="F762" s="488" t="s">
        <v>741</v>
      </c>
      <c r="G762" s="487">
        <v>2.0717592592592593E-3</v>
      </c>
    </row>
    <row r="763" spans="4:7">
      <c r="D763" s="485">
        <v>42849</v>
      </c>
      <c r="E763" s="467" t="s">
        <v>396</v>
      </c>
      <c r="F763" s="486">
        <v>84</v>
      </c>
      <c r="G763" s="487">
        <v>5.7349537037037039E-2</v>
      </c>
    </row>
    <row r="764" spans="4:7">
      <c r="D764" s="485">
        <v>42852</v>
      </c>
      <c r="E764" s="467" t="s">
        <v>109</v>
      </c>
      <c r="F764" s="488" t="s">
        <v>1272</v>
      </c>
      <c r="G764" s="487">
        <v>1.8449074074074073E-2</v>
      </c>
    </row>
    <row r="765" spans="4:7">
      <c r="D765" s="485">
        <v>42855</v>
      </c>
      <c r="E765" s="467" t="s">
        <v>109</v>
      </c>
      <c r="F765" s="486">
        <v>10</v>
      </c>
      <c r="G765" s="487">
        <v>7.0462962962962963E-2</v>
      </c>
    </row>
    <row r="766" spans="4:7">
      <c r="D766" s="485">
        <v>42865</v>
      </c>
      <c r="E766" s="467" t="s">
        <v>109</v>
      </c>
      <c r="F766" s="488" t="s">
        <v>1273</v>
      </c>
      <c r="G766" s="487">
        <v>2.8518518518518523E-2</v>
      </c>
    </row>
    <row r="767" spans="4:7">
      <c r="D767" s="485">
        <v>42868</v>
      </c>
      <c r="E767" s="467" t="s">
        <v>109</v>
      </c>
      <c r="F767" s="486">
        <v>169</v>
      </c>
      <c r="G767" s="487">
        <v>5.994212962962963E-2</v>
      </c>
    </row>
    <row r="768" spans="4:7">
      <c r="D768" s="489">
        <v>42870</v>
      </c>
      <c r="E768" s="467" t="s">
        <v>2800</v>
      </c>
      <c r="F768" s="483">
        <v>0</v>
      </c>
      <c r="G768" s="490">
        <v>5.6562499999999995E-2</v>
      </c>
    </row>
    <row r="769" spans="4:7">
      <c r="D769" s="485">
        <v>42876</v>
      </c>
      <c r="E769" s="467" t="s">
        <v>2762</v>
      </c>
      <c r="F769" s="486">
        <v>185</v>
      </c>
      <c r="G769" s="487">
        <v>3.3379629629629634E-2</v>
      </c>
    </row>
    <row r="770" spans="4:7">
      <c r="D770" s="485">
        <v>42881</v>
      </c>
      <c r="E770" s="467" t="s">
        <v>109</v>
      </c>
      <c r="F770" s="488" t="s">
        <v>1274</v>
      </c>
      <c r="G770" s="487">
        <v>2.3715277777777776E-2</v>
      </c>
    </row>
    <row r="771" spans="4:7">
      <c r="D771" s="485">
        <v>42886</v>
      </c>
      <c r="E771" s="467" t="s">
        <v>2762</v>
      </c>
      <c r="F771" s="486">
        <v>187</v>
      </c>
      <c r="G771" s="487">
        <v>3.0115740740740738E-2</v>
      </c>
    </row>
    <row r="772" spans="4:7">
      <c r="D772" s="485">
        <v>42886</v>
      </c>
      <c r="E772" s="467" t="s">
        <v>109</v>
      </c>
      <c r="F772" s="486">
        <v>91</v>
      </c>
      <c r="G772" s="487">
        <v>5.9236111111111107E-2</v>
      </c>
    </row>
    <row r="773" spans="4:7">
      <c r="D773" s="485">
        <v>42896</v>
      </c>
      <c r="E773" s="467" t="s">
        <v>109</v>
      </c>
      <c r="F773" s="488" t="s">
        <v>1275</v>
      </c>
      <c r="G773" s="487">
        <v>2.3483796296296298E-2</v>
      </c>
    </row>
    <row r="774" spans="4:7">
      <c r="D774" s="485">
        <v>42897</v>
      </c>
      <c r="E774" s="467" t="s">
        <v>114</v>
      </c>
      <c r="F774" s="486">
        <v>48</v>
      </c>
      <c r="G774" s="487">
        <v>4.5798611111111109E-2</v>
      </c>
    </row>
    <row r="775" spans="4:7">
      <c r="D775" s="485">
        <v>42906</v>
      </c>
      <c r="E775" s="467" t="s">
        <v>109</v>
      </c>
      <c r="F775" s="486">
        <v>88</v>
      </c>
      <c r="G775" s="487">
        <v>7.2916666666666671E-2</v>
      </c>
    </row>
    <row r="776" spans="4:7">
      <c r="D776" s="485">
        <v>42915</v>
      </c>
      <c r="E776" s="467" t="s">
        <v>109</v>
      </c>
      <c r="F776" s="488" t="s">
        <v>1276</v>
      </c>
      <c r="G776" s="487">
        <v>1.7615740740740741E-2</v>
      </c>
    </row>
    <row r="777" spans="4:7">
      <c r="D777" s="485">
        <v>42927</v>
      </c>
      <c r="E777" s="467" t="s">
        <v>197</v>
      </c>
      <c r="F777" s="486">
        <v>184</v>
      </c>
      <c r="G777" s="487">
        <v>5.5358796296296288E-2</v>
      </c>
    </row>
    <row r="778" spans="4:7">
      <c r="D778" s="485">
        <v>42929</v>
      </c>
      <c r="E778" s="467" t="s">
        <v>109</v>
      </c>
      <c r="F778" s="486">
        <v>38</v>
      </c>
      <c r="G778" s="487">
        <v>6.5300925925925915E-2</v>
      </c>
    </row>
    <row r="779" spans="4:7">
      <c r="D779" s="485">
        <v>42939</v>
      </c>
      <c r="E779" s="467" t="s">
        <v>2762</v>
      </c>
      <c r="F779" s="486">
        <v>0</v>
      </c>
      <c r="G779" s="487">
        <v>5.0173611111111106E-2</v>
      </c>
    </row>
    <row r="780" spans="4:7">
      <c r="D780" s="485">
        <v>42953</v>
      </c>
      <c r="E780" s="467" t="s">
        <v>109</v>
      </c>
      <c r="F780" s="488" t="s">
        <v>1277</v>
      </c>
      <c r="G780" s="487">
        <v>4.1412037037037039E-2</v>
      </c>
    </row>
    <row r="781" spans="4:7">
      <c r="D781" s="485">
        <v>42955</v>
      </c>
      <c r="E781" s="467" t="s">
        <v>636</v>
      </c>
      <c r="F781" s="486">
        <v>187</v>
      </c>
      <c r="G781" s="487">
        <v>1.9097222222222222E-3</v>
      </c>
    </row>
    <row r="782" spans="4:7">
      <c r="D782" s="485">
        <v>42964</v>
      </c>
      <c r="E782" s="467" t="s">
        <v>109</v>
      </c>
      <c r="F782" s="486">
        <v>8</v>
      </c>
      <c r="G782" s="487">
        <v>8.7083333333333332E-2</v>
      </c>
    </row>
    <row r="783" spans="4:7">
      <c r="D783" s="485">
        <v>42971</v>
      </c>
      <c r="E783" s="467" t="s">
        <v>109</v>
      </c>
      <c r="F783" s="488" t="s">
        <v>1278</v>
      </c>
      <c r="G783" s="487">
        <v>4.1817129629629628E-2</v>
      </c>
    </row>
    <row r="784" spans="4:7">
      <c r="D784" s="485">
        <v>42972</v>
      </c>
      <c r="E784" s="467" t="s">
        <v>636</v>
      </c>
      <c r="F784" s="488" t="s">
        <v>635</v>
      </c>
      <c r="G784" s="487">
        <v>3.3449074074074071E-3</v>
      </c>
    </row>
    <row r="785" spans="4:7">
      <c r="D785" s="485">
        <v>42974</v>
      </c>
      <c r="E785" s="467" t="s">
        <v>197</v>
      </c>
      <c r="F785" s="486">
        <v>85</v>
      </c>
      <c r="G785" s="487">
        <v>6.508101851851851E-2</v>
      </c>
    </row>
    <row r="786" spans="4:7">
      <c r="D786" s="485">
        <v>42977</v>
      </c>
      <c r="E786" s="467" t="s">
        <v>636</v>
      </c>
      <c r="F786" s="486">
        <v>188</v>
      </c>
      <c r="G786" s="487">
        <v>2.9976851851851848E-3</v>
      </c>
    </row>
    <row r="787" spans="4:7">
      <c r="D787" s="485">
        <v>42983</v>
      </c>
      <c r="E787" s="467" t="s">
        <v>109</v>
      </c>
      <c r="F787" s="486">
        <v>68</v>
      </c>
      <c r="G787" s="487">
        <v>7.5983796296296299E-2</v>
      </c>
    </row>
    <row r="788" spans="4:7">
      <c r="D788" s="485">
        <v>42987</v>
      </c>
      <c r="E788" s="467" t="s">
        <v>416</v>
      </c>
      <c r="F788" s="486">
        <v>169</v>
      </c>
      <c r="G788" s="487">
        <v>1.6006944444444445E-2</v>
      </c>
    </row>
    <row r="789" spans="4:7">
      <c r="D789" s="485">
        <v>42990</v>
      </c>
      <c r="E789" s="467" t="s">
        <v>109</v>
      </c>
      <c r="F789" s="488" t="s">
        <v>1279</v>
      </c>
      <c r="G789" s="487">
        <v>2.6631944444444444E-2</v>
      </c>
    </row>
    <row r="790" spans="4:7">
      <c r="D790" s="485">
        <v>42996</v>
      </c>
      <c r="E790" s="467" t="s">
        <v>197</v>
      </c>
      <c r="F790" s="486">
        <v>0</v>
      </c>
      <c r="G790" s="487">
        <v>4.4537037037037042E-2</v>
      </c>
    </row>
    <row r="791" spans="4:7">
      <c r="D791" s="485">
        <v>42999</v>
      </c>
      <c r="E791" s="467" t="s">
        <v>636</v>
      </c>
      <c r="F791" s="488" t="s">
        <v>742</v>
      </c>
      <c r="G791" s="487">
        <v>3.1944444444444442E-3</v>
      </c>
    </row>
    <row r="792" spans="4:7">
      <c r="D792" s="485">
        <v>43002</v>
      </c>
      <c r="E792" s="467" t="s">
        <v>416</v>
      </c>
      <c r="F792" s="486">
        <v>0</v>
      </c>
      <c r="G792" s="487">
        <v>3.9699074074074072E-3</v>
      </c>
    </row>
    <row r="793" spans="4:7">
      <c r="D793" s="485">
        <v>43002</v>
      </c>
      <c r="E793" s="467" t="s">
        <v>416</v>
      </c>
      <c r="F793" s="486">
        <v>0</v>
      </c>
      <c r="G793" s="487">
        <v>4.9074074074074072E-3</v>
      </c>
    </row>
    <row r="794" spans="4:7">
      <c r="D794" s="485">
        <v>43002</v>
      </c>
      <c r="E794" s="467" t="s">
        <v>416</v>
      </c>
      <c r="F794" s="486">
        <v>0</v>
      </c>
      <c r="G794" s="487">
        <v>3.2060185185185191E-3</v>
      </c>
    </row>
    <row r="795" spans="4:7">
      <c r="D795" s="485">
        <v>43002</v>
      </c>
      <c r="E795" s="467" t="s">
        <v>416</v>
      </c>
      <c r="F795" s="486">
        <v>0</v>
      </c>
      <c r="G795" s="487">
        <v>3.1481481481481482E-3</v>
      </c>
    </row>
    <row r="796" spans="4:7">
      <c r="D796" s="485">
        <v>43002</v>
      </c>
      <c r="E796" s="467" t="s">
        <v>2762</v>
      </c>
      <c r="F796" s="486">
        <v>188</v>
      </c>
      <c r="G796" s="487">
        <v>4.2280092592592598E-2</v>
      </c>
    </row>
    <row r="797" spans="4:7">
      <c r="D797" s="485">
        <v>43005</v>
      </c>
      <c r="E797" s="467" t="s">
        <v>109</v>
      </c>
      <c r="F797" s="486">
        <v>92</v>
      </c>
      <c r="G797" s="487">
        <v>6.5856481481481488E-2</v>
      </c>
    </row>
    <row r="798" spans="4:7">
      <c r="D798" s="485">
        <v>43020</v>
      </c>
      <c r="E798" s="467" t="s">
        <v>109</v>
      </c>
      <c r="F798" s="488" t="s">
        <v>1280</v>
      </c>
      <c r="G798" s="487">
        <v>2.6400462962962962E-2</v>
      </c>
    </row>
    <row r="799" spans="4:7">
      <c r="D799" s="485">
        <v>43023</v>
      </c>
      <c r="E799" s="467" t="s">
        <v>197</v>
      </c>
      <c r="F799" s="486">
        <v>86</v>
      </c>
      <c r="G799" s="487">
        <v>6.2523148148148147E-2</v>
      </c>
    </row>
    <row r="800" spans="4:7">
      <c r="D800" s="485">
        <v>43032</v>
      </c>
      <c r="E800" s="467" t="s">
        <v>109</v>
      </c>
      <c r="F800" s="486">
        <v>108</v>
      </c>
      <c r="G800" s="487">
        <v>8.1250000000000003E-2</v>
      </c>
    </row>
    <row r="801" spans="4:7">
      <c r="D801" s="489">
        <v>43033</v>
      </c>
      <c r="E801" s="467" t="s">
        <v>1355</v>
      </c>
      <c r="F801" s="483">
        <v>0</v>
      </c>
      <c r="G801" s="490">
        <v>8.0092592592592594E-3</v>
      </c>
    </row>
    <row r="802" spans="4:7">
      <c r="D802" s="485">
        <v>43039</v>
      </c>
      <c r="E802" s="467" t="s">
        <v>416</v>
      </c>
      <c r="F802" s="486">
        <v>0</v>
      </c>
      <c r="G802" s="487">
        <v>4.386574074074074E-2</v>
      </c>
    </row>
    <row r="803" spans="4:7">
      <c r="D803" s="485">
        <v>43040</v>
      </c>
      <c r="E803" s="467" t="s">
        <v>636</v>
      </c>
      <c r="F803" s="486">
        <v>189</v>
      </c>
      <c r="G803" s="487">
        <v>2.3263888888888887E-3</v>
      </c>
    </row>
    <row r="804" spans="4:7">
      <c r="D804" s="485">
        <v>43045</v>
      </c>
      <c r="E804" s="467" t="s">
        <v>109</v>
      </c>
      <c r="F804" s="488" t="s">
        <v>1281</v>
      </c>
      <c r="G804" s="487">
        <v>3.2326388888888884E-2</v>
      </c>
    </row>
    <row r="805" spans="4:7">
      <c r="D805" s="485">
        <v>43052</v>
      </c>
      <c r="E805" s="467" t="s">
        <v>197</v>
      </c>
      <c r="F805" s="486">
        <v>189</v>
      </c>
      <c r="G805" s="487">
        <v>8.0069444444444443E-2</v>
      </c>
    </row>
    <row r="806" spans="4:7">
      <c r="D806" s="485">
        <v>43052</v>
      </c>
      <c r="E806" s="467" t="s">
        <v>109</v>
      </c>
      <c r="F806" s="486">
        <v>189</v>
      </c>
      <c r="G806" s="487">
        <v>7.8101851851851853E-2</v>
      </c>
    </row>
    <row r="807" spans="4:7">
      <c r="D807" s="485">
        <v>43054</v>
      </c>
      <c r="E807" s="467" t="s">
        <v>114</v>
      </c>
      <c r="F807" s="486">
        <v>4</v>
      </c>
      <c r="G807" s="487">
        <v>5.0370370370370371E-2</v>
      </c>
    </row>
    <row r="808" spans="4:7">
      <c r="D808" s="485">
        <v>43059</v>
      </c>
      <c r="E808" s="467" t="s">
        <v>109</v>
      </c>
      <c r="F808" s="488" t="s">
        <v>1511</v>
      </c>
      <c r="G808" s="487">
        <v>8.4027777777777771E-2</v>
      </c>
    </row>
    <row r="809" spans="4:7">
      <c r="D809" s="485">
        <v>43066</v>
      </c>
      <c r="E809" s="467" t="s">
        <v>109</v>
      </c>
      <c r="F809" s="486">
        <v>106</v>
      </c>
      <c r="G809" s="487">
        <v>7.1782407407407406E-2</v>
      </c>
    </row>
    <row r="810" spans="4:7">
      <c r="D810" s="485">
        <v>43070</v>
      </c>
      <c r="E810" s="467" t="s">
        <v>109</v>
      </c>
      <c r="F810" s="486">
        <v>0</v>
      </c>
      <c r="G810" s="487">
        <v>4.1898148148148146E-3</v>
      </c>
    </row>
    <row r="811" spans="4:7">
      <c r="D811" s="485">
        <v>43071</v>
      </c>
      <c r="E811" s="467" t="s">
        <v>109</v>
      </c>
      <c r="F811" s="486">
        <v>0</v>
      </c>
      <c r="G811" s="487">
        <v>4.5254629629629629E-3</v>
      </c>
    </row>
    <row r="812" spans="4:7">
      <c r="D812" s="485">
        <v>43072</v>
      </c>
      <c r="E812" s="467" t="s">
        <v>109</v>
      </c>
      <c r="F812" s="488" t="s">
        <v>514</v>
      </c>
      <c r="G812" s="487">
        <v>2.3518518518518518E-2</v>
      </c>
    </row>
    <row r="813" spans="4:7">
      <c r="D813" s="485">
        <v>43073</v>
      </c>
      <c r="E813" s="467" t="s">
        <v>109</v>
      </c>
      <c r="F813" s="486">
        <v>0</v>
      </c>
      <c r="G813" s="487">
        <v>4.6990740740740743E-3</v>
      </c>
    </row>
    <row r="814" spans="4:7">
      <c r="D814" s="485">
        <v>43074</v>
      </c>
      <c r="E814" s="467" t="s">
        <v>109</v>
      </c>
      <c r="F814" s="486">
        <v>0</v>
      </c>
      <c r="G814" s="487">
        <v>5.37037037037037E-3</v>
      </c>
    </row>
    <row r="815" spans="4:7">
      <c r="D815" s="485">
        <v>43075</v>
      </c>
      <c r="E815" s="467" t="s">
        <v>109</v>
      </c>
      <c r="F815" s="486">
        <v>0</v>
      </c>
      <c r="G815" s="487">
        <v>1.5243055555555557E-2</v>
      </c>
    </row>
    <row r="816" spans="4:7">
      <c r="D816" s="485">
        <v>43076</v>
      </c>
      <c r="E816" s="467" t="s">
        <v>109</v>
      </c>
      <c r="F816" s="486">
        <v>0</v>
      </c>
      <c r="G816" s="487">
        <v>1.8530092592592595E-2</v>
      </c>
    </row>
    <row r="817" spans="4:7">
      <c r="D817" s="485">
        <v>43077</v>
      </c>
      <c r="E817" s="467" t="s">
        <v>109</v>
      </c>
      <c r="F817" s="486">
        <v>0</v>
      </c>
      <c r="G817" s="487">
        <v>4.8263888888888887E-3</v>
      </c>
    </row>
    <row r="818" spans="4:7">
      <c r="D818" s="485">
        <v>43078</v>
      </c>
      <c r="E818" s="467" t="s">
        <v>109</v>
      </c>
      <c r="F818" s="486">
        <v>0</v>
      </c>
      <c r="G818" s="487">
        <v>1.0671296296296297E-2</v>
      </c>
    </row>
    <row r="819" spans="4:7">
      <c r="D819" s="485">
        <v>43079</v>
      </c>
      <c r="E819" s="467" t="s">
        <v>109</v>
      </c>
      <c r="F819" s="486">
        <v>17</v>
      </c>
      <c r="G819" s="487">
        <v>8.3611111111111122E-2</v>
      </c>
    </row>
    <row r="820" spans="4:7">
      <c r="D820" s="485">
        <v>43080</v>
      </c>
      <c r="E820" s="467" t="s">
        <v>109</v>
      </c>
      <c r="F820" s="486">
        <v>0</v>
      </c>
      <c r="G820" s="487">
        <v>5.0578703703703706E-3</v>
      </c>
    </row>
    <row r="821" spans="4:7">
      <c r="D821" s="485">
        <v>43081</v>
      </c>
      <c r="E821" s="467" t="s">
        <v>109</v>
      </c>
      <c r="F821" s="486">
        <v>0</v>
      </c>
      <c r="G821" s="487">
        <v>3.4375E-3</v>
      </c>
    </row>
    <row r="822" spans="4:7">
      <c r="D822" s="485">
        <v>43082</v>
      </c>
      <c r="E822" s="467" t="s">
        <v>109</v>
      </c>
      <c r="F822" s="486">
        <v>0</v>
      </c>
      <c r="G822" s="487">
        <v>4.2939814814814811E-3</v>
      </c>
    </row>
    <row r="823" spans="4:7">
      <c r="D823" s="485">
        <v>43083</v>
      </c>
      <c r="E823" s="467" t="s">
        <v>109</v>
      </c>
      <c r="F823" s="486">
        <v>0</v>
      </c>
      <c r="G823" s="487">
        <v>4.7222222222222223E-3</v>
      </c>
    </row>
    <row r="824" spans="4:7">
      <c r="D824" s="485">
        <v>43084</v>
      </c>
      <c r="E824" s="467" t="s">
        <v>109</v>
      </c>
      <c r="F824" s="486">
        <v>0</v>
      </c>
      <c r="G824" s="487">
        <v>4.3981481481481484E-3</v>
      </c>
    </row>
    <row r="825" spans="4:7">
      <c r="D825" s="485">
        <v>43085</v>
      </c>
      <c r="E825" s="467" t="s">
        <v>109</v>
      </c>
      <c r="F825" s="486">
        <v>0</v>
      </c>
      <c r="G825" s="487">
        <v>4.3055555555555555E-3</v>
      </c>
    </row>
    <row r="826" spans="4:7">
      <c r="D826" s="485">
        <v>43086</v>
      </c>
      <c r="E826" s="467" t="s">
        <v>109</v>
      </c>
      <c r="F826" s="488" t="s">
        <v>1554</v>
      </c>
      <c r="G826" s="487">
        <v>8.6226851851851846E-3</v>
      </c>
    </row>
    <row r="827" spans="4:7">
      <c r="D827" s="485">
        <v>43087</v>
      </c>
      <c r="E827" s="467" t="s">
        <v>109</v>
      </c>
      <c r="F827" s="486">
        <v>0</v>
      </c>
      <c r="G827" s="487">
        <v>7.3032407407407412E-3</v>
      </c>
    </row>
    <row r="828" spans="4:7">
      <c r="D828" s="485">
        <v>43088</v>
      </c>
      <c r="E828" s="467" t="s">
        <v>2762</v>
      </c>
      <c r="F828" s="486">
        <v>0</v>
      </c>
      <c r="G828" s="487">
        <v>4.4664351851851851E-2</v>
      </c>
    </row>
    <row r="829" spans="4:7">
      <c r="D829" s="485">
        <v>43088</v>
      </c>
      <c r="E829" s="467" t="s">
        <v>109</v>
      </c>
      <c r="F829" s="486">
        <v>0</v>
      </c>
      <c r="G829" s="487">
        <v>4.8495370370370368E-3</v>
      </c>
    </row>
    <row r="830" spans="4:7">
      <c r="D830" s="489">
        <v>43088</v>
      </c>
      <c r="E830" s="467" t="s">
        <v>1355</v>
      </c>
      <c r="F830" s="483">
        <v>0</v>
      </c>
      <c r="G830" s="490">
        <v>9.3287037037037036E-3</v>
      </c>
    </row>
    <row r="831" spans="4:7">
      <c r="D831" s="485">
        <v>43089</v>
      </c>
      <c r="E831" s="467" t="s">
        <v>109</v>
      </c>
      <c r="F831" s="486">
        <v>0</v>
      </c>
      <c r="G831" s="487">
        <v>3.0671296296296297E-3</v>
      </c>
    </row>
    <row r="832" spans="4:7">
      <c r="D832" s="485">
        <v>43090</v>
      </c>
      <c r="E832" s="467" t="s">
        <v>109</v>
      </c>
      <c r="F832" s="486">
        <v>0</v>
      </c>
      <c r="G832" s="487">
        <v>1.252314814814815E-2</v>
      </c>
    </row>
    <row r="833" spans="4:7">
      <c r="D833" s="485">
        <v>43091</v>
      </c>
      <c r="E833" s="467" t="s">
        <v>109</v>
      </c>
      <c r="F833" s="488" t="s">
        <v>1436</v>
      </c>
      <c r="G833" s="487">
        <v>2.7418981481481485E-2</v>
      </c>
    </row>
    <row r="834" spans="4:7">
      <c r="D834" s="485">
        <v>43092</v>
      </c>
      <c r="E834" s="467" t="s">
        <v>109</v>
      </c>
      <c r="F834" s="488" t="s">
        <v>1506</v>
      </c>
      <c r="G834" s="487">
        <v>2.7152777777777779E-2</v>
      </c>
    </row>
    <row r="835" spans="4:7">
      <c r="D835" s="485">
        <v>43093</v>
      </c>
      <c r="E835" s="467" t="s">
        <v>197</v>
      </c>
      <c r="F835" s="486">
        <v>30</v>
      </c>
      <c r="G835" s="487">
        <v>2.1099537037037038E-2</v>
      </c>
    </row>
    <row r="836" spans="4:7">
      <c r="D836" s="485">
        <v>43093</v>
      </c>
      <c r="E836" s="467" t="s">
        <v>109</v>
      </c>
      <c r="F836" s="488" t="s">
        <v>110</v>
      </c>
      <c r="G836" s="487">
        <v>6.6180555555555562E-2</v>
      </c>
    </row>
    <row r="837" spans="4:7">
      <c r="D837" s="485">
        <v>43104</v>
      </c>
      <c r="E837" s="467" t="s">
        <v>396</v>
      </c>
      <c r="F837" s="486">
        <v>140</v>
      </c>
      <c r="G837" s="487">
        <v>7.6099537037037035E-2</v>
      </c>
    </row>
    <row r="838" spans="4:7">
      <c r="D838" s="485">
        <v>43110</v>
      </c>
      <c r="E838" s="467" t="s">
        <v>109</v>
      </c>
      <c r="F838" s="488" t="s">
        <v>1282</v>
      </c>
      <c r="G838" s="487">
        <v>7.7696759259259257E-2</v>
      </c>
    </row>
    <row r="839" spans="4:7">
      <c r="D839" s="485">
        <v>43124</v>
      </c>
      <c r="E839" s="467" t="s">
        <v>636</v>
      </c>
      <c r="F839" s="486">
        <v>190</v>
      </c>
      <c r="G839" s="487">
        <v>3.0439814814814821E-3</v>
      </c>
    </row>
    <row r="840" spans="4:7">
      <c r="D840" s="485">
        <v>43124</v>
      </c>
      <c r="E840" s="467" t="s">
        <v>109</v>
      </c>
      <c r="F840" s="486">
        <v>109</v>
      </c>
      <c r="G840" s="487">
        <v>6.3067129629629626E-2</v>
      </c>
    </row>
    <row r="841" spans="4:7">
      <c r="D841" s="485">
        <v>43131</v>
      </c>
      <c r="E841" s="467" t="s">
        <v>109</v>
      </c>
      <c r="F841" s="486">
        <v>2</v>
      </c>
      <c r="G841" s="487">
        <v>8.9212962962962952E-2</v>
      </c>
    </row>
    <row r="842" spans="4:7">
      <c r="D842" s="485">
        <v>43145</v>
      </c>
      <c r="E842" s="467" t="s">
        <v>416</v>
      </c>
      <c r="F842" s="486">
        <v>0</v>
      </c>
      <c r="G842" s="487">
        <v>4.927083333333334E-2</v>
      </c>
    </row>
    <row r="843" spans="4:7">
      <c r="D843" s="485">
        <v>43145</v>
      </c>
      <c r="E843" s="467" t="s">
        <v>109</v>
      </c>
      <c r="F843" s="488" t="s">
        <v>1283</v>
      </c>
      <c r="G843" s="487">
        <v>3.1469907407407412E-2</v>
      </c>
    </row>
    <row r="844" spans="4:7">
      <c r="D844" s="485">
        <v>43154</v>
      </c>
      <c r="E844" s="467" t="s">
        <v>636</v>
      </c>
      <c r="F844" s="486">
        <v>191</v>
      </c>
      <c r="G844" s="487">
        <v>2.3958333333333336E-3</v>
      </c>
    </row>
    <row r="845" spans="4:7">
      <c r="D845" s="489">
        <v>43163</v>
      </c>
      <c r="E845" s="467" t="s">
        <v>1230</v>
      </c>
      <c r="F845" s="483">
        <v>191</v>
      </c>
      <c r="G845" s="490">
        <v>7.4421296296296293E-3</v>
      </c>
    </row>
    <row r="846" spans="4:7">
      <c r="D846" s="485">
        <v>43167</v>
      </c>
      <c r="E846" s="467" t="s">
        <v>109</v>
      </c>
      <c r="F846" s="486">
        <v>47</v>
      </c>
      <c r="G846" s="487">
        <v>8.4606481481481477E-2</v>
      </c>
    </row>
    <row r="847" spans="4:7">
      <c r="D847" s="485">
        <v>43168</v>
      </c>
      <c r="E847" s="467" t="s">
        <v>44</v>
      </c>
      <c r="F847" s="486">
        <v>6</v>
      </c>
      <c r="G847" s="487">
        <v>6.0995370370370366E-2</v>
      </c>
    </row>
    <row r="848" spans="4:7">
      <c r="D848" s="485">
        <v>43169</v>
      </c>
      <c r="E848" s="467" t="s">
        <v>197</v>
      </c>
      <c r="F848" s="486">
        <v>4</v>
      </c>
      <c r="G848" s="487">
        <v>2.8819444444444443E-2</v>
      </c>
    </row>
    <row r="849" spans="4:7">
      <c r="D849" s="485">
        <v>43179</v>
      </c>
      <c r="E849" s="467" t="s">
        <v>416</v>
      </c>
      <c r="F849" s="486">
        <v>0</v>
      </c>
      <c r="G849" s="487">
        <v>8.7037037037037031E-3</v>
      </c>
    </row>
    <row r="850" spans="4:7">
      <c r="D850" s="485">
        <v>43179</v>
      </c>
      <c r="E850" s="467" t="s">
        <v>109</v>
      </c>
      <c r="F850" s="486">
        <v>49</v>
      </c>
      <c r="G850" s="487">
        <v>6.6944444444444445E-2</v>
      </c>
    </row>
    <row r="851" spans="4:7">
      <c r="D851" s="485">
        <v>43179</v>
      </c>
      <c r="E851" s="467" t="s">
        <v>44</v>
      </c>
      <c r="F851" s="486">
        <v>99</v>
      </c>
      <c r="G851" s="487">
        <v>4.6504629629629625E-2</v>
      </c>
    </row>
    <row r="852" spans="4:7">
      <c r="D852" s="489">
        <v>43190</v>
      </c>
      <c r="E852" s="467" t="s">
        <v>1230</v>
      </c>
      <c r="F852" s="483">
        <v>192</v>
      </c>
      <c r="G852" s="490">
        <v>8.8773148148148153E-3</v>
      </c>
    </row>
    <row r="853" spans="4:7">
      <c r="D853" s="489">
        <v>43190</v>
      </c>
      <c r="E853" s="467" t="s">
        <v>2801</v>
      </c>
      <c r="F853" s="483">
        <v>0</v>
      </c>
      <c r="G853" s="490">
        <v>1.7696759259259259E-2</v>
      </c>
    </row>
    <row r="854" spans="4:7">
      <c r="D854" s="485">
        <v>43191</v>
      </c>
      <c r="E854" s="467" t="s">
        <v>109</v>
      </c>
      <c r="F854" s="486">
        <v>52</v>
      </c>
      <c r="G854" s="487">
        <v>7.9907407407407413E-2</v>
      </c>
    </row>
    <row r="855" spans="4:7">
      <c r="D855" s="485">
        <v>43195</v>
      </c>
      <c r="E855" s="467" t="s">
        <v>44</v>
      </c>
      <c r="F855" s="486">
        <v>27</v>
      </c>
      <c r="G855" s="487">
        <v>6.598379629629629E-2</v>
      </c>
    </row>
    <row r="856" spans="4:7">
      <c r="D856" s="485">
        <v>43206</v>
      </c>
      <c r="E856" s="467" t="s">
        <v>109</v>
      </c>
      <c r="F856" s="486">
        <v>131</v>
      </c>
      <c r="G856" s="487">
        <v>7.856481481481481E-2</v>
      </c>
    </row>
    <row r="857" spans="4:7">
      <c r="D857" s="485">
        <v>43207</v>
      </c>
      <c r="E857" s="467" t="s">
        <v>114</v>
      </c>
      <c r="F857" s="486">
        <v>64</v>
      </c>
      <c r="G857" s="487">
        <v>5.9236111111111107E-2</v>
      </c>
    </row>
    <row r="858" spans="4:7">
      <c r="D858" s="485">
        <v>43209</v>
      </c>
      <c r="E858" s="467" t="s">
        <v>109</v>
      </c>
      <c r="F858" s="486">
        <v>103</v>
      </c>
      <c r="G858" s="487">
        <v>6.8171296296296299E-2</v>
      </c>
    </row>
    <row r="859" spans="4:7">
      <c r="D859" s="485">
        <v>43210</v>
      </c>
      <c r="E859" s="467" t="s">
        <v>44</v>
      </c>
      <c r="F859" s="486">
        <v>39</v>
      </c>
      <c r="G859" s="487">
        <v>5.8437499999999996E-2</v>
      </c>
    </row>
    <row r="860" spans="4:7">
      <c r="D860" s="485">
        <v>43211</v>
      </c>
      <c r="E860" s="467" t="s">
        <v>416</v>
      </c>
      <c r="F860" s="488" t="s">
        <v>1438</v>
      </c>
      <c r="G860" s="487">
        <v>1.653935185185185E-2</v>
      </c>
    </row>
    <row r="861" spans="4:7">
      <c r="D861" s="485">
        <v>43211</v>
      </c>
      <c r="E861" s="467" t="s">
        <v>416</v>
      </c>
      <c r="F861" s="486">
        <v>12</v>
      </c>
      <c r="G861" s="487">
        <v>2.4502314814814814E-2</v>
      </c>
    </row>
    <row r="862" spans="4:7">
      <c r="D862" s="485">
        <v>43219</v>
      </c>
      <c r="E862" s="467" t="s">
        <v>636</v>
      </c>
      <c r="F862" s="486">
        <v>192</v>
      </c>
      <c r="G862" s="487">
        <v>4.3287037037037035E-3</v>
      </c>
    </row>
    <row r="863" spans="4:7">
      <c r="D863" s="485">
        <v>43220</v>
      </c>
      <c r="E863" s="467" t="s">
        <v>109</v>
      </c>
      <c r="F863" s="488" t="s">
        <v>1284</v>
      </c>
      <c r="G863" s="487">
        <v>3.8599537037037036E-2</v>
      </c>
    </row>
    <row r="864" spans="4:7">
      <c r="D864" s="485">
        <v>43237</v>
      </c>
      <c r="E864" s="467" t="s">
        <v>109</v>
      </c>
      <c r="F864" s="488" t="s">
        <v>1512</v>
      </c>
      <c r="G864" s="487">
        <v>3.9722222222222221E-2</v>
      </c>
    </row>
    <row r="865" spans="4:7">
      <c r="D865" s="485">
        <v>43238</v>
      </c>
      <c r="E865" s="467" t="s">
        <v>44</v>
      </c>
      <c r="F865" s="486">
        <v>103</v>
      </c>
      <c r="G865" s="487">
        <v>6.9456018518518514E-2</v>
      </c>
    </row>
    <row r="866" spans="4:7">
      <c r="D866" s="485">
        <v>43250</v>
      </c>
      <c r="E866" s="467" t="s">
        <v>109</v>
      </c>
      <c r="F866" s="486">
        <v>167</v>
      </c>
      <c r="G866" s="487">
        <v>7.3275462962962959E-2</v>
      </c>
    </row>
    <row r="867" spans="4:7">
      <c r="D867" s="485">
        <v>43263</v>
      </c>
      <c r="E867" s="467" t="s">
        <v>109</v>
      </c>
      <c r="F867" s="486">
        <v>76</v>
      </c>
      <c r="G867" s="487">
        <v>6.8449074074074079E-2</v>
      </c>
    </row>
    <row r="868" spans="4:7">
      <c r="D868" s="485">
        <v>43265</v>
      </c>
      <c r="E868" s="467" t="s">
        <v>44</v>
      </c>
      <c r="F868" s="486">
        <v>18</v>
      </c>
      <c r="G868" s="487">
        <v>7.6111111111111115E-2</v>
      </c>
    </row>
    <row r="869" spans="4:7">
      <c r="D869" s="485">
        <v>43271</v>
      </c>
      <c r="E869" s="467" t="s">
        <v>109</v>
      </c>
      <c r="F869" s="488" t="s">
        <v>1285</v>
      </c>
      <c r="G869" s="487">
        <v>3.0300925925925926E-2</v>
      </c>
    </row>
    <row r="870" spans="4:7">
      <c r="D870" s="485">
        <v>43280</v>
      </c>
      <c r="E870" s="467" t="s">
        <v>636</v>
      </c>
      <c r="F870" s="486">
        <v>193</v>
      </c>
      <c r="G870" s="487">
        <v>3.8657407407407408E-3</v>
      </c>
    </row>
    <row r="871" spans="4:7">
      <c r="D871" s="485">
        <v>43282</v>
      </c>
      <c r="E871" s="467" t="s">
        <v>109</v>
      </c>
      <c r="F871" s="488" t="s">
        <v>1513</v>
      </c>
      <c r="G871" s="487">
        <v>2.7430555555555555E-2</v>
      </c>
    </row>
    <row r="872" spans="4:7">
      <c r="D872" s="485">
        <v>43283</v>
      </c>
      <c r="E872" s="467" t="s">
        <v>109</v>
      </c>
      <c r="F872" s="486">
        <v>100</v>
      </c>
      <c r="G872" s="487">
        <v>7.66087962962963E-2</v>
      </c>
    </row>
    <row r="873" spans="4:7">
      <c r="D873" s="485">
        <v>43288</v>
      </c>
      <c r="E873" s="467" t="s">
        <v>44</v>
      </c>
      <c r="F873" s="486">
        <v>80</v>
      </c>
      <c r="G873" s="487">
        <v>7.2534722222222223E-2</v>
      </c>
    </row>
    <row r="874" spans="4:7">
      <c r="D874" s="485">
        <v>43295</v>
      </c>
      <c r="E874" s="467" t="s">
        <v>109</v>
      </c>
      <c r="F874" s="486">
        <v>100</v>
      </c>
      <c r="G874" s="487">
        <v>6.4375000000000002E-2</v>
      </c>
    </row>
    <row r="875" spans="4:7">
      <c r="D875" s="485">
        <v>43297</v>
      </c>
      <c r="E875" s="467" t="s">
        <v>114</v>
      </c>
      <c r="F875" s="486">
        <v>5</v>
      </c>
      <c r="G875" s="487">
        <v>6.3900462962962964E-2</v>
      </c>
    </row>
    <row r="876" spans="4:7">
      <c r="D876" s="485">
        <v>43298</v>
      </c>
      <c r="E876" s="467" t="s">
        <v>109</v>
      </c>
      <c r="F876" s="486">
        <v>100</v>
      </c>
      <c r="G876" s="487">
        <v>6.2013888888888889E-2</v>
      </c>
    </row>
    <row r="877" spans="4:7">
      <c r="D877" s="485">
        <v>43307</v>
      </c>
      <c r="E877" s="467" t="s">
        <v>109</v>
      </c>
      <c r="F877" s="486">
        <v>63</v>
      </c>
      <c r="G877" s="487">
        <v>7.8009259259259264E-2</v>
      </c>
    </row>
    <row r="878" spans="4:7">
      <c r="D878" s="485">
        <v>43311</v>
      </c>
      <c r="E878" s="467" t="s">
        <v>44</v>
      </c>
      <c r="F878" s="486">
        <v>105</v>
      </c>
      <c r="G878" s="487">
        <v>6.8171296296296299E-2</v>
      </c>
    </row>
    <row r="879" spans="4:7">
      <c r="D879" s="485">
        <v>43314</v>
      </c>
      <c r="E879" s="467" t="s">
        <v>109</v>
      </c>
      <c r="F879" s="488" t="s">
        <v>1286</v>
      </c>
      <c r="G879" s="487">
        <v>1.269675925925926E-2</v>
      </c>
    </row>
    <row r="880" spans="4:7">
      <c r="D880" s="485">
        <v>43323</v>
      </c>
      <c r="E880" s="467" t="s">
        <v>109</v>
      </c>
      <c r="F880" s="486">
        <v>152</v>
      </c>
      <c r="G880" s="487">
        <v>7.5995370370370366E-2</v>
      </c>
    </row>
    <row r="881" spans="4:7">
      <c r="D881" s="485">
        <v>43332</v>
      </c>
      <c r="E881" s="467" t="s">
        <v>114</v>
      </c>
      <c r="F881" s="486">
        <v>80</v>
      </c>
      <c r="G881" s="487">
        <v>4.4224537037037041E-2</v>
      </c>
    </row>
    <row r="882" spans="4:7">
      <c r="D882" s="485">
        <v>43333</v>
      </c>
      <c r="E882" s="467" t="s">
        <v>197</v>
      </c>
      <c r="F882" s="486">
        <v>5</v>
      </c>
      <c r="G882" s="487">
        <v>6.4050925925925928E-2</v>
      </c>
    </row>
    <row r="883" spans="4:7">
      <c r="D883" s="485">
        <v>43336</v>
      </c>
      <c r="E883" s="467" t="s">
        <v>636</v>
      </c>
      <c r="F883" s="486">
        <v>194</v>
      </c>
      <c r="G883" s="487">
        <v>2.3379629629629631E-3</v>
      </c>
    </row>
    <row r="884" spans="4:7">
      <c r="D884" s="485">
        <v>43338</v>
      </c>
      <c r="E884" s="467" t="s">
        <v>44</v>
      </c>
      <c r="F884" s="486">
        <v>5</v>
      </c>
      <c r="G884" s="487">
        <v>7.6574074074074072E-2</v>
      </c>
    </row>
    <row r="885" spans="4:7">
      <c r="D885" s="485">
        <v>43354</v>
      </c>
      <c r="E885" s="467" t="s">
        <v>109</v>
      </c>
      <c r="F885" s="486">
        <v>0</v>
      </c>
      <c r="G885" s="487">
        <v>7.8796296296296295E-2</v>
      </c>
    </row>
    <row r="886" spans="4:7">
      <c r="D886" s="485">
        <v>43367</v>
      </c>
      <c r="E886" s="467" t="s">
        <v>109</v>
      </c>
      <c r="F886" s="486">
        <v>142</v>
      </c>
      <c r="G886" s="487">
        <v>6.9791666666666669E-2</v>
      </c>
    </row>
    <row r="887" spans="4:7">
      <c r="D887" s="485">
        <v>43368</v>
      </c>
      <c r="E887" s="467" t="s">
        <v>114</v>
      </c>
      <c r="F887" s="486">
        <v>6</v>
      </c>
      <c r="G887" s="487">
        <v>6.7245370370370372E-2</v>
      </c>
    </row>
    <row r="888" spans="4:7">
      <c r="D888" s="485">
        <v>43373</v>
      </c>
      <c r="E888" s="467" t="s">
        <v>44</v>
      </c>
      <c r="F888" s="486">
        <v>1</v>
      </c>
      <c r="G888" s="487">
        <v>8.2812499999999997E-2</v>
      </c>
    </row>
    <row r="889" spans="4:7">
      <c r="D889" s="485">
        <v>43375</v>
      </c>
      <c r="E889" s="467" t="s">
        <v>109</v>
      </c>
      <c r="F889" s="488" t="s">
        <v>1514</v>
      </c>
      <c r="G889" s="487">
        <v>4.3750000000000004E-2</v>
      </c>
    </row>
    <row r="890" spans="4:7">
      <c r="D890" s="485">
        <v>43379</v>
      </c>
      <c r="E890" s="467" t="s">
        <v>109</v>
      </c>
      <c r="F890" s="488" t="s">
        <v>1507</v>
      </c>
      <c r="G890" s="487">
        <v>5.2210648148148152E-2</v>
      </c>
    </row>
    <row r="891" spans="4:7">
      <c r="D891" s="485">
        <v>43385</v>
      </c>
      <c r="E891" s="467" t="s">
        <v>416</v>
      </c>
      <c r="F891" s="486">
        <v>14</v>
      </c>
      <c r="G891" s="487">
        <v>1.9259259259259261E-2</v>
      </c>
    </row>
    <row r="892" spans="4:7">
      <c r="D892" s="485">
        <v>43385</v>
      </c>
      <c r="E892" s="467" t="s">
        <v>109</v>
      </c>
      <c r="F892" s="486">
        <v>120</v>
      </c>
      <c r="G892" s="487">
        <v>6.9085648148148146E-2</v>
      </c>
    </row>
    <row r="893" spans="4:7">
      <c r="D893" s="485">
        <v>43385</v>
      </c>
      <c r="E893" s="467" t="s">
        <v>2831</v>
      </c>
      <c r="F893" s="486">
        <v>0</v>
      </c>
      <c r="G893" s="487">
        <v>2.8472222222222219E-3</v>
      </c>
    </row>
    <row r="894" spans="4:7">
      <c r="D894" s="485">
        <v>43397</v>
      </c>
      <c r="E894" s="467" t="s">
        <v>109</v>
      </c>
      <c r="F894" s="488" t="s">
        <v>1287</v>
      </c>
      <c r="G894" s="487">
        <v>4.3182870370370365E-2</v>
      </c>
    </row>
    <row r="895" spans="4:7">
      <c r="D895" s="485">
        <v>43401</v>
      </c>
      <c r="E895" s="467" t="s">
        <v>416</v>
      </c>
      <c r="F895" s="486">
        <v>0</v>
      </c>
      <c r="G895" s="487">
        <v>7.8819444444444432E-3</v>
      </c>
    </row>
    <row r="896" spans="4:7">
      <c r="D896" s="485">
        <v>43403</v>
      </c>
      <c r="E896" s="467" t="s">
        <v>109</v>
      </c>
      <c r="F896" s="486">
        <v>21</v>
      </c>
      <c r="G896" s="487">
        <v>6.0312499999999998E-2</v>
      </c>
    </row>
    <row r="897" spans="4:7">
      <c r="D897" s="485">
        <v>43403</v>
      </c>
      <c r="E897" s="467" t="s">
        <v>44</v>
      </c>
      <c r="F897" s="486">
        <v>149</v>
      </c>
      <c r="G897" s="487">
        <v>8.3217592592592593E-2</v>
      </c>
    </row>
    <row r="898" spans="4:7">
      <c r="D898" s="485">
        <v>43404</v>
      </c>
      <c r="E898" s="467" t="s">
        <v>636</v>
      </c>
      <c r="F898" s="486">
        <v>195</v>
      </c>
      <c r="G898" s="487">
        <v>4.7106481481481478E-3</v>
      </c>
    </row>
    <row r="899" spans="4:7">
      <c r="D899" s="485">
        <v>43413</v>
      </c>
      <c r="E899" s="467" t="s">
        <v>109</v>
      </c>
      <c r="F899" s="486">
        <v>54</v>
      </c>
      <c r="G899" s="487">
        <v>6.356481481481481E-2</v>
      </c>
    </row>
    <row r="900" spans="4:7">
      <c r="D900" s="485">
        <v>43423</v>
      </c>
      <c r="E900" s="467" t="s">
        <v>109</v>
      </c>
      <c r="F900" s="488" t="s">
        <v>1515</v>
      </c>
      <c r="G900" s="487">
        <v>4.760416666666667E-2</v>
      </c>
    </row>
    <row r="901" spans="4:7">
      <c r="D901" s="485">
        <v>43429</v>
      </c>
      <c r="E901" s="467" t="s">
        <v>197</v>
      </c>
      <c r="F901" s="486">
        <v>103</v>
      </c>
      <c r="G901" s="487">
        <v>0.10118055555555555</v>
      </c>
    </row>
    <row r="902" spans="4:7">
      <c r="D902" s="485">
        <v>43433</v>
      </c>
      <c r="E902" s="467" t="s">
        <v>1229</v>
      </c>
      <c r="F902" s="488" t="s">
        <v>20</v>
      </c>
      <c r="G902" s="487">
        <v>7.1678240740740737E-2</v>
      </c>
    </row>
    <row r="903" spans="4:7">
      <c r="D903" s="485">
        <v>43433</v>
      </c>
      <c r="E903" s="467" t="s">
        <v>1229</v>
      </c>
      <c r="F903" s="488" t="s">
        <v>17</v>
      </c>
      <c r="G903" s="487">
        <v>5.9027777777777783E-2</v>
      </c>
    </row>
    <row r="904" spans="4:7">
      <c r="D904" s="485">
        <v>43434</v>
      </c>
      <c r="E904" s="467" t="s">
        <v>44</v>
      </c>
      <c r="F904" s="486">
        <v>98</v>
      </c>
      <c r="G904" s="487">
        <v>6.987268518518519E-2</v>
      </c>
    </row>
    <row r="905" spans="4:7">
      <c r="D905" s="485">
        <v>43434</v>
      </c>
      <c r="E905" s="467" t="s">
        <v>1229</v>
      </c>
      <c r="F905" s="488" t="s">
        <v>21</v>
      </c>
      <c r="G905" s="487">
        <v>7.2962962962962966E-2</v>
      </c>
    </row>
    <row r="906" spans="4:7">
      <c r="D906" s="485">
        <v>43435</v>
      </c>
      <c r="E906" s="467" t="s">
        <v>109</v>
      </c>
      <c r="F906" s="486">
        <v>0</v>
      </c>
      <c r="G906" s="487">
        <v>9.0046296296296298E-3</v>
      </c>
    </row>
    <row r="907" spans="4:7">
      <c r="D907" s="485">
        <v>43436</v>
      </c>
      <c r="E907" s="467" t="s">
        <v>109</v>
      </c>
      <c r="F907" s="486">
        <v>0</v>
      </c>
      <c r="G907" s="487">
        <v>7.5810185185185182E-3</v>
      </c>
    </row>
    <row r="908" spans="4:7">
      <c r="D908" s="485">
        <v>43437</v>
      </c>
      <c r="E908" s="467" t="s">
        <v>109</v>
      </c>
      <c r="F908" s="488" t="s">
        <v>15</v>
      </c>
      <c r="G908" s="487">
        <v>6.9409722222222234E-2</v>
      </c>
    </row>
    <row r="909" spans="4:7">
      <c r="D909" s="485">
        <v>43438</v>
      </c>
      <c r="E909" s="467" t="s">
        <v>109</v>
      </c>
      <c r="F909" s="486">
        <v>0</v>
      </c>
      <c r="G909" s="487">
        <v>8.2638888888888883E-3</v>
      </c>
    </row>
    <row r="910" spans="4:7">
      <c r="D910" s="485">
        <v>43439</v>
      </c>
      <c r="E910" s="467" t="s">
        <v>109</v>
      </c>
      <c r="F910" s="486">
        <v>0</v>
      </c>
      <c r="G910" s="487">
        <v>6.9212962962962969E-3</v>
      </c>
    </row>
    <row r="911" spans="4:7">
      <c r="D911" s="485">
        <v>43439</v>
      </c>
      <c r="E911" s="467" t="s">
        <v>1229</v>
      </c>
      <c r="F911" s="488" t="s">
        <v>16</v>
      </c>
      <c r="G911" s="487">
        <v>5.873842592592593E-2</v>
      </c>
    </row>
    <row r="912" spans="4:7">
      <c r="D912" s="485">
        <v>43440</v>
      </c>
      <c r="E912" s="467" t="s">
        <v>109</v>
      </c>
      <c r="F912" s="486">
        <v>0</v>
      </c>
      <c r="G912" s="487">
        <v>1.7662037037037035E-2</v>
      </c>
    </row>
    <row r="913" spans="4:7">
      <c r="D913" s="485">
        <v>43441</v>
      </c>
      <c r="E913" s="467" t="s">
        <v>109</v>
      </c>
      <c r="F913" s="486">
        <v>0</v>
      </c>
      <c r="G913" s="487">
        <v>1.2974537037037036E-2</v>
      </c>
    </row>
    <row r="914" spans="4:7">
      <c r="D914" s="485">
        <v>43442</v>
      </c>
      <c r="E914" s="467" t="s">
        <v>109</v>
      </c>
      <c r="F914" s="486">
        <v>0</v>
      </c>
      <c r="G914" s="487">
        <v>1.1064814814814814E-2</v>
      </c>
    </row>
    <row r="915" spans="4:7">
      <c r="D915" s="485">
        <v>43443</v>
      </c>
      <c r="E915" s="467" t="s">
        <v>109</v>
      </c>
      <c r="F915" s="486">
        <v>0</v>
      </c>
      <c r="G915" s="487">
        <v>1.0891203703703703E-2</v>
      </c>
    </row>
    <row r="916" spans="4:7">
      <c r="D916" s="485">
        <v>43443</v>
      </c>
      <c r="E916" s="467" t="s">
        <v>1229</v>
      </c>
      <c r="F916" s="488" t="s">
        <v>19</v>
      </c>
      <c r="G916" s="487">
        <v>6.9386574074074073E-2</v>
      </c>
    </row>
    <row r="917" spans="4:7">
      <c r="D917" s="485">
        <v>43444</v>
      </c>
      <c r="E917" s="467" t="s">
        <v>109</v>
      </c>
      <c r="F917" s="486">
        <v>37</v>
      </c>
      <c r="G917" s="487">
        <v>6.2037037037037036E-2</v>
      </c>
    </row>
    <row r="918" spans="4:7">
      <c r="D918" s="485">
        <v>43445</v>
      </c>
      <c r="E918" s="467" t="s">
        <v>109</v>
      </c>
      <c r="F918" s="486">
        <v>0</v>
      </c>
      <c r="G918" s="487">
        <v>1.1666666666666667E-2</v>
      </c>
    </row>
    <row r="919" spans="4:7">
      <c r="D919" s="485">
        <v>43446</v>
      </c>
      <c r="E919" s="467" t="s">
        <v>636</v>
      </c>
      <c r="F919" s="488" t="s">
        <v>627</v>
      </c>
      <c r="G919" s="487">
        <v>4.6412037037037038E-3</v>
      </c>
    </row>
    <row r="920" spans="4:7">
      <c r="D920" s="485">
        <v>43446</v>
      </c>
      <c r="E920" s="467" t="s">
        <v>109</v>
      </c>
      <c r="F920" s="486">
        <v>0</v>
      </c>
      <c r="G920" s="487">
        <v>8.6921296296296312E-3</v>
      </c>
    </row>
    <row r="921" spans="4:7">
      <c r="D921" s="485">
        <v>43447</v>
      </c>
      <c r="E921" s="467" t="s">
        <v>109</v>
      </c>
      <c r="F921" s="486">
        <v>0</v>
      </c>
      <c r="G921" s="487">
        <v>1.0856481481481481E-2</v>
      </c>
    </row>
    <row r="922" spans="4:7">
      <c r="D922" s="485">
        <v>43448</v>
      </c>
      <c r="E922" s="467" t="s">
        <v>109</v>
      </c>
      <c r="F922" s="486">
        <v>0</v>
      </c>
      <c r="G922" s="487">
        <v>1.9212962962962963E-2</v>
      </c>
    </row>
    <row r="923" spans="4:7">
      <c r="D923" s="485">
        <v>43449</v>
      </c>
      <c r="E923" s="467" t="s">
        <v>109</v>
      </c>
      <c r="F923" s="486">
        <v>0</v>
      </c>
      <c r="G923" s="487">
        <v>7.2916666666666659E-3</v>
      </c>
    </row>
    <row r="924" spans="4:7">
      <c r="D924" s="485">
        <v>43450</v>
      </c>
      <c r="E924" s="467" t="s">
        <v>109</v>
      </c>
      <c r="F924" s="486">
        <v>0</v>
      </c>
      <c r="G924" s="487">
        <v>2.5567129629629634E-2</v>
      </c>
    </row>
    <row r="925" spans="4:7">
      <c r="D925" s="485">
        <v>43450</v>
      </c>
      <c r="E925" s="467" t="s">
        <v>1229</v>
      </c>
      <c r="F925" s="488" t="s">
        <v>15</v>
      </c>
      <c r="G925" s="487">
        <v>6.6145833333333334E-2</v>
      </c>
    </row>
    <row r="926" spans="4:7">
      <c r="D926" s="485">
        <v>43451</v>
      </c>
      <c r="E926" s="467" t="s">
        <v>109</v>
      </c>
      <c r="F926" s="486">
        <v>0</v>
      </c>
      <c r="G926" s="487">
        <v>8.3680555555555557E-3</v>
      </c>
    </row>
    <row r="927" spans="4:7">
      <c r="D927" s="485">
        <v>43452</v>
      </c>
      <c r="E927" s="467" t="s">
        <v>109</v>
      </c>
      <c r="F927" s="486">
        <v>0</v>
      </c>
      <c r="G927" s="487">
        <v>1.2673611111111109E-2</v>
      </c>
    </row>
    <row r="928" spans="4:7">
      <c r="D928" s="485">
        <v>43453</v>
      </c>
      <c r="E928" s="467" t="s">
        <v>109</v>
      </c>
      <c r="F928" s="486">
        <v>0</v>
      </c>
      <c r="G928" s="487">
        <v>9.8263888888888897E-3</v>
      </c>
    </row>
    <row r="929" spans="4:7">
      <c r="D929" s="485">
        <v>43454</v>
      </c>
      <c r="E929" s="467" t="s">
        <v>109</v>
      </c>
      <c r="F929" s="486">
        <v>0</v>
      </c>
      <c r="G929" s="487">
        <v>1.3344907407407408E-2</v>
      </c>
    </row>
    <row r="930" spans="4:7">
      <c r="D930" s="485">
        <v>43455</v>
      </c>
      <c r="E930" s="467" t="s">
        <v>109</v>
      </c>
      <c r="F930" s="486">
        <v>0</v>
      </c>
      <c r="G930" s="487">
        <v>1.8680555555555554E-2</v>
      </c>
    </row>
    <row r="931" spans="4:7">
      <c r="D931" s="485">
        <v>43456</v>
      </c>
      <c r="E931" s="467" t="s">
        <v>109</v>
      </c>
      <c r="F931" s="486">
        <v>0</v>
      </c>
      <c r="G931" s="487">
        <v>1.712962962962963E-2</v>
      </c>
    </row>
    <row r="932" spans="4:7">
      <c r="D932" s="485">
        <v>43457</v>
      </c>
      <c r="E932" s="467" t="s">
        <v>197</v>
      </c>
      <c r="F932" s="486">
        <v>194</v>
      </c>
      <c r="G932" s="487">
        <v>8.0358796296296289E-2</v>
      </c>
    </row>
    <row r="933" spans="4:7">
      <c r="D933" s="485">
        <v>43457</v>
      </c>
      <c r="E933" s="467" t="s">
        <v>396</v>
      </c>
      <c r="F933" s="488" t="s">
        <v>397</v>
      </c>
      <c r="G933" s="487">
        <v>3.3587962962962965E-2</v>
      </c>
    </row>
    <row r="934" spans="4:7">
      <c r="D934" s="485">
        <v>43457</v>
      </c>
      <c r="E934" s="467" t="s">
        <v>114</v>
      </c>
      <c r="F934" s="486">
        <v>96</v>
      </c>
      <c r="G934" s="487">
        <v>5.8969907407407408E-2</v>
      </c>
    </row>
    <row r="935" spans="4:7">
      <c r="D935" s="485">
        <v>43457</v>
      </c>
      <c r="E935" s="467" t="s">
        <v>109</v>
      </c>
      <c r="F935" s="488" t="s">
        <v>1555</v>
      </c>
      <c r="G935" s="487">
        <v>1.5173611111111112E-2</v>
      </c>
    </row>
    <row r="936" spans="4:7">
      <c r="D936" s="485">
        <v>43458</v>
      </c>
      <c r="E936" s="467" t="s">
        <v>197</v>
      </c>
      <c r="F936" s="486">
        <v>88</v>
      </c>
      <c r="G936" s="487">
        <v>2.6840277777777779E-2</v>
      </c>
    </row>
    <row r="937" spans="4:7">
      <c r="D937" s="485">
        <v>43458</v>
      </c>
      <c r="E937" s="467" t="s">
        <v>109</v>
      </c>
      <c r="F937" s="486">
        <v>25</v>
      </c>
      <c r="G937" s="487">
        <v>8.1539351851851849E-2</v>
      </c>
    </row>
    <row r="938" spans="4:7">
      <c r="D938" s="485">
        <v>43458</v>
      </c>
      <c r="E938" s="467" t="s">
        <v>44</v>
      </c>
      <c r="F938" s="486">
        <v>109</v>
      </c>
      <c r="G938" s="487">
        <v>4.8923611111111105E-2</v>
      </c>
    </row>
    <row r="939" spans="4:7">
      <c r="D939" s="485">
        <v>43465</v>
      </c>
      <c r="E939" s="467" t="s">
        <v>109</v>
      </c>
      <c r="F939" s="488" t="s">
        <v>1288</v>
      </c>
      <c r="G939" s="487">
        <v>8.9016203703703708E-2</v>
      </c>
    </row>
    <row r="940" spans="4:7">
      <c r="D940" s="485">
        <v>43467</v>
      </c>
      <c r="E940" s="467" t="s">
        <v>197</v>
      </c>
      <c r="F940" s="486">
        <v>0</v>
      </c>
      <c r="G940" s="487">
        <v>7.4884259259259262E-2</v>
      </c>
    </row>
    <row r="941" spans="4:7">
      <c r="D941" s="485">
        <v>43471</v>
      </c>
      <c r="E941" s="467" t="s">
        <v>1229</v>
      </c>
      <c r="F941" s="488" t="s">
        <v>18</v>
      </c>
      <c r="G941" s="487">
        <v>5.8564814814814813E-2</v>
      </c>
    </row>
    <row r="942" spans="4:7">
      <c r="D942" s="485">
        <v>43472</v>
      </c>
      <c r="E942" s="467" t="s">
        <v>199</v>
      </c>
      <c r="F942" s="486">
        <v>11</v>
      </c>
      <c r="G942" s="487">
        <v>9.0069444444444438E-2</v>
      </c>
    </row>
    <row r="943" spans="4:7">
      <c r="D943" s="485">
        <v>43480</v>
      </c>
      <c r="E943" s="467" t="s">
        <v>44</v>
      </c>
      <c r="F943" s="486">
        <v>14</v>
      </c>
      <c r="G943" s="487">
        <v>7.6365740740740748E-2</v>
      </c>
    </row>
    <row r="944" spans="4:7">
      <c r="D944" s="485">
        <v>43484</v>
      </c>
      <c r="E944" s="467" t="s">
        <v>636</v>
      </c>
      <c r="F944" s="486">
        <v>196</v>
      </c>
      <c r="G944" s="487">
        <v>2.7083333333333334E-3</v>
      </c>
    </row>
    <row r="945" spans="4:7">
      <c r="D945" s="485">
        <v>43494</v>
      </c>
      <c r="E945" s="467" t="s">
        <v>109</v>
      </c>
      <c r="F945" s="486">
        <v>105</v>
      </c>
      <c r="G945" s="487">
        <v>7.1886574074074075E-2</v>
      </c>
    </row>
    <row r="946" spans="4:7">
      <c r="D946" s="485">
        <v>43497</v>
      </c>
      <c r="E946" s="467" t="s">
        <v>416</v>
      </c>
      <c r="F946" s="486">
        <v>186</v>
      </c>
      <c r="G946" s="487">
        <v>2.0775462962962964E-2</v>
      </c>
    </row>
    <row r="947" spans="4:7">
      <c r="D947" s="485">
        <v>43498</v>
      </c>
      <c r="E947" s="467" t="s">
        <v>44</v>
      </c>
      <c r="F947" s="488" t="s">
        <v>2448</v>
      </c>
      <c r="G947" s="487">
        <v>7.5972222222222219E-2</v>
      </c>
    </row>
    <row r="948" spans="4:7">
      <c r="D948" s="485">
        <v>43498</v>
      </c>
      <c r="E948" s="467" t="s">
        <v>199</v>
      </c>
      <c r="F948" s="486">
        <v>2</v>
      </c>
      <c r="G948" s="487">
        <v>6.6724537037037041E-2</v>
      </c>
    </row>
    <row r="949" spans="4:7">
      <c r="D949" s="485">
        <v>43502</v>
      </c>
      <c r="E949" s="467" t="s">
        <v>109</v>
      </c>
      <c r="F949" s="486">
        <v>107</v>
      </c>
      <c r="G949" s="487">
        <v>8.1516203703703702E-2</v>
      </c>
    </row>
    <row r="950" spans="4:7">
      <c r="D950" s="485">
        <v>43505</v>
      </c>
      <c r="E950" s="467" t="s">
        <v>199</v>
      </c>
      <c r="F950" s="486">
        <v>0</v>
      </c>
      <c r="G950" s="487">
        <v>1.6307870370370372E-2</v>
      </c>
    </row>
    <row r="951" spans="4:7">
      <c r="D951" s="485">
        <v>43507</v>
      </c>
      <c r="E951" s="467" t="s">
        <v>199</v>
      </c>
      <c r="F951" s="486">
        <v>73</v>
      </c>
      <c r="G951" s="487">
        <v>7.784722222222222E-2</v>
      </c>
    </row>
    <row r="952" spans="4:7">
      <c r="D952" s="485">
        <v>43511</v>
      </c>
      <c r="E952" s="467" t="s">
        <v>109</v>
      </c>
      <c r="F952" s="488" t="s">
        <v>1289</v>
      </c>
      <c r="G952" s="487">
        <v>3.8738425925925926E-2</v>
      </c>
    </row>
    <row r="953" spans="4:7">
      <c r="D953" s="485">
        <v>43519</v>
      </c>
      <c r="E953" s="467" t="s">
        <v>199</v>
      </c>
      <c r="F953" s="486">
        <v>47</v>
      </c>
      <c r="G953" s="487">
        <v>8.9571759259259254E-2</v>
      </c>
    </row>
    <row r="954" spans="4:7">
      <c r="D954" s="485">
        <v>43532</v>
      </c>
      <c r="E954" s="467" t="s">
        <v>199</v>
      </c>
      <c r="F954" s="486">
        <v>32</v>
      </c>
      <c r="G954" s="487">
        <v>6.8043981481481483E-2</v>
      </c>
    </row>
    <row r="955" spans="4:7">
      <c r="D955" s="485">
        <v>43534</v>
      </c>
      <c r="E955" s="467" t="s">
        <v>44</v>
      </c>
      <c r="F955" s="486">
        <v>84</v>
      </c>
      <c r="G955" s="487">
        <v>1.3888888888888888E-2</v>
      </c>
    </row>
    <row r="956" spans="4:7">
      <c r="D956" s="485">
        <v>43537</v>
      </c>
      <c r="E956" s="467" t="s">
        <v>109</v>
      </c>
      <c r="F956" s="486">
        <v>5</v>
      </c>
      <c r="G956" s="487">
        <v>9.0590277777777783E-2</v>
      </c>
    </row>
    <row r="957" spans="4:7">
      <c r="D957" s="485">
        <v>43539</v>
      </c>
      <c r="E957" s="467" t="s">
        <v>199</v>
      </c>
      <c r="F957" s="486">
        <v>197</v>
      </c>
      <c r="G957" s="487">
        <v>8.7604166666666664E-2</v>
      </c>
    </row>
    <row r="958" spans="4:7">
      <c r="D958" s="485">
        <v>43540</v>
      </c>
      <c r="E958" s="467" t="s">
        <v>636</v>
      </c>
      <c r="F958" s="486">
        <v>197</v>
      </c>
      <c r="G958" s="487">
        <v>2.0023148148148148E-3</v>
      </c>
    </row>
    <row r="959" spans="4:7">
      <c r="D959" s="485">
        <v>43546</v>
      </c>
      <c r="E959" s="467" t="s">
        <v>109</v>
      </c>
      <c r="F959" s="486">
        <v>180</v>
      </c>
      <c r="G959" s="487">
        <v>7.4386574074074077E-2</v>
      </c>
    </row>
    <row r="960" spans="4:7">
      <c r="D960" s="485">
        <v>43548</v>
      </c>
      <c r="E960" s="467" t="s">
        <v>44</v>
      </c>
      <c r="F960" s="486">
        <v>186</v>
      </c>
      <c r="G960" s="487">
        <v>9.0243055555555562E-2</v>
      </c>
    </row>
    <row r="961" spans="4:7">
      <c r="D961" s="485">
        <v>43552</v>
      </c>
      <c r="E961" s="467" t="s">
        <v>1229</v>
      </c>
      <c r="F961" s="488" t="s">
        <v>22</v>
      </c>
      <c r="G961" s="487">
        <v>6.5277777777777782E-2</v>
      </c>
    </row>
    <row r="962" spans="4:7">
      <c r="D962" s="485">
        <v>43553</v>
      </c>
      <c r="E962" s="467" t="s">
        <v>109</v>
      </c>
      <c r="F962" s="488" t="s">
        <v>1516</v>
      </c>
      <c r="G962" s="487">
        <v>4.476851851851852E-2</v>
      </c>
    </row>
    <row r="963" spans="4:7">
      <c r="D963" s="485">
        <v>43554</v>
      </c>
      <c r="E963" s="467" t="s">
        <v>199</v>
      </c>
      <c r="F963" s="486">
        <v>198</v>
      </c>
      <c r="G963" s="487">
        <v>0.10244212962962962</v>
      </c>
    </row>
    <row r="964" spans="4:7">
      <c r="D964" s="485">
        <v>43555</v>
      </c>
      <c r="E964" s="467" t="s">
        <v>636</v>
      </c>
      <c r="F964" s="488" t="s">
        <v>745</v>
      </c>
      <c r="G964" s="487">
        <v>2.5000000000000001E-3</v>
      </c>
    </row>
    <row r="965" spans="4:7">
      <c r="D965" s="485">
        <v>43567</v>
      </c>
      <c r="E965" s="467" t="s">
        <v>199</v>
      </c>
      <c r="F965" s="486">
        <v>147</v>
      </c>
      <c r="G965" s="487">
        <v>6.232638888888889E-2</v>
      </c>
    </row>
    <row r="966" spans="4:7">
      <c r="D966" s="485">
        <v>43571</v>
      </c>
      <c r="E966" s="467" t="s">
        <v>109</v>
      </c>
      <c r="F966" s="486">
        <v>86</v>
      </c>
      <c r="G966" s="487">
        <v>8.9340277777777768E-2</v>
      </c>
    </row>
    <row r="967" spans="4:7">
      <c r="D967" s="493">
        <v>43572</v>
      </c>
      <c r="E967" s="467" t="s">
        <v>572</v>
      </c>
      <c r="F967" s="486">
        <v>72</v>
      </c>
      <c r="G967" s="494">
        <v>4.4722222222222219E-2</v>
      </c>
    </row>
    <row r="968" spans="4:7">
      <c r="D968" s="485">
        <v>43572.356608796297</v>
      </c>
      <c r="E968" s="467" t="s">
        <v>572</v>
      </c>
      <c r="F968" s="486">
        <v>110</v>
      </c>
      <c r="G968" s="487">
        <v>5.1990740740740747E-2</v>
      </c>
    </row>
    <row r="969" spans="4:7">
      <c r="D969" s="485">
        <v>43572.365254629629</v>
      </c>
      <c r="E969" s="467" t="s">
        <v>572</v>
      </c>
      <c r="F969" s="486">
        <v>110</v>
      </c>
      <c r="G969" s="494">
        <v>2.5231481481481481E-3</v>
      </c>
    </row>
    <row r="970" spans="4:7">
      <c r="D970" s="485">
        <v>43574</v>
      </c>
      <c r="E970" s="467" t="s">
        <v>109</v>
      </c>
      <c r="F970" s="486">
        <v>136</v>
      </c>
      <c r="G970" s="487">
        <v>7.4490740740740746E-2</v>
      </c>
    </row>
    <row r="971" spans="4:7">
      <c r="D971" s="485">
        <v>43582</v>
      </c>
      <c r="E971" s="467" t="s">
        <v>199</v>
      </c>
      <c r="F971" s="486">
        <v>194</v>
      </c>
      <c r="G971" s="487">
        <v>7.7002314814814815E-2</v>
      </c>
    </row>
    <row r="972" spans="4:7">
      <c r="D972" s="485">
        <v>43585</v>
      </c>
      <c r="E972" s="467" t="s">
        <v>109</v>
      </c>
      <c r="F972" s="488" t="s">
        <v>1290</v>
      </c>
      <c r="G972" s="487">
        <v>2.9224537037037038E-2</v>
      </c>
    </row>
    <row r="973" spans="4:7">
      <c r="D973" s="485">
        <v>43585</v>
      </c>
      <c r="E973" s="467" t="s">
        <v>44</v>
      </c>
      <c r="F973" s="486">
        <v>188</v>
      </c>
      <c r="G973" s="487">
        <v>9.121527777777777E-2</v>
      </c>
    </row>
    <row r="974" spans="4:7">
      <c r="D974" s="485">
        <v>43590</v>
      </c>
      <c r="E974" s="467" t="s">
        <v>636</v>
      </c>
      <c r="F974" s="486">
        <v>198</v>
      </c>
      <c r="G974" s="487">
        <v>4.8495370370370368E-3</v>
      </c>
    </row>
    <row r="975" spans="4:7">
      <c r="D975" s="485">
        <v>43592</v>
      </c>
      <c r="E975" s="467" t="s">
        <v>109</v>
      </c>
      <c r="F975" s="486">
        <v>90</v>
      </c>
      <c r="G975" s="487">
        <v>0.10429398148148149</v>
      </c>
    </row>
    <row r="976" spans="4:7">
      <c r="D976" s="485">
        <v>43595</v>
      </c>
      <c r="E976" s="467" t="s">
        <v>199</v>
      </c>
      <c r="F976" s="486">
        <v>7</v>
      </c>
      <c r="G976" s="487">
        <v>0.10392361111111111</v>
      </c>
    </row>
    <row r="977" spans="4:7">
      <c r="D977" s="485">
        <v>43603</v>
      </c>
      <c r="E977" s="467" t="s">
        <v>44</v>
      </c>
      <c r="F977" s="486">
        <v>0</v>
      </c>
      <c r="G977" s="487">
        <v>5.6145833333333339E-2</v>
      </c>
    </row>
    <row r="978" spans="4:7">
      <c r="D978" s="485">
        <v>43608</v>
      </c>
      <c r="E978" s="467" t="s">
        <v>109</v>
      </c>
      <c r="F978" s="486">
        <v>0</v>
      </c>
      <c r="G978" s="487">
        <v>9.116898148148149E-2</v>
      </c>
    </row>
    <row r="979" spans="4:7">
      <c r="D979" s="485">
        <v>43612</v>
      </c>
      <c r="E979" s="467" t="s">
        <v>199</v>
      </c>
      <c r="F979" s="488" t="s">
        <v>1813</v>
      </c>
      <c r="G979" s="487">
        <v>9.5034722222222215E-2</v>
      </c>
    </row>
    <row r="980" spans="4:7">
      <c r="D980" s="485">
        <v>43614</v>
      </c>
      <c r="E980" s="467" t="s">
        <v>109</v>
      </c>
      <c r="F980" s="488" t="s">
        <v>1291</v>
      </c>
      <c r="G980" s="487">
        <v>0.10256944444444445</v>
      </c>
    </row>
    <row r="981" spans="4:7">
      <c r="D981" s="485">
        <v>43615</v>
      </c>
      <c r="E981" s="467" t="s">
        <v>636</v>
      </c>
      <c r="F981" s="486">
        <v>199</v>
      </c>
      <c r="G981" s="487">
        <v>3.3449074074074071E-3</v>
      </c>
    </row>
    <row r="982" spans="4:7">
      <c r="D982" s="485">
        <v>43616</v>
      </c>
      <c r="E982" s="467" t="s">
        <v>114</v>
      </c>
      <c r="F982" s="486">
        <v>7</v>
      </c>
      <c r="G982" s="487">
        <v>5.9780092592592593E-2</v>
      </c>
    </row>
    <row r="983" spans="4:7">
      <c r="D983" s="485">
        <v>43616</v>
      </c>
      <c r="E983" s="467" t="s">
        <v>44</v>
      </c>
      <c r="F983" s="486">
        <v>22</v>
      </c>
      <c r="G983" s="487">
        <v>8.7835648148148149E-2</v>
      </c>
    </row>
    <row r="984" spans="4:7">
      <c r="D984" s="485">
        <v>43616</v>
      </c>
      <c r="E984" s="467" t="s">
        <v>199</v>
      </c>
      <c r="F984" s="486">
        <v>0</v>
      </c>
      <c r="G984" s="487">
        <v>4.2696759259259261E-2</v>
      </c>
    </row>
    <row r="985" spans="4:7">
      <c r="D985" s="485">
        <v>43622</v>
      </c>
      <c r="E985" s="467" t="s">
        <v>199</v>
      </c>
      <c r="F985" s="486">
        <v>199</v>
      </c>
      <c r="G985" s="487">
        <v>0.11021990740740741</v>
      </c>
    </row>
    <row r="986" spans="4:7">
      <c r="D986" s="485">
        <v>43623</v>
      </c>
      <c r="E986" s="467" t="s">
        <v>109</v>
      </c>
      <c r="F986" s="486">
        <v>183</v>
      </c>
      <c r="G986" s="487">
        <v>7.166666666666667E-2</v>
      </c>
    </row>
    <row r="987" spans="4:7">
      <c r="D987" s="485">
        <v>43632</v>
      </c>
      <c r="E987" s="467" t="s">
        <v>44</v>
      </c>
      <c r="F987" s="486">
        <v>0</v>
      </c>
      <c r="G987" s="487">
        <v>3.6122685185185181E-2</v>
      </c>
    </row>
    <row r="988" spans="4:7">
      <c r="D988" s="485">
        <v>43633</v>
      </c>
      <c r="E988" s="467" t="s">
        <v>109</v>
      </c>
      <c r="F988" s="488" t="s">
        <v>1517</v>
      </c>
      <c r="G988" s="487">
        <v>3.5868055555555556E-2</v>
      </c>
    </row>
    <row r="989" spans="4:7">
      <c r="D989" s="493">
        <v>43633</v>
      </c>
      <c r="E989" s="467" t="s">
        <v>572</v>
      </c>
      <c r="F989" s="486">
        <v>169</v>
      </c>
      <c r="G989" s="494">
        <v>4.1030092592592597E-2</v>
      </c>
    </row>
    <row r="990" spans="4:7">
      <c r="D990" s="493">
        <v>43637</v>
      </c>
      <c r="E990" s="467" t="s">
        <v>201</v>
      </c>
      <c r="F990" s="486">
        <v>0</v>
      </c>
      <c r="G990" s="487">
        <v>2.5543981481481483E-2</v>
      </c>
    </row>
    <row r="991" spans="4:7">
      <c r="D991" s="493">
        <v>43637</v>
      </c>
      <c r="E991" s="467" t="s">
        <v>201</v>
      </c>
      <c r="F991" s="486">
        <v>5</v>
      </c>
      <c r="G991" s="494">
        <v>4.462962962962963E-2</v>
      </c>
    </row>
    <row r="992" spans="4:7">
      <c r="D992" s="485">
        <v>43643</v>
      </c>
      <c r="E992" s="467" t="s">
        <v>109</v>
      </c>
      <c r="F992" s="486">
        <v>95</v>
      </c>
      <c r="G992" s="487">
        <v>7.1990740740740744E-2</v>
      </c>
    </row>
    <row r="993" spans="4:7">
      <c r="D993" s="485">
        <v>43644</v>
      </c>
      <c r="E993" s="467" t="s">
        <v>199</v>
      </c>
      <c r="F993" s="486">
        <v>63</v>
      </c>
      <c r="G993" s="487">
        <v>0.11293981481481481</v>
      </c>
    </row>
    <row r="994" spans="4:7">
      <c r="D994" s="485">
        <v>43646</v>
      </c>
      <c r="E994" s="467" t="s">
        <v>44</v>
      </c>
      <c r="F994" s="486">
        <v>33</v>
      </c>
      <c r="G994" s="487">
        <v>7.7569444444444455E-2</v>
      </c>
    </row>
    <row r="995" spans="4:7">
      <c r="D995" s="485">
        <v>43650</v>
      </c>
      <c r="E995" s="467" t="s">
        <v>109</v>
      </c>
      <c r="F995" s="488" t="s">
        <v>1292</v>
      </c>
      <c r="G995" s="487">
        <v>7.9340277777777787E-2</v>
      </c>
    </row>
    <row r="996" spans="4:7">
      <c r="D996" s="485">
        <v>43651</v>
      </c>
      <c r="E996" s="467" t="s">
        <v>199</v>
      </c>
      <c r="F996" s="486">
        <v>84</v>
      </c>
      <c r="G996" s="487">
        <v>0.10259259259259258</v>
      </c>
    </row>
    <row r="997" spans="4:7">
      <c r="D997" s="485">
        <v>43657</v>
      </c>
      <c r="E997" s="467" t="s">
        <v>109</v>
      </c>
      <c r="F997" s="488" t="s">
        <v>1508</v>
      </c>
      <c r="G997" s="487">
        <v>5.6122685185185185E-2</v>
      </c>
    </row>
    <row r="998" spans="4:7">
      <c r="D998" s="482">
        <v>43660</v>
      </c>
      <c r="E998" s="467" t="s">
        <v>2795</v>
      </c>
      <c r="F998" s="483">
        <v>0</v>
      </c>
      <c r="G998" s="484">
        <v>1.5370370370370369E-2</v>
      </c>
    </row>
    <row r="999" spans="4:7">
      <c r="D999" s="485">
        <v>43668</v>
      </c>
      <c r="E999" s="467" t="s">
        <v>109</v>
      </c>
      <c r="F999" s="486">
        <v>185</v>
      </c>
      <c r="G999" s="487">
        <v>7.408564814814815E-2</v>
      </c>
    </row>
    <row r="1000" spans="4:7">
      <c r="D1000" s="485">
        <v>43668</v>
      </c>
      <c r="E1000" s="467" t="s">
        <v>199</v>
      </c>
      <c r="F1000" s="486">
        <v>129</v>
      </c>
      <c r="G1000" s="487">
        <v>0.10309027777777778</v>
      </c>
    </row>
    <row r="1001" spans="4:7">
      <c r="D1001" s="485">
        <v>43676</v>
      </c>
      <c r="E1001" s="467" t="s">
        <v>44</v>
      </c>
      <c r="F1001" s="486">
        <v>160</v>
      </c>
      <c r="G1001" s="487">
        <v>7.1956018518518516E-2</v>
      </c>
    </row>
    <row r="1002" spans="4:7">
      <c r="D1002" s="493">
        <v>43679</v>
      </c>
      <c r="E1002" s="467" t="s">
        <v>201</v>
      </c>
      <c r="F1002" s="486">
        <v>200</v>
      </c>
      <c r="G1002" s="487">
        <v>6.3668981481481479E-2</v>
      </c>
    </row>
    <row r="1003" spans="4:7">
      <c r="D1003" s="485">
        <v>43682</v>
      </c>
      <c r="E1003" s="467" t="s">
        <v>199</v>
      </c>
      <c r="F1003" s="486">
        <v>6</v>
      </c>
      <c r="G1003" s="487">
        <v>9.3124999999999999E-2</v>
      </c>
    </row>
    <row r="1004" spans="4:7">
      <c r="D1004" s="485">
        <v>43683</v>
      </c>
      <c r="E1004" s="467" t="s">
        <v>109</v>
      </c>
      <c r="F1004" s="488" t="s">
        <v>1518</v>
      </c>
      <c r="G1004" s="487">
        <v>1.7974537037037035E-2</v>
      </c>
    </row>
    <row r="1005" spans="4:7">
      <c r="D1005" s="493">
        <v>43686</v>
      </c>
      <c r="E1005" s="467" t="s">
        <v>201</v>
      </c>
      <c r="F1005" s="486">
        <v>200</v>
      </c>
      <c r="G1005" s="494">
        <v>6.773148148148149E-2</v>
      </c>
    </row>
    <row r="1006" spans="4:7">
      <c r="D1006" s="485">
        <v>43691</v>
      </c>
      <c r="E1006" s="467" t="s">
        <v>199</v>
      </c>
      <c r="F1006" s="486">
        <v>0</v>
      </c>
      <c r="G1006" s="487">
        <v>5.0844907407407408E-2</v>
      </c>
    </row>
    <row r="1007" spans="4:7">
      <c r="D1007" s="485">
        <v>43693</v>
      </c>
      <c r="E1007" s="467" t="s">
        <v>416</v>
      </c>
      <c r="F1007" s="486">
        <v>13</v>
      </c>
      <c r="G1007" s="487">
        <v>3.5034722222222224E-2</v>
      </c>
    </row>
    <row r="1008" spans="4:7">
      <c r="D1008" s="485">
        <v>43693</v>
      </c>
      <c r="E1008" s="467" t="s">
        <v>416</v>
      </c>
      <c r="F1008" s="486">
        <v>0</v>
      </c>
      <c r="G1008" s="487">
        <v>1.8101851851851852E-2</v>
      </c>
    </row>
    <row r="1009" spans="4:7">
      <c r="D1009" s="485">
        <v>43693</v>
      </c>
      <c r="E1009" s="467" t="s">
        <v>109</v>
      </c>
      <c r="F1009" s="486">
        <v>129</v>
      </c>
      <c r="G1009" s="487">
        <v>8.1782407407407401E-2</v>
      </c>
    </row>
    <row r="1010" spans="4:7">
      <c r="D1010" s="493">
        <v>43707</v>
      </c>
      <c r="E1010" s="467" t="s">
        <v>201</v>
      </c>
      <c r="F1010" s="486">
        <v>200</v>
      </c>
      <c r="G1010" s="494">
        <v>6.3657407407407399E-2</v>
      </c>
    </row>
    <row r="1011" spans="4:7">
      <c r="D1011" s="485">
        <v>43708</v>
      </c>
      <c r="E1011" s="467" t="s">
        <v>109</v>
      </c>
      <c r="F1011" s="488" t="s">
        <v>1293</v>
      </c>
      <c r="G1011" s="487">
        <v>7.9340277777777787E-2</v>
      </c>
    </row>
    <row r="1012" spans="4:7">
      <c r="D1012" s="485">
        <v>43708</v>
      </c>
      <c r="E1012" s="467" t="s">
        <v>44</v>
      </c>
      <c r="F1012" s="486">
        <v>48</v>
      </c>
      <c r="G1012" s="487">
        <v>7.6979166666666668E-2</v>
      </c>
    </row>
    <row r="1013" spans="4:7">
      <c r="D1013" s="485">
        <v>43709</v>
      </c>
      <c r="E1013" s="467" t="s">
        <v>199</v>
      </c>
      <c r="F1013" s="486">
        <v>0</v>
      </c>
      <c r="G1013" s="487">
        <v>7.2800925925925915E-3</v>
      </c>
    </row>
    <row r="1014" spans="4:7">
      <c r="D1014" s="485">
        <v>43711</v>
      </c>
      <c r="E1014" s="467" t="s">
        <v>109</v>
      </c>
      <c r="F1014" s="486">
        <v>32</v>
      </c>
      <c r="G1014" s="487">
        <v>8.5011574074074073E-2</v>
      </c>
    </row>
    <row r="1015" spans="4:7">
      <c r="D1015" s="485">
        <v>43711</v>
      </c>
      <c r="E1015" s="467" t="s">
        <v>199</v>
      </c>
      <c r="F1015" s="488" t="s">
        <v>1815</v>
      </c>
      <c r="G1015" s="487">
        <v>1.9328703703703702E-2</v>
      </c>
    </row>
    <row r="1016" spans="4:7">
      <c r="D1016" s="489">
        <v>43712</v>
      </c>
      <c r="E1016" s="467" t="s">
        <v>1385</v>
      </c>
      <c r="F1016" s="495" t="s">
        <v>1373</v>
      </c>
      <c r="G1016" s="490">
        <v>8.8310185185185176E-3</v>
      </c>
    </row>
    <row r="1017" spans="4:7">
      <c r="D1017" s="485">
        <v>43714</v>
      </c>
      <c r="E1017" s="467" t="s">
        <v>201</v>
      </c>
      <c r="F1017" s="486">
        <v>200</v>
      </c>
      <c r="G1017" s="494">
        <v>7.795138888888889E-2</v>
      </c>
    </row>
    <row r="1018" spans="4:7">
      <c r="D1018" s="493">
        <v>43716</v>
      </c>
      <c r="E1018" s="467" t="s">
        <v>572</v>
      </c>
      <c r="F1018" s="486">
        <v>92</v>
      </c>
      <c r="G1018" s="487">
        <v>4.5879629629629631E-2</v>
      </c>
    </row>
    <row r="1019" spans="4:7">
      <c r="D1019" s="485">
        <v>43724</v>
      </c>
      <c r="E1019" s="467" t="s">
        <v>109</v>
      </c>
      <c r="F1019" s="488" t="s">
        <v>1294</v>
      </c>
      <c r="G1019" s="487">
        <v>3.6122685185185181E-2</v>
      </c>
    </row>
    <row r="1020" spans="4:7">
      <c r="D1020" s="489">
        <v>43725</v>
      </c>
      <c r="E1020" s="467" t="s">
        <v>2802</v>
      </c>
      <c r="F1020" s="483">
        <v>0</v>
      </c>
      <c r="G1020" s="490">
        <v>4.4224537037037041E-2</v>
      </c>
    </row>
    <row r="1021" spans="4:7">
      <c r="D1021" s="485">
        <v>43726</v>
      </c>
      <c r="E1021" s="467" t="s">
        <v>199</v>
      </c>
      <c r="F1021" s="488" t="s">
        <v>11</v>
      </c>
      <c r="G1021" s="487">
        <v>0.13680555555555554</v>
      </c>
    </row>
    <row r="1022" spans="4:7">
      <c r="D1022" s="485">
        <v>43733</v>
      </c>
      <c r="E1022" s="467" t="s">
        <v>199</v>
      </c>
      <c r="F1022" s="488" t="s">
        <v>12</v>
      </c>
      <c r="G1022" s="487">
        <v>7.9409722222222215E-2</v>
      </c>
    </row>
    <row r="1023" spans="4:7">
      <c r="D1023" s="485">
        <v>43734</v>
      </c>
      <c r="E1023" s="467" t="s">
        <v>109</v>
      </c>
      <c r="F1023" s="486">
        <v>196</v>
      </c>
      <c r="G1023" s="487">
        <v>6.8298611111111115E-2</v>
      </c>
    </row>
    <row r="1024" spans="4:7">
      <c r="D1024" s="485">
        <v>43738</v>
      </c>
      <c r="E1024" s="467" t="s">
        <v>44</v>
      </c>
      <c r="F1024" s="486">
        <v>21</v>
      </c>
      <c r="G1024" s="487">
        <v>8.9745370370370378E-2</v>
      </c>
    </row>
    <row r="1025" spans="4:7">
      <c r="D1025" s="485">
        <v>43739</v>
      </c>
      <c r="E1025" s="467" t="s">
        <v>109</v>
      </c>
      <c r="F1025" s="486">
        <v>84</v>
      </c>
      <c r="G1025" s="487">
        <v>7.0543981481481485E-2</v>
      </c>
    </row>
    <row r="1026" spans="4:7">
      <c r="D1026" s="485">
        <v>43739</v>
      </c>
      <c r="E1026" s="467" t="s">
        <v>199</v>
      </c>
      <c r="F1026" s="488" t="s">
        <v>1817</v>
      </c>
      <c r="G1026" s="487">
        <v>2.6944444444444441E-2</v>
      </c>
    </row>
    <row r="1027" spans="4:7">
      <c r="D1027" s="485">
        <v>43745</v>
      </c>
      <c r="E1027" s="467" t="s">
        <v>114</v>
      </c>
      <c r="F1027" s="486">
        <v>112</v>
      </c>
      <c r="G1027" s="487">
        <v>4.4143518518518519E-2</v>
      </c>
    </row>
    <row r="1028" spans="4:7">
      <c r="D1028" s="485">
        <v>43747</v>
      </c>
      <c r="E1028" s="467" t="s">
        <v>199</v>
      </c>
      <c r="F1028" s="486">
        <v>136</v>
      </c>
      <c r="G1028" s="487">
        <v>0.11388888888888889</v>
      </c>
    </row>
    <row r="1029" spans="4:7">
      <c r="D1029" s="485">
        <v>43748</v>
      </c>
      <c r="E1029" s="467" t="s">
        <v>636</v>
      </c>
      <c r="F1029" s="486">
        <v>200</v>
      </c>
      <c r="G1029" s="487">
        <v>5.5092592592592589E-3</v>
      </c>
    </row>
    <row r="1030" spans="4:7">
      <c r="D1030" s="485">
        <v>43748</v>
      </c>
      <c r="E1030" s="467" t="s">
        <v>636</v>
      </c>
      <c r="F1030" s="486">
        <v>0</v>
      </c>
      <c r="G1030" s="487">
        <v>9.0277777777777784E-4</v>
      </c>
    </row>
    <row r="1031" spans="4:7">
      <c r="D1031" s="485">
        <v>43748</v>
      </c>
      <c r="E1031" s="467" t="s">
        <v>636</v>
      </c>
      <c r="F1031" s="488" t="s">
        <v>1373</v>
      </c>
      <c r="G1031" s="487">
        <v>1.2384259259259258E-3</v>
      </c>
    </row>
    <row r="1032" spans="4:7">
      <c r="D1032" s="485">
        <v>43751</v>
      </c>
      <c r="E1032" s="467" t="s">
        <v>109</v>
      </c>
      <c r="F1032" s="488" t="s">
        <v>1519</v>
      </c>
      <c r="G1032" s="487">
        <v>2.6655092592592591E-2</v>
      </c>
    </row>
    <row r="1033" spans="4:7">
      <c r="D1033" s="489">
        <v>43754</v>
      </c>
      <c r="E1033" s="467" t="s">
        <v>1385</v>
      </c>
      <c r="F1033" s="495" t="s">
        <v>1374</v>
      </c>
      <c r="G1033" s="490">
        <v>8.5300925925925926E-3</v>
      </c>
    </row>
    <row r="1034" spans="4:7">
      <c r="D1034" s="485">
        <v>43755</v>
      </c>
      <c r="E1034" s="467" t="s">
        <v>199</v>
      </c>
      <c r="F1034" s="486">
        <v>0</v>
      </c>
      <c r="G1034" s="487">
        <v>1.0347222222222223E-2</v>
      </c>
    </row>
    <row r="1035" spans="4:7">
      <c r="D1035" s="485">
        <v>43759</v>
      </c>
      <c r="E1035" s="467" t="s">
        <v>636</v>
      </c>
      <c r="F1035" s="488" t="s">
        <v>485</v>
      </c>
      <c r="G1035" s="487">
        <v>2.8449074074074075E-2</v>
      </c>
    </row>
    <row r="1036" spans="4:7">
      <c r="D1036" s="485">
        <v>43765</v>
      </c>
      <c r="E1036" s="467" t="s">
        <v>44</v>
      </c>
      <c r="F1036" s="486">
        <v>74</v>
      </c>
      <c r="G1036" s="487">
        <v>6.8101851851851858E-2</v>
      </c>
    </row>
    <row r="1037" spans="4:7">
      <c r="D1037" s="485">
        <v>43765</v>
      </c>
      <c r="E1037" s="467" t="s">
        <v>199</v>
      </c>
      <c r="F1037" s="486">
        <v>92</v>
      </c>
      <c r="G1037" s="487">
        <v>8.2025462962962967E-2</v>
      </c>
    </row>
    <row r="1038" spans="4:7">
      <c r="D1038" s="485">
        <v>43767</v>
      </c>
      <c r="E1038" s="467" t="s">
        <v>109</v>
      </c>
      <c r="F1038" s="486">
        <v>132</v>
      </c>
      <c r="G1038" s="487">
        <v>7.9050925925925927E-2</v>
      </c>
    </row>
    <row r="1039" spans="4:7">
      <c r="D1039" s="493">
        <v>43767</v>
      </c>
      <c r="E1039" s="467" t="s">
        <v>572</v>
      </c>
      <c r="F1039" s="488" t="s">
        <v>485</v>
      </c>
      <c r="G1039" s="494">
        <v>3.9490740740740743E-2</v>
      </c>
    </row>
    <row r="1040" spans="4:7">
      <c r="D1040" s="485">
        <v>43768</v>
      </c>
      <c r="E1040" s="467" t="s">
        <v>199</v>
      </c>
      <c r="F1040" s="488" t="s">
        <v>1820</v>
      </c>
      <c r="G1040" s="487">
        <v>0.13071759259259261</v>
      </c>
    </row>
    <row r="1041" spans="4:7">
      <c r="D1041" s="489">
        <v>43775</v>
      </c>
      <c r="E1041" s="467" t="s">
        <v>1385</v>
      </c>
      <c r="F1041" s="495" t="s">
        <v>1375</v>
      </c>
      <c r="G1041" s="490">
        <v>5.138888888888889E-3</v>
      </c>
    </row>
    <row r="1042" spans="4:7">
      <c r="D1042" s="485">
        <v>43776</v>
      </c>
      <c r="E1042" s="467" t="s">
        <v>636</v>
      </c>
      <c r="F1042" s="486">
        <v>201</v>
      </c>
      <c r="G1042" s="487">
        <v>3.7037037037037034E-3</v>
      </c>
    </row>
    <row r="1043" spans="4:7">
      <c r="D1043" s="485">
        <v>43777</v>
      </c>
      <c r="E1043" s="467" t="s">
        <v>416</v>
      </c>
      <c r="F1043" s="486">
        <v>0</v>
      </c>
      <c r="G1043" s="487">
        <v>4.2824074074074075E-3</v>
      </c>
    </row>
    <row r="1044" spans="4:7">
      <c r="D1044" s="485">
        <v>43777</v>
      </c>
      <c r="E1044" s="467" t="s">
        <v>199</v>
      </c>
      <c r="F1044" s="486">
        <v>0</v>
      </c>
      <c r="G1044" s="487">
        <v>3.1134259259259257E-3</v>
      </c>
    </row>
    <row r="1045" spans="4:7">
      <c r="D1045" s="485">
        <v>43778</v>
      </c>
      <c r="E1045" s="467" t="s">
        <v>109</v>
      </c>
      <c r="F1045" s="486">
        <v>35</v>
      </c>
      <c r="G1045" s="487">
        <v>7.0856481481481479E-2</v>
      </c>
    </row>
    <row r="1046" spans="4:7">
      <c r="D1046" s="493">
        <v>43785</v>
      </c>
      <c r="E1046" s="467" t="s">
        <v>201</v>
      </c>
      <c r="F1046" s="486">
        <v>4</v>
      </c>
      <c r="G1046" s="494">
        <v>4.3784722222222218E-2</v>
      </c>
    </row>
    <row r="1047" spans="4:7">
      <c r="D1047" s="489">
        <v>43787</v>
      </c>
      <c r="E1047" s="467" t="s">
        <v>1385</v>
      </c>
      <c r="F1047" s="495" t="s">
        <v>1376</v>
      </c>
      <c r="G1047" s="490">
        <v>1.2152777777777778E-2</v>
      </c>
    </row>
    <row r="1048" spans="4:7">
      <c r="D1048" s="489">
        <v>43788</v>
      </c>
      <c r="E1048" s="467" t="s">
        <v>1385</v>
      </c>
      <c r="F1048" s="495" t="s">
        <v>1360</v>
      </c>
      <c r="G1048" s="490">
        <v>1.0775462962962964E-2</v>
      </c>
    </row>
    <row r="1049" spans="4:7">
      <c r="D1049" s="489">
        <v>43789</v>
      </c>
      <c r="E1049" s="467" t="s">
        <v>1385</v>
      </c>
      <c r="F1049" s="495" t="s">
        <v>1377</v>
      </c>
      <c r="G1049" s="490">
        <v>9.1435185185185178E-3</v>
      </c>
    </row>
    <row r="1050" spans="4:7">
      <c r="D1050" s="485">
        <v>43794</v>
      </c>
      <c r="E1050" s="467" t="s">
        <v>199</v>
      </c>
      <c r="F1050" s="486">
        <v>105</v>
      </c>
      <c r="G1050" s="487">
        <v>0.10949074074074074</v>
      </c>
    </row>
    <row r="1051" spans="4:7">
      <c r="D1051" s="485">
        <v>43797</v>
      </c>
      <c r="E1051" s="467" t="s">
        <v>636</v>
      </c>
      <c r="F1051" s="488" t="s">
        <v>752</v>
      </c>
      <c r="G1051" s="487">
        <v>3.4953703703703705E-3</v>
      </c>
    </row>
    <row r="1052" spans="4:7">
      <c r="D1052" s="485">
        <v>43799</v>
      </c>
      <c r="E1052" s="467" t="s">
        <v>44</v>
      </c>
      <c r="F1052" s="486">
        <v>72</v>
      </c>
      <c r="G1052" s="487">
        <v>7.5578703703703703E-2</v>
      </c>
    </row>
    <row r="1053" spans="4:7">
      <c r="D1053" s="485">
        <v>43800</v>
      </c>
      <c r="E1053" s="467" t="s">
        <v>109</v>
      </c>
      <c r="F1053" s="486">
        <v>6</v>
      </c>
      <c r="G1053" s="487">
        <v>6.9363425925925926E-2</v>
      </c>
    </row>
    <row r="1054" spans="4:7">
      <c r="D1054" s="485">
        <v>43801</v>
      </c>
      <c r="E1054" s="467" t="s">
        <v>109</v>
      </c>
      <c r="F1054" s="486">
        <v>6</v>
      </c>
      <c r="G1054" s="487">
        <v>8.3263888888888887E-2</v>
      </c>
    </row>
    <row r="1055" spans="4:7">
      <c r="D1055" s="485">
        <v>43801</v>
      </c>
      <c r="E1055" s="467" t="s">
        <v>199</v>
      </c>
      <c r="F1055" s="488" t="s">
        <v>1410</v>
      </c>
      <c r="G1055" s="487">
        <v>1.4849537037037036E-2</v>
      </c>
    </row>
    <row r="1056" spans="4:7">
      <c r="D1056" s="485">
        <v>43801</v>
      </c>
      <c r="E1056" s="467" t="s">
        <v>199</v>
      </c>
      <c r="F1056" s="488" t="s">
        <v>1411</v>
      </c>
      <c r="G1056" s="487">
        <v>6.9212962962962969E-3</v>
      </c>
    </row>
    <row r="1057" spans="4:7">
      <c r="D1057" s="485">
        <v>43802</v>
      </c>
      <c r="E1057" s="467" t="s">
        <v>109</v>
      </c>
      <c r="F1057" s="488" t="s">
        <v>16</v>
      </c>
      <c r="G1057" s="487">
        <v>5.5509259259259258E-2</v>
      </c>
    </row>
    <row r="1058" spans="4:7">
      <c r="D1058" s="485">
        <v>43802</v>
      </c>
      <c r="E1058" s="467" t="s">
        <v>199</v>
      </c>
      <c r="F1058" s="488" t="s">
        <v>1412</v>
      </c>
      <c r="G1058" s="487">
        <v>8.3912037037037045E-3</v>
      </c>
    </row>
    <row r="1059" spans="4:7">
      <c r="D1059" s="485">
        <v>43803</v>
      </c>
      <c r="E1059" s="467" t="s">
        <v>109</v>
      </c>
      <c r="F1059" s="488" t="s">
        <v>1443</v>
      </c>
      <c r="G1059" s="487">
        <v>1.6446759259259262E-2</v>
      </c>
    </row>
    <row r="1060" spans="4:7">
      <c r="D1060" s="485">
        <v>43803</v>
      </c>
      <c r="E1060" s="467" t="s">
        <v>199</v>
      </c>
      <c r="F1060" s="488" t="s">
        <v>1413</v>
      </c>
      <c r="G1060" s="487">
        <v>7.0486111111111105E-3</v>
      </c>
    </row>
    <row r="1061" spans="4:7">
      <c r="D1061" s="485">
        <v>43804</v>
      </c>
      <c r="E1061" s="467" t="s">
        <v>109</v>
      </c>
      <c r="F1061" s="486">
        <v>0</v>
      </c>
      <c r="G1061" s="487">
        <v>5.4872685185185184E-2</v>
      </c>
    </row>
    <row r="1062" spans="4:7">
      <c r="D1062" s="485">
        <v>43804</v>
      </c>
      <c r="E1062" s="467" t="s">
        <v>199</v>
      </c>
      <c r="F1062" s="488" t="s">
        <v>1414</v>
      </c>
      <c r="G1062" s="487">
        <v>7.1412037037037043E-3</v>
      </c>
    </row>
    <row r="1063" spans="4:7">
      <c r="D1063" s="485">
        <v>43805</v>
      </c>
      <c r="E1063" s="467" t="s">
        <v>109</v>
      </c>
      <c r="F1063" s="486">
        <v>0</v>
      </c>
      <c r="G1063" s="487">
        <v>7.5115740740740733E-2</v>
      </c>
    </row>
    <row r="1064" spans="4:7">
      <c r="D1064" s="485">
        <v>43805</v>
      </c>
      <c r="E1064" s="467" t="s">
        <v>199</v>
      </c>
      <c r="F1064" s="488" t="s">
        <v>1415</v>
      </c>
      <c r="G1064" s="487">
        <v>9.7569444444444448E-3</v>
      </c>
    </row>
    <row r="1065" spans="4:7">
      <c r="D1065" s="485">
        <v>43806</v>
      </c>
      <c r="E1065" s="467" t="s">
        <v>109</v>
      </c>
      <c r="F1065" s="486">
        <v>0</v>
      </c>
      <c r="G1065" s="487">
        <v>9.9537037037037042E-3</v>
      </c>
    </row>
    <row r="1066" spans="4:7">
      <c r="D1066" s="485">
        <v>43806</v>
      </c>
      <c r="E1066" s="467" t="s">
        <v>199</v>
      </c>
      <c r="F1066" s="488" t="s">
        <v>1416</v>
      </c>
      <c r="G1066" s="487">
        <v>9.2129629629629627E-3</v>
      </c>
    </row>
    <row r="1067" spans="4:7">
      <c r="D1067" s="485">
        <v>43807</v>
      </c>
      <c r="E1067" s="467" t="s">
        <v>109</v>
      </c>
      <c r="F1067" s="486">
        <v>0</v>
      </c>
      <c r="G1067" s="487">
        <v>5.4629629629629632E-2</v>
      </c>
    </row>
    <row r="1068" spans="4:7">
      <c r="D1068" s="485">
        <v>43807</v>
      </c>
      <c r="E1068" s="467" t="s">
        <v>199</v>
      </c>
      <c r="F1068" s="488" t="s">
        <v>1417</v>
      </c>
      <c r="G1068" s="487">
        <v>8.5995370370370357E-3</v>
      </c>
    </row>
    <row r="1069" spans="4:7">
      <c r="D1069" s="485">
        <v>43808</v>
      </c>
      <c r="E1069" s="467" t="s">
        <v>109</v>
      </c>
      <c r="F1069" s="486">
        <v>0</v>
      </c>
      <c r="G1069" s="487">
        <v>3.7430555555555557E-2</v>
      </c>
    </row>
    <row r="1070" spans="4:7">
      <c r="D1070" s="485">
        <v>43808</v>
      </c>
      <c r="E1070" s="467" t="s">
        <v>44</v>
      </c>
      <c r="F1070" s="486">
        <v>0</v>
      </c>
      <c r="G1070" s="487">
        <v>1.5740740740740741E-3</v>
      </c>
    </row>
    <row r="1071" spans="4:7">
      <c r="D1071" s="485">
        <v>43808</v>
      </c>
      <c r="E1071" s="467" t="s">
        <v>199</v>
      </c>
      <c r="F1071" s="488" t="s">
        <v>1418</v>
      </c>
      <c r="G1071" s="487">
        <v>1.4421296296296295E-2</v>
      </c>
    </row>
    <row r="1072" spans="4:7">
      <c r="D1072" s="485">
        <v>43809</v>
      </c>
      <c r="E1072" s="467" t="s">
        <v>109</v>
      </c>
      <c r="F1072" s="486">
        <v>89</v>
      </c>
      <c r="G1072" s="487">
        <v>8.4363425925925925E-2</v>
      </c>
    </row>
    <row r="1073" spans="4:7">
      <c r="D1073" s="485">
        <v>43809</v>
      </c>
      <c r="E1073" s="467" t="s">
        <v>199</v>
      </c>
      <c r="F1073" s="488" t="s">
        <v>1419</v>
      </c>
      <c r="G1073" s="487">
        <v>8.5069444444444437E-3</v>
      </c>
    </row>
    <row r="1074" spans="4:7">
      <c r="D1074" s="485">
        <v>43810</v>
      </c>
      <c r="E1074" s="467" t="s">
        <v>109</v>
      </c>
      <c r="F1074" s="488" t="s">
        <v>1524</v>
      </c>
      <c r="G1074" s="487">
        <v>1.6192129629629629E-2</v>
      </c>
    </row>
    <row r="1075" spans="4:7">
      <c r="D1075" s="485">
        <v>43810</v>
      </c>
      <c r="E1075" s="467" t="s">
        <v>199</v>
      </c>
      <c r="F1075" s="488" t="s">
        <v>1420</v>
      </c>
      <c r="G1075" s="487">
        <v>4.2476851851851851E-3</v>
      </c>
    </row>
    <row r="1076" spans="4:7">
      <c r="D1076" s="489">
        <v>43810</v>
      </c>
      <c r="E1076" s="467" t="s">
        <v>1385</v>
      </c>
      <c r="F1076" s="495" t="s">
        <v>1378</v>
      </c>
      <c r="G1076" s="490">
        <v>1.5520833333333333E-2</v>
      </c>
    </row>
    <row r="1077" spans="4:7">
      <c r="D1077" s="485">
        <v>43811</v>
      </c>
      <c r="E1077" s="467" t="s">
        <v>109</v>
      </c>
      <c r="F1077" s="486">
        <v>0</v>
      </c>
      <c r="G1077" s="487">
        <v>1.0289351851851852E-2</v>
      </c>
    </row>
    <row r="1078" spans="4:7">
      <c r="D1078" s="485">
        <v>43811</v>
      </c>
      <c r="E1078" s="467" t="s">
        <v>199</v>
      </c>
      <c r="F1078" s="488" t="s">
        <v>1421</v>
      </c>
      <c r="G1078" s="487">
        <v>0.01</v>
      </c>
    </row>
    <row r="1079" spans="4:7">
      <c r="D1079" s="485">
        <v>43812</v>
      </c>
      <c r="E1079" s="467" t="s">
        <v>109</v>
      </c>
      <c r="F1079" s="486">
        <v>0</v>
      </c>
      <c r="G1079" s="487">
        <v>1.4259259259259261E-2</v>
      </c>
    </row>
    <row r="1080" spans="4:7">
      <c r="D1080" s="485">
        <v>43812</v>
      </c>
      <c r="E1080" s="467" t="s">
        <v>199</v>
      </c>
      <c r="F1080" s="488" t="s">
        <v>1422</v>
      </c>
      <c r="G1080" s="487">
        <v>7.858796296296296E-3</v>
      </c>
    </row>
    <row r="1081" spans="4:7">
      <c r="D1081" s="485">
        <v>43813</v>
      </c>
      <c r="E1081" s="467" t="s">
        <v>109</v>
      </c>
      <c r="F1081" s="486">
        <v>0</v>
      </c>
      <c r="G1081" s="487">
        <v>1.5069444444444443E-2</v>
      </c>
    </row>
    <row r="1082" spans="4:7">
      <c r="D1082" s="485">
        <v>43813</v>
      </c>
      <c r="E1082" s="467" t="s">
        <v>199</v>
      </c>
      <c r="F1082" s="488" t="s">
        <v>1423</v>
      </c>
      <c r="G1082" s="487">
        <v>7.2453703703703708E-3</v>
      </c>
    </row>
    <row r="1083" spans="4:7">
      <c r="D1083" s="485">
        <v>43814</v>
      </c>
      <c r="E1083" s="467" t="s">
        <v>109</v>
      </c>
      <c r="F1083" s="486">
        <v>0</v>
      </c>
      <c r="G1083" s="487">
        <v>1.068287037037037E-2</v>
      </c>
    </row>
    <row r="1084" spans="4:7">
      <c r="D1084" s="485">
        <v>43814</v>
      </c>
      <c r="E1084" s="467" t="s">
        <v>199</v>
      </c>
      <c r="F1084" s="488" t="s">
        <v>1424</v>
      </c>
      <c r="G1084" s="487">
        <v>4.7916666666666672E-3</v>
      </c>
    </row>
    <row r="1085" spans="4:7">
      <c r="D1085" s="485">
        <v>43815</v>
      </c>
      <c r="E1085" s="467" t="s">
        <v>109</v>
      </c>
      <c r="F1085" s="486">
        <v>0</v>
      </c>
      <c r="G1085" s="487">
        <v>7.7662037037037031E-3</v>
      </c>
    </row>
    <row r="1086" spans="4:7">
      <c r="D1086" s="485">
        <v>43815</v>
      </c>
      <c r="E1086" s="467" t="s">
        <v>199</v>
      </c>
      <c r="F1086" s="488" t="s">
        <v>1425</v>
      </c>
      <c r="G1086" s="487">
        <v>6.1342592592592594E-3</v>
      </c>
    </row>
    <row r="1087" spans="4:7">
      <c r="D1087" s="485">
        <v>43816</v>
      </c>
      <c r="E1087" s="467" t="s">
        <v>109</v>
      </c>
      <c r="F1087" s="486">
        <v>0</v>
      </c>
      <c r="G1087" s="487">
        <v>1.8958333333333334E-2</v>
      </c>
    </row>
    <row r="1088" spans="4:7">
      <c r="D1088" s="485">
        <v>43816</v>
      </c>
      <c r="E1088" s="467" t="s">
        <v>199</v>
      </c>
      <c r="F1088" s="488" t="s">
        <v>1426</v>
      </c>
      <c r="G1088" s="487">
        <v>8.9583333333333338E-3</v>
      </c>
    </row>
    <row r="1089" spans="4:7">
      <c r="D1089" s="485">
        <v>43817</v>
      </c>
      <c r="E1089" s="467" t="s">
        <v>109</v>
      </c>
      <c r="F1089" s="486">
        <v>0</v>
      </c>
      <c r="G1089" s="487">
        <v>2.4537037037037038E-2</v>
      </c>
    </row>
    <row r="1090" spans="4:7">
      <c r="D1090" s="485">
        <v>43817</v>
      </c>
      <c r="E1090" s="467" t="s">
        <v>199</v>
      </c>
      <c r="F1090" s="488" t="s">
        <v>1427</v>
      </c>
      <c r="G1090" s="487">
        <v>1.1099537037037038E-2</v>
      </c>
    </row>
    <row r="1091" spans="4:7">
      <c r="D1091" s="485">
        <v>43818</v>
      </c>
      <c r="E1091" s="467" t="s">
        <v>109</v>
      </c>
      <c r="F1091" s="486">
        <v>0</v>
      </c>
      <c r="G1091" s="487">
        <v>1.2233796296296296E-2</v>
      </c>
    </row>
    <row r="1092" spans="4:7">
      <c r="D1092" s="485">
        <v>43818</v>
      </c>
      <c r="E1092" s="467" t="s">
        <v>199</v>
      </c>
      <c r="F1092" s="488" t="s">
        <v>1428</v>
      </c>
      <c r="G1092" s="487">
        <v>7.3379629629629628E-3</v>
      </c>
    </row>
    <row r="1093" spans="4:7">
      <c r="D1093" s="485">
        <v>43819</v>
      </c>
      <c r="E1093" s="467" t="s">
        <v>109</v>
      </c>
      <c r="F1093" s="486">
        <v>0</v>
      </c>
      <c r="G1093" s="487">
        <v>2.3356481481481482E-2</v>
      </c>
    </row>
    <row r="1094" spans="4:7">
      <c r="D1094" s="485">
        <v>43819</v>
      </c>
      <c r="E1094" s="467" t="s">
        <v>199</v>
      </c>
      <c r="F1094" s="488" t="s">
        <v>1429</v>
      </c>
      <c r="G1094" s="487">
        <v>6.9560185185185185E-3</v>
      </c>
    </row>
    <row r="1095" spans="4:7">
      <c r="D1095" s="485">
        <v>43819</v>
      </c>
      <c r="E1095" s="467" t="s">
        <v>199</v>
      </c>
      <c r="F1095" s="488" t="s">
        <v>1430</v>
      </c>
      <c r="G1095" s="487">
        <v>9.2824074074074076E-3</v>
      </c>
    </row>
    <row r="1096" spans="4:7">
      <c r="D1096" s="485">
        <v>43820</v>
      </c>
      <c r="E1096" s="467" t="s">
        <v>109</v>
      </c>
      <c r="F1096" s="486">
        <v>0</v>
      </c>
      <c r="G1096" s="487">
        <v>1.3414351851851851E-2</v>
      </c>
    </row>
    <row r="1097" spans="4:7">
      <c r="D1097" s="485">
        <v>43820</v>
      </c>
      <c r="E1097" s="467" t="s">
        <v>199</v>
      </c>
      <c r="F1097" s="488" t="s">
        <v>560</v>
      </c>
      <c r="G1097" s="487">
        <v>9.9212962962962961E-2</v>
      </c>
    </row>
    <row r="1098" spans="4:7">
      <c r="D1098" s="485">
        <v>43821</v>
      </c>
      <c r="E1098" s="467" t="s">
        <v>109</v>
      </c>
      <c r="F1098" s="488" t="s">
        <v>1505</v>
      </c>
      <c r="G1098" s="487">
        <v>4.5798611111111109E-2</v>
      </c>
    </row>
    <row r="1099" spans="4:7">
      <c r="D1099" s="485">
        <v>43821</v>
      </c>
      <c r="E1099" s="467" t="s">
        <v>199</v>
      </c>
      <c r="F1099" s="488" t="s">
        <v>1431</v>
      </c>
      <c r="G1099" s="487">
        <v>1.3900462962962962E-2</v>
      </c>
    </row>
    <row r="1100" spans="4:7">
      <c r="D1100" s="485">
        <v>43822</v>
      </c>
      <c r="E1100" s="467" t="s">
        <v>109</v>
      </c>
      <c r="F1100" s="488" t="s">
        <v>1556</v>
      </c>
      <c r="G1100" s="487">
        <v>2.9629629629629627E-2</v>
      </c>
    </row>
    <row r="1101" spans="4:7">
      <c r="D1101" s="485">
        <v>43822</v>
      </c>
      <c r="E1101" s="467" t="s">
        <v>199</v>
      </c>
      <c r="F1101" s="488" t="s">
        <v>1432</v>
      </c>
      <c r="G1101" s="487">
        <v>9.0509259259259258E-3</v>
      </c>
    </row>
    <row r="1102" spans="4:7">
      <c r="D1102" s="485">
        <v>43823</v>
      </c>
      <c r="E1102" s="467" t="s">
        <v>109</v>
      </c>
      <c r="F1102" s="488" t="s">
        <v>374</v>
      </c>
      <c r="G1102" s="487">
        <v>6.9467592592592595E-2</v>
      </c>
    </row>
    <row r="1103" spans="4:7">
      <c r="D1103" s="485">
        <v>43823</v>
      </c>
      <c r="E1103" s="467" t="s">
        <v>199</v>
      </c>
      <c r="F1103" s="488" t="s">
        <v>1433</v>
      </c>
      <c r="G1103" s="487">
        <v>5.0231481481481481E-3</v>
      </c>
    </row>
    <row r="1104" spans="4:7">
      <c r="D1104" s="485">
        <v>43824</v>
      </c>
      <c r="E1104" s="467" t="s">
        <v>109</v>
      </c>
      <c r="F1104" s="486">
        <v>0</v>
      </c>
      <c r="G1104" s="487">
        <v>4.0729166666666664E-2</v>
      </c>
    </row>
    <row r="1105" spans="4:7">
      <c r="D1105" s="485">
        <v>43827</v>
      </c>
      <c r="E1105" s="467" t="s">
        <v>44</v>
      </c>
      <c r="F1105" s="486">
        <v>200</v>
      </c>
      <c r="G1105" s="487">
        <v>3.6168981481481483E-2</v>
      </c>
    </row>
    <row r="1106" spans="4:7">
      <c r="D1106" s="485">
        <v>43829</v>
      </c>
      <c r="E1106" s="467" t="s">
        <v>109</v>
      </c>
      <c r="F1106" s="488" t="s">
        <v>1295</v>
      </c>
      <c r="G1106" s="487">
        <v>0.11494212962962963</v>
      </c>
    </row>
    <row r="1107" spans="4:7">
      <c r="D1107" s="485">
        <v>43829</v>
      </c>
      <c r="E1107" s="467" t="s">
        <v>199</v>
      </c>
      <c r="F1107" s="486">
        <v>5</v>
      </c>
      <c r="G1107" s="487">
        <v>8.1250000000000003E-2</v>
      </c>
    </row>
    <row r="1108" spans="4:7">
      <c r="D1108" s="485">
        <v>43829</v>
      </c>
      <c r="E1108" s="467" t="s">
        <v>199</v>
      </c>
      <c r="F1108" s="488" t="s">
        <v>1825</v>
      </c>
      <c r="G1108" s="487">
        <v>1.9814814814814816E-2</v>
      </c>
    </row>
    <row r="1109" spans="4:7">
      <c r="D1109" s="485">
        <v>43830</v>
      </c>
      <c r="E1109" s="467" t="s">
        <v>199</v>
      </c>
      <c r="F1109" s="486">
        <v>0</v>
      </c>
      <c r="G1109" s="487">
        <v>3.2083333333333332E-2</v>
      </c>
    </row>
    <row r="1110" spans="4:7">
      <c r="D1110" s="496">
        <v>43840</v>
      </c>
      <c r="E1110" s="467" t="s">
        <v>416</v>
      </c>
      <c r="F1110" s="497">
        <v>188</v>
      </c>
      <c r="G1110" s="498">
        <v>2.3923611111111114E-2</v>
      </c>
    </row>
    <row r="1111" spans="4:7">
      <c r="D1111" s="485">
        <v>43844</v>
      </c>
      <c r="E1111" s="467" t="s">
        <v>636</v>
      </c>
      <c r="F1111" s="486">
        <v>202</v>
      </c>
      <c r="G1111" s="487">
        <v>1.6435185185185183E-3</v>
      </c>
    </row>
    <row r="1112" spans="4:7">
      <c r="D1112" s="489">
        <v>43844</v>
      </c>
      <c r="E1112" s="467" t="s">
        <v>1385</v>
      </c>
      <c r="F1112" s="495" t="s">
        <v>1379</v>
      </c>
      <c r="G1112" s="490">
        <v>1.0416666666666666E-2</v>
      </c>
    </row>
    <row r="1113" spans="4:7">
      <c r="D1113" s="485">
        <v>43850</v>
      </c>
      <c r="E1113" s="467" t="s">
        <v>396</v>
      </c>
      <c r="F1113" s="488" t="s">
        <v>154</v>
      </c>
      <c r="G1113" s="487">
        <v>6.1041666666666661E-2</v>
      </c>
    </row>
    <row r="1114" spans="4:7">
      <c r="D1114" s="485">
        <v>43850</v>
      </c>
      <c r="E1114" s="467" t="s">
        <v>199</v>
      </c>
      <c r="F1114" s="486">
        <v>0</v>
      </c>
      <c r="G1114" s="487">
        <v>4.3287037037037035E-3</v>
      </c>
    </row>
    <row r="1115" spans="4:7">
      <c r="D1115" s="485">
        <v>43858</v>
      </c>
      <c r="E1115" s="467" t="s">
        <v>199</v>
      </c>
      <c r="F1115" s="486">
        <v>59</v>
      </c>
      <c r="G1115" s="487">
        <v>9.2025462962962976E-2</v>
      </c>
    </row>
    <row r="1116" spans="4:7">
      <c r="D1116" s="485">
        <v>43861</v>
      </c>
      <c r="E1116" s="467" t="s">
        <v>44</v>
      </c>
      <c r="F1116" s="486">
        <v>9</v>
      </c>
      <c r="G1116" s="487">
        <v>7.3460648148148136E-2</v>
      </c>
    </row>
    <row r="1117" spans="4:7">
      <c r="D1117" s="485">
        <v>43867</v>
      </c>
      <c r="E1117" s="467" t="s">
        <v>109</v>
      </c>
      <c r="F1117" s="488" t="s">
        <v>1296</v>
      </c>
      <c r="G1117" s="487">
        <v>6.773148148148149E-2</v>
      </c>
    </row>
    <row r="1118" spans="4:7">
      <c r="D1118" s="485">
        <v>43872</v>
      </c>
      <c r="E1118" s="467" t="s">
        <v>44</v>
      </c>
      <c r="F1118" s="486">
        <v>0</v>
      </c>
      <c r="G1118" s="487">
        <v>0</v>
      </c>
    </row>
    <row r="1119" spans="4:7">
      <c r="D1119" s="485">
        <v>43873</v>
      </c>
      <c r="E1119" s="467" t="s">
        <v>199</v>
      </c>
      <c r="F1119" s="486">
        <v>43</v>
      </c>
      <c r="G1119" s="487">
        <v>0.13048611111111111</v>
      </c>
    </row>
    <row r="1120" spans="4:7">
      <c r="D1120" s="485">
        <v>43874</v>
      </c>
      <c r="E1120" s="467" t="s">
        <v>109</v>
      </c>
      <c r="F1120" s="486">
        <v>56</v>
      </c>
      <c r="G1120" s="487">
        <v>6.7685185185185182E-2</v>
      </c>
    </row>
    <row r="1121" spans="4:7">
      <c r="D1121" s="485">
        <v>43884</v>
      </c>
      <c r="E1121" s="467" t="s">
        <v>109</v>
      </c>
      <c r="F1121" s="486">
        <v>113</v>
      </c>
      <c r="G1121" s="487">
        <v>7.2650462962962958E-2</v>
      </c>
    </row>
    <row r="1122" spans="4:7">
      <c r="D1122" s="489">
        <v>43884</v>
      </c>
      <c r="E1122" s="467" t="s">
        <v>2803</v>
      </c>
      <c r="F1122" s="483">
        <v>0</v>
      </c>
      <c r="G1122" s="490">
        <v>8.3333333333333332E-3</v>
      </c>
    </row>
    <row r="1123" spans="4:7">
      <c r="D1123" s="485">
        <v>43890</v>
      </c>
      <c r="E1123" s="467" t="s">
        <v>44</v>
      </c>
      <c r="F1123" s="486">
        <v>110</v>
      </c>
      <c r="G1123" s="487">
        <v>7.059027777777778E-2</v>
      </c>
    </row>
    <row r="1124" spans="4:7">
      <c r="D1124" s="485">
        <v>43892</v>
      </c>
      <c r="E1124" s="467" t="s">
        <v>199</v>
      </c>
      <c r="F1124" s="486">
        <v>184</v>
      </c>
      <c r="G1124" s="487">
        <v>0.13717592592592592</v>
      </c>
    </row>
    <row r="1125" spans="4:7">
      <c r="D1125" s="485">
        <v>43896</v>
      </c>
      <c r="E1125" s="467" t="s">
        <v>109</v>
      </c>
      <c r="F1125" s="488" t="s">
        <v>1510</v>
      </c>
      <c r="G1125" s="487">
        <v>6.5601851851851856E-2</v>
      </c>
    </row>
    <row r="1126" spans="4:7">
      <c r="D1126" s="485">
        <v>43901</v>
      </c>
      <c r="E1126" s="467" t="s">
        <v>636</v>
      </c>
      <c r="F1126" s="488" t="s">
        <v>157</v>
      </c>
      <c r="G1126" s="487">
        <v>6.5162037037037037E-3</v>
      </c>
    </row>
    <row r="1127" spans="4:7">
      <c r="D1127" s="485">
        <v>43901</v>
      </c>
      <c r="E1127" s="467" t="s">
        <v>636</v>
      </c>
      <c r="F1127" s="486">
        <v>203</v>
      </c>
      <c r="G1127" s="487">
        <v>4.0856481481481481E-3</v>
      </c>
    </row>
    <row r="1128" spans="4:7">
      <c r="D1128" s="485">
        <v>43903</v>
      </c>
      <c r="E1128" s="467" t="s">
        <v>109</v>
      </c>
      <c r="F1128" s="486">
        <v>190</v>
      </c>
      <c r="G1128" s="487">
        <v>8.0069444444444443E-2</v>
      </c>
    </row>
    <row r="1129" spans="4:7">
      <c r="D1129" s="485">
        <v>43912</v>
      </c>
      <c r="E1129" s="467" t="s">
        <v>199</v>
      </c>
      <c r="F1129" s="488" t="s">
        <v>1827</v>
      </c>
      <c r="G1129" s="487">
        <v>4.3784722222222218E-2</v>
      </c>
    </row>
    <row r="1130" spans="4:7">
      <c r="D1130" s="485">
        <v>43913</v>
      </c>
      <c r="E1130" s="467" t="s">
        <v>114</v>
      </c>
      <c r="F1130" s="486">
        <v>8</v>
      </c>
      <c r="G1130" s="487">
        <v>6.7106481481481475E-2</v>
      </c>
    </row>
    <row r="1131" spans="4:7">
      <c r="D1131" s="485">
        <v>43913</v>
      </c>
      <c r="E1131" s="467" t="s">
        <v>235</v>
      </c>
      <c r="F1131" s="486">
        <v>2</v>
      </c>
      <c r="G1131" s="487">
        <v>5.7314814814814818E-2</v>
      </c>
    </row>
    <row r="1132" spans="4:7">
      <c r="D1132" s="485">
        <v>43915</v>
      </c>
      <c r="E1132" s="467" t="s">
        <v>109</v>
      </c>
      <c r="F1132" s="486">
        <v>201</v>
      </c>
      <c r="G1132" s="487">
        <v>7.5150462962962961E-2</v>
      </c>
    </row>
    <row r="1133" spans="4:7">
      <c r="D1133" s="485">
        <v>43915</v>
      </c>
      <c r="E1133" s="467" t="s">
        <v>199</v>
      </c>
      <c r="F1133" s="488" t="s">
        <v>1829</v>
      </c>
      <c r="G1133" s="487">
        <v>7.6296296296296293E-2</v>
      </c>
    </row>
    <row r="1134" spans="4:7">
      <c r="D1134" s="489">
        <v>43915</v>
      </c>
      <c r="E1134" s="467" t="s">
        <v>1385</v>
      </c>
      <c r="F1134" s="495" t="s">
        <v>1380</v>
      </c>
      <c r="G1134" s="490">
        <v>1.7025462962962961E-2</v>
      </c>
    </row>
    <row r="1135" spans="4:7">
      <c r="D1135" s="493">
        <v>43917</v>
      </c>
      <c r="E1135" s="467" t="s">
        <v>201</v>
      </c>
      <c r="F1135" s="486">
        <v>167</v>
      </c>
      <c r="G1135" s="494">
        <v>9.2175925925925925E-2</v>
      </c>
    </row>
    <row r="1136" spans="4:7">
      <c r="D1136" s="485">
        <v>43918</v>
      </c>
      <c r="E1136" s="467" t="s">
        <v>109</v>
      </c>
      <c r="F1136" s="486">
        <v>0</v>
      </c>
      <c r="G1136" s="487">
        <v>1.1458333333333333E-3</v>
      </c>
    </row>
    <row r="1137" spans="4:7">
      <c r="D1137" s="485">
        <v>43919</v>
      </c>
      <c r="E1137" s="467" t="s">
        <v>109</v>
      </c>
      <c r="F1137" s="486">
        <v>33</v>
      </c>
      <c r="G1137" s="487">
        <v>8.2847222222222225E-2</v>
      </c>
    </row>
    <row r="1138" spans="4:7">
      <c r="D1138" s="485">
        <v>43920</v>
      </c>
      <c r="E1138" s="467" t="s">
        <v>44</v>
      </c>
      <c r="F1138" s="486">
        <v>170</v>
      </c>
      <c r="G1138" s="487">
        <v>9.1643518518518527E-2</v>
      </c>
    </row>
    <row r="1139" spans="4:7">
      <c r="D1139" s="485">
        <v>43922</v>
      </c>
      <c r="E1139" s="467" t="s">
        <v>109</v>
      </c>
      <c r="F1139" s="488" t="s">
        <v>592</v>
      </c>
      <c r="G1139" s="487">
        <v>4.4155092592592593E-2</v>
      </c>
    </row>
    <row r="1140" spans="4:7">
      <c r="D1140" s="485">
        <v>43929</v>
      </c>
      <c r="E1140" s="467" t="s">
        <v>199</v>
      </c>
      <c r="F1140" s="486">
        <v>1</v>
      </c>
      <c r="G1140" s="487">
        <v>9.0624999999999997E-2</v>
      </c>
    </row>
    <row r="1141" spans="4:7">
      <c r="D1141" s="485">
        <v>43933</v>
      </c>
      <c r="E1141" s="467" t="s">
        <v>109</v>
      </c>
      <c r="F1141" s="486">
        <v>149</v>
      </c>
      <c r="G1141" s="487">
        <v>6.8113425925925938E-2</v>
      </c>
    </row>
    <row r="1142" spans="4:7">
      <c r="D1142" s="485">
        <v>43937</v>
      </c>
      <c r="E1142" s="467" t="s">
        <v>636</v>
      </c>
      <c r="F1142" s="486">
        <v>204</v>
      </c>
      <c r="G1142" s="487">
        <v>1.4351851851851854E-3</v>
      </c>
    </row>
    <row r="1143" spans="4:7">
      <c r="D1143" s="485">
        <v>43938</v>
      </c>
      <c r="E1143" s="467" t="s">
        <v>199</v>
      </c>
      <c r="F1143" s="486">
        <v>0</v>
      </c>
      <c r="G1143" s="487">
        <v>6.3009259259259265E-2</v>
      </c>
    </row>
    <row r="1144" spans="4:7">
      <c r="D1144" s="485">
        <v>43940</v>
      </c>
      <c r="E1144" s="467" t="s">
        <v>109</v>
      </c>
      <c r="F1144" s="486">
        <v>121</v>
      </c>
      <c r="G1144" s="487">
        <v>6.7905092592592586E-2</v>
      </c>
    </row>
    <row r="1145" spans="4:7">
      <c r="D1145" s="485">
        <v>43941</v>
      </c>
      <c r="E1145" s="467" t="s">
        <v>199</v>
      </c>
      <c r="F1145" s="486">
        <v>0</v>
      </c>
      <c r="G1145" s="487">
        <v>5.7141203703703708E-2</v>
      </c>
    </row>
    <row r="1146" spans="4:7">
      <c r="D1146" s="485">
        <v>43943</v>
      </c>
      <c r="E1146" s="467" t="s">
        <v>235</v>
      </c>
      <c r="F1146" s="486">
        <v>11</v>
      </c>
      <c r="G1146" s="487">
        <v>5.8437499999999996E-2</v>
      </c>
    </row>
    <row r="1147" spans="4:7">
      <c r="D1147" s="485">
        <v>43947.886805555558</v>
      </c>
      <c r="E1147" s="467" t="s">
        <v>199</v>
      </c>
      <c r="F1147" s="486">
        <v>200</v>
      </c>
      <c r="G1147" s="487">
        <v>0.21721064814814817</v>
      </c>
    </row>
    <row r="1148" spans="4:7">
      <c r="D1148" s="485">
        <v>43947.934074074074</v>
      </c>
      <c r="E1148" s="467" t="s">
        <v>199</v>
      </c>
      <c r="F1148" s="486">
        <v>200</v>
      </c>
      <c r="G1148" s="487">
        <v>0.1471412037037037</v>
      </c>
    </row>
    <row r="1149" spans="4:7">
      <c r="D1149" s="485">
        <v>43948.023090277777</v>
      </c>
      <c r="E1149" s="467" t="s">
        <v>199</v>
      </c>
      <c r="F1149" s="486">
        <v>200</v>
      </c>
      <c r="G1149" s="487">
        <v>0.11391203703703705</v>
      </c>
    </row>
    <row r="1150" spans="4:7">
      <c r="D1150" s="485">
        <v>43948.082291666666</v>
      </c>
      <c r="E1150" s="467" t="s">
        <v>199</v>
      </c>
      <c r="F1150" s="486">
        <v>200</v>
      </c>
      <c r="G1150" s="487">
        <v>0.16546296296296295</v>
      </c>
    </row>
    <row r="1151" spans="4:7">
      <c r="D1151" s="485">
        <v>43951</v>
      </c>
      <c r="E1151" s="467" t="s">
        <v>44</v>
      </c>
      <c r="F1151" s="486">
        <v>45</v>
      </c>
      <c r="G1151" s="487">
        <v>8.0173611111111112E-2</v>
      </c>
    </row>
    <row r="1152" spans="4:7">
      <c r="D1152" s="485">
        <v>43952</v>
      </c>
      <c r="E1152" s="467" t="s">
        <v>109</v>
      </c>
      <c r="F1152" s="488" t="s">
        <v>1509</v>
      </c>
      <c r="G1152" s="487">
        <v>4.2638888888888893E-2</v>
      </c>
    </row>
    <row r="1153" spans="4:7">
      <c r="D1153" s="489">
        <v>43959</v>
      </c>
      <c r="E1153" s="467" t="s">
        <v>1385</v>
      </c>
      <c r="F1153" s="483">
        <v>205</v>
      </c>
      <c r="G1153" s="490">
        <v>3.0150462962962962E-2</v>
      </c>
    </row>
    <row r="1154" spans="4:7">
      <c r="D1154" s="485">
        <v>43961</v>
      </c>
      <c r="E1154" s="467" t="s">
        <v>235</v>
      </c>
      <c r="F1154" s="486">
        <v>152</v>
      </c>
      <c r="G1154" s="487">
        <v>9.9675925925925932E-2</v>
      </c>
    </row>
    <row r="1155" spans="4:7">
      <c r="D1155" s="489">
        <v>43963</v>
      </c>
      <c r="E1155" s="467" t="s">
        <v>2804</v>
      </c>
      <c r="F1155" s="483">
        <v>0</v>
      </c>
      <c r="G1155" s="490">
        <v>2.5150462962962961E-2</v>
      </c>
    </row>
    <row r="1156" spans="4:7">
      <c r="D1156" s="489">
        <v>43966</v>
      </c>
      <c r="E1156" s="467" t="s">
        <v>3639</v>
      </c>
      <c r="F1156" s="483">
        <v>1</v>
      </c>
      <c r="G1156" s="490">
        <v>4.2337962962962966E-2</v>
      </c>
    </row>
    <row r="1157" spans="4:7">
      <c r="D1157" s="485">
        <v>43969</v>
      </c>
      <c r="E1157" s="467" t="s">
        <v>109</v>
      </c>
      <c r="F1157" s="486">
        <v>151</v>
      </c>
      <c r="G1157" s="487">
        <v>8.4571759259259263E-2</v>
      </c>
    </row>
    <row r="1158" spans="4:7">
      <c r="D1158" s="489">
        <v>43977</v>
      </c>
      <c r="E1158" s="467" t="s">
        <v>2804</v>
      </c>
      <c r="F1158" s="483">
        <v>0</v>
      </c>
      <c r="G1158" s="490">
        <v>2.3182870370370371E-2</v>
      </c>
    </row>
    <row r="1159" spans="4:7">
      <c r="D1159" s="485">
        <v>43978</v>
      </c>
      <c r="E1159" s="467" t="s">
        <v>109</v>
      </c>
      <c r="F1159" s="488" t="s">
        <v>1297</v>
      </c>
      <c r="G1159" s="487">
        <v>2.3136574074074077E-2</v>
      </c>
    </row>
    <row r="1160" spans="4:7">
      <c r="D1160" s="489">
        <v>43978</v>
      </c>
      <c r="E1160" s="467" t="s">
        <v>1385</v>
      </c>
      <c r="F1160" s="495" t="s">
        <v>1381</v>
      </c>
      <c r="G1160" s="490">
        <v>2.1458333333333333E-2</v>
      </c>
    </row>
    <row r="1161" spans="4:7">
      <c r="D1161" s="489">
        <v>43978</v>
      </c>
      <c r="E1161" s="467" t="s">
        <v>1355</v>
      </c>
      <c r="F1161" s="483">
        <v>0</v>
      </c>
      <c r="G1161" s="490">
        <v>1.6122685185185184E-2</v>
      </c>
    </row>
    <row r="1162" spans="4:7">
      <c r="D1162" s="489">
        <v>43979</v>
      </c>
      <c r="E1162" s="467" t="s">
        <v>1355</v>
      </c>
      <c r="F1162" s="483">
        <v>80</v>
      </c>
      <c r="G1162" s="490">
        <v>1.8657407407407407E-2</v>
      </c>
    </row>
    <row r="1163" spans="4:7">
      <c r="D1163" s="489">
        <v>43980</v>
      </c>
      <c r="E1163" s="467" t="s">
        <v>1355</v>
      </c>
      <c r="F1163" s="483">
        <v>0</v>
      </c>
      <c r="G1163" s="490">
        <v>1.8750000000000001E-3</v>
      </c>
    </row>
    <row r="1164" spans="4:7">
      <c r="D1164" s="485">
        <v>43982</v>
      </c>
      <c r="E1164" s="467" t="s">
        <v>44</v>
      </c>
      <c r="F1164" s="486">
        <v>24</v>
      </c>
      <c r="G1164" s="487">
        <v>9.0648148148148144E-2</v>
      </c>
    </row>
    <row r="1165" spans="4:7">
      <c r="D1165" s="485">
        <v>43982</v>
      </c>
      <c r="E1165" s="467" t="s">
        <v>199</v>
      </c>
      <c r="F1165" s="486">
        <v>44</v>
      </c>
      <c r="G1165" s="487">
        <v>0.13915509259259259</v>
      </c>
    </row>
    <row r="1166" spans="4:7">
      <c r="D1166" s="485">
        <v>43993</v>
      </c>
      <c r="E1166" s="467" t="s">
        <v>109</v>
      </c>
      <c r="F1166" s="486">
        <v>50</v>
      </c>
      <c r="G1166" s="487">
        <v>7.5520833333333329E-2</v>
      </c>
    </row>
    <row r="1167" spans="4:7">
      <c r="D1167" s="489">
        <v>43995</v>
      </c>
      <c r="E1167" s="467" t="s">
        <v>1355</v>
      </c>
      <c r="F1167" s="483">
        <v>84</v>
      </c>
      <c r="G1167" s="490">
        <v>2.0729166666666667E-2</v>
      </c>
    </row>
    <row r="1168" spans="4:7">
      <c r="D1168" s="489">
        <v>44000</v>
      </c>
      <c r="E1168" s="467" t="s">
        <v>2805</v>
      </c>
      <c r="F1168" s="483">
        <v>0</v>
      </c>
      <c r="G1168" s="490">
        <v>1.4849537037037036E-2</v>
      </c>
    </row>
    <row r="1169" spans="4:7">
      <c r="D1169" s="493">
        <v>44001</v>
      </c>
      <c r="E1169" s="467" t="s">
        <v>201</v>
      </c>
      <c r="F1169" s="486">
        <v>25</v>
      </c>
      <c r="G1169" s="494">
        <v>9.3090277777777786E-2</v>
      </c>
    </row>
    <row r="1170" spans="4:7">
      <c r="D1170" s="489">
        <v>44001</v>
      </c>
      <c r="E1170" s="467" t="s">
        <v>1407</v>
      </c>
      <c r="F1170" s="483">
        <v>205</v>
      </c>
      <c r="G1170" s="490">
        <v>2.0405092592592593E-2</v>
      </c>
    </row>
    <row r="1171" spans="4:7">
      <c r="D1171" s="489">
        <v>44001</v>
      </c>
      <c r="E1171" s="467" t="s">
        <v>3639</v>
      </c>
      <c r="F1171" s="483">
        <v>2</v>
      </c>
      <c r="G1171" s="490">
        <v>3.3912037037037039E-2</v>
      </c>
    </row>
    <row r="1172" spans="4:7">
      <c r="D1172" s="485">
        <v>44003</v>
      </c>
      <c r="E1172" s="467" t="s">
        <v>199</v>
      </c>
      <c r="F1172" s="486">
        <v>35</v>
      </c>
      <c r="G1172" s="487">
        <v>0.1112962962962963</v>
      </c>
    </row>
    <row r="1173" spans="4:7">
      <c r="D1173" s="485">
        <v>44006</v>
      </c>
      <c r="E1173" s="467" t="s">
        <v>109</v>
      </c>
      <c r="F1173" s="486">
        <v>16</v>
      </c>
      <c r="G1173" s="487">
        <v>8.2500000000000004E-2</v>
      </c>
    </row>
    <row r="1174" spans="4:7">
      <c r="D1174" s="485">
        <v>44012</v>
      </c>
      <c r="E1174" s="467" t="s">
        <v>44</v>
      </c>
      <c r="F1174" s="486">
        <v>26</v>
      </c>
      <c r="G1174" s="487">
        <v>0.10005787037037038</v>
      </c>
    </row>
    <row r="1175" spans="4:7">
      <c r="D1175" s="485">
        <v>44015</v>
      </c>
      <c r="E1175" s="467" t="s">
        <v>109</v>
      </c>
      <c r="F1175" s="486">
        <v>123</v>
      </c>
      <c r="G1175" s="487">
        <v>7.7627314814814816E-2</v>
      </c>
    </row>
    <row r="1176" spans="4:7">
      <c r="D1176" s="485">
        <v>44016</v>
      </c>
      <c r="E1176" s="467" t="s">
        <v>109</v>
      </c>
      <c r="F1176" s="486">
        <v>119</v>
      </c>
      <c r="G1176" s="487">
        <v>8.0578703703703694E-2</v>
      </c>
    </row>
    <row r="1177" spans="4:7">
      <c r="D1177" s="485">
        <v>44016</v>
      </c>
      <c r="E1177" s="467" t="s">
        <v>199</v>
      </c>
      <c r="F1177" s="486">
        <v>14</v>
      </c>
      <c r="G1177" s="487">
        <v>0.13697916666666668</v>
      </c>
    </row>
    <row r="1178" spans="4:7">
      <c r="D1178" s="489">
        <v>44016</v>
      </c>
      <c r="E1178" s="467" t="s">
        <v>1355</v>
      </c>
      <c r="F1178" s="483">
        <v>0</v>
      </c>
      <c r="G1178" s="490">
        <v>1.324074074074074E-2</v>
      </c>
    </row>
    <row r="1179" spans="4:7">
      <c r="D1179" s="485">
        <v>44020</v>
      </c>
      <c r="E1179" s="467" t="s">
        <v>109</v>
      </c>
      <c r="F1179" s="486">
        <v>141</v>
      </c>
      <c r="G1179" s="487">
        <v>4.6840277777777779E-2</v>
      </c>
    </row>
    <row r="1180" spans="4:7">
      <c r="D1180" s="489">
        <v>44022</v>
      </c>
      <c r="E1180" s="467" t="s">
        <v>1385</v>
      </c>
      <c r="F1180" s="483">
        <v>206</v>
      </c>
      <c r="G1180" s="490">
        <v>3.1631944444444442E-2</v>
      </c>
    </row>
    <row r="1181" spans="4:7">
      <c r="D1181" s="489">
        <v>44022</v>
      </c>
      <c r="E1181" s="467" t="s">
        <v>1355</v>
      </c>
      <c r="F1181" s="483">
        <v>10</v>
      </c>
      <c r="G1181" s="490">
        <v>1.9305555555555555E-2</v>
      </c>
    </row>
    <row r="1182" spans="4:7">
      <c r="D1182" s="485">
        <v>44024</v>
      </c>
      <c r="E1182" s="467" t="s">
        <v>109</v>
      </c>
      <c r="F1182" s="486">
        <v>153</v>
      </c>
      <c r="G1182" s="487">
        <v>6.5856481481481488E-2</v>
      </c>
    </row>
    <row r="1183" spans="4:7">
      <c r="D1183" s="489">
        <v>44026</v>
      </c>
      <c r="E1183" s="467" t="s">
        <v>2805</v>
      </c>
      <c r="F1183" s="483">
        <v>0</v>
      </c>
      <c r="G1183" s="490">
        <v>1.8657407407407407E-2</v>
      </c>
    </row>
    <row r="1184" spans="4:7">
      <c r="D1184" s="489">
        <v>44027</v>
      </c>
      <c r="E1184" s="467" t="s">
        <v>1355</v>
      </c>
      <c r="F1184" s="483">
        <v>0</v>
      </c>
      <c r="G1184" s="490">
        <v>9.0509259259259258E-3</v>
      </c>
    </row>
    <row r="1185" spans="4:7">
      <c r="D1185" s="489">
        <v>44028</v>
      </c>
      <c r="E1185" s="467" t="s">
        <v>1355</v>
      </c>
      <c r="F1185" s="483">
        <v>0</v>
      </c>
      <c r="G1185" s="490">
        <v>1.2812499999999999E-2</v>
      </c>
    </row>
    <row r="1186" spans="4:7">
      <c r="D1186" s="489">
        <v>44029</v>
      </c>
      <c r="E1186" s="467" t="s">
        <v>3639</v>
      </c>
      <c r="F1186" s="483">
        <v>3</v>
      </c>
      <c r="G1186" s="490">
        <v>3.7465277777777778E-2</v>
      </c>
    </row>
    <row r="1187" spans="4:7">
      <c r="D1187" s="485">
        <v>44043</v>
      </c>
      <c r="E1187" s="467" t="s">
        <v>44</v>
      </c>
      <c r="F1187" s="486">
        <v>101</v>
      </c>
      <c r="G1187" s="487">
        <v>9.8090277777777776E-2</v>
      </c>
    </row>
    <row r="1188" spans="4:7">
      <c r="D1188" s="485">
        <v>44044</v>
      </c>
      <c r="E1188" s="467" t="s">
        <v>199</v>
      </c>
      <c r="F1188" s="486">
        <v>0</v>
      </c>
      <c r="G1188" s="487">
        <v>2.9976851851851848E-3</v>
      </c>
    </row>
    <row r="1189" spans="4:7">
      <c r="D1189" s="485">
        <v>44046</v>
      </c>
      <c r="E1189" s="467" t="s">
        <v>109</v>
      </c>
      <c r="F1189" s="486">
        <v>170</v>
      </c>
      <c r="G1189" s="487">
        <v>9.4953703703703707E-2</v>
      </c>
    </row>
    <row r="1190" spans="4:7">
      <c r="D1190" s="485">
        <v>44054</v>
      </c>
      <c r="E1190" s="467" t="s">
        <v>109</v>
      </c>
      <c r="F1190" s="486">
        <v>44</v>
      </c>
      <c r="G1190" s="487">
        <v>9.7719907407407394E-2</v>
      </c>
    </row>
    <row r="1191" spans="4:7">
      <c r="D1191" s="485">
        <v>44057</v>
      </c>
      <c r="E1191" s="467" t="s">
        <v>109</v>
      </c>
      <c r="F1191" s="488" t="s">
        <v>1299</v>
      </c>
      <c r="G1191" s="487">
        <v>5.8564814814814825E-3</v>
      </c>
    </row>
    <row r="1192" spans="4:7">
      <c r="D1192" s="489">
        <v>44062</v>
      </c>
      <c r="E1192" s="467" t="s">
        <v>1385</v>
      </c>
      <c r="F1192" s="495" t="s">
        <v>1382</v>
      </c>
      <c r="G1192" s="490">
        <v>1.3379629629629628E-2</v>
      </c>
    </row>
    <row r="1193" spans="4:7">
      <c r="D1193" s="489">
        <v>44064</v>
      </c>
      <c r="E1193" s="467" t="s">
        <v>3639</v>
      </c>
      <c r="F1193" s="495">
        <v>4</v>
      </c>
      <c r="G1193" s="490">
        <v>4.4664351851851851E-2</v>
      </c>
    </row>
    <row r="1194" spans="4:7">
      <c r="D1194" s="485">
        <v>44067</v>
      </c>
      <c r="E1194" s="467" t="s">
        <v>1329</v>
      </c>
      <c r="F1194" s="486">
        <v>1</v>
      </c>
      <c r="G1194" s="487">
        <v>2.2013888888888888E-2</v>
      </c>
    </row>
    <row r="1195" spans="4:7">
      <c r="D1195" s="485">
        <v>44069</v>
      </c>
      <c r="E1195" s="467" t="s">
        <v>199</v>
      </c>
      <c r="F1195" s="486">
        <v>0</v>
      </c>
      <c r="G1195" s="487">
        <v>1.2731481481481483E-3</v>
      </c>
    </row>
    <row r="1196" spans="4:7">
      <c r="D1196" s="485">
        <v>44070</v>
      </c>
      <c r="E1196" s="467" t="s">
        <v>109</v>
      </c>
      <c r="F1196" s="486">
        <v>69</v>
      </c>
      <c r="G1196" s="487">
        <v>7.6574074074074072E-2</v>
      </c>
    </row>
    <row r="1197" spans="4:7">
      <c r="D1197" s="485">
        <v>44074</v>
      </c>
      <c r="E1197" s="467" t="s">
        <v>44</v>
      </c>
      <c r="F1197" s="486">
        <v>106</v>
      </c>
      <c r="G1197" s="487">
        <v>9.0520833333333328E-2</v>
      </c>
    </row>
    <row r="1198" spans="4:7">
      <c r="D1198" s="493">
        <v>44074</v>
      </c>
      <c r="E1198" s="467" t="s">
        <v>1326</v>
      </c>
      <c r="F1198" s="486">
        <v>52</v>
      </c>
      <c r="G1198" s="487">
        <v>7.631944444444444E-2</v>
      </c>
    </row>
    <row r="1199" spans="4:7">
      <c r="D1199" s="485">
        <v>44075</v>
      </c>
      <c r="E1199" s="467" t="s">
        <v>636</v>
      </c>
      <c r="F1199" s="486">
        <v>205</v>
      </c>
      <c r="G1199" s="487">
        <v>9.9537037037037042E-4</v>
      </c>
    </row>
    <row r="1200" spans="4:7">
      <c r="D1200" s="485">
        <v>44075</v>
      </c>
      <c r="E1200" s="467" t="s">
        <v>636</v>
      </c>
      <c r="F1200" s="486">
        <v>206</v>
      </c>
      <c r="G1200" s="487">
        <v>1.0995370370370371E-3</v>
      </c>
    </row>
    <row r="1201" spans="4:7">
      <c r="D1201" s="489">
        <v>44075</v>
      </c>
      <c r="E1201" s="467" t="s">
        <v>2805</v>
      </c>
      <c r="F1201" s="483">
        <v>0</v>
      </c>
      <c r="G1201" s="490">
        <v>2.2615740740740742E-2</v>
      </c>
    </row>
    <row r="1202" spans="4:7">
      <c r="D1202" s="489">
        <v>44078</v>
      </c>
      <c r="E1202" s="467" t="s">
        <v>1385</v>
      </c>
      <c r="F1202" s="495" t="s">
        <v>1372</v>
      </c>
      <c r="G1202" s="490">
        <v>1.0625000000000001E-2</v>
      </c>
    </row>
    <row r="1203" spans="4:7">
      <c r="D1203" s="485">
        <v>44085</v>
      </c>
      <c r="E1203" s="467" t="s">
        <v>109</v>
      </c>
      <c r="F1203" s="488" t="s">
        <v>1520</v>
      </c>
      <c r="G1203" s="487">
        <v>4.2511574074074077E-2</v>
      </c>
    </row>
    <row r="1204" spans="4:7">
      <c r="D1204" s="485">
        <v>44086</v>
      </c>
      <c r="E1204" s="467" t="s">
        <v>199</v>
      </c>
      <c r="F1204" s="486">
        <v>29</v>
      </c>
      <c r="G1204" s="487">
        <v>8.1863425925925923E-2</v>
      </c>
    </row>
    <row r="1205" spans="4:7">
      <c r="D1205" s="489">
        <v>44092</v>
      </c>
      <c r="E1205" s="467" t="s">
        <v>1385</v>
      </c>
      <c r="F1205" s="483">
        <v>207</v>
      </c>
      <c r="G1205" s="490">
        <v>3.5347222222222217E-2</v>
      </c>
    </row>
    <row r="1206" spans="4:7">
      <c r="D1206" s="489">
        <v>44092</v>
      </c>
      <c r="E1206" s="467" t="s">
        <v>3639</v>
      </c>
      <c r="F1206" s="483">
        <v>5</v>
      </c>
      <c r="G1206" s="490">
        <v>4.7789351851851847E-2</v>
      </c>
    </row>
    <row r="1207" spans="4:7">
      <c r="D1207" s="485">
        <v>44093</v>
      </c>
      <c r="E1207" s="467" t="s">
        <v>199</v>
      </c>
      <c r="F1207" s="488" t="s">
        <v>1830</v>
      </c>
      <c r="G1207" s="487">
        <v>9.6354166666666671E-2</v>
      </c>
    </row>
    <row r="1208" spans="4:7">
      <c r="D1208" s="485">
        <v>44099</v>
      </c>
      <c r="E1208" s="467" t="s">
        <v>199</v>
      </c>
      <c r="F1208" s="488" t="s">
        <v>1841</v>
      </c>
      <c r="G1208" s="487">
        <v>3.9004629629629632E-3</v>
      </c>
    </row>
    <row r="1209" spans="4:7">
      <c r="D1209" s="493">
        <v>44104</v>
      </c>
      <c r="E1209" s="467" t="s">
        <v>1326</v>
      </c>
      <c r="F1209" s="486">
        <v>161</v>
      </c>
      <c r="G1209" s="494">
        <v>8.5844907407407411E-2</v>
      </c>
    </row>
    <row r="1210" spans="4:7">
      <c r="D1210" s="485">
        <v>44105</v>
      </c>
      <c r="E1210" s="467" t="s">
        <v>44</v>
      </c>
      <c r="F1210" s="486">
        <v>162</v>
      </c>
      <c r="G1210" s="487">
        <v>9.2615740740740748E-2</v>
      </c>
    </row>
    <row r="1211" spans="4:7">
      <c r="D1211" s="485">
        <v>44107</v>
      </c>
      <c r="E1211" s="467" t="s">
        <v>199</v>
      </c>
      <c r="F1211" s="486">
        <v>76</v>
      </c>
      <c r="G1211" s="487">
        <v>0.16192129629629629</v>
      </c>
    </row>
    <row r="1212" spans="4:7">
      <c r="D1212" s="485">
        <v>44108</v>
      </c>
      <c r="E1212" s="467" t="s">
        <v>109</v>
      </c>
      <c r="F1212" s="488" t="s">
        <v>1300</v>
      </c>
      <c r="G1212" s="487">
        <v>0.10041666666666667</v>
      </c>
    </row>
    <row r="1213" spans="4:7">
      <c r="D1213" s="485">
        <v>44111</v>
      </c>
      <c r="E1213" s="467" t="s">
        <v>199</v>
      </c>
      <c r="F1213" s="488" t="s">
        <v>1554</v>
      </c>
      <c r="G1213" s="487">
        <v>3.4664351851851849E-2</v>
      </c>
    </row>
    <row r="1214" spans="4:7">
      <c r="D1214" s="489">
        <v>44111</v>
      </c>
      <c r="E1214" s="467" t="s">
        <v>2806</v>
      </c>
      <c r="F1214" s="483">
        <v>0</v>
      </c>
      <c r="G1214" s="490">
        <v>6.368055555555556E-2</v>
      </c>
    </row>
    <row r="1215" spans="4:7">
      <c r="D1215" s="485">
        <v>44112</v>
      </c>
      <c r="E1215" s="467" t="s">
        <v>109</v>
      </c>
      <c r="F1215" s="486">
        <v>166</v>
      </c>
      <c r="G1215" s="487">
        <v>7.3287037037037039E-2</v>
      </c>
    </row>
    <row r="1216" spans="4:7">
      <c r="D1216" s="485">
        <v>44113</v>
      </c>
      <c r="E1216" s="467" t="s">
        <v>199</v>
      </c>
      <c r="F1216" s="486">
        <v>18</v>
      </c>
      <c r="G1216" s="487">
        <v>0.15649305555555557</v>
      </c>
    </row>
    <row r="1217" spans="4:7">
      <c r="D1217" s="485">
        <v>44116</v>
      </c>
      <c r="E1217" s="467" t="s">
        <v>2831</v>
      </c>
      <c r="F1217" s="486">
        <v>0</v>
      </c>
      <c r="G1217" s="487">
        <v>2.8009259259259259E-3</v>
      </c>
    </row>
    <row r="1218" spans="4:7">
      <c r="D1218" s="485">
        <v>44119</v>
      </c>
      <c r="E1218" s="467" t="s">
        <v>109</v>
      </c>
      <c r="F1218" s="488" t="s">
        <v>1521</v>
      </c>
      <c r="G1218" s="487">
        <v>4.5671296296296293E-2</v>
      </c>
    </row>
    <row r="1219" spans="4:7">
      <c r="D1219" s="485">
        <v>44120</v>
      </c>
      <c r="E1219" s="467" t="s">
        <v>3639</v>
      </c>
      <c r="F1219" s="488">
        <v>6</v>
      </c>
      <c r="G1219" s="487">
        <v>5.2928240740740741E-2</v>
      </c>
    </row>
    <row r="1220" spans="4:7">
      <c r="D1220" s="485">
        <v>44123</v>
      </c>
      <c r="E1220" s="467" t="s">
        <v>636</v>
      </c>
      <c r="F1220" s="486">
        <v>207</v>
      </c>
      <c r="G1220" s="487">
        <v>1.6435185185185183E-3</v>
      </c>
    </row>
    <row r="1221" spans="4:7">
      <c r="D1221" s="485">
        <v>44124</v>
      </c>
      <c r="E1221" s="467" t="s">
        <v>109</v>
      </c>
      <c r="F1221" s="486">
        <v>31</v>
      </c>
      <c r="G1221" s="487">
        <v>8.2511574074074071E-2</v>
      </c>
    </row>
    <row r="1222" spans="4:7">
      <c r="D1222" s="489">
        <v>44124</v>
      </c>
      <c r="E1222" s="467" t="s">
        <v>2797</v>
      </c>
      <c r="F1222" s="483">
        <v>0</v>
      </c>
      <c r="G1222" s="490">
        <v>7.7638888888888882E-2</v>
      </c>
    </row>
    <row r="1223" spans="4:7">
      <c r="D1223" s="489">
        <v>44125</v>
      </c>
      <c r="E1223" s="467" t="s">
        <v>2807</v>
      </c>
      <c r="F1223" s="483">
        <v>0</v>
      </c>
      <c r="G1223" s="490">
        <v>4.2476851851851851E-3</v>
      </c>
    </row>
    <row r="1224" spans="4:7">
      <c r="D1224" s="485">
        <v>44128</v>
      </c>
      <c r="E1224" s="467" t="s">
        <v>1326</v>
      </c>
      <c r="F1224" s="486">
        <v>41</v>
      </c>
      <c r="G1224" s="487">
        <v>7.1539351851851854E-2</v>
      </c>
    </row>
    <row r="1225" spans="4:7">
      <c r="D1225" s="485">
        <v>44133</v>
      </c>
      <c r="E1225" s="467" t="s">
        <v>199</v>
      </c>
      <c r="F1225" s="488" t="s">
        <v>1844</v>
      </c>
      <c r="G1225" s="487">
        <v>0.22875000000000001</v>
      </c>
    </row>
    <row r="1226" spans="4:7">
      <c r="D1226" s="485">
        <v>44135.000694444447</v>
      </c>
      <c r="E1226" s="467" t="s">
        <v>44</v>
      </c>
      <c r="F1226" s="486">
        <v>114</v>
      </c>
      <c r="G1226" s="487">
        <v>0.10315972222222221</v>
      </c>
    </row>
    <row r="1227" spans="4:7">
      <c r="D1227" s="485">
        <v>44135.001238425924</v>
      </c>
      <c r="E1227" s="467" t="s">
        <v>109</v>
      </c>
      <c r="F1227" s="486">
        <v>114</v>
      </c>
      <c r="G1227" s="487">
        <v>7.8935185185185178E-2</v>
      </c>
    </row>
    <row r="1228" spans="4:7">
      <c r="D1228" s="489">
        <v>44139</v>
      </c>
      <c r="E1228" s="467" t="s">
        <v>2806</v>
      </c>
      <c r="F1228" s="483">
        <v>0</v>
      </c>
      <c r="G1228" s="490">
        <v>4.8773148148148149E-2</v>
      </c>
    </row>
    <row r="1229" spans="4:7">
      <c r="D1229" s="485">
        <v>44142</v>
      </c>
      <c r="E1229" s="467" t="s">
        <v>235</v>
      </c>
      <c r="F1229" s="486">
        <v>207</v>
      </c>
      <c r="G1229" s="487">
        <v>9.8229166666666659E-2</v>
      </c>
    </row>
    <row r="1230" spans="4:7">
      <c r="D1230" s="485">
        <v>44144</v>
      </c>
      <c r="E1230" s="467" t="s">
        <v>109</v>
      </c>
      <c r="F1230" s="486">
        <v>73</v>
      </c>
      <c r="G1230" s="487">
        <v>7.8194444444444441E-2</v>
      </c>
    </row>
    <row r="1231" spans="4:7">
      <c r="D1231" s="485">
        <v>44145</v>
      </c>
      <c r="E1231" s="467" t="s">
        <v>199</v>
      </c>
      <c r="F1231" s="486">
        <v>0</v>
      </c>
      <c r="G1231" s="487">
        <v>1.8171296296296297E-3</v>
      </c>
    </row>
    <row r="1232" spans="4:7">
      <c r="D1232" s="496">
        <v>44148</v>
      </c>
      <c r="E1232" s="467" t="s">
        <v>416</v>
      </c>
      <c r="F1232" s="497">
        <v>16</v>
      </c>
      <c r="G1232" s="498">
        <v>1.9756944444444445E-2</v>
      </c>
    </row>
    <row r="1233" spans="4:7">
      <c r="D1233" s="489">
        <v>44148</v>
      </c>
      <c r="E1233" s="467" t="s">
        <v>1385</v>
      </c>
      <c r="F1233" s="495" t="s">
        <v>1372</v>
      </c>
      <c r="G1233" s="490">
        <v>1.3981481481481482E-2</v>
      </c>
    </row>
    <row r="1234" spans="4:7">
      <c r="D1234" s="485">
        <v>44153</v>
      </c>
      <c r="E1234" s="467" t="s">
        <v>636</v>
      </c>
      <c r="F1234" s="486">
        <v>0</v>
      </c>
      <c r="G1234" s="487">
        <v>4.8611111111111104E-4</v>
      </c>
    </row>
    <row r="1235" spans="4:7">
      <c r="D1235" s="485">
        <v>44154</v>
      </c>
      <c r="E1235" s="467" t="s">
        <v>109</v>
      </c>
      <c r="F1235" s="486">
        <v>192</v>
      </c>
      <c r="G1235" s="487">
        <v>6.9155092592592601E-2</v>
      </c>
    </row>
    <row r="1236" spans="4:7">
      <c r="D1236" s="489">
        <v>44154</v>
      </c>
      <c r="E1236" s="467" t="s">
        <v>1355</v>
      </c>
      <c r="F1236" s="483">
        <v>0</v>
      </c>
      <c r="G1236" s="490">
        <v>2.1689814814814815E-2</v>
      </c>
    </row>
    <row r="1237" spans="4:7">
      <c r="D1237" s="489">
        <v>44155</v>
      </c>
      <c r="E1237" s="467" t="s">
        <v>3639</v>
      </c>
      <c r="F1237" s="483">
        <v>7</v>
      </c>
      <c r="G1237" s="490">
        <v>5.9513888888888887E-2</v>
      </c>
    </row>
    <row r="1238" spans="4:7">
      <c r="D1238" s="485">
        <v>44156</v>
      </c>
      <c r="E1238" s="467" t="s">
        <v>636</v>
      </c>
      <c r="F1238" s="488" t="s">
        <v>1391</v>
      </c>
      <c r="G1238" s="487">
        <v>2.2106481481481478E-3</v>
      </c>
    </row>
    <row r="1239" spans="4:7">
      <c r="D1239" s="485">
        <v>44156</v>
      </c>
      <c r="E1239" s="467" t="s">
        <v>109</v>
      </c>
      <c r="F1239" s="486">
        <v>124</v>
      </c>
      <c r="G1239" s="487">
        <v>0.13252314814814814</v>
      </c>
    </row>
    <row r="1240" spans="4:7">
      <c r="D1240" s="485">
        <v>44156</v>
      </c>
      <c r="E1240" s="467" t="s">
        <v>199</v>
      </c>
      <c r="F1240" s="488" t="s">
        <v>1393</v>
      </c>
      <c r="G1240" s="487">
        <v>8.4247685185185175E-2</v>
      </c>
    </row>
    <row r="1241" spans="4:7">
      <c r="D1241" s="493">
        <v>44157</v>
      </c>
      <c r="E1241" s="467" t="s">
        <v>1504</v>
      </c>
      <c r="F1241" s="486">
        <v>0</v>
      </c>
      <c r="G1241" s="487">
        <v>3.3090277777777781E-2</v>
      </c>
    </row>
    <row r="1242" spans="4:7">
      <c r="D1242" s="485">
        <v>44158</v>
      </c>
      <c r="E1242" s="467" t="s">
        <v>1326</v>
      </c>
      <c r="F1242" s="486">
        <v>138</v>
      </c>
      <c r="G1242" s="487">
        <v>8.0451388888888892E-2</v>
      </c>
    </row>
    <row r="1243" spans="4:7">
      <c r="D1243" s="493">
        <v>44158</v>
      </c>
      <c r="E1243" s="467" t="s">
        <v>1662</v>
      </c>
      <c r="F1243" s="486">
        <v>36</v>
      </c>
      <c r="G1243" s="487">
        <v>1.877314814814815E-2</v>
      </c>
    </row>
    <row r="1244" spans="4:7">
      <c r="D1244" s="493">
        <v>44158</v>
      </c>
      <c r="E1244" s="467" t="s">
        <v>1662</v>
      </c>
      <c r="F1244" s="486">
        <v>104</v>
      </c>
      <c r="G1244" s="494">
        <v>2.179398148148148E-2</v>
      </c>
    </row>
    <row r="1245" spans="4:7">
      <c r="D1245" s="485">
        <v>44163</v>
      </c>
      <c r="E1245" s="467" t="s">
        <v>109</v>
      </c>
      <c r="F1245" s="486">
        <v>0</v>
      </c>
      <c r="G1245" s="487">
        <v>0.10081018518518518</v>
      </c>
    </row>
    <row r="1246" spans="4:7">
      <c r="D1246" s="493">
        <v>44164</v>
      </c>
      <c r="E1246" s="467" t="s">
        <v>1504</v>
      </c>
      <c r="F1246" s="486">
        <v>1</v>
      </c>
      <c r="G1246" s="494">
        <v>8.3854166666666674E-2</v>
      </c>
    </row>
    <row r="1247" spans="4:7">
      <c r="D1247" s="489">
        <v>44164</v>
      </c>
      <c r="E1247" s="467" t="s">
        <v>2808</v>
      </c>
      <c r="F1247" s="483">
        <v>0</v>
      </c>
      <c r="G1247" s="490">
        <v>3.3136574074074075E-2</v>
      </c>
    </row>
    <row r="1248" spans="4:7">
      <c r="D1248" s="485">
        <v>44165</v>
      </c>
      <c r="E1248" s="467" t="s">
        <v>44</v>
      </c>
      <c r="F1248" s="486">
        <v>31</v>
      </c>
      <c r="G1248" s="487">
        <v>0.10039351851851852</v>
      </c>
    </row>
    <row r="1249" spans="4:7">
      <c r="D1249" s="489">
        <v>44165</v>
      </c>
      <c r="E1249" s="467" t="s">
        <v>1385</v>
      </c>
      <c r="F1249" s="495" t="s">
        <v>1391</v>
      </c>
      <c r="G1249" s="490">
        <v>2.960648148148148E-2</v>
      </c>
    </row>
    <row r="1250" spans="4:7">
      <c r="D1250" s="485">
        <v>44166</v>
      </c>
      <c r="E1250" s="467" t="s">
        <v>109</v>
      </c>
      <c r="F1250" s="486">
        <v>124</v>
      </c>
      <c r="G1250" s="499" t="s">
        <v>1446</v>
      </c>
    </row>
    <row r="1251" spans="4:7">
      <c r="D1251" s="485">
        <v>44166</v>
      </c>
      <c r="E1251" s="467" t="s">
        <v>199</v>
      </c>
      <c r="F1251" s="488" t="s">
        <v>1409</v>
      </c>
      <c r="G1251" s="487">
        <v>3.5023148148148144E-2</v>
      </c>
    </row>
    <row r="1252" spans="4:7">
      <c r="D1252" s="485">
        <v>44167</v>
      </c>
      <c r="E1252" s="467" t="s">
        <v>109</v>
      </c>
      <c r="F1252" s="488" t="s">
        <v>3272</v>
      </c>
      <c r="G1252" s="487">
        <v>3.3217592592592597E-2</v>
      </c>
    </row>
    <row r="1253" spans="4:7">
      <c r="D1253" s="485">
        <v>44167</v>
      </c>
      <c r="E1253" s="467" t="s">
        <v>199</v>
      </c>
      <c r="F1253" s="488" t="s">
        <v>1471</v>
      </c>
      <c r="G1253" s="487">
        <v>1.1817129629629629E-2</v>
      </c>
    </row>
    <row r="1254" spans="4:7">
      <c r="D1254" s="485">
        <v>44168</v>
      </c>
      <c r="E1254" s="467" t="s">
        <v>109</v>
      </c>
      <c r="F1254" s="488" t="s">
        <v>17</v>
      </c>
      <c r="G1254" s="487">
        <v>6.1273148148148153E-2</v>
      </c>
    </row>
    <row r="1255" spans="4:7">
      <c r="D1255" s="485">
        <v>44168</v>
      </c>
      <c r="E1255" s="467" t="s">
        <v>199</v>
      </c>
      <c r="F1255" s="488" t="s">
        <v>1472</v>
      </c>
      <c r="G1255" s="487">
        <v>1.9675925925925927E-2</v>
      </c>
    </row>
    <row r="1256" spans="4:7">
      <c r="D1256" s="485">
        <v>44169</v>
      </c>
      <c r="E1256" s="467" t="s">
        <v>109</v>
      </c>
      <c r="F1256" s="486">
        <v>0</v>
      </c>
      <c r="G1256" s="487">
        <v>2.2592592592592591E-2</v>
      </c>
    </row>
    <row r="1257" spans="4:7">
      <c r="D1257" s="485">
        <v>44169</v>
      </c>
      <c r="E1257" s="467" t="s">
        <v>199</v>
      </c>
      <c r="F1257" s="488" t="s">
        <v>1473</v>
      </c>
      <c r="G1257" s="487">
        <v>1.2291666666666666E-2</v>
      </c>
    </row>
    <row r="1258" spans="4:7">
      <c r="D1258" s="485">
        <v>44169</v>
      </c>
      <c r="E1258" s="467" t="s">
        <v>1617</v>
      </c>
      <c r="F1258" s="486">
        <v>0</v>
      </c>
      <c r="G1258" s="487">
        <v>3.0439814814814821E-3</v>
      </c>
    </row>
    <row r="1259" spans="4:7">
      <c r="D1259" s="485">
        <v>44170</v>
      </c>
      <c r="E1259" s="467" t="s">
        <v>109</v>
      </c>
      <c r="F1259" s="486">
        <v>0</v>
      </c>
      <c r="G1259" s="487">
        <v>2.7685185185185188E-2</v>
      </c>
    </row>
    <row r="1260" spans="4:7">
      <c r="D1260" s="485">
        <v>44170</v>
      </c>
      <c r="E1260" s="467" t="s">
        <v>199</v>
      </c>
      <c r="F1260" s="488" t="s">
        <v>1474</v>
      </c>
      <c r="G1260" s="487">
        <v>1.1736111111111109E-2</v>
      </c>
    </row>
    <row r="1261" spans="4:7">
      <c r="D1261" s="485">
        <v>44170</v>
      </c>
      <c r="E1261" s="467" t="s">
        <v>1504</v>
      </c>
      <c r="F1261" s="486">
        <v>10</v>
      </c>
      <c r="G1261" s="487">
        <v>8.9803240740740739E-2</v>
      </c>
    </row>
    <row r="1262" spans="4:7">
      <c r="D1262" s="485">
        <v>44171</v>
      </c>
      <c r="E1262" s="467" t="s">
        <v>109</v>
      </c>
      <c r="F1262" s="488" t="s">
        <v>1442</v>
      </c>
      <c r="G1262" s="487">
        <v>1.4525462962962964E-2</v>
      </c>
    </row>
    <row r="1263" spans="4:7">
      <c r="D1263" s="485">
        <v>44171</v>
      </c>
      <c r="E1263" s="467" t="s">
        <v>199</v>
      </c>
      <c r="F1263" s="488" t="s">
        <v>1475</v>
      </c>
      <c r="G1263" s="487">
        <v>1.2719907407407407E-2</v>
      </c>
    </row>
    <row r="1264" spans="4:7">
      <c r="D1264" s="493">
        <v>44171</v>
      </c>
      <c r="E1264" s="467" t="s">
        <v>1617</v>
      </c>
      <c r="F1264" s="486">
        <v>45</v>
      </c>
      <c r="G1264" s="494">
        <v>5.9212962962962967E-2</v>
      </c>
    </row>
    <row r="1265" spans="4:7">
      <c r="D1265" s="489">
        <v>44171</v>
      </c>
      <c r="E1265" s="467" t="s">
        <v>1607</v>
      </c>
      <c r="F1265" s="483">
        <v>202</v>
      </c>
      <c r="G1265" s="490">
        <v>4.0590277777777781E-2</v>
      </c>
    </row>
    <row r="1266" spans="4:7">
      <c r="D1266" s="485">
        <v>44172</v>
      </c>
      <c r="E1266" s="467" t="s">
        <v>109</v>
      </c>
      <c r="F1266" s="486">
        <v>0</v>
      </c>
      <c r="G1266" s="487">
        <v>4.1192129629629634E-2</v>
      </c>
    </row>
    <row r="1267" spans="4:7">
      <c r="D1267" s="485">
        <v>44172</v>
      </c>
      <c r="E1267" s="467" t="s">
        <v>199</v>
      </c>
      <c r="F1267" s="488" t="s">
        <v>1476</v>
      </c>
      <c r="G1267" s="487">
        <v>4.7569444444444447E-3</v>
      </c>
    </row>
    <row r="1268" spans="4:7">
      <c r="D1268" s="489">
        <v>44172</v>
      </c>
      <c r="E1268" s="467" t="s">
        <v>1355</v>
      </c>
      <c r="F1268" s="483">
        <v>18</v>
      </c>
      <c r="G1268" s="490">
        <v>2.0925925925925928E-2</v>
      </c>
    </row>
    <row r="1269" spans="4:7">
      <c r="D1269" s="485">
        <v>44173</v>
      </c>
      <c r="E1269" s="467" t="s">
        <v>109</v>
      </c>
      <c r="F1269" s="486">
        <v>0</v>
      </c>
      <c r="G1269" s="487">
        <v>1.1805555555555555E-2</v>
      </c>
    </row>
    <row r="1270" spans="4:7">
      <c r="D1270" s="485">
        <v>44173</v>
      </c>
      <c r="E1270" s="467" t="s">
        <v>199</v>
      </c>
      <c r="F1270" s="488" t="s">
        <v>1477</v>
      </c>
      <c r="G1270" s="487">
        <v>1.4930555555555556E-2</v>
      </c>
    </row>
    <row r="1271" spans="4:7">
      <c r="D1271" s="485">
        <v>44174</v>
      </c>
      <c r="E1271" s="467" t="s">
        <v>109</v>
      </c>
      <c r="F1271" s="486">
        <v>0</v>
      </c>
      <c r="G1271" s="487">
        <v>8.1018518518518514E-3</v>
      </c>
    </row>
    <row r="1272" spans="4:7">
      <c r="D1272" s="485">
        <v>44174</v>
      </c>
      <c r="E1272" s="467" t="s">
        <v>199</v>
      </c>
      <c r="F1272" s="488" t="s">
        <v>1478</v>
      </c>
      <c r="G1272" s="487">
        <v>8.8888888888888889E-3</v>
      </c>
    </row>
    <row r="1273" spans="4:7">
      <c r="D1273" s="485">
        <v>44175</v>
      </c>
      <c r="E1273" s="467" t="s">
        <v>636</v>
      </c>
      <c r="F1273" s="488" t="s">
        <v>1549</v>
      </c>
      <c r="G1273" s="487">
        <v>3.472222222222222E-3</v>
      </c>
    </row>
    <row r="1274" spans="4:7">
      <c r="D1274" s="485">
        <v>44175</v>
      </c>
      <c r="E1274" s="467" t="s">
        <v>109</v>
      </c>
      <c r="F1274" s="486">
        <v>85</v>
      </c>
      <c r="G1274" s="487">
        <v>7.8842592592592589E-2</v>
      </c>
    </row>
    <row r="1275" spans="4:7">
      <c r="D1275" s="485">
        <v>44175</v>
      </c>
      <c r="E1275" s="467" t="s">
        <v>199</v>
      </c>
      <c r="F1275" s="488" t="s">
        <v>1479</v>
      </c>
      <c r="G1275" s="487">
        <v>1.1018518518518518E-2</v>
      </c>
    </row>
    <row r="1276" spans="4:7">
      <c r="D1276" s="485">
        <v>44176</v>
      </c>
      <c r="E1276" s="467" t="s">
        <v>109</v>
      </c>
      <c r="F1276" s="488" t="s">
        <v>1437</v>
      </c>
      <c r="G1276" s="487">
        <v>2.5937500000000002E-2</v>
      </c>
    </row>
    <row r="1277" spans="4:7">
      <c r="D1277" s="485">
        <v>44176</v>
      </c>
      <c r="E1277" s="467" t="s">
        <v>199</v>
      </c>
      <c r="F1277" s="488" t="s">
        <v>1480</v>
      </c>
      <c r="G1277" s="487">
        <v>1.7824074074074076E-2</v>
      </c>
    </row>
    <row r="1278" spans="4:7">
      <c r="D1278" s="485">
        <v>44176</v>
      </c>
      <c r="E1278" s="467" t="s">
        <v>1662</v>
      </c>
      <c r="F1278" s="486">
        <v>97</v>
      </c>
      <c r="G1278" s="487">
        <v>1.7708333333333333E-2</v>
      </c>
    </row>
    <row r="1279" spans="4:7">
      <c r="D1279" s="485">
        <v>44176</v>
      </c>
      <c r="E1279" s="467" t="s">
        <v>1662</v>
      </c>
      <c r="F1279" s="486">
        <v>120</v>
      </c>
      <c r="G1279" s="494">
        <v>1.7789351851851851E-2</v>
      </c>
    </row>
    <row r="1280" spans="4:7">
      <c r="D1280" s="485">
        <v>44177</v>
      </c>
      <c r="E1280" s="467" t="s">
        <v>109</v>
      </c>
      <c r="F1280" s="488" t="s">
        <v>1522</v>
      </c>
      <c r="G1280" s="487">
        <v>2.0891203703703703E-2</v>
      </c>
    </row>
    <row r="1281" spans="4:7">
      <c r="D1281" s="485">
        <v>44177</v>
      </c>
      <c r="E1281" s="467" t="s">
        <v>199</v>
      </c>
      <c r="F1281" s="488" t="s">
        <v>1481</v>
      </c>
      <c r="G1281" s="487">
        <v>8.0671296296296307E-3</v>
      </c>
    </row>
    <row r="1282" spans="4:7">
      <c r="D1282" s="485">
        <v>44178</v>
      </c>
      <c r="E1282" s="467" t="s">
        <v>109</v>
      </c>
      <c r="F1282" s="486">
        <v>0</v>
      </c>
      <c r="G1282" s="487">
        <v>1.5914351851851853E-2</v>
      </c>
    </row>
    <row r="1283" spans="4:7">
      <c r="D1283" s="485">
        <v>44178</v>
      </c>
      <c r="E1283" s="467" t="s">
        <v>199</v>
      </c>
      <c r="F1283" s="488" t="s">
        <v>1482</v>
      </c>
      <c r="G1283" s="487">
        <v>1.6446759259259262E-2</v>
      </c>
    </row>
    <row r="1284" spans="4:7">
      <c r="D1284" s="493">
        <v>44178</v>
      </c>
      <c r="E1284" s="467" t="s">
        <v>1326</v>
      </c>
      <c r="F1284" s="486">
        <v>0</v>
      </c>
      <c r="G1284" s="494">
        <v>4.0138888888888884E-2</v>
      </c>
    </row>
    <row r="1285" spans="4:7">
      <c r="D1285" s="485">
        <v>44178</v>
      </c>
      <c r="E1285" s="467" t="s">
        <v>1504</v>
      </c>
      <c r="F1285" s="486">
        <v>11</v>
      </c>
      <c r="G1285" s="487">
        <v>6.8761574074074072E-2</v>
      </c>
    </row>
    <row r="1286" spans="4:7">
      <c r="D1286" s="485">
        <v>44178</v>
      </c>
      <c r="E1286" s="467" t="s">
        <v>1617</v>
      </c>
      <c r="F1286" s="486">
        <v>189</v>
      </c>
      <c r="G1286" s="487">
        <v>5.5335648148148148E-2</v>
      </c>
    </row>
    <row r="1287" spans="4:7">
      <c r="D1287" s="485">
        <v>44179</v>
      </c>
      <c r="E1287" s="467" t="s">
        <v>109</v>
      </c>
      <c r="F1287" s="486">
        <v>0</v>
      </c>
      <c r="G1287" s="487">
        <v>1.636574074074074E-2</v>
      </c>
    </row>
    <row r="1288" spans="4:7">
      <c r="D1288" s="485">
        <v>44179</v>
      </c>
      <c r="E1288" s="467" t="s">
        <v>199</v>
      </c>
      <c r="F1288" s="488" t="s">
        <v>1483</v>
      </c>
      <c r="G1288" s="487">
        <v>1.0324074074074074E-2</v>
      </c>
    </row>
    <row r="1289" spans="4:7">
      <c r="D1289" s="485">
        <v>44180</v>
      </c>
      <c r="E1289" s="467" t="s">
        <v>109</v>
      </c>
      <c r="F1289" s="486">
        <v>0</v>
      </c>
      <c r="G1289" s="499" t="s">
        <v>1544</v>
      </c>
    </row>
    <row r="1290" spans="4:7">
      <c r="D1290" s="485">
        <v>44180</v>
      </c>
      <c r="E1290" s="467" t="s">
        <v>199</v>
      </c>
      <c r="F1290" s="488" t="s">
        <v>1484</v>
      </c>
      <c r="G1290" s="487">
        <v>9.9652777777777778E-3</v>
      </c>
    </row>
    <row r="1291" spans="4:7">
      <c r="D1291" s="485">
        <v>44181</v>
      </c>
      <c r="E1291" s="467" t="s">
        <v>109</v>
      </c>
      <c r="F1291" s="486">
        <v>0</v>
      </c>
      <c r="G1291" s="487">
        <v>1.7731481481481483E-2</v>
      </c>
    </row>
    <row r="1292" spans="4:7">
      <c r="D1292" s="485">
        <v>44181</v>
      </c>
      <c r="E1292" s="467" t="s">
        <v>199</v>
      </c>
      <c r="F1292" s="488" t="s">
        <v>1485</v>
      </c>
      <c r="G1292" s="487">
        <v>1.3287037037037036E-2</v>
      </c>
    </row>
    <row r="1293" spans="4:7">
      <c r="D1293" s="485">
        <v>44182</v>
      </c>
      <c r="E1293" s="467" t="s">
        <v>109</v>
      </c>
      <c r="F1293" s="486">
        <v>0</v>
      </c>
      <c r="G1293" s="487">
        <v>7.5000000000000006E-3</v>
      </c>
    </row>
    <row r="1294" spans="4:7">
      <c r="D1294" s="485">
        <v>44182</v>
      </c>
      <c r="E1294" s="467" t="s">
        <v>199</v>
      </c>
      <c r="F1294" s="488" t="s">
        <v>1486</v>
      </c>
      <c r="G1294" s="487">
        <v>1.3321759259259261E-2</v>
      </c>
    </row>
    <row r="1295" spans="4:7">
      <c r="D1295" s="485">
        <v>44183</v>
      </c>
      <c r="E1295" s="467" t="s">
        <v>109</v>
      </c>
      <c r="F1295" s="486">
        <v>0</v>
      </c>
      <c r="G1295" s="487">
        <v>1.6446759259259262E-2</v>
      </c>
    </row>
    <row r="1296" spans="4:7">
      <c r="D1296" s="485">
        <v>44183</v>
      </c>
      <c r="E1296" s="467" t="s">
        <v>199</v>
      </c>
      <c r="F1296" s="488" t="s">
        <v>1487</v>
      </c>
      <c r="G1296" s="487">
        <v>8.9004629629629625E-3</v>
      </c>
    </row>
    <row r="1297" spans="4:7">
      <c r="D1297" s="489">
        <v>44183</v>
      </c>
      <c r="E1297" s="467" t="s">
        <v>1355</v>
      </c>
      <c r="F1297" s="483">
        <v>101</v>
      </c>
      <c r="G1297" s="490">
        <v>2.4074074074074071E-2</v>
      </c>
    </row>
    <row r="1298" spans="4:7">
      <c r="D1298" s="489">
        <v>44183</v>
      </c>
      <c r="E1298" s="467" t="s">
        <v>3639</v>
      </c>
      <c r="F1298" s="483">
        <v>8</v>
      </c>
      <c r="G1298" s="490">
        <v>5.5023148148148147E-2</v>
      </c>
    </row>
    <row r="1299" spans="4:7">
      <c r="D1299" s="485">
        <v>44184</v>
      </c>
      <c r="E1299" s="467" t="s">
        <v>109</v>
      </c>
      <c r="F1299" s="486">
        <v>0</v>
      </c>
      <c r="G1299" s="487">
        <v>2.1041666666666667E-2</v>
      </c>
    </row>
    <row r="1300" spans="4:7">
      <c r="D1300" s="485">
        <v>44184</v>
      </c>
      <c r="E1300" s="467" t="s">
        <v>199</v>
      </c>
      <c r="F1300" s="488" t="s">
        <v>1488</v>
      </c>
      <c r="G1300" s="487">
        <v>1.3888888888888888E-2</v>
      </c>
    </row>
    <row r="1301" spans="4:7">
      <c r="D1301" s="493">
        <v>44184</v>
      </c>
      <c r="E1301" s="467" t="s">
        <v>1504</v>
      </c>
      <c r="F1301" s="486">
        <v>0</v>
      </c>
      <c r="G1301" s="494">
        <v>4.108796296296297E-3</v>
      </c>
    </row>
    <row r="1302" spans="4:7">
      <c r="D1302" s="485">
        <v>44185</v>
      </c>
      <c r="E1302" s="467" t="s">
        <v>109</v>
      </c>
      <c r="F1302" s="486">
        <v>0</v>
      </c>
      <c r="G1302" s="487">
        <v>4.2175925925925922E-2</v>
      </c>
    </row>
    <row r="1303" spans="4:7">
      <c r="D1303" s="485">
        <v>44185</v>
      </c>
      <c r="E1303" s="467" t="s">
        <v>199</v>
      </c>
      <c r="F1303" s="488" t="s">
        <v>1489</v>
      </c>
      <c r="G1303" s="487">
        <v>1.1909722222222223E-2</v>
      </c>
    </row>
    <row r="1304" spans="4:7">
      <c r="D1304" s="485">
        <v>44185</v>
      </c>
      <c r="E1304" s="467" t="s">
        <v>1617</v>
      </c>
      <c r="F1304" s="486">
        <v>101</v>
      </c>
      <c r="G1304" s="487">
        <v>6.2407407407407411E-2</v>
      </c>
    </row>
    <row r="1305" spans="4:7">
      <c r="D1305" s="489">
        <v>44185</v>
      </c>
      <c r="E1305" s="467" t="s">
        <v>1607</v>
      </c>
      <c r="F1305" s="495" t="s">
        <v>2616</v>
      </c>
      <c r="G1305" s="490">
        <v>5.2546296296296292E-2</v>
      </c>
    </row>
    <row r="1306" spans="4:7">
      <c r="D1306" s="485">
        <v>44186</v>
      </c>
      <c r="E1306" s="467" t="s">
        <v>109</v>
      </c>
      <c r="F1306" s="486">
        <v>0</v>
      </c>
      <c r="G1306" s="487">
        <v>2.0509259259259258E-2</v>
      </c>
    </row>
    <row r="1307" spans="4:7">
      <c r="D1307" s="485">
        <v>44186</v>
      </c>
      <c r="E1307" s="467" t="s">
        <v>199</v>
      </c>
      <c r="F1307" s="488" t="s">
        <v>1490</v>
      </c>
      <c r="G1307" s="487">
        <v>9.7222222222222224E-3</v>
      </c>
    </row>
    <row r="1308" spans="4:7">
      <c r="D1308" s="485">
        <v>44187</v>
      </c>
      <c r="E1308" s="467" t="s">
        <v>109</v>
      </c>
      <c r="F1308" s="488" t="s">
        <v>2585</v>
      </c>
      <c r="G1308" s="487">
        <v>5.153935185185185E-2</v>
      </c>
    </row>
    <row r="1309" spans="4:7">
      <c r="D1309" s="485">
        <v>44187</v>
      </c>
      <c r="E1309" s="467" t="s">
        <v>199</v>
      </c>
      <c r="F1309" s="488" t="s">
        <v>1491</v>
      </c>
      <c r="G1309" s="487">
        <v>7.5462962962962966E-3</v>
      </c>
    </row>
    <row r="1310" spans="4:7">
      <c r="D1310" s="485">
        <v>44187</v>
      </c>
      <c r="E1310" s="467" t="s">
        <v>1329</v>
      </c>
      <c r="F1310" s="486">
        <v>2</v>
      </c>
      <c r="G1310" s="487">
        <v>1.909722222222222E-2</v>
      </c>
    </row>
    <row r="1311" spans="4:7">
      <c r="D1311" s="485">
        <v>44188</v>
      </c>
      <c r="E1311" s="467" t="s">
        <v>109</v>
      </c>
      <c r="F1311" s="488" t="s">
        <v>1557</v>
      </c>
      <c r="G1311" s="487">
        <v>3.2314814814814817E-2</v>
      </c>
    </row>
    <row r="1312" spans="4:7">
      <c r="D1312" s="485">
        <v>44188</v>
      </c>
      <c r="E1312" s="467" t="s">
        <v>199</v>
      </c>
      <c r="F1312" s="488" t="s">
        <v>1492</v>
      </c>
      <c r="G1312" s="487">
        <v>1.0995370370370371E-2</v>
      </c>
    </row>
    <row r="1313" spans="4:7">
      <c r="D1313" s="485">
        <v>44189</v>
      </c>
      <c r="E1313" s="467" t="s">
        <v>109</v>
      </c>
      <c r="F1313" s="486">
        <v>150</v>
      </c>
      <c r="G1313" s="487">
        <v>6.4351851851851841E-2</v>
      </c>
    </row>
    <row r="1314" spans="4:7">
      <c r="D1314" s="485">
        <v>44189</v>
      </c>
      <c r="E1314" s="467" t="s">
        <v>199</v>
      </c>
      <c r="F1314" s="488" t="s">
        <v>1493</v>
      </c>
      <c r="G1314" s="487">
        <v>2.5370370370370366E-2</v>
      </c>
    </row>
    <row r="1315" spans="4:7">
      <c r="D1315" s="485">
        <v>44189</v>
      </c>
      <c r="E1315" s="467" t="s">
        <v>1617</v>
      </c>
      <c r="F1315" s="486">
        <v>47</v>
      </c>
      <c r="G1315" s="487">
        <v>4.9988425925925922E-2</v>
      </c>
    </row>
    <row r="1316" spans="4:7">
      <c r="D1316" s="485">
        <v>44190</v>
      </c>
      <c r="E1316" s="467" t="s">
        <v>109</v>
      </c>
      <c r="F1316" s="486">
        <v>150</v>
      </c>
      <c r="G1316" s="487">
        <v>6.9155092592592601E-2</v>
      </c>
    </row>
    <row r="1317" spans="4:7">
      <c r="D1317" s="485">
        <v>44191</v>
      </c>
      <c r="E1317" s="467" t="s">
        <v>109</v>
      </c>
      <c r="F1317" s="486">
        <v>150</v>
      </c>
      <c r="G1317" s="487">
        <v>6.5752314814814819E-2</v>
      </c>
    </row>
    <row r="1318" spans="4:7">
      <c r="D1318" s="485">
        <v>44191</v>
      </c>
      <c r="E1318" s="467" t="s">
        <v>1326</v>
      </c>
      <c r="F1318" s="486">
        <v>11</v>
      </c>
      <c r="G1318" s="487">
        <v>7.6631944444444447E-2</v>
      </c>
    </row>
    <row r="1319" spans="4:7">
      <c r="D1319" s="485">
        <v>44192</v>
      </c>
      <c r="E1319" s="467" t="s">
        <v>1329</v>
      </c>
      <c r="F1319" s="486">
        <v>3</v>
      </c>
      <c r="G1319" s="487">
        <v>1.2025462962962962E-2</v>
      </c>
    </row>
    <row r="1320" spans="4:7">
      <c r="D1320" s="485">
        <v>44192</v>
      </c>
      <c r="E1320" s="467" t="s">
        <v>1504</v>
      </c>
      <c r="F1320" s="486">
        <v>0</v>
      </c>
      <c r="G1320" s="487">
        <v>5.7291666666666671E-3</v>
      </c>
    </row>
    <row r="1321" spans="4:7">
      <c r="D1321" s="485">
        <v>44192</v>
      </c>
      <c r="E1321" s="467" t="s">
        <v>1617</v>
      </c>
      <c r="F1321" s="486">
        <v>5</v>
      </c>
      <c r="G1321" s="487">
        <v>6.3333333333333339E-2</v>
      </c>
    </row>
    <row r="1322" spans="4:7">
      <c r="D1322" s="485">
        <v>44196</v>
      </c>
      <c r="E1322" s="467" t="s">
        <v>109</v>
      </c>
      <c r="F1322" s="488" t="s">
        <v>1566</v>
      </c>
      <c r="G1322" s="487">
        <v>8.487268518518519E-2</v>
      </c>
    </row>
    <row r="1323" spans="4:7">
      <c r="D1323" s="485">
        <v>44196</v>
      </c>
      <c r="E1323" s="467" t="s">
        <v>44</v>
      </c>
      <c r="F1323" s="486">
        <v>152</v>
      </c>
      <c r="G1323" s="487">
        <v>9.5578703703703694E-2</v>
      </c>
    </row>
    <row r="1324" spans="4:7">
      <c r="D1324" s="493">
        <v>44196</v>
      </c>
      <c r="E1324" s="467" t="s">
        <v>1662</v>
      </c>
      <c r="F1324" s="486">
        <v>12</v>
      </c>
      <c r="G1324" s="494">
        <v>2.359953703703704E-2</v>
      </c>
    </row>
    <row r="1325" spans="4:7">
      <c r="D1325" s="485">
        <v>44196</v>
      </c>
      <c r="E1325" s="467" t="s">
        <v>1662</v>
      </c>
      <c r="F1325" s="486">
        <v>78</v>
      </c>
      <c r="G1325" s="494">
        <v>2.0578703703703703E-2</v>
      </c>
    </row>
    <row r="1326" spans="4:7">
      <c r="D1326" s="489">
        <v>44197</v>
      </c>
      <c r="E1326" s="467" t="s">
        <v>1385</v>
      </c>
      <c r="F1326" s="483">
        <v>208</v>
      </c>
      <c r="G1326" s="490">
        <v>3.1307870370370368E-2</v>
      </c>
    </row>
    <row r="1327" spans="4:7">
      <c r="D1327" s="485">
        <v>44199</v>
      </c>
      <c r="E1327" s="467" t="s">
        <v>1617</v>
      </c>
      <c r="F1327" s="486">
        <v>103</v>
      </c>
      <c r="G1327" s="487">
        <v>6.190972222222222E-2</v>
      </c>
    </row>
    <row r="1328" spans="4:7">
      <c r="D1328" s="485">
        <v>44206</v>
      </c>
      <c r="E1328" s="467" t="s">
        <v>1617</v>
      </c>
      <c r="F1328" s="486">
        <v>32</v>
      </c>
      <c r="G1328" s="487">
        <v>4.8645833333333333E-2</v>
      </c>
    </row>
    <row r="1329" spans="4:7">
      <c r="D1329" s="485">
        <v>44208</v>
      </c>
      <c r="E1329" s="467" t="s">
        <v>235</v>
      </c>
      <c r="F1329" s="486">
        <v>124</v>
      </c>
      <c r="G1329" s="487">
        <v>7.4328703703703702E-2</v>
      </c>
    </row>
    <row r="1330" spans="4:7">
      <c r="D1330" s="485">
        <v>44209</v>
      </c>
      <c r="E1330" s="467" t="s">
        <v>199</v>
      </c>
      <c r="F1330" s="488" t="s">
        <v>1555</v>
      </c>
      <c r="G1330" s="487">
        <v>2.3055555555555555E-2</v>
      </c>
    </row>
    <row r="1331" spans="4:7">
      <c r="D1331" s="493">
        <v>44211</v>
      </c>
      <c r="E1331" s="467" t="s">
        <v>3639</v>
      </c>
      <c r="F1331" s="488">
        <v>9</v>
      </c>
      <c r="G1331" s="487">
        <v>5.6527777777777781E-2</v>
      </c>
    </row>
    <row r="1332" spans="4:7">
      <c r="D1332" s="493">
        <v>44212</v>
      </c>
      <c r="E1332" s="467" t="s">
        <v>1662</v>
      </c>
      <c r="F1332" s="486">
        <v>39</v>
      </c>
      <c r="G1332" s="494">
        <v>2.2013888888888888E-2</v>
      </c>
    </row>
    <row r="1333" spans="4:7">
      <c r="D1333" s="493">
        <v>44212</v>
      </c>
      <c r="E1333" s="467" t="s">
        <v>1662</v>
      </c>
      <c r="F1333" s="486">
        <v>187</v>
      </c>
      <c r="G1333" s="494">
        <v>1.8506944444444444E-2</v>
      </c>
    </row>
    <row r="1334" spans="4:7">
      <c r="D1334" s="485">
        <v>44213</v>
      </c>
      <c r="E1334" s="467" t="s">
        <v>1617</v>
      </c>
      <c r="F1334" s="486">
        <v>56</v>
      </c>
      <c r="G1334" s="487">
        <v>4.1608796296296297E-2</v>
      </c>
    </row>
    <row r="1335" spans="4:7">
      <c r="D1335" s="489">
        <v>44213</v>
      </c>
      <c r="E1335" s="467" t="s">
        <v>1355</v>
      </c>
      <c r="F1335" s="483">
        <v>0</v>
      </c>
      <c r="G1335" s="490">
        <v>1.4780092592592595E-2</v>
      </c>
    </row>
    <row r="1336" spans="4:7">
      <c r="D1336" s="485">
        <v>44215</v>
      </c>
      <c r="E1336" s="467" t="s">
        <v>199</v>
      </c>
      <c r="F1336" s="488" t="s">
        <v>1846</v>
      </c>
      <c r="G1336" s="487">
        <v>2.2951388888888886E-2</v>
      </c>
    </row>
    <row r="1337" spans="4:7">
      <c r="D1337" s="485">
        <v>44216</v>
      </c>
      <c r="E1337" s="467" t="s">
        <v>199</v>
      </c>
      <c r="F1337" s="488" t="s">
        <v>1556</v>
      </c>
      <c r="G1337" s="487">
        <v>1.7303240740740741E-2</v>
      </c>
    </row>
    <row r="1338" spans="4:7">
      <c r="D1338" s="485">
        <v>44219</v>
      </c>
      <c r="E1338" s="467" t="s">
        <v>114</v>
      </c>
      <c r="F1338" s="486">
        <v>128</v>
      </c>
      <c r="G1338" s="487">
        <v>6.8634259259259256E-2</v>
      </c>
    </row>
    <row r="1339" spans="4:7">
      <c r="D1339" s="485">
        <v>44219</v>
      </c>
      <c r="E1339" s="467" t="s">
        <v>1326</v>
      </c>
      <c r="F1339" s="486">
        <v>113</v>
      </c>
      <c r="G1339" s="487">
        <v>7.7118055555555551E-2</v>
      </c>
    </row>
    <row r="1340" spans="4:7">
      <c r="D1340" s="485">
        <v>44220</v>
      </c>
      <c r="E1340" s="467" t="s">
        <v>1617</v>
      </c>
      <c r="F1340" s="486">
        <v>114</v>
      </c>
      <c r="G1340" s="487">
        <v>4.7824074074074074E-2</v>
      </c>
    </row>
    <row r="1341" spans="4:7">
      <c r="D1341" s="485">
        <v>44221</v>
      </c>
      <c r="E1341" s="467" t="s">
        <v>109</v>
      </c>
      <c r="F1341" s="486">
        <v>202</v>
      </c>
      <c r="G1341" s="487">
        <v>7.0891203703703706E-2</v>
      </c>
    </row>
    <row r="1342" spans="4:7">
      <c r="D1342" s="485">
        <v>44224</v>
      </c>
      <c r="E1342" s="467" t="s">
        <v>1617</v>
      </c>
      <c r="F1342" s="488" t="s">
        <v>2555</v>
      </c>
      <c r="G1342" s="487">
        <v>4.2789351851851849E-2</v>
      </c>
    </row>
    <row r="1343" spans="4:7">
      <c r="D1343" s="485">
        <v>44225</v>
      </c>
      <c r="E1343" s="467" t="s">
        <v>199</v>
      </c>
      <c r="F1343" s="486">
        <v>0</v>
      </c>
      <c r="G1343" s="487">
        <v>2.2916666666666667E-3</v>
      </c>
    </row>
    <row r="1344" spans="4:7">
      <c r="D1344" s="485">
        <v>44227</v>
      </c>
      <c r="E1344" s="467" t="s">
        <v>44</v>
      </c>
      <c r="F1344" s="486">
        <v>169</v>
      </c>
      <c r="G1344" s="487">
        <v>9.0405092592592592E-2</v>
      </c>
    </row>
    <row r="1345" spans="4:7">
      <c r="D1345" s="485">
        <v>44227</v>
      </c>
      <c r="E1345" s="467" t="s">
        <v>1617</v>
      </c>
      <c r="F1345" s="486">
        <v>1</v>
      </c>
      <c r="G1345" s="487">
        <v>5.5925925925925928E-2</v>
      </c>
    </row>
    <row r="1346" spans="4:7">
      <c r="D1346" s="493">
        <v>44232</v>
      </c>
      <c r="E1346" s="467" t="s">
        <v>1662</v>
      </c>
      <c r="F1346" s="486">
        <v>76</v>
      </c>
      <c r="G1346" s="494">
        <v>2.3634259259259258E-2</v>
      </c>
    </row>
    <row r="1347" spans="4:7">
      <c r="D1347" s="493">
        <v>44232</v>
      </c>
      <c r="E1347" s="467" t="s">
        <v>1662</v>
      </c>
      <c r="F1347" s="486">
        <v>99</v>
      </c>
      <c r="G1347" s="494">
        <v>2.0439814814814817E-2</v>
      </c>
    </row>
    <row r="1348" spans="4:7">
      <c r="D1348" s="493">
        <v>44232</v>
      </c>
      <c r="E1348" s="467" t="s">
        <v>1662</v>
      </c>
      <c r="F1348" s="486">
        <v>188</v>
      </c>
      <c r="G1348" s="494">
        <v>1.7557870370370373E-2</v>
      </c>
    </row>
    <row r="1349" spans="4:7">
      <c r="D1349" s="485">
        <v>44234</v>
      </c>
      <c r="E1349" s="467" t="s">
        <v>1617</v>
      </c>
      <c r="F1349" s="486">
        <v>63</v>
      </c>
      <c r="G1349" s="487">
        <v>5.1261574074074077E-2</v>
      </c>
    </row>
    <row r="1350" spans="4:7">
      <c r="D1350" s="485">
        <v>44239</v>
      </c>
      <c r="E1350" s="467" t="s">
        <v>199</v>
      </c>
      <c r="F1350" s="486">
        <v>99</v>
      </c>
      <c r="G1350" s="487">
        <v>0.14848379629629629</v>
      </c>
    </row>
    <row r="1351" spans="4:7">
      <c r="D1351" s="485">
        <v>44241</v>
      </c>
      <c r="E1351" s="467" t="s">
        <v>1617</v>
      </c>
      <c r="F1351" s="486">
        <v>59</v>
      </c>
      <c r="G1351" s="487">
        <v>5.814814814814815E-2</v>
      </c>
    </row>
    <row r="1352" spans="4:7">
      <c r="D1352" s="485">
        <v>44243</v>
      </c>
      <c r="E1352" s="467" t="s">
        <v>109</v>
      </c>
      <c r="F1352" s="486">
        <v>4</v>
      </c>
      <c r="G1352" s="487">
        <v>9.3541666666666676E-2</v>
      </c>
    </row>
    <row r="1353" spans="4:7">
      <c r="D1353" s="489">
        <v>44244</v>
      </c>
      <c r="E1353" s="467" t="s">
        <v>2806</v>
      </c>
      <c r="F1353" s="483">
        <v>0</v>
      </c>
      <c r="G1353" s="490">
        <v>5.7800925925925929E-2</v>
      </c>
    </row>
    <row r="1354" spans="4:7">
      <c r="D1354" s="489">
        <v>44246</v>
      </c>
      <c r="E1354" s="467" t="s">
        <v>1355</v>
      </c>
      <c r="F1354" s="483">
        <v>0</v>
      </c>
      <c r="G1354" s="490">
        <v>9.4444444444444445E-3</v>
      </c>
    </row>
    <row r="1355" spans="4:7">
      <c r="D1355" s="489">
        <v>44246</v>
      </c>
      <c r="E1355" s="467" t="s">
        <v>3639</v>
      </c>
      <c r="F1355" s="483">
        <v>10</v>
      </c>
      <c r="G1355" s="490">
        <v>5.3564814814814815E-2</v>
      </c>
    </row>
    <row r="1356" spans="4:7">
      <c r="D1356" s="485">
        <v>44247</v>
      </c>
      <c r="E1356" s="467" t="s">
        <v>109</v>
      </c>
      <c r="F1356" s="488" t="s">
        <v>1580</v>
      </c>
      <c r="G1356" s="487">
        <v>6.7025462962962967E-2</v>
      </c>
    </row>
    <row r="1357" spans="4:7">
      <c r="D1357" s="485">
        <v>44248</v>
      </c>
      <c r="E1357" s="467" t="s">
        <v>1617</v>
      </c>
      <c r="F1357" s="486">
        <v>146</v>
      </c>
      <c r="G1357" s="487">
        <v>5.4583333333333338E-2</v>
      </c>
    </row>
    <row r="1358" spans="4:7">
      <c r="D1358" s="489">
        <v>44248</v>
      </c>
      <c r="E1358" s="467" t="s">
        <v>2809</v>
      </c>
      <c r="F1358" s="483">
        <v>0</v>
      </c>
      <c r="G1358" s="490">
        <v>9.0474537037037048E-2</v>
      </c>
    </row>
    <row r="1359" spans="4:7">
      <c r="D1359" s="485">
        <v>44250</v>
      </c>
      <c r="E1359" s="467" t="s">
        <v>109</v>
      </c>
      <c r="F1359" s="486">
        <v>184</v>
      </c>
      <c r="G1359" s="487">
        <v>8.8113425925925928E-2</v>
      </c>
    </row>
    <row r="1360" spans="4:7">
      <c r="D1360" s="485">
        <v>44251</v>
      </c>
      <c r="E1360" s="467" t="s">
        <v>636</v>
      </c>
      <c r="F1360" s="486">
        <v>208</v>
      </c>
      <c r="G1360" s="487">
        <v>3.8310185185185183E-3</v>
      </c>
    </row>
    <row r="1361" spans="4:7">
      <c r="D1361" s="485">
        <v>44251</v>
      </c>
      <c r="E1361" s="467" t="s">
        <v>1326</v>
      </c>
      <c r="F1361" s="486">
        <v>88</v>
      </c>
      <c r="G1361" s="487">
        <v>8.7962962962962965E-2</v>
      </c>
    </row>
    <row r="1362" spans="4:7">
      <c r="D1362" s="493">
        <v>44251</v>
      </c>
      <c r="E1362" s="467" t="s">
        <v>1504</v>
      </c>
      <c r="F1362" s="486">
        <v>48</v>
      </c>
      <c r="G1362" s="494">
        <v>7.4976851851851864E-2</v>
      </c>
    </row>
    <row r="1363" spans="4:7">
      <c r="D1363" s="493">
        <v>44252</v>
      </c>
      <c r="E1363" s="467" t="s">
        <v>1504</v>
      </c>
      <c r="F1363" s="486">
        <v>0</v>
      </c>
      <c r="G1363" s="494">
        <v>1.3078703703703705E-3</v>
      </c>
    </row>
    <row r="1364" spans="4:7">
      <c r="D1364" s="493">
        <v>44253</v>
      </c>
      <c r="E1364" s="467" t="s">
        <v>1662</v>
      </c>
      <c r="F1364" s="486">
        <v>8</v>
      </c>
      <c r="G1364" s="494">
        <v>2.3715277777777776E-2</v>
      </c>
    </row>
    <row r="1365" spans="4:7">
      <c r="D1365" s="493">
        <v>44253</v>
      </c>
      <c r="E1365" s="467" t="s">
        <v>1662</v>
      </c>
      <c r="F1365" s="486">
        <v>199</v>
      </c>
      <c r="G1365" s="494">
        <v>1.4965277777777779E-2</v>
      </c>
    </row>
    <row r="1366" spans="4:7">
      <c r="D1366" s="489">
        <v>44253</v>
      </c>
      <c r="E1366" s="467" t="s">
        <v>1355</v>
      </c>
      <c r="F1366" s="483">
        <v>0</v>
      </c>
      <c r="G1366" s="490">
        <v>1.4467592592592593E-2</v>
      </c>
    </row>
    <row r="1367" spans="4:7">
      <c r="D1367" s="496">
        <v>44255</v>
      </c>
      <c r="E1367" s="467" t="s">
        <v>44</v>
      </c>
      <c r="F1367" s="497">
        <v>7</v>
      </c>
      <c r="G1367" s="498">
        <v>9.2303240740740741E-2</v>
      </c>
    </row>
    <row r="1368" spans="4:7">
      <c r="D1368" s="485">
        <v>44255</v>
      </c>
      <c r="E1368" s="467" t="s">
        <v>1617</v>
      </c>
      <c r="F1368" s="486">
        <v>88</v>
      </c>
      <c r="G1368" s="487">
        <v>6.0636574074074079E-2</v>
      </c>
    </row>
    <row r="1369" spans="4:7">
      <c r="D1369" s="485">
        <v>44258</v>
      </c>
      <c r="E1369" s="467" t="s">
        <v>1684</v>
      </c>
      <c r="F1369" s="486">
        <v>1</v>
      </c>
      <c r="G1369" s="487">
        <v>2.0995370370370373E-2</v>
      </c>
    </row>
    <row r="1370" spans="4:7">
      <c r="D1370" s="485">
        <v>44258</v>
      </c>
      <c r="E1370" s="467" t="s">
        <v>1684</v>
      </c>
      <c r="F1370" s="486">
        <v>125</v>
      </c>
      <c r="G1370" s="487">
        <v>1.3344907407407408E-2</v>
      </c>
    </row>
    <row r="1371" spans="4:7">
      <c r="D1371" s="485">
        <v>44258</v>
      </c>
      <c r="E1371" s="467" t="s">
        <v>1684</v>
      </c>
      <c r="F1371" s="486">
        <v>170</v>
      </c>
      <c r="G1371" s="487">
        <v>1.667824074074074E-2</v>
      </c>
    </row>
    <row r="1372" spans="4:7">
      <c r="D1372" s="489">
        <v>44260</v>
      </c>
      <c r="E1372" s="467" t="s">
        <v>1385</v>
      </c>
      <c r="F1372" s="483">
        <v>209</v>
      </c>
      <c r="G1372" s="490">
        <v>3.7638888888888895E-2</v>
      </c>
    </row>
    <row r="1373" spans="4:7">
      <c r="D1373" s="489">
        <v>44261</v>
      </c>
      <c r="E1373" s="467" t="s">
        <v>1355</v>
      </c>
      <c r="F1373" s="483">
        <v>0</v>
      </c>
      <c r="G1373" s="490">
        <v>1.8449074074074073E-2</v>
      </c>
    </row>
    <row r="1374" spans="4:7">
      <c r="D1374" s="485">
        <v>44262</v>
      </c>
      <c r="E1374" s="467" t="s">
        <v>1617</v>
      </c>
      <c r="F1374" s="486">
        <v>76</v>
      </c>
      <c r="G1374" s="487">
        <v>5.6064814814814817E-2</v>
      </c>
    </row>
    <row r="1375" spans="4:7">
      <c r="D1375" s="485">
        <v>44266</v>
      </c>
      <c r="E1375" s="467" t="s">
        <v>109</v>
      </c>
      <c r="F1375" s="488" t="s">
        <v>1599</v>
      </c>
      <c r="G1375" s="487">
        <v>3.4386574074074076E-2</v>
      </c>
    </row>
    <row r="1376" spans="4:7">
      <c r="D1376" s="485">
        <v>44267</v>
      </c>
      <c r="E1376" s="467" t="s">
        <v>199</v>
      </c>
      <c r="F1376" s="486">
        <v>97</v>
      </c>
      <c r="G1376" s="487">
        <v>0.13881944444444444</v>
      </c>
    </row>
    <row r="1377" spans="4:7">
      <c r="D1377" s="485">
        <v>44267</v>
      </c>
      <c r="E1377" s="467" t="s">
        <v>199</v>
      </c>
      <c r="F1377" s="488" t="s">
        <v>1557</v>
      </c>
      <c r="G1377" s="487">
        <v>2.4270833333333335E-2</v>
      </c>
    </row>
    <row r="1378" spans="4:7">
      <c r="D1378" s="493">
        <v>44268</v>
      </c>
      <c r="E1378" s="467" t="s">
        <v>1504</v>
      </c>
      <c r="F1378" s="486">
        <v>84</v>
      </c>
      <c r="G1378" s="494">
        <v>8.7083333333333332E-2</v>
      </c>
    </row>
    <row r="1379" spans="4:7">
      <c r="D1379" s="485">
        <v>44268</v>
      </c>
      <c r="E1379" s="467" t="s">
        <v>1617</v>
      </c>
      <c r="F1379" s="488" t="s">
        <v>751</v>
      </c>
      <c r="G1379" s="487">
        <v>6.1875000000000006E-2</v>
      </c>
    </row>
    <row r="1380" spans="4:7">
      <c r="D1380" s="485">
        <v>44269</v>
      </c>
      <c r="E1380" s="467" t="s">
        <v>1617</v>
      </c>
      <c r="F1380" s="488" t="s">
        <v>2557</v>
      </c>
      <c r="G1380" s="487">
        <v>6.5011574074074083E-2</v>
      </c>
    </row>
    <row r="1381" spans="4:7">
      <c r="D1381" s="485">
        <v>44269</v>
      </c>
      <c r="E1381" s="467" t="s">
        <v>1617</v>
      </c>
      <c r="F1381" s="488" t="s">
        <v>2556</v>
      </c>
      <c r="G1381" s="487">
        <v>9.1932870370370359E-2</v>
      </c>
    </row>
    <row r="1382" spans="4:7">
      <c r="D1382" s="485">
        <v>44270</v>
      </c>
      <c r="E1382" s="467" t="s">
        <v>197</v>
      </c>
      <c r="F1382" s="486">
        <v>89</v>
      </c>
      <c r="G1382" s="487">
        <v>5.9317129629629629E-2</v>
      </c>
    </row>
    <row r="1383" spans="4:7">
      <c r="D1383" s="493">
        <v>44274</v>
      </c>
      <c r="E1383" s="467" t="s">
        <v>1662</v>
      </c>
      <c r="F1383" s="486">
        <v>22</v>
      </c>
      <c r="G1383" s="494">
        <v>2.9629629629629627E-2</v>
      </c>
    </row>
    <row r="1384" spans="4:7">
      <c r="D1384" s="493">
        <v>44274</v>
      </c>
      <c r="E1384" s="467" t="s">
        <v>1662</v>
      </c>
      <c r="F1384" s="486">
        <v>107</v>
      </c>
      <c r="G1384" s="494">
        <v>1.982638888888889E-2</v>
      </c>
    </row>
    <row r="1385" spans="4:7">
      <c r="D1385" s="493">
        <v>44275</v>
      </c>
      <c r="E1385" s="467" t="s">
        <v>3639</v>
      </c>
      <c r="F1385" s="486">
        <v>11</v>
      </c>
      <c r="G1385" s="494">
        <v>7.2928240740740738E-2</v>
      </c>
    </row>
    <row r="1386" spans="4:7">
      <c r="D1386" s="485">
        <v>44276</v>
      </c>
      <c r="E1386" s="467" t="s">
        <v>1617</v>
      </c>
      <c r="F1386" s="486">
        <v>106</v>
      </c>
      <c r="G1386" s="487">
        <v>6.8379629629629637E-2</v>
      </c>
    </row>
    <row r="1387" spans="4:7">
      <c r="D1387" s="489">
        <v>44276</v>
      </c>
      <c r="E1387" s="467" t="s">
        <v>1355</v>
      </c>
      <c r="F1387" s="483">
        <v>0</v>
      </c>
      <c r="G1387" s="490">
        <v>1.579861111111111E-2</v>
      </c>
    </row>
    <row r="1388" spans="4:7">
      <c r="D1388" s="485">
        <v>44277</v>
      </c>
      <c r="E1388" s="467" t="s">
        <v>199</v>
      </c>
      <c r="F1388" s="486">
        <v>0</v>
      </c>
      <c r="G1388" s="487">
        <v>2.2800925925925927E-3</v>
      </c>
    </row>
    <row r="1389" spans="4:7">
      <c r="D1389" s="493">
        <v>44278</v>
      </c>
      <c r="E1389" s="467" t="s">
        <v>1326</v>
      </c>
      <c r="F1389" s="486">
        <v>174</v>
      </c>
      <c r="G1389" s="494">
        <v>7.2465277777777781E-2</v>
      </c>
    </row>
    <row r="1390" spans="4:7">
      <c r="D1390" s="485">
        <v>44282</v>
      </c>
      <c r="E1390" s="467" t="s">
        <v>109</v>
      </c>
      <c r="F1390" s="486">
        <v>111</v>
      </c>
      <c r="G1390" s="487">
        <v>9.2847222222222234E-2</v>
      </c>
    </row>
    <row r="1391" spans="4:7">
      <c r="D1391" s="485">
        <v>44283</v>
      </c>
      <c r="E1391" s="467" t="s">
        <v>1617</v>
      </c>
      <c r="F1391" s="486">
        <v>69</v>
      </c>
      <c r="G1391" s="487">
        <v>5.1585648148148144E-2</v>
      </c>
    </row>
    <row r="1392" spans="4:7">
      <c r="D1392" s="485">
        <v>44286</v>
      </c>
      <c r="E1392" s="467" t="s">
        <v>416</v>
      </c>
      <c r="F1392" s="486">
        <v>0</v>
      </c>
      <c r="G1392" s="487">
        <v>3.7974537037037036E-2</v>
      </c>
    </row>
    <row r="1393" spans="4:7">
      <c r="D1393" s="496">
        <v>44286</v>
      </c>
      <c r="E1393" s="467" t="s">
        <v>44</v>
      </c>
      <c r="F1393" s="497">
        <v>165</v>
      </c>
      <c r="G1393" s="498">
        <v>0.10032407407407407</v>
      </c>
    </row>
    <row r="1394" spans="4:7">
      <c r="D1394" s="485">
        <v>44286</v>
      </c>
      <c r="E1394" s="467" t="s">
        <v>44</v>
      </c>
      <c r="F1394" s="486">
        <v>0</v>
      </c>
      <c r="G1394" s="487">
        <v>8.4027777777777781E-3</v>
      </c>
    </row>
    <row r="1395" spans="4:7">
      <c r="D1395" s="485">
        <v>44286</v>
      </c>
      <c r="E1395" s="467" t="s">
        <v>1617</v>
      </c>
      <c r="F1395" s="488" t="s">
        <v>1620</v>
      </c>
      <c r="G1395" s="487">
        <v>1.6770833333333332E-2</v>
      </c>
    </row>
    <row r="1396" spans="4:7">
      <c r="D1396" s="485">
        <v>44287</v>
      </c>
      <c r="E1396" s="467" t="s">
        <v>109</v>
      </c>
      <c r="F1396" s="486">
        <v>46</v>
      </c>
      <c r="G1396" s="487">
        <v>7.6354166666666667E-2</v>
      </c>
    </row>
    <row r="1397" spans="4:7">
      <c r="D1397" s="493">
        <v>44287</v>
      </c>
      <c r="E1397" s="467" t="s">
        <v>1504</v>
      </c>
      <c r="F1397" s="486">
        <v>0</v>
      </c>
      <c r="G1397" s="494">
        <v>2.2453703703703708E-2</v>
      </c>
    </row>
    <row r="1398" spans="4:7">
      <c r="D1398" s="485">
        <v>44288</v>
      </c>
      <c r="E1398" s="467" t="s">
        <v>1617</v>
      </c>
      <c r="F1398" s="488" t="s">
        <v>2554</v>
      </c>
      <c r="G1398" s="487">
        <v>5.707175925925926E-2</v>
      </c>
    </row>
    <row r="1399" spans="4:7">
      <c r="D1399" s="485">
        <v>44289</v>
      </c>
      <c r="E1399" s="467" t="s">
        <v>1684</v>
      </c>
      <c r="F1399" s="486">
        <v>2</v>
      </c>
      <c r="G1399" s="487">
        <v>1.5416666666666667E-2</v>
      </c>
    </row>
    <row r="1400" spans="4:7">
      <c r="D1400" s="485">
        <v>44289</v>
      </c>
      <c r="E1400" s="467" t="s">
        <v>1684</v>
      </c>
      <c r="F1400" s="486">
        <v>172</v>
      </c>
      <c r="G1400" s="487">
        <v>2.6238425925925925E-2</v>
      </c>
    </row>
    <row r="1401" spans="4:7">
      <c r="D1401" s="485">
        <v>44289</v>
      </c>
      <c r="E1401" s="467" t="s">
        <v>1686</v>
      </c>
      <c r="F1401" s="486">
        <v>11</v>
      </c>
      <c r="G1401" s="487">
        <v>2.8703703703703703E-2</v>
      </c>
    </row>
    <row r="1402" spans="4:7">
      <c r="D1402" s="485">
        <v>44290</v>
      </c>
      <c r="E1402" s="467" t="s">
        <v>1617</v>
      </c>
      <c r="F1402" s="486">
        <v>184</v>
      </c>
      <c r="G1402" s="487">
        <v>5.1597222222222218E-2</v>
      </c>
    </row>
    <row r="1403" spans="4:7">
      <c r="D1403" s="485">
        <v>44293</v>
      </c>
      <c r="E1403" s="467" t="s">
        <v>1617</v>
      </c>
      <c r="F1403" s="488" t="s">
        <v>1621</v>
      </c>
      <c r="G1403" s="487">
        <v>1.2395833333333335E-2</v>
      </c>
    </row>
    <row r="1404" spans="4:7">
      <c r="D1404" s="485">
        <v>44295</v>
      </c>
      <c r="E1404" s="467" t="s">
        <v>199</v>
      </c>
      <c r="F1404" s="486">
        <v>188</v>
      </c>
      <c r="G1404" s="487">
        <v>0.16869212962962962</v>
      </c>
    </row>
    <row r="1405" spans="4:7">
      <c r="D1405" s="485">
        <v>44295</v>
      </c>
      <c r="E1405" s="467" t="s">
        <v>1662</v>
      </c>
      <c r="F1405" s="486">
        <v>23</v>
      </c>
      <c r="G1405" s="487">
        <v>2.3842592592592596E-2</v>
      </c>
    </row>
    <row r="1406" spans="4:7">
      <c r="D1406" s="485">
        <v>44295</v>
      </c>
      <c r="E1406" s="467" t="s">
        <v>1662</v>
      </c>
      <c r="F1406" s="486">
        <v>180</v>
      </c>
      <c r="G1406" s="487">
        <v>2.7696759259259258E-2</v>
      </c>
    </row>
    <row r="1407" spans="4:7">
      <c r="D1407" s="485">
        <v>44297</v>
      </c>
      <c r="E1407" s="467" t="s">
        <v>199</v>
      </c>
      <c r="F1407" s="486">
        <v>0</v>
      </c>
      <c r="G1407" s="487">
        <v>2.1990740740740742E-3</v>
      </c>
    </row>
    <row r="1408" spans="4:7">
      <c r="D1408" s="485">
        <v>44297</v>
      </c>
      <c r="E1408" s="467" t="s">
        <v>1617</v>
      </c>
      <c r="F1408" s="486">
        <v>149</v>
      </c>
      <c r="G1408" s="487">
        <v>5.7893518518518518E-2</v>
      </c>
    </row>
    <row r="1409" spans="4:7">
      <c r="D1409" s="485">
        <v>44298</v>
      </c>
      <c r="E1409" s="467" t="s">
        <v>1995</v>
      </c>
      <c r="F1409" s="486">
        <v>0</v>
      </c>
      <c r="G1409" s="487">
        <v>1.3935185185185184E-2</v>
      </c>
    </row>
    <row r="1410" spans="4:7">
      <c r="D1410" s="485">
        <v>44299</v>
      </c>
      <c r="E1410" s="467" t="s">
        <v>1504</v>
      </c>
      <c r="F1410" s="486">
        <v>86</v>
      </c>
      <c r="G1410" s="487">
        <v>5.3217592592592594E-2</v>
      </c>
    </row>
    <row r="1411" spans="4:7">
      <c r="D1411" s="485">
        <v>44300</v>
      </c>
      <c r="E1411" s="467" t="s">
        <v>1617</v>
      </c>
      <c r="F1411" s="488" t="s">
        <v>1622</v>
      </c>
      <c r="G1411" s="487">
        <v>1.1759259259259259E-2</v>
      </c>
    </row>
    <row r="1412" spans="4:7">
      <c r="D1412" s="485">
        <v>44302</v>
      </c>
      <c r="E1412" s="467" t="s">
        <v>1995</v>
      </c>
      <c r="F1412" s="488" t="s">
        <v>1939</v>
      </c>
      <c r="G1412" s="494">
        <v>5.9953703703703703E-2</v>
      </c>
    </row>
    <row r="1413" spans="4:7">
      <c r="D1413" s="493">
        <v>44302</v>
      </c>
      <c r="E1413" s="467" t="s">
        <v>1995</v>
      </c>
      <c r="F1413" s="486">
        <v>0</v>
      </c>
      <c r="G1413" s="494">
        <v>4.8611111111111104E-4</v>
      </c>
    </row>
    <row r="1414" spans="4:7">
      <c r="D1414" s="493">
        <v>44302</v>
      </c>
      <c r="E1414" s="467" t="s">
        <v>3639</v>
      </c>
      <c r="F1414" s="486">
        <v>12</v>
      </c>
      <c r="G1414" s="494">
        <v>6.0925925925925932E-2</v>
      </c>
    </row>
    <row r="1415" spans="4:7">
      <c r="D1415" s="485">
        <v>44304</v>
      </c>
      <c r="E1415" s="467" t="s">
        <v>109</v>
      </c>
      <c r="F1415" s="488" t="s">
        <v>1624</v>
      </c>
      <c r="G1415" s="487">
        <v>1.1296296296296296E-2</v>
      </c>
    </row>
    <row r="1416" spans="4:7">
      <c r="D1416" s="485">
        <v>44304</v>
      </c>
      <c r="E1416" s="467" t="s">
        <v>1617</v>
      </c>
      <c r="F1416" s="486">
        <v>3</v>
      </c>
      <c r="G1416" s="487">
        <v>5.5497685185185185E-2</v>
      </c>
    </row>
    <row r="1417" spans="4:7">
      <c r="D1417" s="485">
        <v>44305</v>
      </c>
      <c r="E1417" s="467" t="s">
        <v>109</v>
      </c>
      <c r="F1417" s="486">
        <v>75</v>
      </c>
      <c r="G1417" s="487">
        <v>7.8113425925925919E-2</v>
      </c>
    </row>
    <row r="1418" spans="4:7">
      <c r="D1418" s="493">
        <v>44307</v>
      </c>
      <c r="E1418" s="467" t="s">
        <v>1617</v>
      </c>
      <c r="F1418" s="488" t="s">
        <v>1627</v>
      </c>
      <c r="G1418" s="494">
        <v>1.4444444444444446E-2</v>
      </c>
    </row>
    <row r="1419" spans="4:7">
      <c r="D1419" s="489">
        <v>44307</v>
      </c>
      <c r="E1419" s="467" t="s">
        <v>1385</v>
      </c>
      <c r="F1419" s="495" t="s">
        <v>1638</v>
      </c>
      <c r="G1419" s="490">
        <v>7.083333333333333E-3</v>
      </c>
    </row>
    <row r="1420" spans="4:7">
      <c r="D1420" s="485">
        <v>44309</v>
      </c>
      <c r="E1420" s="467" t="s">
        <v>1326</v>
      </c>
      <c r="F1420" s="486">
        <v>54</v>
      </c>
      <c r="G1420" s="487">
        <v>8.1365740740740738E-2</v>
      </c>
    </row>
    <row r="1421" spans="4:7">
      <c r="D1421" s="485">
        <v>44309</v>
      </c>
      <c r="E1421" s="467" t="s">
        <v>1995</v>
      </c>
      <c r="F1421" s="488" t="s">
        <v>1940</v>
      </c>
      <c r="G1421" s="494">
        <v>5.7418981481481481E-2</v>
      </c>
    </row>
    <row r="1422" spans="4:7">
      <c r="D1422" s="485">
        <v>44311</v>
      </c>
      <c r="E1422" s="467" t="s">
        <v>199</v>
      </c>
      <c r="F1422" s="488" t="s">
        <v>1848</v>
      </c>
      <c r="G1422" s="487">
        <v>2.6875E-2</v>
      </c>
    </row>
    <row r="1423" spans="4:7">
      <c r="D1423" s="485">
        <v>44311</v>
      </c>
      <c r="E1423" s="467" t="s">
        <v>1617</v>
      </c>
      <c r="F1423" s="486">
        <v>14</v>
      </c>
      <c r="G1423" s="487">
        <v>6.2581018518518508E-2</v>
      </c>
    </row>
    <row r="1424" spans="4:7">
      <c r="D1424" s="485">
        <v>44314</v>
      </c>
      <c r="E1424" s="467" t="s">
        <v>1617</v>
      </c>
      <c r="F1424" s="488" t="s">
        <v>1637</v>
      </c>
      <c r="G1424" s="487">
        <v>1.5416666666666667E-2</v>
      </c>
    </row>
    <row r="1425" spans="4:7">
      <c r="D1425" s="485">
        <v>44316</v>
      </c>
      <c r="E1425" s="467" t="s">
        <v>636</v>
      </c>
      <c r="F1425" s="486">
        <v>209</v>
      </c>
      <c r="G1425" s="487">
        <v>1.6782407407407406E-3</v>
      </c>
    </row>
    <row r="1426" spans="4:7">
      <c r="D1426" s="485">
        <v>44316</v>
      </c>
      <c r="E1426" s="467" t="s">
        <v>44</v>
      </c>
      <c r="F1426" s="486">
        <v>78</v>
      </c>
      <c r="G1426" s="487">
        <v>9.28587962962963E-2</v>
      </c>
    </row>
    <row r="1427" spans="4:7">
      <c r="D1427" s="493">
        <v>44316</v>
      </c>
      <c r="E1427" s="467" t="s">
        <v>1662</v>
      </c>
      <c r="F1427" s="486">
        <v>4</v>
      </c>
      <c r="G1427" s="494">
        <v>2.6261574074074076E-2</v>
      </c>
    </row>
    <row r="1428" spans="4:7">
      <c r="D1428" s="493">
        <v>44316</v>
      </c>
      <c r="E1428" s="467" t="s">
        <v>1662</v>
      </c>
      <c r="F1428" s="486">
        <v>167</v>
      </c>
      <c r="G1428" s="494">
        <v>2.8703703703703703E-2</v>
      </c>
    </row>
    <row r="1429" spans="4:7">
      <c r="D1429" s="485">
        <v>44316</v>
      </c>
      <c r="E1429" s="467" t="s">
        <v>1995</v>
      </c>
      <c r="F1429" s="488" t="s">
        <v>1941</v>
      </c>
      <c r="G1429" s="494">
        <v>5.6296296296296296E-2</v>
      </c>
    </row>
    <row r="1430" spans="4:7">
      <c r="D1430" s="489">
        <v>44317</v>
      </c>
      <c r="E1430" s="467" t="s">
        <v>1355</v>
      </c>
      <c r="F1430" s="483">
        <v>0</v>
      </c>
      <c r="G1430" s="490">
        <v>2.4756944444444443E-2</v>
      </c>
    </row>
    <row r="1431" spans="4:7">
      <c r="D1431" s="485">
        <v>44318</v>
      </c>
      <c r="E1431" s="467" t="s">
        <v>1617</v>
      </c>
      <c r="F1431" s="486">
        <v>62</v>
      </c>
      <c r="G1431" s="487">
        <v>5.303240740740741E-2</v>
      </c>
    </row>
    <row r="1432" spans="4:7">
      <c r="D1432" s="485">
        <v>44319</v>
      </c>
      <c r="E1432" s="467" t="s">
        <v>1684</v>
      </c>
      <c r="F1432" s="486">
        <v>3</v>
      </c>
      <c r="G1432" s="487">
        <v>2.3159722222222224E-2</v>
      </c>
    </row>
    <row r="1433" spans="4:7">
      <c r="D1433" s="485">
        <v>44319</v>
      </c>
      <c r="E1433" s="467" t="s">
        <v>1684</v>
      </c>
      <c r="F1433" s="486">
        <v>136</v>
      </c>
      <c r="G1433" s="487">
        <v>2.1770833333333336E-2</v>
      </c>
    </row>
    <row r="1434" spans="4:7">
      <c r="D1434" s="493">
        <v>44321</v>
      </c>
      <c r="E1434" s="467" t="s">
        <v>1617</v>
      </c>
      <c r="F1434" s="488" t="s">
        <v>1712</v>
      </c>
      <c r="G1434" s="494">
        <v>1.1967592592592592E-2</v>
      </c>
    </row>
    <row r="1435" spans="4:7">
      <c r="D1435" s="485">
        <v>44323</v>
      </c>
      <c r="E1435" s="467" t="s">
        <v>199</v>
      </c>
      <c r="F1435" s="488" t="s">
        <v>1729</v>
      </c>
      <c r="G1435" s="487">
        <v>0.12121527777777778</v>
      </c>
    </row>
    <row r="1436" spans="4:7">
      <c r="D1436" s="485">
        <v>44323</v>
      </c>
      <c r="E1436" s="467" t="s">
        <v>1995</v>
      </c>
      <c r="F1436" s="488" t="s">
        <v>738</v>
      </c>
      <c r="G1436" s="494">
        <v>6.8993055555555557E-2</v>
      </c>
    </row>
    <row r="1437" spans="4:7">
      <c r="D1437" s="485">
        <v>44325</v>
      </c>
      <c r="E1437" s="467" t="s">
        <v>1617</v>
      </c>
      <c r="F1437" s="486">
        <v>195</v>
      </c>
      <c r="G1437" s="487">
        <v>5.7939814814814812E-2</v>
      </c>
    </row>
    <row r="1438" spans="4:7">
      <c r="D1438" s="485">
        <v>44326</v>
      </c>
      <c r="E1438" s="467" t="s">
        <v>44</v>
      </c>
      <c r="F1438" s="486">
        <v>0</v>
      </c>
      <c r="G1438" s="487">
        <v>0.11233796296296296</v>
      </c>
    </row>
    <row r="1439" spans="4:7">
      <c r="D1439" s="485">
        <v>44326</v>
      </c>
      <c r="E1439" s="467" t="s">
        <v>1504</v>
      </c>
      <c r="F1439" s="486">
        <v>76</v>
      </c>
      <c r="G1439" s="487">
        <v>9.1655092592592594E-2</v>
      </c>
    </row>
    <row r="1440" spans="4:7">
      <c r="D1440" s="485">
        <v>44327</v>
      </c>
      <c r="E1440" s="467" t="s">
        <v>109</v>
      </c>
      <c r="F1440" s="486">
        <v>177</v>
      </c>
      <c r="G1440" s="487">
        <v>8.082175925925926E-2</v>
      </c>
    </row>
    <row r="1441" spans="4:7">
      <c r="D1441" s="485">
        <v>44328</v>
      </c>
      <c r="E1441" s="467" t="s">
        <v>1617</v>
      </c>
      <c r="F1441" s="488" t="s">
        <v>1713</v>
      </c>
      <c r="G1441" s="487">
        <v>1.0115740740740741E-2</v>
      </c>
    </row>
    <row r="1442" spans="4:7">
      <c r="D1442" s="485">
        <v>44330</v>
      </c>
      <c r="E1442" s="467" t="s">
        <v>1995</v>
      </c>
      <c r="F1442" s="488" t="s">
        <v>1942</v>
      </c>
      <c r="G1442" s="494">
        <v>5.0532407407407408E-2</v>
      </c>
    </row>
    <row r="1443" spans="4:7">
      <c r="D1443" s="485">
        <v>44332</v>
      </c>
      <c r="E1443" s="467" t="s">
        <v>1617</v>
      </c>
      <c r="F1443" s="486">
        <v>97</v>
      </c>
      <c r="G1443" s="487">
        <v>7.0532407407407405E-2</v>
      </c>
    </row>
    <row r="1444" spans="4:7">
      <c r="D1444" s="485">
        <v>44336</v>
      </c>
      <c r="E1444" s="467" t="s">
        <v>235</v>
      </c>
      <c r="F1444" s="486">
        <v>103</v>
      </c>
      <c r="G1444" s="487">
        <v>5.935185185185185E-2</v>
      </c>
    </row>
    <row r="1445" spans="4:7">
      <c r="D1445" s="485">
        <v>44337</v>
      </c>
      <c r="E1445" s="467" t="s">
        <v>1662</v>
      </c>
      <c r="F1445" s="486">
        <v>2</v>
      </c>
      <c r="G1445" s="487">
        <v>2.9872685185185183E-2</v>
      </c>
    </row>
    <row r="1446" spans="4:7">
      <c r="D1446" s="485">
        <v>44337</v>
      </c>
      <c r="E1446" s="467" t="s">
        <v>1662</v>
      </c>
      <c r="F1446" s="486">
        <v>171</v>
      </c>
      <c r="G1446" s="487">
        <v>2.8877314814814817E-2</v>
      </c>
    </row>
    <row r="1447" spans="4:7">
      <c r="D1447" s="485">
        <v>44337</v>
      </c>
      <c r="E1447" s="467" t="s">
        <v>1995</v>
      </c>
      <c r="F1447" s="486">
        <v>0</v>
      </c>
      <c r="G1447" s="494">
        <v>4.2557870370370371E-2</v>
      </c>
    </row>
    <row r="1448" spans="4:7">
      <c r="D1448" s="485">
        <v>44337</v>
      </c>
      <c r="E1448" s="467" t="s">
        <v>3639</v>
      </c>
      <c r="F1448" s="486">
        <v>13</v>
      </c>
      <c r="G1448" s="494">
        <v>4.8692129629629627E-2</v>
      </c>
    </row>
    <row r="1449" spans="4:7">
      <c r="D1449" s="485">
        <v>44339</v>
      </c>
      <c r="E1449" s="467" t="s">
        <v>1504</v>
      </c>
      <c r="F1449" s="486">
        <v>202</v>
      </c>
      <c r="G1449" s="487">
        <v>7.0057870370370368E-2</v>
      </c>
    </row>
    <row r="1450" spans="4:7">
      <c r="D1450" s="485">
        <v>44339</v>
      </c>
      <c r="E1450" s="467" t="s">
        <v>1617</v>
      </c>
      <c r="F1450" s="486">
        <v>163</v>
      </c>
      <c r="G1450" s="487">
        <v>4.7199074074074067E-2</v>
      </c>
    </row>
    <row r="1451" spans="4:7">
      <c r="D1451" s="485">
        <v>44341</v>
      </c>
      <c r="E1451" s="467" t="s">
        <v>1326</v>
      </c>
      <c r="F1451" s="486">
        <v>175</v>
      </c>
      <c r="G1451" s="487">
        <v>0.12680555555555556</v>
      </c>
    </row>
    <row r="1452" spans="4:7">
      <c r="D1452" s="485">
        <v>44342</v>
      </c>
      <c r="E1452" s="467" t="s">
        <v>1617</v>
      </c>
      <c r="F1452" s="488" t="s">
        <v>1733</v>
      </c>
      <c r="G1452" s="487">
        <v>1.7256944444444446E-2</v>
      </c>
    </row>
    <row r="1453" spans="4:7">
      <c r="D1453" s="485">
        <v>44344</v>
      </c>
      <c r="E1453" s="467" t="s">
        <v>1995</v>
      </c>
      <c r="F1453" s="488" t="s">
        <v>736</v>
      </c>
      <c r="G1453" s="494">
        <v>5.5462962962962964E-2</v>
      </c>
    </row>
    <row r="1454" spans="4:7">
      <c r="D1454" s="485">
        <v>44345</v>
      </c>
      <c r="E1454" s="467" t="s">
        <v>1995</v>
      </c>
      <c r="F1454" s="486">
        <v>0</v>
      </c>
      <c r="G1454" s="494">
        <v>5.3819444444444453E-3</v>
      </c>
    </row>
    <row r="1455" spans="4:7">
      <c r="D1455" s="485">
        <v>44346</v>
      </c>
      <c r="E1455" s="467" t="s">
        <v>1617</v>
      </c>
      <c r="F1455" s="486">
        <v>54</v>
      </c>
      <c r="G1455" s="487">
        <v>4.7199074074074067E-2</v>
      </c>
    </row>
    <row r="1456" spans="4:7">
      <c r="D1456" s="485">
        <v>44347</v>
      </c>
      <c r="E1456" s="467" t="s">
        <v>44</v>
      </c>
      <c r="F1456" s="486">
        <v>35</v>
      </c>
      <c r="G1456" s="487">
        <v>0.10001157407407407</v>
      </c>
    </row>
    <row r="1457" spans="4:7">
      <c r="D1457" s="485">
        <v>44350</v>
      </c>
      <c r="E1457" s="467" t="s">
        <v>1684</v>
      </c>
      <c r="F1457" s="486">
        <v>4</v>
      </c>
      <c r="G1457" s="487">
        <v>1.9976851851851853E-2</v>
      </c>
    </row>
    <row r="1458" spans="4:7">
      <c r="D1458" s="485">
        <v>44350</v>
      </c>
      <c r="E1458" s="467" t="s">
        <v>1684</v>
      </c>
      <c r="F1458" s="486">
        <v>198</v>
      </c>
      <c r="G1458" s="487">
        <v>2.0509259259259258E-2</v>
      </c>
    </row>
    <row r="1459" spans="4:7">
      <c r="D1459" s="485">
        <v>44351</v>
      </c>
      <c r="E1459" s="467" t="s">
        <v>199</v>
      </c>
      <c r="F1459" s="486">
        <v>143</v>
      </c>
      <c r="G1459" s="487">
        <v>0.11753472222222222</v>
      </c>
    </row>
    <row r="1460" spans="4:7">
      <c r="D1460" s="485">
        <v>44351</v>
      </c>
      <c r="E1460" s="467" t="s">
        <v>1995</v>
      </c>
      <c r="F1460" s="488" t="s">
        <v>681</v>
      </c>
      <c r="G1460" s="494">
        <v>5.2453703703703704E-2</v>
      </c>
    </row>
    <row r="1461" spans="4:7">
      <c r="D1461" s="485">
        <v>44353</v>
      </c>
      <c r="E1461" s="467" t="s">
        <v>1617</v>
      </c>
      <c r="F1461" s="486">
        <v>87</v>
      </c>
      <c r="G1461" s="487">
        <v>5.3900462962962963E-2</v>
      </c>
    </row>
    <row r="1462" spans="4:7">
      <c r="D1462" s="485">
        <v>44354</v>
      </c>
      <c r="E1462" s="467" t="s">
        <v>109</v>
      </c>
      <c r="F1462" s="488" t="s">
        <v>1795</v>
      </c>
      <c r="G1462" s="487">
        <v>4.988425925925926E-2</v>
      </c>
    </row>
    <row r="1463" spans="4:7">
      <c r="D1463" s="489">
        <v>44356</v>
      </c>
      <c r="E1463" s="467" t="s">
        <v>2806</v>
      </c>
      <c r="F1463" s="483">
        <v>0</v>
      </c>
      <c r="G1463" s="490">
        <v>4.3657407407407402E-2</v>
      </c>
    </row>
    <row r="1464" spans="4:7">
      <c r="D1464" s="493">
        <v>44358</v>
      </c>
      <c r="E1464" s="467" t="s">
        <v>1662</v>
      </c>
      <c r="F1464" s="486">
        <v>25</v>
      </c>
      <c r="G1464" s="494">
        <v>2.388888888888889E-2</v>
      </c>
    </row>
    <row r="1465" spans="4:7">
      <c r="D1465" s="493">
        <v>44358</v>
      </c>
      <c r="E1465" s="467" t="s">
        <v>1662</v>
      </c>
      <c r="F1465" s="486">
        <v>26</v>
      </c>
      <c r="G1465" s="494">
        <v>2.2604166666666665E-2</v>
      </c>
    </row>
    <row r="1466" spans="4:7">
      <c r="D1466" s="485">
        <v>44359</v>
      </c>
      <c r="E1466" s="467" t="s">
        <v>1995</v>
      </c>
      <c r="F1466" s="488" t="s">
        <v>732</v>
      </c>
      <c r="G1466" s="494">
        <v>5.6504629629629627E-2</v>
      </c>
    </row>
    <row r="1467" spans="4:7">
      <c r="D1467" s="485">
        <v>44360</v>
      </c>
      <c r="E1467" s="467" t="s">
        <v>1617</v>
      </c>
      <c r="F1467" s="486">
        <v>79</v>
      </c>
      <c r="G1467" s="487">
        <v>7.846064814814814E-2</v>
      </c>
    </row>
    <row r="1468" spans="4:7">
      <c r="D1468" s="485">
        <v>44363</v>
      </c>
      <c r="E1468" s="467" t="s">
        <v>1617</v>
      </c>
      <c r="F1468" s="488" t="s">
        <v>1797</v>
      </c>
      <c r="G1468" s="487">
        <v>1.5578703703703704E-2</v>
      </c>
    </row>
    <row r="1469" spans="4:7">
      <c r="D1469" s="489">
        <v>44363</v>
      </c>
      <c r="E1469" s="467" t="s">
        <v>1385</v>
      </c>
      <c r="F1469" s="495" t="s">
        <v>1806</v>
      </c>
      <c r="G1469" s="490">
        <v>7.9629629629629634E-3</v>
      </c>
    </row>
    <row r="1470" spans="4:7">
      <c r="D1470" s="485">
        <v>44365</v>
      </c>
      <c r="E1470" s="467" t="s">
        <v>1662</v>
      </c>
      <c r="F1470" s="486">
        <v>148</v>
      </c>
      <c r="G1470" s="487">
        <v>2.8414351851851847E-2</v>
      </c>
    </row>
    <row r="1471" spans="4:7">
      <c r="D1471" s="489">
        <v>44365</v>
      </c>
      <c r="E1471" s="467" t="s">
        <v>2810</v>
      </c>
      <c r="F1471" s="483">
        <v>0</v>
      </c>
      <c r="G1471" s="490">
        <v>3.4618055555555555E-2</v>
      </c>
    </row>
    <row r="1472" spans="4:7">
      <c r="D1472" s="489">
        <v>44365</v>
      </c>
      <c r="E1472" s="467" t="s">
        <v>1385</v>
      </c>
      <c r="F1472" s="483">
        <v>210</v>
      </c>
      <c r="G1472" s="490">
        <v>3.318287037037037E-2</v>
      </c>
    </row>
    <row r="1473" spans="4:7">
      <c r="D1473" s="485">
        <v>44365</v>
      </c>
      <c r="E1473" s="467" t="s">
        <v>1995</v>
      </c>
      <c r="F1473" s="488" t="s">
        <v>1943</v>
      </c>
      <c r="G1473" s="494">
        <v>5.7256944444444437E-2</v>
      </c>
    </row>
    <row r="1474" spans="4:7">
      <c r="D1474" s="485">
        <v>44365</v>
      </c>
      <c r="E1474" s="467" t="s">
        <v>3639</v>
      </c>
      <c r="F1474" s="488">
        <v>14</v>
      </c>
      <c r="G1474" s="494">
        <v>5.3553240740740742E-2</v>
      </c>
    </row>
    <row r="1475" spans="4:7">
      <c r="D1475" s="485">
        <v>44367</v>
      </c>
      <c r="E1475" s="467" t="s">
        <v>235</v>
      </c>
      <c r="F1475" s="486">
        <v>111</v>
      </c>
      <c r="G1475" s="487">
        <v>6.6724537037037041E-2</v>
      </c>
    </row>
    <row r="1476" spans="4:7">
      <c r="D1476" s="485">
        <v>44367</v>
      </c>
      <c r="E1476" s="467" t="s">
        <v>1617</v>
      </c>
      <c r="F1476" s="486">
        <v>180</v>
      </c>
      <c r="G1476" s="487">
        <v>7.6666666666666661E-2</v>
      </c>
    </row>
    <row r="1477" spans="4:7">
      <c r="D1477" s="485">
        <v>44370</v>
      </c>
      <c r="E1477" s="467" t="s">
        <v>1326</v>
      </c>
      <c r="F1477" s="486">
        <v>85</v>
      </c>
      <c r="G1477" s="487">
        <v>8.0613425925925922E-2</v>
      </c>
    </row>
    <row r="1478" spans="4:7">
      <c r="D1478" s="485">
        <v>44370</v>
      </c>
      <c r="E1478" s="467" t="s">
        <v>1617</v>
      </c>
      <c r="F1478" s="488" t="s">
        <v>1798</v>
      </c>
      <c r="G1478" s="487">
        <v>1.2349537037037039E-2</v>
      </c>
    </row>
    <row r="1479" spans="4:7">
      <c r="D1479" s="489">
        <v>44370</v>
      </c>
      <c r="E1479" s="467" t="s">
        <v>2806</v>
      </c>
      <c r="F1479" s="483">
        <v>0</v>
      </c>
      <c r="G1479" s="490">
        <v>4.927083333333334E-2</v>
      </c>
    </row>
    <row r="1480" spans="4:7">
      <c r="D1480" s="485">
        <v>44371</v>
      </c>
      <c r="E1480" s="467" t="s">
        <v>109</v>
      </c>
      <c r="F1480" s="486">
        <v>122</v>
      </c>
      <c r="G1480" s="487">
        <v>8.3622685185185189E-2</v>
      </c>
    </row>
    <row r="1481" spans="4:7">
      <c r="D1481" s="493">
        <v>44371</v>
      </c>
      <c r="E1481" s="467" t="s">
        <v>1995</v>
      </c>
      <c r="F1481" s="486">
        <v>0</v>
      </c>
      <c r="G1481" s="494">
        <v>8.3333333333333339E-4</v>
      </c>
    </row>
    <row r="1482" spans="4:7">
      <c r="D1482" s="485">
        <v>44372</v>
      </c>
      <c r="E1482" s="467" t="s">
        <v>1878</v>
      </c>
      <c r="F1482" s="486">
        <v>0</v>
      </c>
      <c r="G1482" s="487">
        <v>5.62037037037037E-2</v>
      </c>
    </row>
    <row r="1483" spans="4:7">
      <c r="D1483" s="485">
        <v>44374</v>
      </c>
      <c r="E1483" s="467" t="s">
        <v>1617</v>
      </c>
      <c r="F1483" s="486">
        <v>6</v>
      </c>
      <c r="G1483" s="487">
        <v>5.9293981481481482E-2</v>
      </c>
    </row>
    <row r="1484" spans="4:7">
      <c r="D1484" s="485">
        <v>44375</v>
      </c>
      <c r="E1484" s="467" t="s">
        <v>1995</v>
      </c>
      <c r="F1484" s="488" t="s">
        <v>156</v>
      </c>
      <c r="G1484" s="487">
        <v>5.0810185185185187E-2</v>
      </c>
    </row>
    <row r="1485" spans="4:7">
      <c r="D1485" s="493">
        <v>44375</v>
      </c>
      <c r="E1485" s="467" t="s">
        <v>1504</v>
      </c>
      <c r="F1485" s="486">
        <v>0</v>
      </c>
      <c r="G1485" s="494">
        <v>1.7708333333333332E-3</v>
      </c>
    </row>
    <row r="1486" spans="4:7">
      <c r="D1486" s="485">
        <v>44377</v>
      </c>
      <c r="E1486" s="467" t="s">
        <v>44</v>
      </c>
      <c r="F1486" s="486">
        <v>73</v>
      </c>
      <c r="G1486" s="487">
        <v>9.6261574074074083E-2</v>
      </c>
    </row>
    <row r="1487" spans="4:7">
      <c r="D1487" s="493">
        <v>44378</v>
      </c>
      <c r="E1487" s="467" t="s">
        <v>1878</v>
      </c>
      <c r="F1487" s="486">
        <v>86</v>
      </c>
      <c r="G1487" s="494">
        <v>4.8518518518518516E-2</v>
      </c>
    </row>
    <row r="1488" spans="4:7">
      <c r="D1488" s="485">
        <v>44379</v>
      </c>
      <c r="E1488" s="467" t="s">
        <v>199</v>
      </c>
      <c r="F1488" s="486">
        <v>20</v>
      </c>
      <c r="G1488" s="487">
        <v>9.0682870370370372E-2</v>
      </c>
    </row>
    <row r="1489" spans="4:7">
      <c r="D1489" s="485">
        <v>44379</v>
      </c>
      <c r="E1489" s="467" t="s">
        <v>1504</v>
      </c>
      <c r="F1489" s="486">
        <v>0</v>
      </c>
      <c r="G1489" s="487">
        <v>4.9074074074074072E-3</v>
      </c>
    </row>
    <row r="1490" spans="4:7">
      <c r="D1490" s="485">
        <v>44379</v>
      </c>
      <c r="E1490" s="467" t="s">
        <v>1995</v>
      </c>
      <c r="F1490" s="488" t="s">
        <v>1944</v>
      </c>
      <c r="G1490" s="487">
        <v>5.3969907407407404E-2</v>
      </c>
    </row>
    <row r="1491" spans="4:7">
      <c r="D1491" s="485">
        <v>44380</v>
      </c>
      <c r="E1491" s="467" t="s">
        <v>1684</v>
      </c>
      <c r="F1491" s="486">
        <v>5</v>
      </c>
      <c r="G1491" s="487">
        <v>2.3692129629629629E-2</v>
      </c>
    </row>
    <row r="1492" spans="4:7">
      <c r="D1492" s="485">
        <v>44380</v>
      </c>
      <c r="E1492" s="467" t="s">
        <v>1684</v>
      </c>
      <c r="F1492" s="486">
        <v>200</v>
      </c>
      <c r="G1492" s="487">
        <v>2.8344907407407412E-2</v>
      </c>
    </row>
    <row r="1493" spans="4:7">
      <c r="D1493" s="485">
        <v>44381</v>
      </c>
      <c r="E1493" s="467" t="s">
        <v>109</v>
      </c>
      <c r="F1493" s="486">
        <v>74</v>
      </c>
      <c r="G1493" s="487">
        <v>9.4722222222222222E-2</v>
      </c>
    </row>
    <row r="1494" spans="4:7">
      <c r="D1494" s="485">
        <v>44381</v>
      </c>
      <c r="E1494" s="467" t="s">
        <v>1504</v>
      </c>
      <c r="F1494" s="486">
        <v>103</v>
      </c>
      <c r="G1494" s="487">
        <v>0.10871527777777779</v>
      </c>
    </row>
    <row r="1495" spans="4:7">
      <c r="D1495" s="485">
        <v>44382</v>
      </c>
      <c r="E1495" s="467" t="s">
        <v>199</v>
      </c>
      <c r="F1495" s="486">
        <v>28</v>
      </c>
      <c r="G1495" s="487">
        <v>0.11821759259259258</v>
      </c>
    </row>
    <row r="1496" spans="4:7">
      <c r="D1496" s="485">
        <v>44385</v>
      </c>
      <c r="E1496" s="467" t="s">
        <v>1878</v>
      </c>
      <c r="F1496" s="488" t="s">
        <v>1879</v>
      </c>
      <c r="G1496" s="494">
        <v>2.6712962962962966E-2</v>
      </c>
    </row>
    <row r="1497" spans="4:7">
      <c r="D1497" s="485">
        <v>44385</v>
      </c>
      <c r="E1497" s="467" t="s">
        <v>1878</v>
      </c>
      <c r="F1497" s="488" t="s">
        <v>1879</v>
      </c>
      <c r="G1497" s="494">
        <v>2.2442129629629631E-2</v>
      </c>
    </row>
    <row r="1498" spans="4:7">
      <c r="D1498" s="489">
        <v>44386</v>
      </c>
      <c r="E1498" s="467" t="s">
        <v>1385</v>
      </c>
      <c r="F1498" s="483">
        <v>211</v>
      </c>
      <c r="G1498" s="490">
        <v>4.0752314814814811E-2</v>
      </c>
    </row>
    <row r="1499" spans="4:7">
      <c r="D1499" s="485">
        <v>44386</v>
      </c>
      <c r="E1499" s="467" t="s">
        <v>1995</v>
      </c>
      <c r="F1499" s="488" t="s">
        <v>712</v>
      </c>
      <c r="G1499" s="487">
        <v>5.6759259259259259E-2</v>
      </c>
    </row>
    <row r="1500" spans="4:7">
      <c r="D1500" s="485">
        <v>44386</v>
      </c>
      <c r="E1500" s="467" t="s">
        <v>3639</v>
      </c>
      <c r="F1500" s="488">
        <v>0</v>
      </c>
      <c r="G1500" s="487">
        <v>4.355324074074074E-2</v>
      </c>
    </row>
    <row r="1501" spans="4:7">
      <c r="D1501" s="493">
        <v>44390</v>
      </c>
      <c r="E1501" s="467" t="s">
        <v>1617</v>
      </c>
      <c r="F1501" s="488" t="s">
        <v>2691</v>
      </c>
      <c r="G1501" s="494">
        <v>3.3553240740740745E-2</v>
      </c>
    </row>
    <row r="1502" spans="4:7">
      <c r="D1502" s="485">
        <v>44391</v>
      </c>
      <c r="E1502" s="467" t="s">
        <v>1504</v>
      </c>
      <c r="F1502" s="486">
        <v>0</v>
      </c>
      <c r="G1502" s="487">
        <v>7.3449074074074069E-2</v>
      </c>
    </row>
    <row r="1503" spans="4:7">
      <c r="D1503" s="489">
        <v>44392</v>
      </c>
      <c r="E1503" s="467" t="s">
        <v>1355</v>
      </c>
      <c r="F1503" s="483">
        <v>0</v>
      </c>
      <c r="G1503" s="490">
        <v>7.9861111111111122E-3</v>
      </c>
    </row>
    <row r="1504" spans="4:7">
      <c r="D1504" s="485">
        <v>44393</v>
      </c>
      <c r="E1504" s="467" t="s">
        <v>199</v>
      </c>
      <c r="F1504" s="488" t="s">
        <v>1849</v>
      </c>
      <c r="G1504" s="487">
        <v>5.0671296296296298E-2</v>
      </c>
    </row>
    <row r="1505" spans="4:7">
      <c r="D1505" s="485">
        <v>44393</v>
      </c>
      <c r="E1505" s="467" t="s">
        <v>1878</v>
      </c>
      <c r="F1505" s="486">
        <v>211</v>
      </c>
      <c r="G1505" s="494">
        <v>3.3842592592592598E-2</v>
      </c>
    </row>
    <row r="1506" spans="4:7">
      <c r="D1506" s="485">
        <v>44393</v>
      </c>
      <c r="E1506" s="467" t="s">
        <v>1995</v>
      </c>
      <c r="F1506" s="488" t="s">
        <v>1945</v>
      </c>
      <c r="G1506" s="487">
        <v>5.4074074074074073E-2</v>
      </c>
    </row>
    <row r="1507" spans="4:7">
      <c r="D1507" s="485">
        <v>44393</v>
      </c>
      <c r="E1507" s="467" t="s">
        <v>3639</v>
      </c>
      <c r="F1507" s="488">
        <v>15</v>
      </c>
      <c r="G1507" s="487">
        <v>4.628472222222222E-2</v>
      </c>
    </row>
    <row r="1508" spans="4:7">
      <c r="D1508" s="485">
        <v>44396</v>
      </c>
      <c r="E1508" s="467" t="s">
        <v>109</v>
      </c>
      <c r="F1508" s="486">
        <v>65</v>
      </c>
      <c r="G1508" s="487">
        <v>7.1539351851851854E-2</v>
      </c>
    </row>
    <row r="1509" spans="4:7">
      <c r="D1509" s="485">
        <v>44399</v>
      </c>
      <c r="E1509" s="467" t="s">
        <v>1878</v>
      </c>
      <c r="F1509" s="486">
        <v>88</v>
      </c>
      <c r="G1509" s="494">
        <v>4.9328703703703701E-2</v>
      </c>
    </row>
    <row r="1510" spans="4:7">
      <c r="D1510" s="485">
        <v>44400</v>
      </c>
      <c r="E1510" s="467" t="s">
        <v>199</v>
      </c>
      <c r="F1510" s="488" t="s">
        <v>153</v>
      </c>
      <c r="G1510" s="487">
        <v>4.1840277777777775E-2</v>
      </c>
    </row>
    <row r="1511" spans="4:7">
      <c r="D1511" s="485">
        <v>44400</v>
      </c>
      <c r="E1511" s="467" t="s">
        <v>1326</v>
      </c>
      <c r="F1511" s="486">
        <v>143</v>
      </c>
      <c r="G1511" s="487">
        <v>8.1226851851851856E-2</v>
      </c>
    </row>
    <row r="1512" spans="4:7">
      <c r="D1512" s="485">
        <v>44400</v>
      </c>
      <c r="E1512" s="467" t="s">
        <v>1995</v>
      </c>
      <c r="F1512" s="488" t="s">
        <v>1946</v>
      </c>
      <c r="G1512" s="487">
        <v>5.4166666666666669E-2</v>
      </c>
    </row>
    <row r="1513" spans="4:7">
      <c r="D1513" s="485">
        <v>44406</v>
      </c>
      <c r="E1513" s="467" t="s">
        <v>1878</v>
      </c>
      <c r="F1513" s="486">
        <v>127</v>
      </c>
      <c r="G1513" s="494">
        <v>7.2233796296296296E-2</v>
      </c>
    </row>
    <row r="1514" spans="4:7">
      <c r="D1514" s="485">
        <v>44407</v>
      </c>
      <c r="E1514" s="467" t="s">
        <v>199</v>
      </c>
      <c r="F1514" s="488" t="s">
        <v>1894</v>
      </c>
      <c r="G1514" s="487">
        <v>5.3749999999999999E-2</v>
      </c>
    </row>
    <row r="1515" spans="4:7">
      <c r="D1515" s="485">
        <v>44408</v>
      </c>
      <c r="E1515" s="467" t="s">
        <v>44</v>
      </c>
      <c r="F1515" s="486">
        <v>173</v>
      </c>
      <c r="G1515" s="487">
        <v>0.10298611111111111</v>
      </c>
    </row>
    <row r="1516" spans="4:7">
      <c r="D1516" s="485">
        <v>44410</v>
      </c>
      <c r="E1516" s="467" t="s">
        <v>109</v>
      </c>
      <c r="F1516" s="486">
        <v>66</v>
      </c>
      <c r="G1516" s="487">
        <v>7.4004629629629629E-2</v>
      </c>
    </row>
    <row r="1517" spans="4:7">
      <c r="D1517" s="485">
        <v>44411</v>
      </c>
      <c r="E1517" s="467" t="s">
        <v>1684</v>
      </c>
      <c r="F1517" s="486">
        <v>6</v>
      </c>
      <c r="G1517" s="487">
        <v>2.3715277777777776E-2</v>
      </c>
    </row>
    <row r="1518" spans="4:7">
      <c r="D1518" s="485">
        <v>44411</v>
      </c>
      <c r="E1518" s="467" t="s">
        <v>1684</v>
      </c>
      <c r="F1518" s="488" t="s">
        <v>157</v>
      </c>
      <c r="G1518" s="487">
        <v>2.164351851851852E-2</v>
      </c>
    </row>
    <row r="1519" spans="4:7">
      <c r="D1519" s="485">
        <v>44412</v>
      </c>
      <c r="E1519" s="467" t="s">
        <v>1878</v>
      </c>
      <c r="F1519" s="486">
        <v>0</v>
      </c>
      <c r="G1519" s="494">
        <v>3.5833333333333335E-2</v>
      </c>
    </row>
    <row r="1520" spans="4:7">
      <c r="D1520" s="485">
        <v>44415</v>
      </c>
      <c r="E1520" s="467" t="s">
        <v>636</v>
      </c>
      <c r="F1520" s="486">
        <v>210</v>
      </c>
      <c r="G1520" s="487">
        <v>3.0439814814814821E-3</v>
      </c>
    </row>
    <row r="1521" spans="4:7">
      <c r="D1521" s="485">
        <v>44417</v>
      </c>
      <c r="E1521" s="467" t="s">
        <v>109</v>
      </c>
      <c r="F1521" s="486">
        <v>67</v>
      </c>
      <c r="G1521" s="487">
        <v>7.3113425925925915E-2</v>
      </c>
    </row>
    <row r="1522" spans="4:7">
      <c r="D1522" s="485">
        <v>44417</v>
      </c>
      <c r="E1522" s="467" t="s">
        <v>199</v>
      </c>
      <c r="F1522" s="488" t="s">
        <v>1898</v>
      </c>
      <c r="G1522" s="487">
        <v>7.5439814814814821E-2</v>
      </c>
    </row>
    <row r="1523" spans="4:7">
      <c r="D1523" s="493">
        <v>44418</v>
      </c>
      <c r="E1523" s="467" t="s">
        <v>1617</v>
      </c>
      <c r="F1523" s="486">
        <v>0</v>
      </c>
      <c r="G1523" s="494">
        <v>4.5138888888888892E-4</v>
      </c>
    </row>
    <row r="1524" spans="4:7">
      <c r="D1524" s="493">
        <v>44419</v>
      </c>
      <c r="E1524" s="467" t="s">
        <v>1504</v>
      </c>
      <c r="F1524" s="486">
        <v>159</v>
      </c>
      <c r="G1524" s="487">
        <v>0.10457175925925925</v>
      </c>
    </row>
    <row r="1525" spans="4:7">
      <c r="D1525" s="485">
        <v>44420</v>
      </c>
      <c r="E1525" s="467" t="s">
        <v>1878</v>
      </c>
      <c r="F1525" s="488" t="s">
        <v>17</v>
      </c>
      <c r="G1525" s="494">
        <v>5.3449074074074072E-2</v>
      </c>
    </row>
    <row r="1526" spans="4:7">
      <c r="D1526" s="485">
        <v>44421</v>
      </c>
      <c r="E1526" s="467" t="s">
        <v>1995</v>
      </c>
      <c r="F1526" s="488" t="s">
        <v>1947</v>
      </c>
      <c r="G1526" s="487">
        <v>5.7002314814814818E-2</v>
      </c>
    </row>
    <row r="1527" spans="4:7">
      <c r="D1527" s="485">
        <v>44422</v>
      </c>
      <c r="E1527" s="467" t="s">
        <v>109</v>
      </c>
      <c r="F1527" s="488" t="s">
        <v>1887</v>
      </c>
      <c r="G1527" s="487">
        <v>3.0694444444444444E-2</v>
      </c>
    </row>
    <row r="1528" spans="4:7">
      <c r="D1528" s="493">
        <v>44423</v>
      </c>
      <c r="E1528" s="467" t="s">
        <v>1617</v>
      </c>
      <c r="F1528" s="486">
        <v>191</v>
      </c>
      <c r="G1528" s="494">
        <v>6.582175925925926E-2</v>
      </c>
    </row>
    <row r="1529" spans="4:7">
      <c r="D1529" s="485">
        <v>44427</v>
      </c>
      <c r="E1529" s="467" t="s">
        <v>1878</v>
      </c>
      <c r="F1529" s="486">
        <v>23</v>
      </c>
      <c r="G1529" s="494">
        <v>5.1261574074074077E-2</v>
      </c>
    </row>
    <row r="1530" spans="4:7">
      <c r="D1530" s="485">
        <v>44428</v>
      </c>
      <c r="E1530" s="467" t="s">
        <v>199</v>
      </c>
      <c r="F1530" s="488" t="s">
        <v>1896</v>
      </c>
      <c r="G1530" s="487">
        <v>5.5543981481481486E-2</v>
      </c>
    </row>
    <row r="1531" spans="4:7">
      <c r="D1531" s="485">
        <v>44428</v>
      </c>
      <c r="E1531" s="467" t="s">
        <v>1995</v>
      </c>
      <c r="F1531" s="488" t="s">
        <v>1948</v>
      </c>
      <c r="G1531" s="487">
        <v>4.912037037037037E-2</v>
      </c>
    </row>
    <row r="1532" spans="4:7">
      <c r="D1532" s="485">
        <v>44428</v>
      </c>
      <c r="E1532" s="467" t="s">
        <v>3639</v>
      </c>
      <c r="F1532" s="488">
        <v>16</v>
      </c>
      <c r="G1532" s="487">
        <v>5.8981481481481489E-2</v>
      </c>
    </row>
    <row r="1533" spans="4:7">
      <c r="D1533" s="485">
        <v>44429</v>
      </c>
      <c r="E1533" s="467" t="s">
        <v>636</v>
      </c>
      <c r="F1533" s="486">
        <v>211</v>
      </c>
      <c r="G1533" s="487">
        <v>3.3912037037037036E-3</v>
      </c>
    </row>
    <row r="1534" spans="4:7">
      <c r="D1534" s="489">
        <v>44433</v>
      </c>
      <c r="E1534" s="467" t="s">
        <v>1385</v>
      </c>
      <c r="F1534" s="495" t="s">
        <v>1903</v>
      </c>
      <c r="G1534" s="490">
        <v>1.0405092592592593E-2</v>
      </c>
    </row>
    <row r="1535" spans="4:7">
      <c r="D1535" s="485">
        <v>44434</v>
      </c>
      <c r="E1535" s="467" t="s">
        <v>1878</v>
      </c>
      <c r="F1535" s="486">
        <v>24</v>
      </c>
      <c r="G1535" s="494">
        <v>5.618055555555556E-2</v>
      </c>
    </row>
    <row r="1536" spans="4:7">
      <c r="D1536" s="493">
        <v>44435</v>
      </c>
      <c r="E1536" s="467" t="s">
        <v>1662</v>
      </c>
      <c r="F1536" s="486">
        <v>73</v>
      </c>
      <c r="G1536" s="494">
        <v>1.8680555555555554E-2</v>
      </c>
    </row>
    <row r="1537" spans="4:7">
      <c r="D1537" s="485">
        <v>44435</v>
      </c>
      <c r="E1537" s="467" t="s">
        <v>1662</v>
      </c>
      <c r="F1537" s="486">
        <v>194</v>
      </c>
      <c r="G1537" s="494">
        <v>1.6273148148148148E-2</v>
      </c>
    </row>
    <row r="1538" spans="4:7">
      <c r="D1538" s="485">
        <v>44435</v>
      </c>
      <c r="E1538" s="467" t="s">
        <v>1995</v>
      </c>
      <c r="F1538" s="488" t="s">
        <v>1949</v>
      </c>
      <c r="G1538" s="487">
        <v>4.9178240740740738E-2</v>
      </c>
    </row>
    <row r="1539" spans="4:7">
      <c r="D1539" s="485">
        <v>44436</v>
      </c>
      <c r="E1539" s="467" t="s">
        <v>1326</v>
      </c>
      <c r="F1539" s="486">
        <v>63</v>
      </c>
      <c r="G1539" s="487">
        <v>8.5752314814814823E-2</v>
      </c>
    </row>
    <row r="1540" spans="4:7">
      <c r="D1540" s="493">
        <v>44437</v>
      </c>
      <c r="E1540" s="467" t="s">
        <v>1617</v>
      </c>
      <c r="F1540" s="486">
        <v>147</v>
      </c>
      <c r="G1540" s="494">
        <v>5.7118055555555554E-2</v>
      </c>
    </row>
    <row r="1541" spans="4:7">
      <c r="D1541" s="485">
        <v>44439</v>
      </c>
      <c r="E1541" s="467" t="s">
        <v>44</v>
      </c>
      <c r="F1541" s="486">
        <v>86</v>
      </c>
      <c r="G1541" s="487">
        <v>9.2060185185185175E-2</v>
      </c>
    </row>
    <row r="1542" spans="4:7">
      <c r="D1542" s="493">
        <v>44439</v>
      </c>
      <c r="E1542" s="467" t="s">
        <v>1504</v>
      </c>
      <c r="F1542" s="486">
        <v>179</v>
      </c>
      <c r="G1542" s="487">
        <v>3.2615740740740744E-2</v>
      </c>
    </row>
    <row r="1543" spans="4:7">
      <c r="D1543" s="485">
        <v>44442</v>
      </c>
      <c r="E1543" s="467" t="s">
        <v>1684</v>
      </c>
      <c r="F1543" s="486">
        <v>7</v>
      </c>
      <c r="G1543" s="487">
        <v>2.326388888888889E-2</v>
      </c>
    </row>
    <row r="1544" spans="4:7">
      <c r="D1544" s="485">
        <v>44442</v>
      </c>
      <c r="E1544" s="467" t="s">
        <v>1684</v>
      </c>
      <c r="F1544" s="486">
        <v>130</v>
      </c>
      <c r="G1544" s="487">
        <v>1.8159722222222219E-2</v>
      </c>
    </row>
    <row r="1545" spans="4:7">
      <c r="D1545" s="485">
        <v>44442</v>
      </c>
      <c r="E1545" s="467" t="s">
        <v>1878</v>
      </c>
      <c r="F1545" s="486">
        <v>153</v>
      </c>
      <c r="G1545" s="494">
        <v>5.3969907407407404E-2</v>
      </c>
    </row>
    <row r="1546" spans="4:7">
      <c r="D1546" s="485">
        <v>44442</v>
      </c>
      <c r="E1546" s="467" t="s">
        <v>1995</v>
      </c>
      <c r="F1546" s="488" t="s">
        <v>1950</v>
      </c>
      <c r="G1546" s="487">
        <v>4.8645833333333333E-2</v>
      </c>
    </row>
    <row r="1547" spans="4:7">
      <c r="D1547" s="485">
        <v>44443</v>
      </c>
      <c r="E1547" s="467" t="s">
        <v>109</v>
      </c>
      <c r="F1547" s="486">
        <v>20</v>
      </c>
      <c r="G1547" s="487">
        <v>6.609953703703704E-2</v>
      </c>
    </row>
    <row r="1548" spans="4:7">
      <c r="D1548" s="489">
        <v>44446</v>
      </c>
      <c r="E1548" s="467" t="s">
        <v>2811</v>
      </c>
      <c r="F1548" s="483">
        <v>0</v>
      </c>
      <c r="G1548" s="490">
        <v>8.5995370370370375E-2</v>
      </c>
    </row>
    <row r="1549" spans="4:7">
      <c r="D1549" s="485">
        <v>44449</v>
      </c>
      <c r="E1549" s="467" t="s">
        <v>1878</v>
      </c>
      <c r="F1549" s="486">
        <v>155</v>
      </c>
      <c r="G1549" s="494">
        <v>6.3518518518518516E-2</v>
      </c>
    </row>
    <row r="1550" spans="4:7">
      <c r="D1550" s="489">
        <v>44449</v>
      </c>
      <c r="E1550" s="467" t="s">
        <v>1385</v>
      </c>
      <c r="F1550" s="483">
        <v>212</v>
      </c>
      <c r="G1550" s="490">
        <v>3.0844907407407404E-2</v>
      </c>
    </row>
    <row r="1551" spans="4:7">
      <c r="D1551" s="493">
        <v>44449</v>
      </c>
      <c r="E1551" s="467" t="s">
        <v>1995</v>
      </c>
      <c r="F1551" s="486">
        <v>0</v>
      </c>
      <c r="G1551" s="494">
        <v>9.2592592592592585E-4</v>
      </c>
    </row>
    <row r="1552" spans="4:7">
      <c r="D1552" s="485">
        <v>44450</v>
      </c>
      <c r="E1552" s="467" t="s">
        <v>199</v>
      </c>
      <c r="F1552" s="486">
        <v>0</v>
      </c>
      <c r="G1552" s="487">
        <v>7.905092592592592E-3</v>
      </c>
    </row>
    <row r="1553" spans="4:7">
      <c r="D1553" s="485">
        <v>44450</v>
      </c>
      <c r="E1553" s="467" t="s">
        <v>1995</v>
      </c>
      <c r="F1553" s="488" t="s">
        <v>1951</v>
      </c>
      <c r="G1553" s="487">
        <v>5.5312499999999994E-2</v>
      </c>
    </row>
    <row r="1554" spans="4:7">
      <c r="D1554" s="485">
        <v>44451</v>
      </c>
      <c r="E1554" s="467" t="s">
        <v>199</v>
      </c>
      <c r="F1554" s="488" t="s">
        <v>2445</v>
      </c>
      <c r="G1554" s="487">
        <v>7.8287037037037044E-2</v>
      </c>
    </row>
    <row r="1555" spans="4:7">
      <c r="D1555" s="493">
        <v>44451</v>
      </c>
      <c r="E1555" s="467" t="s">
        <v>1617</v>
      </c>
      <c r="F1555" s="486">
        <v>136</v>
      </c>
      <c r="G1555" s="494">
        <v>7.075231481481481E-2</v>
      </c>
    </row>
    <row r="1556" spans="4:7">
      <c r="D1556" s="493">
        <v>44452</v>
      </c>
      <c r="E1556" s="467" t="s">
        <v>1326</v>
      </c>
      <c r="F1556" s="486">
        <v>0</v>
      </c>
      <c r="G1556" s="494">
        <v>5.6446759259259259E-2</v>
      </c>
    </row>
    <row r="1557" spans="4:7">
      <c r="D1557" s="485">
        <v>44453</v>
      </c>
      <c r="E1557" s="467" t="s">
        <v>109</v>
      </c>
      <c r="F1557" s="488" t="s">
        <v>1906</v>
      </c>
      <c r="G1557" s="487">
        <v>2.3634259259259258E-2</v>
      </c>
    </row>
    <row r="1558" spans="4:7">
      <c r="D1558" s="485">
        <v>44456</v>
      </c>
      <c r="E1558" s="467" t="s">
        <v>1995</v>
      </c>
      <c r="F1558" s="488" t="s">
        <v>1952</v>
      </c>
      <c r="G1558" s="487">
        <v>5.3298611111111116E-2</v>
      </c>
    </row>
    <row r="1559" spans="4:7">
      <c r="D1559" s="485">
        <v>44456</v>
      </c>
      <c r="E1559" s="467" t="s">
        <v>3639</v>
      </c>
      <c r="F1559" s="488">
        <v>17</v>
      </c>
      <c r="G1559" s="487">
        <v>6.340277777777778E-2</v>
      </c>
    </row>
    <row r="1560" spans="4:7">
      <c r="D1560" s="485">
        <v>44458</v>
      </c>
      <c r="E1560" s="467" t="s">
        <v>109</v>
      </c>
      <c r="F1560" s="486">
        <v>41</v>
      </c>
      <c r="G1560" s="487">
        <v>9.0983796296296285E-2</v>
      </c>
    </row>
    <row r="1561" spans="4:7">
      <c r="D1561" s="485">
        <v>44463</v>
      </c>
      <c r="E1561" s="467" t="s">
        <v>199</v>
      </c>
      <c r="F1561" s="488" t="s">
        <v>147</v>
      </c>
      <c r="G1561" s="487">
        <v>2.9629629629629627E-2</v>
      </c>
    </row>
    <row r="1562" spans="4:7">
      <c r="D1562" s="485">
        <v>44463</v>
      </c>
      <c r="E1562" s="467" t="s">
        <v>1662</v>
      </c>
      <c r="F1562" s="486">
        <v>18</v>
      </c>
      <c r="G1562" s="487">
        <v>2.2847222222222224E-2</v>
      </c>
    </row>
    <row r="1563" spans="4:7">
      <c r="D1563" s="485">
        <v>44463</v>
      </c>
      <c r="E1563" s="467" t="s">
        <v>1662</v>
      </c>
      <c r="F1563" s="486">
        <v>186</v>
      </c>
      <c r="G1563" s="487">
        <v>2.9722222222222219E-2</v>
      </c>
    </row>
    <row r="1564" spans="4:7">
      <c r="D1564" s="485">
        <v>44463</v>
      </c>
      <c r="E1564" s="467" t="s">
        <v>1878</v>
      </c>
      <c r="F1564" s="486">
        <v>17</v>
      </c>
      <c r="G1564" s="487">
        <v>5.2511574074074079E-2</v>
      </c>
    </row>
    <row r="1565" spans="4:7">
      <c r="D1565" s="485">
        <v>44465</v>
      </c>
      <c r="E1565" s="467" t="s">
        <v>1326</v>
      </c>
      <c r="F1565" s="486">
        <v>103</v>
      </c>
      <c r="G1565" s="487">
        <v>7.8506944444444449E-2</v>
      </c>
    </row>
    <row r="1566" spans="4:7">
      <c r="D1566" s="485">
        <v>44465</v>
      </c>
      <c r="E1566" s="467" t="s">
        <v>1617</v>
      </c>
      <c r="F1566" s="486">
        <v>49</v>
      </c>
      <c r="G1566" s="487">
        <v>4.9212962962962958E-2</v>
      </c>
    </row>
    <row r="1567" spans="4:7">
      <c r="D1567" s="485">
        <v>44468</v>
      </c>
      <c r="E1567" s="467" t="s">
        <v>199</v>
      </c>
      <c r="F1567" s="486">
        <v>0</v>
      </c>
      <c r="G1567" s="487">
        <v>1.2384259259259258E-3</v>
      </c>
    </row>
    <row r="1568" spans="4:7">
      <c r="D1568" s="485">
        <v>44469</v>
      </c>
      <c r="E1568" s="467" t="s">
        <v>44</v>
      </c>
      <c r="F1568" s="486">
        <v>19</v>
      </c>
      <c r="G1568" s="487">
        <v>9.4548611111111111E-2</v>
      </c>
    </row>
    <row r="1569" spans="4:7">
      <c r="D1569" s="485">
        <v>44470</v>
      </c>
      <c r="E1569" s="467" t="s">
        <v>199</v>
      </c>
      <c r="F1569" s="488" t="s">
        <v>144</v>
      </c>
      <c r="G1569" s="487">
        <v>3.5682870370370372E-2</v>
      </c>
    </row>
    <row r="1570" spans="4:7">
      <c r="D1570" s="485">
        <v>44471</v>
      </c>
      <c r="E1570" s="467" t="s">
        <v>1995</v>
      </c>
      <c r="F1570" s="488" t="s">
        <v>1992</v>
      </c>
      <c r="G1570" s="487">
        <v>4.1874999999999996E-2</v>
      </c>
    </row>
    <row r="1571" spans="4:7">
      <c r="D1571" s="485">
        <v>44472</v>
      </c>
      <c r="E1571" s="467" t="s">
        <v>1684</v>
      </c>
      <c r="F1571" s="486">
        <v>8</v>
      </c>
      <c r="G1571" s="487">
        <v>2.8460648148148148E-2</v>
      </c>
    </row>
    <row r="1572" spans="4:7">
      <c r="D1572" s="485">
        <v>44472</v>
      </c>
      <c r="E1572" s="467" t="s">
        <v>1684</v>
      </c>
      <c r="F1572" s="486">
        <v>131</v>
      </c>
      <c r="G1572" s="487">
        <v>1.9849537037037037E-2</v>
      </c>
    </row>
    <row r="1573" spans="4:7">
      <c r="D1573" s="485">
        <v>44473</v>
      </c>
      <c r="E1573" s="467" t="s">
        <v>109</v>
      </c>
      <c r="F1573" s="488" t="s">
        <v>2023</v>
      </c>
      <c r="G1573" s="487">
        <v>2.7766203703703706E-2</v>
      </c>
    </row>
    <row r="1574" spans="4:7">
      <c r="D1574" s="485">
        <v>44473</v>
      </c>
      <c r="E1574" s="467" t="s">
        <v>3730</v>
      </c>
      <c r="F1574" s="488">
        <v>0</v>
      </c>
      <c r="G1574" s="487">
        <v>6.2511574074074081E-2</v>
      </c>
    </row>
    <row r="1575" spans="4:7">
      <c r="D1575" s="485">
        <v>44477</v>
      </c>
      <c r="E1575" s="467" t="s">
        <v>1878</v>
      </c>
      <c r="F1575" s="486">
        <v>212</v>
      </c>
      <c r="G1575" s="487">
        <v>6.6053240740740746E-2</v>
      </c>
    </row>
    <row r="1576" spans="4:7">
      <c r="D1576" s="493">
        <v>44477</v>
      </c>
      <c r="E1576" s="467" t="s">
        <v>1995</v>
      </c>
      <c r="F1576" s="486">
        <v>0</v>
      </c>
      <c r="G1576" s="494">
        <v>2.8472222222222219E-3</v>
      </c>
    </row>
    <row r="1577" spans="4:7">
      <c r="D1577" s="485">
        <v>44478</v>
      </c>
      <c r="E1577" s="467" t="s">
        <v>1995</v>
      </c>
      <c r="F1577" s="488" t="s">
        <v>1953</v>
      </c>
      <c r="G1577" s="487">
        <v>5.424768518518519E-2</v>
      </c>
    </row>
    <row r="1578" spans="4:7">
      <c r="D1578" s="485">
        <v>44479</v>
      </c>
      <c r="E1578" s="467" t="s">
        <v>1617</v>
      </c>
      <c r="F1578" s="486">
        <v>206</v>
      </c>
      <c r="G1578" s="487">
        <v>6.3912037037037031E-2</v>
      </c>
    </row>
    <row r="1579" spans="4:7">
      <c r="D1579" s="485">
        <v>44484</v>
      </c>
      <c r="E1579" s="467" t="s">
        <v>109</v>
      </c>
      <c r="F1579" s="486">
        <v>130</v>
      </c>
      <c r="G1579" s="487">
        <v>7.2916666666666671E-2</v>
      </c>
    </row>
    <row r="1580" spans="4:7">
      <c r="D1580" s="485">
        <v>44484</v>
      </c>
      <c r="E1580" s="467" t="s">
        <v>199</v>
      </c>
      <c r="F1580" s="486">
        <v>52</v>
      </c>
      <c r="G1580" s="487">
        <v>0.12758101851851852</v>
      </c>
    </row>
    <row r="1581" spans="4:7">
      <c r="D1581" s="485">
        <v>44484</v>
      </c>
      <c r="E1581" s="467" t="s">
        <v>1662</v>
      </c>
      <c r="F1581" s="486">
        <v>71</v>
      </c>
      <c r="G1581" s="487">
        <v>3.2685185185185185E-2</v>
      </c>
    </row>
    <row r="1582" spans="4:7">
      <c r="D1582" s="485">
        <v>44484</v>
      </c>
      <c r="E1582" s="467" t="s">
        <v>1662</v>
      </c>
      <c r="F1582" s="486">
        <v>203</v>
      </c>
      <c r="G1582" s="487">
        <v>2.631944444444444E-2</v>
      </c>
    </row>
    <row r="1583" spans="4:7">
      <c r="D1583" s="485">
        <v>44484</v>
      </c>
      <c r="E1583" s="467" t="s">
        <v>3639</v>
      </c>
      <c r="F1583" s="486">
        <v>18</v>
      </c>
      <c r="G1583" s="487">
        <v>5.8958333333333335E-2</v>
      </c>
    </row>
    <row r="1584" spans="4:7">
      <c r="D1584" s="493">
        <v>44486</v>
      </c>
      <c r="E1584" s="467" t="s">
        <v>1686</v>
      </c>
      <c r="F1584" s="486">
        <v>21</v>
      </c>
      <c r="G1584" s="494">
        <v>4.2731481481481481E-2</v>
      </c>
    </row>
    <row r="1585" spans="4:7">
      <c r="D1585" s="485">
        <v>44491</v>
      </c>
      <c r="E1585" s="467" t="s">
        <v>109</v>
      </c>
      <c r="F1585" s="488" t="s">
        <v>2251</v>
      </c>
      <c r="G1585" s="487">
        <v>1.9756944444444445E-2</v>
      </c>
    </row>
    <row r="1586" spans="4:7">
      <c r="D1586" s="485">
        <v>44491</v>
      </c>
      <c r="E1586" s="467" t="s">
        <v>199</v>
      </c>
      <c r="F1586" s="486">
        <v>93</v>
      </c>
      <c r="G1586" s="487">
        <v>0.1502199074074074</v>
      </c>
    </row>
    <row r="1587" spans="4:7">
      <c r="D1587" s="485">
        <v>44491</v>
      </c>
      <c r="E1587" s="467" t="s">
        <v>1878</v>
      </c>
      <c r="F1587" s="486">
        <v>131</v>
      </c>
      <c r="G1587" s="487">
        <v>5.7372685185185186E-2</v>
      </c>
    </row>
    <row r="1588" spans="4:7">
      <c r="D1588" s="485">
        <v>44491</v>
      </c>
      <c r="E1588" s="467" t="s">
        <v>1995</v>
      </c>
      <c r="F1588" s="488" t="s">
        <v>1957</v>
      </c>
      <c r="G1588" s="487">
        <v>5.5034722222222221E-2</v>
      </c>
    </row>
    <row r="1589" spans="4:7">
      <c r="D1589" s="485">
        <v>44493</v>
      </c>
      <c r="E1589" s="467" t="s">
        <v>1326</v>
      </c>
      <c r="F1589" s="486">
        <v>2</v>
      </c>
      <c r="G1589" s="487">
        <v>7.8414351851851846E-2</v>
      </c>
    </row>
    <row r="1590" spans="4:7">
      <c r="D1590" s="485">
        <v>44493</v>
      </c>
      <c r="E1590" s="467" t="s">
        <v>1617</v>
      </c>
      <c r="F1590" s="486">
        <v>121</v>
      </c>
      <c r="G1590" s="487">
        <v>4.9027777777777781E-2</v>
      </c>
    </row>
    <row r="1591" spans="4:7">
      <c r="D1591" s="485">
        <v>44496</v>
      </c>
      <c r="E1591" s="467" t="s">
        <v>109</v>
      </c>
      <c r="F1591" s="486">
        <v>210</v>
      </c>
      <c r="G1591" s="487">
        <v>6.3668981481481479E-2</v>
      </c>
    </row>
    <row r="1592" spans="4:7">
      <c r="D1592" s="489">
        <v>44496</v>
      </c>
      <c r="E1592" s="467" t="s">
        <v>1385</v>
      </c>
      <c r="F1592" s="495" t="s">
        <v>2373</v>
      </c>
      <c r="G1592" s="490">
        <v>1.3020833333333334E-2</v>
      </c>
    </row>
    <row r="1593" spans="4:7">
      <c r="D1593" s="485">
        <v>44498</v>
      </c>
      <c r="E1593" s="467" t="s">
        <v>1995</v>
      </c>
      <c r="F1593" s="488" t="s">
        <v>701</v>
      </c>
      <c r="G1593" s="487">
        <v>4.763888888888889E-2</v>
      </c>
    </row>
    <row r="1594" spans="4:7">
      <c r="D1594" s="485">
        <v>44500</v>
      </c>
      <c r="E1594" s="467" t="s">
        <v>44</v>
      </c>
      <c r="F1594" s="486">
        <v>82</v>
      </c>
      <c r="G1594" s="487">
        <v>0.12005787037037037</v>
      </c>
    </row>
    <row r="1595" spans="4:7">
      <c r="D1595" s="485">
        <v>44500</v>
      </c>
      <c r="E1595" s="467" t="s">
        <v>199</v>
      </c>
      <c r="F1595" s="486">
        <v>50</v>
      </c>
      <c r="G1595" s="487">
        <v>6.6388888888888886E-2</v>
      </c>
    </row>
    <row r="1596" spans="4:7">
      <c r="D1596" s="485">
        <v>44503</v>
      </c>
      <c r="E1596" s="467" t="s">
        <v>1684</v>
      </c>
      <c r="F1596" s="486">
        <v>9</v>
      </c>
      <c r="G1596" s="487">
        <v>2.6724537037037036E-2</v>
      </c>
    </row>
    <row r="1597" spans="4:7">
      <c r="D1597" s="485">
        <v>44503</v>
      </c>
      <c r="E1597" s="467" t="s">
        <v>1684</v>
      </c>
      <c r="F1597" s="486">
        <v>151</v>
      </c>
      <c r="G1597" s="487">
        <v>1.7928240740740741E-2</v>
      </c>
    </row>
    <row r="1598" spans="4:7">
      <c r="D1598" s="485">
        <v>44504</v>
      </c>
      <c r="E1598" s="467" t="s">
        <v>109</v>
      </c>
      <c r="F1598" s="486">
        <v>159</v>
      </c>
      <c r="G1598" s="487">
        <v>7.12037037037037E-2</v>
      </c>
    </row>
    <row r="1599" spans="4:7">
      <c r="D1599" s="493">
        <v>44505</v>
      </c>
      <c r="E1599" s="467" t="s">
        <v>1662</v>
      </c>
      <c r="F1599" s="486">
        <v>125</v>
      </c>
      <c r="G1599" s="494">
        <v>3.3888888888888885E-2</v>
      </c>
    </row>
    <row r="1600" spans="4:7">
      <c r="D1600" s="485">
        <v>44505</v>
      </c>
      <c r="E1600" s="467" t="s">
        <v>1878</v>
      </c>
      <c r="F1600" s="486">
        <v>27</v>
      </c>
      <c r="G1600" s="487">
        <v>5.7893518518518518E-2</v>
      </c>
    </row>
    <row r="1601" spans="4:7">
      <c r="D1601" s="485">
        <v>44505</v>
      </c>
      <c r="E1601" s="467" t="s">
        <v>1995</v>
      </c>
      <c r="F1601" s="488" t="s">
        <v>1983</v>
      </c>
      <c r="G1601" s="487">
        <v>5.769675925925926E-2</v>
      </c>
    </row>
    <row r="1602" spans="4:7">
      <c r="D1602" s="485">
        <v>44507</v>
      </c>
      <c r="E1602" s="467" t="s">
        <v>114</v>
      </c>
      <c r="F1602" s="486">
        <v>9</v>
      </c>
      <c r="G1602" s="487">
        <v>6.293981481481481E-2</v>
      </c>
    </row>
    <row r="1603" spans="4:7">
      <c r="D1603" s="485">
        <v>44507</v>
      </c>
      <c r="E1603" s="467" t="s">
        <v>1617</v>
      </c>
      <c r="F1603" s="486">
        <v>194</v>
      </c>
      <c r="G1603" s="487">
        <v>7.9131944444444449E-2</v>
      </c>
    </row>
    <row r="1604" spans="4:7">
      <c r="D1604" s="496">
        <v>44508</v>
      </c>
      <c r="E1604" s="467" t="s">
        <v>416</v>
      </c>
      <c r="F1604" s="497">
        <v>17</v>
      </c>
      <c r="G1604" s="498">
        <v>2.7939814814814817E-2</v>
      </c>
    </row>
    <row r="1605" spans="4:7">
      <c r="D1605" s="485">
        <v>44509</v>
      </c>
      <c r="E1605" s="467" t="s">
        <v>109</v>
      </c>
      <c r="F1605" s="486">
        <v>87</v>
      </c>
      <c r="G1605" s="487">
        <v>7.1539351851851854E-2</v>
      </c>
    </row>
    <row r="1606" spans="4:7">
      <c r="D1606" s="485">
        <v>44512</v>
      </c>
      <c r="E1606" s="467" t="s">
        <v>636</v>
      </c>
      <c r="F1606" s="486">
        <v>212</v>
      </c>
      <c r="G1606" s="487">
        <v>4.0046296296296297E-3</v>
      </c>
    </row>
    <row r="1607" spans="4:7">
      <c r="D1607" s="489">
        <v>44512</v>
      </c>
      <c r="E1607" s="467" t="s">
        <v>1385</v>
      </c>
      <c r="F1607" s="495" t="s">
        <v>2440</v>
      </c>
      <c r="G1607" s="490">
        <v>1.1574074074074075E-2</v>
      </c>
    </row>
    <row r="1608" spans="4:7">
      <c r="D1608" s="485">
        <v>44512</v>
      </c>
      <c r="E1608" s="467" t="s">
        <v>1995</v>
      </c>
      <c r="F1608" s="488" t="s">
        <v>684</v>
      </c>
      <c r="G1608" s="487">
        <v>5.2002314814814814E-2</v>
      </c>
    </row>
    <row r="1609" spans="4:7">
      <c r="D1609" s="485">
        <v>44513</v>
      </c>
      <c r="E1609" s="467" t="s">
        <v>199</v>
      </c>
      <c r="F1609" s="488" t="s">
        <v>2449</v>
      </c>
      <c r="G1609" s="487">
        <v>9.9421296296296299E-2</v>
      </c>
    </row>
    <row r="1610" spans="4:7">
      <c r="D1610" s="489">
        <v>44513</v>
      </c>
      <c r="E1610" s="467" t="s">
        <v>2812</v>
      </c>
      <c r="F1610" s="495" t="s">
        <v>2449</v>
      </c>
      <c r="G1610" s="490">
        <v>9.9421296296296299E-2</v>
      </c>
    </row>
    <row r="1611" spans="4:7">
      <c r="D1611" s="485">
        <v>44519</v>
      </c>
      <c r="E1611" s="467" t="s">
        <v>109</v>
      </c>
      <c r="F1611" s="486">
        <v>62</v>
      </c>
      <c r="G1611" s="487">
        <v>9.8993055555555556E-2</v>
      </c>
    </row>
    <row r="1612" spans="4:7">
      <c r="D1612" s="485">
        <v>44519</v>
      </c>
      <c r="E1612" s="467" t="s">
        <v>1878</v>
      </c>
      <c r="F1612" s="486">
        <v>73</v>
      </c>
      <c r="G1612" s="487">
        <v>6.2488425925925926E-2</v>
      </c>
    </row>
    <row r="1613" spans="4:7">
      <c r="D1613" s="489">
        <v>44519</v>
      </c>
      <c r="E1613" s="467" t="s">
        <v>1385</v>
      </c>
      <c r="F1613" s="483">
        <v>213</v>
      </c>
      <c r="G1613" s="490">
        <v>3.5312500000000004E-2</v>
      </c>
    </row>
    <row r="1614" spans="4:7">
      <c r="D1614" s="489">
        <v>44519</v>
      </c>
      <c r="E1614" s="467" t="s">
        <v>3639</v>
      </c>
      <c r="F1614" s="483">
        <v>19</v>
      </c>
      <c r="G1614" s="490">
        <v>4.9155092592592597E-2</v>
      </c>
    </row>
    <row r="1615" spans="4:7">
      <c r="D1615" s="485">
        <v>44520</v>
      </c>
      <c r="E1615" s="467" t="s">
        <v>1995</v>
      </c>
      <c r="F1615" s="488" t="s">
        <v>1962</v>
      </c>
      <c r="G1615" s="487">
        <v>5.3148148148148146E-2</v>
      </c>
    </row>
    <row r="1616" spans="4:7">
      <c r="D1616" s="485">
        <v>44521</v>
      </c>
      <c r="E1616" s="467" t="s">
        <v>1617</v>
      </c>
      <c r="F1616" s="486">
        <v>30</v>
      </c>
      <c r="G1616" s="487">
        <v>7.6377314814814815E-2</v>
      </c>
    </row>
    <row r="1617" spans="4:7">
      <c r="D1617" s="485">
        <v>44526</v>
      </c>
      <c r="E1617" s="467" t="s">
        <v>1662</v>
      </c>
      <c r="F1617" s="486">
        <v>89</v>
      </c>
      <c r="G1617" s="487">
        <v>1.4444444444444446E-2</v>
      </c>
    </row>
    <row r="1618" spans="4:7">
      <c r="D1618" s="485">
        <v>44526</v>
      </c>
      <c r="E1618" s="467" t="s">
        <v>1662</v>
      </c>
      <c r="F1618" s="486">
        <v>42</v>
      </c>
      <c r="G1618" s="487">
        <v>1.2268518518518519E-2</v>
      </c>
    </row>
    <row r="1619" spans="4:7">
      <c r="D1619" s="485">
        <v>44526</v>
      </c>
      <c r="E1619" s="467" t="s">
        <v>1662</v>
      </c>
      <c r="F1619" s="486">
        <v>10</v>
      </c>
      <c r="G1619" s="487">
        <v>1.2499999999999999E-2</v>
      </c>
    </row>
    <row r="1620" spans="4:7">
      <c r="D1620" s="485">
        <v>44526</v>
      </c>
      <c r="E1620" s="467" t="s">
        <v>1995</v>
      </c>
      <c r="F1620" s="488" t="s">
        <v>1960</v>
      </c>
      <c r="G1620" s="487">
        <v>5.8773148148148151E-2</v>
      </c>
    </row>
    <row r="1621" spans="4:7">
      <c r="D1621" s="485">
        <v>44527</v>
      </c>
      <c r="E1621" s="467" t="s">
        <v>109</v>
      </c>
      <c r="F1621" s="488" t="s">
        <v>2032</v>
      </c>
      <c r="G1621" s="487">
        <v>1.2881944444444446E-2</v>
      </c>
    </row>
    <row r="1622" spans="4:7">
      <c r="D1622" s="485">
        <v>44528</v>
      </c>
      <c r="E1622" s="467" t="s">
        <v>1326</v>
      </c>
      <c r="F1622" s="486">
        <v>110</v>
      </c>
      <c r="G1622" s="487">
        <v>7.5520833333333329E-2</v>
      </c>
    </row>
    <row r="1623" spans="4:7">
      <c r="D1623" s="493">
        <v>44528</v>
      </c>
      <c r="E1623" s="467" t="s">
        <v>1995</v>
      </c>
      <c r="F1623" s="486">
        <v>0</v>
      </c>
      <c r="G1623" s="494">
        <v>8.564814814814815E-4</v>
      </c>
    </row>
    <row r="1624" spans="4:7">
      <c r="D1624" s="485">
        <v>44530</v>
      </c>
      <c r="E1624" s="467" t="s">
        <v>44</v>
      </c>
      <c r="F1624" s="488" t="s">
        <v>369</v>
      </c>
      <c r="G1624" s="487">
        <v>9.3425925925925926E-2</v>
      </c>
    </row>
    <row r="1625" spans="4:7">
      <c r="D1625" s="485">
        <v>44531</v>
      </c>
      <c r="E1625" s="467" t="s">
        <v>109</v>
      </c>
      <c r="F1625" s="488" t="s">
        <v>2546</v>
      </c>
      <c r="G1625" s="487">
        <v>8.1863425925925923E-2</v>
      </c>
    </row>
    <row r="1626" spans="4:7">
      <c r="D1626" s="485">
        <v>44531</v>
      </c>
      <c r="E1626" s="467" t="s">
        <v>199</v>
      </c>
      <c r="F1626" s="488" t="s">
        <v>3336</v>
      </c>
      <c r="G1626" s="487">
        <v>2.7939814814814817E-2</v>
      </c>
    </row>
    <row r="1627" spans="4:7">
      <c r="D1627" s="489">
        <v>44531</v>
      </c>
      <c r="E1627" s="467" t="s">
        <v>2813</v>
      </c>
      <c r="F1627" s="483">
        <v>0</v>
      </c>
      <c r="G1627" s="490">
        <v>3.2534722222222222E-2</v>
      </c>
    </row>
    <row r="1628" spans="4:7">
      <c r="D1628" s="485">
        <v>44531</v>
      </c>
      <c r="E1628" s="467" t="s">
        <v>1995</v>
      </c>
      <c r="F1628" s="488" t="s">
        <v>3334</v>
      </c>
      <c r="G1628" s="487">
        <v>1.7754629629629631E-2</v>
      </c>
    </row>
    <row r="1629" spans="4:7">
      <c r="D1629" s="485">
        <v>44532</v>
      </c>
      <c r="E1629" s="467" t="s">
        <v>109</v>
      </c>
      <c r="F1629" s="488" t="s">
        <v>2547</v>
      </c>
      <c r="G1629" s="487">
        <v>4.6956018518518522E-2</v>
      </c>
    </row>
    <row r="1630" spans="4:7">
      <c r="D1630" s="485">
        <v>44532</v>
      </c>
      <c r="E1630" s="467" t="s">
        <v>199</v>
      </c>
      <c r="F1630" s="488" t="s">
        <v>3337</v>
      </c>
      <c r="G1630" s="487">
        <v>1.7847222222222223E-2</v>
      </c>
    </row>
    <row r="1631" spans="4:7">
      <c r="D1631" s="485">
        <v>44532</v>
      </c>
      <c r="E1631" s="467" t="s">
        <v>1995</v>
      </c>
      <c r="F1631" s="488" t="s">
        <v>3335</v>
      </c>
      <c r="G1631" s="487">
        <v>1.2060185185185186E-2</v>
      </c>
    </row>
    <row r="1632" spans="4:7">
      <c r="D1632" s="485">
        <v>44533</v>
      </c>
      <c r="E1632" s="467" t="s">
        <v>109</v>
      </c>
      <c r="F1632" s="488" t="s">
        <v>18</v>
      </c>
      <c r="G1632" s="487">
        <v>7.4745370370370365E-2</v>
      </c>
    </row>
    <row r="1633" spans="4:7">
      <c r="D1633" s="485">
        <v>44533</v>
      </c>
      <c r="E1633" s="467" t="s">
        <v>199</v>
      </c>
      <c r="F1633" s="488" t="s">
        <v>3338</v>
      </c>
      <c r="G1633" s="487">
        <v>7.8472222222222224E-3</v>
      </c>
    </row>
    <row r="1634" spans="4:7">
      <c r="D1634" s="485">
        <v>44533</v>
      </c>
      <c r="E1634" s="467" t="s">
        <v>1684</v>
      </c>
      <c r="F1634" s="486">
        <v>10</v>
      </c>
      <c r="G1634" s="487">
        <v>2.5624999999999998E-2</v>
      </c>
    </row>
    <row r="1635" spans="4:7">
      <c r="D1635" s="485">
        <v>44533</v>
      </c>
      <c r="E1635" s="467" t="s">
        <v>1684</v>
      </c>
      <c r="F1635" s="486">
        <v>129</v>
      </c>
      <c r="G1635" s="487">
        <v>1.9745370370370371E-2</v>
      </c>
    </row>
    <row r="1636" spans="4:7">
      <c r="D1636" s="485">
        <v>44533</v>
      </c>
      <c r="E1636" s="467" t="s">
        <v>1878</v>
      </c>
      <c r="F1636" s="486">
        <v>89</v>
      </c>
      <c r="G1636" s="487">
        <v>7.7407407407407411E-2</v>
      </c>
    </row>
    <row r="1637" spans="4:7">
      <c r="D1637" s="485">
        <v>44533</v>
      </c>
      <c r="E1637" s="467" t="s">
        <v>1995</v>
      </c>
      <c r="F1637" s="488" t="s">
        <v>3339</v>
      </c>
      <c r="G1637" s="487">
        <v>1.292824074074074E-2</v>
      </c>
    </row>
    <row r="1638" spans="4:7">
      <c r="D1638" s="485">
        <v>44533</v>
      </c>
      <c r="E1638" s="467" t="s">
        <v>3730</v>
      </c>
      <c r="F1638" s="488">
        <v>0</v>
      </c>
      <c r="G1638" s="487">
        <v>4.2175925925925922E-2</v>
      </c>
    </row>
    <row r="1639" spans="4:7">
      <c r="D1639" s="485">
        <v>44534</v>
      </c>
      <c r="E1639" s="467" t="s">
        <v>109</v>
      </c>
      <c r="F1639" s="488" t="s">
        <v>2149</v>
      </c>
      <c r="G1639" s="487">
        <v>2.75E-2</v>
      </c>
    </row>
    <row r="1640" spans="4:7">
      <c r="D1640" s="485">
        <v>44534</v>
      </c>
      <c r="E1640" s="467" t="s">
        <v>199</v>
      </c>
      <c r="F1640" s="488" t="s">
        <v>3340</v>
      </c>
      <c r="G1640" s="487">
        <v>9.4097222222222238E-3</v>
      </c>
    </row>
    <row r="1641" spans="4:7">
      <c r="D1641" s="485">
        <v>44534</v>
      </c>
      <c r="E1641" s="467" t="s">
        <v>1995</v>
      </c>
      <c r="F1641" s="488" t="s">
        <v>3341</v>
      </c>
      <c r="G1641" s="487">
        <v>1.0185185185185184E-2</v>
      </c>
    </row>
    <row r="1642" spans="4:7">
      <c r="D1642" s="485">
        <v>44535</v>
      </c>
      <c r="E1642" s="467" t="s">
        <v>109</v>
      </c>
      <c r="F1642" s="486">
        <v>0</v>
      </c>
      <c r="G1642" s="487">
        <v>2.2210648148148149E-2</v>
      </c>
    </row>
    <row r="1643" spans="4:7">
      <c r="D1643" s="485">
        <v>44535</v>
      </c>
      <c r="E1643" s="467" t="s">
        <v>199</v>
      </c>
      <c r="F1643" s="488" t="s">
        <v>3342</v>
      </c>
      <c r="G1643" s="487">
        <v>1.2326388888888888E-2</v>
      </c>
    </row>
    <row r="1644" spans="4:7">
      <c r="D1644" s="485">
        <v>44535</v>
      </c>
      <c r="E1644" s="467" t="s">
        <v>1617</v>
      </c>
      <c r="F1644" s="486">
        <v>183</v>
      </c>
      <c r="G1644" s="487">
        <v>8.9155092592592591E-2</v>
      </c>
    </row>
    <row r="1645" spans="4:7">
      <c r="D1645" s="485">
        <v>44535</v>
      </c>
      <c r="E1645" s="467" t="s">
        <v>1995</v>
      </c>
      <c r="F1645" s="488" t="s">
        <v>3343</v>
      </c>
      <c r="G1645" s="487">
        <v>1.1932870370370371E-2</v>
      </c>
    </row>
    <row r="1646" spans="4:7">
      <c r="D1646" s="485">
        <v>44536</v>
      </c>
      <c r="E1646" s="467" t="s">
        <v>109</v>
      </c>
      <c r="F1646" s="486">
        <v>138</v>
      </c>
      <c r="G1646" s="487">
        <v>6.0729166666666667E-2</v>
      </c>
    </row>
    <row r="1647" spans="4:7">
      <c r="D1647" s="485">
        <v>44536</v>
      </c>
      <c r="E1647" s="467" t="s">
        <v>199</v>
      </c>
      <c r="F1647" s="488" t="s">
        <v>3344</v>
      </c>
      <c r="G1647" s="487">
        <v>6.3310185185185197E-3</v>
      </c>
    </row>
    <row r="1648" spans="4:7">
      <c r="D1648" s="485">
        <v>44536</v>
      </c>
      <c r="E1648" s="467" t="s">
        <v>1617</v>
      </c>
      <c r="F1648" s="488" t="s">
        <v>2854</v>
      </c>
      <c r="G1648" s="487">
        <v>9.4432870370370361E-2</v>
      </c>
    </row>
    <row r="1649" spans="4:7">
      <c r="D1649" s="485">
        <v>44536</v>
      </c>
      <c r="E1649" s="467" t="s">
        <v>1995</v>
      </c>
      <c r="F1649" s="488" t="s">
        <v>3345</v>
      </c>
      <c r="G1649" s="487">
        <v>1.1168981481481481E-2</v>
      </c>
    </row>
    <row r="1650" spans="4:7">
      <c r="D1650" s="485">
        <v>44537</v>
      </c>
      <c r="E1650" s="467" t="s">
        <v>109</v>
      </c>
      <c r="F1650" s="486">
        <v>0</v>
      </c>
      <c r="G1650" s="487">
        <v>1.7546296296296296E-2</v>
      </c>
    </row>
    <row r="1651" spans="4:7">
      <c r="D1651" s="485">
        <v>44537</v>
      </c>
      <c r="E1651" s="467" t="s">
        <v>109</v>
      </c>
      <c r="F1651" s="488" t="s">
        <v>2616</v>
      </c>
      <c r="G1651" s="487">
        <v>5.7442129629629628E-2</v>
      </c>
    </row>
    <row r="1652" spans="4:7">
      <c r="D1652" s="485">
        <v>44537</v>
      </c>
      <c r="E1652" s="467" t="s">
        <v>199</v>
      </c>
      <c r="F1652" s="488" t="s">
        <v>3346</v>
      </c>
      <c r="G1652" s="487">
        <v>1.1388888888888888E-2</v>
      </c>
    </row>
    <row r="1653" spans="4:7">
      <c r="D1653" s="485">
        <v>44537</v>
      </c>
      <c r="E1653" s="467" t="s">
        <v>1995</v>
      </c>
      <c r="F1653" s="488" t="s">
        <v>3347</v>
      </c>
      <c r="G1653" s="487">
        <v>8.9699074074074073E-3</v>
      </c>
    </row>
    <row r="1654" spans="4:7">
      <c r="D1654" s="485">
        <v>44538</v>
      </c>
      <c r="E1654" s="467" t="s">
        <v>109</v>
      </c>
      <c r="F1654" s="488" t="s">
        <v>2991</v>
      </c>
      <c r="G1654" s="487">
        <v>3.0856481481481481E-2</v>
      </c>
    </row>
    <row r="1655" spans="4:7">
      <c r="D1655" s="485">
        <v>44538</v>
      </c>
      <c r="E1655" s="467" t="s">
        <v>199</v>
      </c>
      <c r="F1655" s="488" t="s">
        <v>3348</v>
      </c>
      <c r="G1655" s="487">
        <v>1.0092592592592592E-2</v>
      </c>
    </row>
    <row r="1656" spans="4:7">
      <c r="D1656" s="485">
        <v>44538</v>
      </c>
      <c r="E1656" s="467" t="s">
        <v>1995</v>
      </c>
      <c r="F1656" s="488" t="s">
        <v>3349</v>
      </c>
      <c r="G1656" s="487">
        <v>9.1203703703703707E-3</v>
      </c>
    </row>
    <row r="1657" spans="4:7">
      <c r="D1657" s="485">
        <v>44539</v>
      </c>
      <c r="E1657" s="467" t="s">
        <v>109</v>
      </c>
      <c r="F1657" s="486">
        <v>0</v>
      </c>
      <c r="G1657" s="487">
        <v>1.7766203703703704E-2</v>
      </c>
    </row>
    <row r="1658" spans="4:7">
      <c r="D1658" s="485">
        <v>44539</v>
      </c>
      <c r="E1658" s="467" t="s">
        <v>199</v>
      </c>
      <c r="F1658" s="488" t="s">
        <v>3350</v>
      </c>
      <c r="G1658" s="487">
        <v>1.329861111111111E-2</v>
      </c>
    </row>
    <row r="1659" spans="4:7">
      <c r="D1659" s="485">
        <v>44539</v>
      </c>
      <c r="E1659" s="467" t="s">
        <v>1995</v>
      </c>
      <c r="F1659" s="488" t="s">
        <v>3351</v>
      </c>
      <c r="G1659" s="487">
        <v>9.7569444444444448E-3</v>
      </c>
    </row>
    <row r="1660" spans="4:7">
      <c r="D1660" s="485">
        <v>44540</v>
      </c>
      <c r="E1660" s="467" t="s">
        <v>109</v>
      </c>
      <c r="F1660" s="486">
        <v>83</v>
      </c>
      <c r="G1660" s="487">
        <v>6.2824074074074074E-2</v>
      </c>
    </row>
    <row r="1661" spans="4:7">
      <c r="D1661" s="485">
        <v>44540</v>
      </c>
      <c r="E1661" s="467" t="s">
        <v>199</v>
      </c>
      <c r="F1661" s="488" t="s">
        <v>2484</v>
      </c>
      <c r="G1661" s="487">
        <v>1.3518518518518518E-2</v>
      </c>
    </row>
    <row r="1662" spans="4:7">
      <c r="D1662" s="485">
        <v>44540</v>
      </c>
      <c r="E1662" s="467" t="s">
        <v>1995</v>
      </c>
      <c r="F1662" s="488" t="s">
        <v>3352</v>
      </c>
      <c r="G1662" s="487">
        <v>9.0972222222222218E-3</v>
      </c>
    </row>
    <row r="1663" spans="4:7">
      <c r="D1663" s="485">
        <v>44541</v>
      </c>
      <c r="E1663" s="467" t="s">
        <v>109</v>
      </c>
      <c r="F1663" s="488" t="s">
        <v>2573</v>
      </c>
      <c r="G1663" s="487">
        <v>3.6076388888888887E-2</v>
      </c>
    </row>
    <row r="1664" spans="4:7">
      <c r="D1664" s="485">
        <v>44541</v>
      </c>
      <c r="E1664" s="467" t="s">
        <v>199</v>
      </c>
      <c r="F1664" s="488" t="s">
        <v>2490</v>
      </c>
      <c r="G1664" s="487">
        <v>9.9768518518518531E-3</v>
      </c>
    </row>
    <row r="1665" spans="4:7">
      <c r="D1665" s="485">
        <v>44541</v>
      </c>
      <c r="E1665" s="467" t="s">
        <v>1995</v>
      </c>
      <c r="F1665" s="488" t="s">
        <v>3353</v>
      </c>
      <c r="G1665" s="487">
        <v>6.9444444444444441E-3</v>
      </c>
    </row>
    <row r="1666" spans="4:7">
      <c r="D1666" s="485">
        <v>44542</v>
      </c>
      <c r="E1666" s="467" t="s">
        <v>109</v>
      </c>
      <c r="F1666" s="486">
        <v>0</v>
      </c>
      <c r="G1666" s="487">
        <v>5.3148148148148146E-2</v>
      </c>
    </row>
    <row r="1667" spans="4:7">
      <c r="D1667" s="485">
        <v>44542</v>
      </c>
      <c r="E1667" s="467" t="s">
        <v>199</v>
      </c>
      <c r="F1667" s="488" t="s">
        <v>2494</v>
      </c>
      <c r="G1667" s="487">
        <v>9.3981481481481485E-3</v>
      </c>
    </row>
    <row r="1668" spans="4:7">
      <c r="D1668" s="485">
        <v>44542</v>
      </c>
      <c r="E1668" s="467" t="s">
        <v>1995</v>
      </c>
      <c r="F1668" s="488" t="s">
        <v>3354</v>
      </c>
      <c r="G1668" s="487">
        <v>1.1087962962962964E-2</v>
      </c>
    </row>
    <row r="1669" spans="4:7">
      <c r="D1669" s="485">
        <v>44543</v>
      </c>
      <c r="E1669" s="467" t="s">
        <v>109</v>
      </c>
      <c r="F1669" s="486">
        <v>0</v>
      </c>
      <c r="G1669" s="487">
        <v>4.3831018518518512E-2</v>
      </c>
    </row>
    <row r="1670" spans="4:7">
      <c r="D1670" s="485">
        <v>44543</v>
      </c>
      <c r="E1670" s="467" t="s">
        <v>199</v>
      </c>
      <c r="F1670" s="488" t="s">
        <v>2495</v>
      </c>
      <c r="G1670" s="487">
        <v>1.2291666666666666E-2</v>
      </c>
    </row>
    <row r="1671" spans="4:7">
      <c r="D1671" s="485">
        <v>44543</v>
      </c>
      <c r="E1671" s="467" t="s">
        <v>1995</v>
      </c>
      <c r="F1671" s="488" t="s">
        <v>3355</v>
      </c>
      <c r="G1671" s="487">
        <v>1.2638888888888889E-2</v>
      </c>
    </row>
    <row r="1672" spans="4:7">
      <c r="D1672" s="485">
        <v>44544</v>
      </c>
      <c r="E1672" s="467" t="s">
        <v>109</v>
      </c>
      <c r="F1672" s="486">
        <v>0</v>
      </c>
      <c r="G1672" s="487">
        <v>1.1840277777777778E-2</v>
      </c>
    </row>
    <row r="1673" spans="4:7">
      <c r="D1673" s="485">
        <v>44544</v>
      </c>
      <c r="E1673" s="467" t="s">
        <v>199</v>
      </c>
      <c r="F1673" s="488" t="s">
        <v>2496</v>
      </c>
      <c r="G1673" s="487">
        <v>1.4583333333333334E-3</v>
      </c>
    </row>
    <row r="1674" spans="4:7">
      <c r="D1674" s="485">
        <v>44544</v>
      </c>
      <c r="E1674" s="467" t="s">
        <v>1995</v>
      </c>
      <c r="F1674" s="488" t="s">
        <v>3356</v>
      </c>
      <c r="G1674" s="487">
        <v>1.1377314814814814E-2</v>
      </c>
    </row>
    <row r="1675" spans="4:7">
      <c r="D1675" s="485">
        <v>44545</v>
      </c>
      <c r="E1675" s="467" t="s">
        <v>109</v>
      </c>
      <c r="F1675" s="488" t="s">
        <v>2586</v>
      </c>
      <c r="G1675" s="487">
        <v>4.4988425925925925E-2</v>
      </c>
    </row>
    <row r="1676" spans="4:7">
      <c r="D1676" s="485">
        <v>44545</v>
      </c>
      <c r="E1676" s="467" t="s">
        <v>199</v>
      </c>
      <c r="F1676" s="488" t="s">
        <v>2497</v>
      </c>
      <c r="G1676" s="487">
        <v>1.1921296296296298E-2</v>
      </c>
    </row>
    <row r="1677" spans="4:7">
      <c r="D1677" s="489">
        <v>44545</v>
      </c>
      <c r="E1677" s="467" t="s">
        <v>1385</v>
      </c>
      <c r="F1677" s="495" t="s">
        <v>2410</v>
      </c>
      <c r="G1677" s="490">
        <v>1.298611111111111E-2</v>
      </c>
    </row>
    <row r="1678" spans="4:7">
      <c r="D1678" s="485">
        <v>44545</v>
      </c>
      <c r="E1678" s="467" t="s">
        <v>1995</v>
      </c>
      <c r="F1678" s="488" t="s">
        <v>3357</v>
      </c>
      <c r="G1678" s="487">
        <v>8.8541666666666664E-3</v>
      </c>
    </row>
    <row r="1679" spans="4:7">
      <c r="D1679" s="485">
        <v>44546</v>
      </c>
      <c r="E1679" s="467" t="s">
        <v>109</v>
      </c>
      <c r="F1679" s="486">
        <v>0</v>
      </c>
      <c r="G1679" s="487">
        <v>3.170138888888889E-2</v>
      </c>
    </row>
    <row r="1680" spans="4:7">
      <c r="D1680" s="485">
        <v>44546</v>
      </c>
      <c r="E1680" s="467" t="s">
        <v>199</v>
      </c>
      <c r="F1680" s="488" t="s">
        <v>2498</v>
      </c>
      <c r="G1680" s="487">
        <v>1.8078703703703704E-2</v>
      </c>
    </row>
    <row r="1681" spans="4:7">
      <c r="D1681" s="485">
        <v>44546</v>
      </c>
      <c r="E1681" s="467" t="s">
        <v>1995</v>
      </c>
      <c r="F1681" s="488" t="s">
        <v>3358</v>
      </c>
      <c r="G1681" s="487">
        <v>1.105324074074074E-2</v>
      </c>
    </row>
    <row r="1682" spans="4:7">
      <c r="D1682" s="485">
        <v>44547</v>
      </c>
      <c r="E1682" s="467" t="s">
        <v>109</v>
      </c>
      <c r="F1682" s="488" t="s">
        <v>741</v>
      </c>
      <c r="G1682" s="487">
        <v>5.1550925925925924E-2</v>
      </c>
    </row>
    <row r="1683" spans="4:7">
      <c r="D1683" s="485">
        <v>44547</v>
      </c>
      <c r="E1683" s="467" t="s">
        <v>199</v>
      </c>
      <c r="F1683" s="488" t="s">
        <v>2499</v>
      </c>
      <c r="G1683" s="487">
        <v>1.4560185185185183E-2</v>
      </c>
    </row>
    <row r="1684" spans="4:7">
      <c r="D1684" s="485">
        <v>44547</v>
      </c>
      <c r="E1684" s="467" t="s">
        <v>1662</v>
      </c>
      <c r="F1684" s="486">
        <v>66</v>
      </c>
      <c r="G1684" s="487">
        <v>3.3587962962962965E-2</v>
      </c>
    </row>
    <row r="1685" spans="4:7">
      <c r="D1685" s="485">
        <v>44547</v>
      </c>
      <c r="E1685" s="467" t="s">
        <v>1662</v>
      </c>
      <c r="F1685" s="486">
        <v>165</v>
      </c>
      <c r="G1685" s="487">
        <v>3.8090277777777778E-2</v>
      </c>
    </row>
    <row r="1686" spans="4:7">
      <c r="D1686" s="485">
        <v>44547</v>
      </c>
      <c r="E1686" s="467" t="s">
        <v>1878</v>
      </c>
      <c r="F1686" s="488" t="s">
        <v>1391</v>
      </c>
      <c r="G1686" s="487">
        <v>8.6249999999999993E-2</v>
      </c>
    </row>
    <row r="1687" spans="4:7">
      <c r="D1687" s="485">
        <v>44547</v>
      </c>
      <c r="E1687" s="467" t="s">
        <v>1995</v>
      </c>
      <c r="F1687" s="488" t="s">
        <v>3359</v>
      </c>
      <c r="G1687" s="487">
        <v>1.238425925925926E-2</v>
      </c>
    </row>
    <row r="1688" spans="4:7">
      <c r="D1688" s="485">
        <v>44547</v>
      </c>
      <c r="E1688" s="467" t="s">
        <v>3639</v>
      </c>
      <c r="F1688" s="488">
        <v>20</v>
      </c>
      <c r="G1688" s="487">
        <v>5.4085648148148147E-2</v>
      </c>
    </row>
    <row r="1689" spans="4:7">
      <c r="D1689" s="485">
        <v>44548</v>
      </c>
      <c r="E1689" s="467" t="s">
        <v>109</v>
      </c>
      <c r="F1689" s="488" t="s">
        <v>3273</v>
      </c>
      <c r="G1689" s="487">
        <v>3.8483796296296294E-2</v>
      </c>
    </row>
    <row r="1690" spans="4:7">
      <c r="D1690" s="485">
        <v>44548</v>
      </c>
      <c r="E1690" s="467" t="s">
        <v>199</v>
      </c>
      <c r="F1690" s="488" t="s">
        <v>2500</v>
      </c>
      <c r="G1690" s="487">
        <v>1.1111111111111112E-2</v>
      </c>
    </row>
    <row r="1691" spans="4:7">
      <c r="D1691" s="485">
        <v>44548</v>
      </c>
      <c r="E1691" s="467" t="s">
        <v>1995</v>
      </c>
      <c r="F1691" s="488" t="s">
        <v>3360</v>
      </c>
      <c r="G1691" s="487">
        <v>8.9467592592592585E-3</v>
      </c>
    </row>
    <row r="1692" spans="4:7">
      <c r="D1692" s="485">
        <v>44549</v>
      </c>
      <c r="E1692" s="467" t="s">
        <v>109</v>
      </c>
      <c r="F1692" s="486">
        <v>0</v>
      </c>
      <c r="G1692" s="487">
        <v>6.128472222222222E-2</v>
      </c>
    </row>
    <row r="1693" spans="4:7">
      <c r="D1693" s="485">
        <v>44549</v>
      </c>
      <c r="E1693" s="467" t="s">
        <v>199</v>
      </c>
      <c r="F1693" s="488" t="s">
        <v>2501</v>
      </c>
      <c r="G1693" s="487">
        <v>2.0370370370370369E-2</v>
      </c>
    </row>
    <row r="1694" spans="4:7">
      <c r="D1694" s="485">
        <v>44549</v>
      </c>
      <c r="E1694" s="467" t="s">
        <v>1617</v>
      </c>
      <c r="F1694" s="486">
        <v>21</v>
      </c>
      <c r="G1694" s="487">
        <v>5.5891203703703707E-2</v>
      </c>
    </row>
    <row r="1695" spans="4:7">
      <c r="D1695" s="485">
        <v>44549</v>
      </c>
      <c r="E1695" s="467" t="s">
        <v>1995</v>
      </c>
      <c r="F1695" s="488" t="s">
        <v>3361</v>
      </c>
      <c r="G1695" s="487">
        <v>9.5138888888888894E-3</v>
      </c>
    </row>
    <row r="1696" spans="4:7">
      <c r="D1696" s="485">
        <v>44550</v>
      </c>
      <c r="E1696" s="467" t="s">
        <v>109</v>
      </c>
      <c r="F1696" s="488" t="s">
        <v>2616</v>
      </c>
      <c r="G1696" s="499" t="s">
        <v>2625</v>
      </c>
    </row>
    <row r="1697" spans="4:7">
      <c r="D1697" s="485">
        <v>44550</v>
      </c>
      <c r="E1697" s="467" t="s">
        <v>199</v>
      </c>
      <c r="F1697" s="488" t="s">
        <v>2502</v>
      </c>
      <c r="G1697" s="487">
        <v>7.789351851851852E-3</v>
      </c>
    </row>
    <row r="1698" spans="4:7">
      <c r="D1698" s="485">
        <v>44550</v>
      </c>
      <c r="E1698" s="467" t="s">
        <v>1995</v>
      </c>
      <c r="F1698" s="488" t="s">
        <v>3362</v>
      </c>
      <c r="G1698" s="487">
        <v>7.1180555555555554E-3</v>
      </c>
    </row>
    <row r="1699" spans="4:7">
      <c r="D1699" s="485">
        <v>44551</v>
      </c>
      <c r="E1699" s="467" t="s">
        <v>636</v>
      </c>
      <c r="F1699" s="486">
        <v>213</v>
      </c>
      <c r="G1699" s="487">
        <v>1.9212962962962962E-3</v>
      </c>
    </row>
    <row r="1700" spans="4:7">
      <c r="D1700" s="485">
        <v>44551</v>
      </c>
      <c r="E1700" s="467" t="s">
        <v>109</v>
      </c>
      <c r="F1700" s="486">
        <v>0</v>
      </c>
      <c r="G1700" s="487">
        <v>2.0729166666666667E-2</v>
      </c>
    </row>
    <row r="1701" spans="4:7">
      <c r="D1701" s="485">
        <v>44551</v>
      </c>
      <c r="E1701" s="467" t="s">
        <v>199</v>
      </c>
      <c r="F1701" s="488" t="s">
        <v>2503</v>
      </c>
      <c r="G1701" s="487">
        <v>7.7546296296296287E-3</v>
      </c>
    </row>
    <row r="1702" spans="4:7">
      <c r="D1702" s="485">
        <v>44551</v>
      </c>
      <c r="E1702" s="467" t="s">
        <v>1995</v>
      </c>
      <c r="F1702" s="488" t="s">
        <v>3363</v>
      </c>
      <c r="G1702" s="487">
        <v>6.122685185185185E-3</v>
      </c>
    </row>
    <row r="1703" spans="4:7">
      <c r="D1703" s="485">
        <v>44552</v>
      </c>
      <c r="E1703" s="467" t="s">
        <v>109</v>
      </c>
      <c r="F1703" s="486">
        <v>0</v>
      </c>
      <c r="G1703" s="487">
        <v>2.476851851851852E-2</v>
      </c>
    </row>
    <row r="1704" spans="4:7">
      <c r="D1704" s="485">
        <v>44552</v>
      </c>
      <c r="E1704" s="467" t="s">
        <v>199</v>
      </c>
      <c r="F1704" s="488" t="s">
        <v>2504</v>
      </c>
      <c r="G1704" s="487">
        <v>1.1018518518518518E-2</v>
      </c>
    </row>
    <row r="1705" spans="4:7">
      <c r="D1705" s="489">
        <v>44552</v>
      </c>
      <c r="E1705" s="467" t="s">
        <v>2814</v>
      </c>
      <c r="F1705" s="483">
        <v>0</v>
      </c>
      <c r="G1705" s="490">
        <v>3.9548611111111111E-2</v>
      </c>
    </row>
    <row r="1706" spans="4:7">
      <c r="D1706" s="485">
        <v>44552</v>
      </c>
      <c r="E1706" s="467" t="s">
        <v>1995</v>
      </c>
      <c r="F1706" s="488" t="s">
        <v>3364</v>
      </c>
      <c r="G1706" s="487">
        <v>6.8865740740740736E-3</v>
      </c>
    </row>
    <row r="1707" spans="4:7">
      <c r="D1707" s="485">
        <v>44553</v>
      </c>
      <c r="E1707" s="467" t="s">
        <v>109</v>
      </c>
      <c r="F1707" s="488" t="s">
        <v>2150</v>
      </c>
      <c r="G1707" s="487">
        <v>2.5543981481481483E-2</v>
      </c>
    </row>
    <row r="1708" spans="4:7">
      <c r="D1708" s="485">
        <v>44553</v>
      </c>
      <c r="E1708" s="467" t="s">
        <v>199</v>
      </c>
      <c r="F1708" s="488" t="s">
        <v>2505</v>
      </c>
      <c r="G1708" s="487">
        <v>1.4918981481481483E-2</v>
      </c>
    </row>
    <row r="1709" spans="4:7">
      <c r="D1709" s="485">
        <v>44553</v>
      </c>
      <c r="E1709" s="467" t="s">
        <v>1995</v>
      </c>
      <c r="F1709" s="488" t="s">
        <v>3365</v>
      </c>
      <c r="G1709" s="487">
        <v>5.6365740740740742E-3</v>
      </c>
    </row>
    <row r="1710" spans="4:7">
      <c r="D1710" s="485">
        <v>44554</v>
      </c>
      <c r="E1710" s="467" t="s">
        <v>109</v>
      </c>
      <c r="F1710" s="486">
        <v>200</v>
      </c>
      <c r="G1710" s="487">
        <v>6.9270833333333337E-2</v>
      </c>
    </row>
    <row r="1711" spans="4:7">
      <c r="D1711" s="485">
        <v>44554</v>
      </c>
      <c r="E1711" s="467" t="s">
        <v>44</v>
      </c>
      <c r="F1711" s="486">
        <v>0</v>
      </c>
      <c r="G1711" s="487">
        <v>8.8425925925925911E-3</v>
      </c>
    </row>
    <row r="1712" spans="4:7">
      <c r="D1712" s="485">
        <v>44554</v>
      </c>
      <c r="E1712" s="467" t="s">
        <v>199</v>
      </c>
      <c r="F1712" s="488" t="s">
        <v>2506</v>
      </c>
      <c r="G1712" s="487">
        <v>3.1921296296296302E-2</v>
      </c>
    </row>
    <row r="1713" spans="4:7">
      <c r="D1713" s="485">
        <v>44554</v>
      </c>
      <c r="E1713" s="467" t="s">
        <v>1326</v>
      </c>
      <c r="F1713" s="486">
        <v>14</v>
      </c>
      <c r="G1713" s="487">
        <v>6.9791666666666669E-2</v>
      </c>
    </row>
    <row r="1714" spans="4:7">
      <c r="D1714" s="485">
        <v>44554</v>
      </c>
      <c r="E1714" s="467" t="s">
        <v>1684</v>
      </c>
      <c r="F1714" s="488" t="s">
        <v>110</v>
      </c>
      <c r="G1714" s="487">
        <v>3.7199074074074072E-2</v>
      </c>
    </row>
    <row r="1715" spans="4:7">
      <c r="D1715" s="485">
        <v>44554</v>
      </c>
      <c r="E1715" s="467" t="s">
        <v>1995</v>
      </c>
      <c r="F1715" s="488" t="s">
        <v>3366</v>
      </c>
      <c r="G1715" s="487">
        <v>3.0162037037037032E-2</v>
      </c>
    </row>
    <row r="1716" spans="4:7">
      <c r="D1716" s="485">
        <v>44555</v>
      </c>
      <c r="E1716" s="467" t="s">
        <v>109</v>
      </c>
      <c r="F1716" s="486">
        <v>200</v>
      </c>
      <c r="G1716" s="487">
        <v>5.3275462962962962E-2</v>
      </c>
    </row>
    <row r="1717" spans="4:7">
      <c r="D1717" s="485">
        <v>44555</v>
      </c>
      <c r="E1717" s="467" t="s">
        <v>199</v>
      </c>
      <c r="F1717" s="486">
        <v>0</v>
      </c>
      <c r="G1717" s="487">
        <v>1.5428240740740741E-2</v>
      </c>
    </row>
    <row r="1718" spans="4:7">
      <c r="D1718" s="485">
        <v>44556</v>
      </c>
      <c r="E1718" s="467" t="s">
        <v>109</v>
      </c>
      <c r="F1718" s="486">
        <v>200</v>
      </c>
      <c r="G1718" s="487">
        <v>4.8900462962962965E-2</v>
      </c>
    </row>
    <row r="1719" spans="4:7">
      <c r="D1719" s="485">
        <v>44556</v>
      </c>
      <c r="E1719" s="467" t="s">
        <v>199</v>
      </c>
      <c r="F1719" s="488" t="s">
        <v>2833</v>
      </c>
      <c r="G1719" s="487">
        <v>5.7337962962962959E-2</v>
      </c>
    </row>
    <row r="1720" spans="4:7">
      <c r="D1720" s="485">
        <v>44556</v>
      </c>
      <c r="E1720" s="467" t="s">
        <v>1617</v>
      </c>
      <c r="F1720" s="488" t="s">
        <v>1391</v>
      </c>
      <c r="G1720" s="494">
        <v>3.0821759259259257E-2</v>
      </c>
    </row>
    <row r="1721" spans="4:7">
      <c r="D1721" s="489">
        <v>44556</v>
      </c>
      <c r="E1721" s="467" t="s">
        <v>2813</v>
      </c>
      <c r="F1721" s="483">
        <v>0</v>
      </c>
      <c r="G1721" s="490">
        <v>3.0601851851851852E-2</v>
      </c>
    </row>
    <row r="1722" spans="4:7">
      <c r="D1722" s="485">
        <v>44557</v>
      </c>
      <c r="E1722" s="467" t="s">
        <v>109</v>
      </c>
      <c r="F1722" s="486">
        <v>200</v>
      </c>
      <c r="G1722" s="487">
        <v>6.6678240740740746E-2</v>
      </c>
    </row>
    <row r="1723" spans="4:7">
      <c r="D1723" s="493">
        <v>44559</v>
      </c>
      <c r="E1723" s="467" t="s">
        <v>1504</v>
      </c>
      <c r="F1723" s="486">
        <v>106</v>
      </c>
      <c r="G1723" s="494">
        <v>4.9999999999999996E-2</v>
      </c>
    </row>
    <row r="1724" spans="4:7">
      <c r="D1724" s="485">
        <v>44561</v>
      </c>
      <c r="E1724" s="467" t="s">
        <v>109</v>
      </c>
      <c r="F1724" s="488" t="s">
        <v>2491</v>
      </c>
      <c r="G1724" s="487">
        <v>7.7916666666666676E-2</v>
      </c>
    </row>
    <row r="1725" spans="4:7">
      <c r="D1725" s="493">
        <v>44561</v>
      </c>
      <c r="E1725" s="467" t="s">
        <v>1995</v>
      </c>
      <c r="F1725" s="486">
        <v>0</v>
      </c>
      <c r="G1725" s="494">
        <v>4.0393518518518516E-2</v>
      </c>
    </row>
    <row r="1726" spans="4:7">
      <c r="D1726" s="485">
        <v>44564</v>
      </c>
      <c r="E1726" s="467" t="s">
        <v>1684</v>
      </c>
      <c r="F1726" s="486">
        <v>11</v>
      </c>
      <c r="G1726" s="487">
        <v>2.4120370370370372E-2</v>
      </c>
    </row>
    <row r="1727" spans="4:7">
      <c r="D1727" s="485">
        <v>44564</v>
      </c>
      <c r="E1727" s="467" t="s">
        <v>1684</v>
      </c>
      <c r="F1727" s="486">
        <v>12</v>
      </c>
      <c r="G1727" s="487">
        <v>2.1921296296296296E-2</v>
      </c>
    </row>
    <row r="1728" spans="4:7">
      <c r="D1728" s="485">
        <v>44568</v>
      </c>
      <c r="E1728" s="467" t="s">
        <v>1995</v>
      </c>
      <c r="F1728" s="488" t="s">
        <v>1959</v>
      </c>
      <c r="G1728" s="487">
        <v>5.0856481481481482E-2</v>
      </c>
    </row>
    <row r="1729" spans="4:7">
      <c r="D1729" s="485">
        <v>44571</v>
      </c>
      <c r="E1729" s="467" t="s">
        <v>1617</v>
      </c>
      <c r="F1729" s="486">
        <v>94</v>
      </c>
      <c r="G1729" s="487">
        <v>7.1932870370370369E-2</v>
      </c>
    </row>
    <row r="1730" spans="4:7">
      <c r="D1730" s="489">
        <v>44571</v>
      </c>
      <c r="E1730" s="467" t="s">
        <v>2814</v>
      </c>
      <c r="F1730" s="483">
        <v>0</v>
      </c>
      <c r="G1730" s="490">
        <v>4.189814814814815E-2</v>
      </c>
    </row>
    <row r="1731" spans="4:7">
      <c r="D1731" s="485">
        <v>44575</v>
      </c>
      <c r="E1731" s="467" t="s">
        <v>1878</v>
      </c>
      <c r="F1731" s="486">
        <v>62</v>
      </c>
      <c r="G1731" s="487">
        <v>9.8842592592592593E-2</v>
      </c>
    </row>
    <row r="1732" spans="4:7">
      <c r="D1732" s="485">
        <v>44575</v>
      </c>
      <c r="E1732" s="467" t="s">
        <v>1995</v>
      </c>
      <c r="F1732" s="488" t="s">
        <v>702</v>
      </c>
      <c r="G1732" s="487">
        <v>5.2395833333333336E-2</v>
      </c>
    </row>
    <row r="1733" spans="4:7">
      <c r="D1733" s="493">
        <v>44582</v>
      </c>
      <c r="E1733" s="467" t="s">
        <v>1662</v>
      </c>
      <c r="F1733" s="486">
        <v>65</v>
      </c>
      <c r="G1733" s="494">
        <v>3.1168981481481482E-2</v>
      </c>
    </row>
    <row r="1734" spans="4:7">
      <c r="D1734" s="493">
        <v>44582</v>
      </c>
      <c r="E1734" s="467" t="s">
        <v>1662</v>
      </c>
      <c r="F1734" s="486">
        <v>67</v>
      </c>
      <c r="G1734" s="494">
        <v>3.4421296296296297E-2</v>
      </c>
    </row>
    <row r="1735" spans="4:7">
      <c r="D1735" s="493">
        <v>44582</v>
      </c>
      <c r="E1735" s="467" t="s">
        <v>1662</v>
      </c>
      <c r="F1735" s="486">
        <v>68</v>
      </c>
      <c r="G1735" s="494">
        <v>2.8819444444444443E-2</v>
      </c>
    </row>
    <row r="1736" spans="4:7">
      <c r="D1736" s="493">
        <v>44582</v>
      </c>
      <c r="E1736" s="467" t="s">
        <v>3639</v>
      </c>
      <c r="F1736" s="486">
        <v>21</v>
      </c>
      <c r="G1736" s="494">
        <v>5.4502314814814816E-2</v>
      </c>
    </row>
    <row r="1737" spans="4:7">
      <c r="D1737" s="485">
        <v>44583</v>
      </c>
      <c r="E1737" s="467" t="s">
        <v>1995</v>
      </c>
      <c r="F1737" s="488" t="s">
        <v>1955</v>
      </c>
      <c r="G1737" s="487">
        <v>5.3136574074074072E-2</v>
      </c>
    </row>
    <row r="1738" spans="4:7">
      <c r="D1738" s="485">
        <v>44585</v>
      </c>
      <c r="E1738" s="467" t="s">
        <v>1326</v>
      </c>
      <c r="F1738" s="486">
        <v>107</v>
      </c>
      <c r="G1738" s="487">
        <v>7.9201388888888891E-2</v>
      </c>
    </row>
    <row r="1739" spans="4:7">
      <c r="D1739" s="493">
        <v>44585</v>
      </c>
      <c r="E1739" s="467" t="s">
        <v>1617</v>
      </c>
      <c r="F1739" s="486">
        <v>201</v>
      </c>
      <c r="G1739" s="494">
        <v>7.4548611111111107E-2</v>
      </c>
    </row>
    <row r="1740" spans="4:7">
      <c r="D1740" s="493">
        <v>44589</v>
      </c>
      <c r="E1740" s="467" t="s">
        <v>1617</v>
      </c>
      <c r="F1740" s="488" t="s">
        <v>2692</v>
      </c>
      <c r="G1740" s="494">
        <v>3.920138888888889E-2</v>
      </c>
    </row>
    <row r="1741" spans="4:7">
      <c r="D1741" s="485">
        <v>44589</v>
      </c>
      <c r="E1741" s="467" t="s">
        <v>1878</v>
      </c>
      <c r="F1741" s="486">
        <v>105</v>
      </c>
      <c r="G1741" s="487">
        <v>0.15488425925925928</v>
      </c>
    </row>
    <row r="1742" spans="4:7">
      <c r="D1742" s="489">
        <v>44589</v>
      </c>
      <c r="E1742" s="467" t="s">
        <v>1385</v>
      </c>
      <c r="F1742" s="483">
        <v>214</v>
      </c>
      <c r="G1742" s="490">
        <v>2.630787037037037E-2</v>
      </c>
    </row>
    <row r="1743" spans="4:7">
      <c r="D1743" s="485">
        <v>44589</v>
      </c>
      <c r="E1743" s="467" t="s">
        <v>1995</v>
      </c>
      <c r="F1743" s="488" t="s">
        <v>1964</v>
      </c>
      <c r="G1743" s="487">
        <v>4.3287037037037041E-2</v>
      </c>
    </row>
    <row r="1744" spans="4:7">
      <c r="D1744" s="485">
        <v>44591</v>
      </c>
      <c r="E1744" s="467" t="s">
        <v>44</v>
      </c>
      <c r="F1744" s="486">
        <v>89</v>
      </c>
      <c r="G1744" s="487">
        <v>0.10025462962962962</v>
      </c>
    </row>
    <row r="1745" spans="4:7">
      <c r="D1745" s="489">
        <v>44591</v>
      </c>
      <c r="E1745" s="467" t="s">
        <v>2814</v>
      </c>
      <c r="F1745" s="483">
        <v>0</v>
      </c>
      <c r="G1745" s="490">
        <v>2.9178240740740741E-2</v>
      </c>
    </row>
    <row r="1746" spans="4:7">
      <c r="D1746" s="485">
        <v>44595</v>
      </c>
      <c r="E1746" s="467" t="s">
        <v>1684</v>
      </c>
      <c r="F1746" s="486">
        <v>13</v>
      </c>
      <c r="G1746" s="487">
        <v>2.5069444444444446E-2</v>
      </c>
    </row>
    <row r="1747" spans="4:7">
      <c r="D1747" s="485">
        <v>44595</v>
      </c>
      <c r="E1747" s="467" t="s">
        <v>1684</v>
      </c>
      <c r="F1747" s="486">
        <v>126</v>
      </c>
      <c r="G1747" s="487">
        <v>2.2685185185185183E-2</v>
      </c>
    </row>
    <row r="1748" spans="4:7">
      <c r="D1748" s="489">
        <v>44596</v>
      </c>
      <c r="E1748" s="467" t="s">
        <v>2815</v>
      </c>
      <c r="F1748" s="483">
        <v>0</v>
      </c>
      <c r="G1748" s="490">
        <v>8.6944444444444449E-2</v>
      </c>
    </row>
    <row r="1749" spans="4:7">
      <c r="D1749" s="485">
        <v>44597</v>
      </c>
      <c r="E1749" s="467" t="s">
        <v>1995</v>
      </c>
      <c r="F1749" s="488" t="s">
        <v>1961</v>
      </c>
      <c r="G1749" s="487">
        <v>4.3611111111111107E-2</v>
      </c>
    </row>
    <row r="1750" spans="4:7">
      <c r="D1750" s="485">
        <v>44598</v>
      </c>
      <c r="E1750" s="467" t="s">
        <v>2921</v>
      </c>
      <c r="F1750" s="488">
        <v>0</v>
      </c>
      <c r="G1750" s="487">
        <v>3.2245370370370369E-2</v>
      </c>
    </row>
    <row r="1751" spans="4:7">
      <c r="D1751" s="493">
        <v>44599</v>
      </c>
      <c r="E1751" s="467" t="s">
        <v>1617</v>
      </c>
      <c r="F1751" s="486">
        <v>25</v>
      </c>
      <c r="G1751" s="494">
        <v>6.0034722222222225E-2</v>
      </c>
    </row>
    <row r="1752" spans="4:7">
      <c r="D1752" s="485">
        <v>44602</v>
      </c>
      <c r="E1752" s="467" t="s">
        <v>109</v>
      </c>
      <c r="F1752" s="486">
        <v>126</v>
      </c>
      <c r="G1752" s="487">
        <v>9.4467592592592589E-2</v>
      </c>
    </row>
    <row r="1753" spans="4:7">
      <c r="D1753" s="485">
        <v>44602</v>
      </c>
      <c r="E1753" s="467" t="s">
        <v>1878</v>
      </c>
      <c r="F1753" s="486">
        <v>154</v>
      </c>
      <c r="G1753" s="487">
        <v>8.3912037037037035E-2</v>
      </c>
    </row>
    <row r="1754" spans="4:7">
      <c r="D1754" s="485">
        <v>44603</v>
      </c>
      <c r="E1754" s="467" t="s">
        <v>199</v>
      </c>
      <c r="F1754" s="486">
        <v>15</v>
      </c>
      <c r="G1754" s="487">
        <v>0.10282407407407407</v>
      </c>
    </row>
    <row r="1755" spans="4:7">
      <c r="D1755" s="485">
        <v>44605</v>
      </c>
      <c r="E1755" s="467" t="s">
        <v>1686</v>
      </c>
      <c r="F1755" s="486">
        <v>25</v>
      </c>
      <c r="G1755" s="494">
        <v>4.670138888888889E-2</v>
      </c>
    </row>
    <row r="1756" spans="4:7">
      <c r="D1756" s="485">
        <v>44610</v>
      </c>
      <c r="E1756" s="467" t="s">
        <v>1995</v>
      </c>
      <c r="F1756" s="488" t="s">
        <v>1963</v>
      </c>
      <c r="G1756" s="487">
        <v>4.0254629629629633E-2</v>
      </c>
    </row>
    <row r="1757" spans="4:7">
      <c r="D1757" s="485">
        <v>44610.500231481485</v>
      </c>
      <c r="E1757" s="467" t="s">
        <v>2753</v>
      </c>
      <c r="F1757" s="486">
        <v>0</v>
      </c>
      <c r="G1757" s="487">
        <v>1.2384259259259258E-3</v>
      </c>
    </row>
    <row r="1758" spans="4:7">
      <c r="D1758" s="485">
        <v>44610</v>
      </c>
      <c r="E1758" s="467" t="s">
        <v>3639</v>
      </c>
      <c r="F1758" s="486">
        <v>22</v>
      </c>
      <c r="G1758" s="487">
        <v>5.5081018518518515E-2</v>
      </c>
    </row>
    <row r="1759" spans="4:7">
      <c r="D1759" s="485">
        <v>44612</v>
      </c>
      <c r="E1759" s="467" t="s">
        <v>2921</v>
      </c>
      <c r="F1759" s="486">
        <v>0</v>
      </c>
      <c r="G1759" s="487">
        <v>2.3240740740740742E-2</v>
      </c>
    </row>
    <row r="1760" spans="4:7">
      <c r="D1760" s="493">
        <v>44612</v>
      </c>
      <c r="E1760" s="467" t="s">
        <v>1617</v>
      </c>
      <c r="F1760" s="486">
        <v>77</v>
      </c>
      <c r="G1760" s="494">
        <v>8.7106481481481479E-2</v>
      </c>
    </row>
    <row r="1761" spans="4:7">
      <c r="D1761" s="485">
        <v>44614</v>
      </c>
      <c r="E1761" s="467" t="s">
        <v>1326</v>
      </c>
      <c r="F1761" s="486">
        <v>77</v>
      </c>
      <c r="G1761" s="487">
        <v>7.9259259259259265E-2</v>
      </c>
    </row>
    <row r="1762" spans="4:7">
      <c r="D1762" s="493">
        <v>44614</v>
      </c>
      <c r="E1762" s="467" t="s">
        <v>1995</v>
      </c>
      <c r="F1762" s="486">
        <v>0</v>
      </c>
      <c r="G1762" s="494">
        <v>1.5393518518518519E-3</v>
      </c>
    </row>
    <row r="1763" spans="4:7">
      <c r="D1763" s="485">
        <v>44615</v>
      </c>
      <c r="E1763" s="467" t="s">
        <v>109</v>
      </c>
      <c r="F1763" s="486">
        <v>82</v>
      </c>
      <c r="G1763" s="487">
        <v>7.4618055555555562E-2</v>
      </c>
    </row>
    <row r="1764" spans="4:7">
      <c r="D1764" s="493">
        <v>44617</v>
      </c>
      <c r="E1764" s="467" t="s">
        <v>1662</v>
      </c>
      <c r="F1764" s="486">
        <v>92</v>
      </c>
      <c r="G1764" s="494">
        <v>2.7893518518518515E-2</v>
      </c>
    </row>
    <row r="1765" spans="4:7">
      <c r="D1765" s="493">
        <v>44617</v>
      </c>
      <c r="E1765" s="467" t="s">
        <v>1662</v>
      </c>
      <c r="F1765" s="486">
        <v>156</v>
      </c>
      <c r="G1765" s="494">
        <v>2.6053240740740738E-2</v>
      </c>
    </row>
    <row r="1766" spans="4:7">
      <c r="D1766" s="485">
        <v>44617</v>
      </c>
      <c r="E1766" s="467" t="s">
        <v>1878</v>
      </c>
      <c r="F1766" s="486">
        <v>37</v>
      </c>
      <c r="G1766" s="487">
        <v>7.4745370370370365E-2</v>
      </c>
    </row>
    <row r="1767" spans="4:7">
      <c r="D1767" s="496">
        <v>44617</v>
      </c>
      <c r="E1767" s="467" t="s">
        <v>1995</v>
      </c>
      <c r="F1767" s="500" t="s">
        <v>2087</v>
      </c>
      <c r="G1767" s="498">
        <v>4.2488425925925923E-2</v>
      </c>
    </row>
    <row r="1768" spans="4:7">
      <c r="D1768" s="485">
        <v>44620.000694444447</v>
      </c>
      <c r="E1768" s="467" t="s">
        <v>2753</v>
      </c>
      <c r="F1768" s="486">
        <v>1</v>
      </c>
      <c r="G1768" s="487">
        <v>5.2280092592592593E-2</v>
      </c>
    </row>
    <row r="1769" spans="4:7">
      <c r="D1769" s="485">
        <v>44620.00136574074</v>
      </c>
      <c r="E1769" s="467" t="s">
        <v>2753</v>
      </c>
      <c r="F1769" s="486">
        <v>2</v>
      </c>
      <c r="G1769" s="487">
        <v>3.1793981481481479E-2</v>
      </c>
    </row>
    <row r="1770" spans="4:7">
      <c r="D1770" s="485">
        <v>44620.208333333336</v>
      </c>
      <c r="E1770" s="467" t="s">
        <v>44</v>
      </c>
      <c r="F1770" s="486">
        <v>76</v>
      </c>
      <c r="G1770" s="487">
        <v>0.10909722222222222</v>
      </c>
    </row>
    <row r="1771" spans="4:7">
      <c r="D1771" s="485">
        <v>44620.389062499999</v>
      </c>
      <c r="E1771" s="467" t="s">
        <v>199</v>
      </c>
      <c r="F1771" s="486">
        <v>209</v>
      </c>
      <c r="G1771" s="487">
        <v>0.11783564814814813</v>
      </c>
    </row>
    <row r="1772" spans="4:7">
      <c r="D1772" s="485">
        <v>44620.909548611111</v>
      </c>
      <c r="E1772" s="467" t="s">
        <v>109</v>
      </c>
      <c r="F1772" s="486">
        <v>128</v>
      </c>
      <c r="G1772" s="487">
        <v>0.10274305555555556</v>
      </c>
    </row>
    <row r="1773" spans="4:7">
      <c r="D1773" s="485">
        <v>44621</v>
      </c>
      <c r="E1773" s="467" t="s">
        <v>197</v>
      </c>
      <c r="F1773" s="486">
        <v>1</v>
      </c>
      <c r="G1773" s="487">
        <v>6.2638888888888897E-2</v>
      </c>
    </row>
    <row r="1774" spans="4:7">
      <c r="D1774" s="485">
        <v>44623</v>
      </c>
      <c r="E1774" s="467" t="s">
        <v>1504</v>
      </c>
      <c r="F1774" s="486">
        <v>17</v>
      </c>
      <c r="G1774" s="487">
        <v>6.2430555555555552E-2</v>
      </c>
    </row>
    <row r="1775" spans="4:7">
      <c r="D1775" s="485">
        <v>44623</v>
      </c>
      <c r="E1775" s="467" t="s">
        <v>1684</v>
      </c>
      <c r="F1775" s="486">
        <v>14</v>
      </c>
      <c r="G1775" s="487">
        <v>3.0127314814814815E-2</v>
      </c>
    </row>
    <row r="1776" spans="4:7">
      <c r="D1776" s="485">
        <v>44623</v>
      </c>
      <c r="E1776" s="467" t="s">
        <v>1684</v>
      </c>
      <c r="F1776" s="486">
        <v>174</v>
      </c>
      <c r="G1776" s="487">
        <v>1.4780092592592595E-2</v>
      </c>
    </row>
    <row r="1777" spans="4:7">
      <c r="D1777" s="485">
        <v>44624</v>
      </c>
      <c r="E1777" s="467" t="s">
        <v>199</v>
      </c>
      <c r="F1777" s="488" t="s">
        <v>2150</v>
      </c>
      <c r="G1777" s="487">
        <v>7.5000000000000006E-3</v>
      </c>
    </row>
    <row r="1778" spans="4:7">
      <c r="D1778" s="485">
        <v>44625</v>
      </c>
      <c r="E1778" s="467" t="s">
        <v>1995</v>
      </c>
      <c r="F1778" s="488" t="s">
        <v>1970</v>
      </c>
      <c r="G1778" s="487">
        <v>4.280092592592593E-2</v>
      </c>
    </row>
    <row r="1779" spans="4:7">
      <c r="D1779" s="485">
        <v>44626</v>
      </c>
      <c r="E1779" s="467" t="s">
        <v>1617</v>
      </c>
      <c r="F1779" s="486">
        <v>157</v>
      </c>
      <c r="G1779" s="487">
        <v>6.9027777777777785E-2</v>
      </c>
    </row>
    <row r="1780" spans="4:7">
      <c r="D1780" s="485">
        <v>44627</v>
      </c>
      <c r="E1780" s="467" t="s">
        <v>199</v>
      </c>
      <c r="F1780" s="488" t="s">
        <v>2835</v>
      </c>
      <c r="G1780" s="487">
        <v>2.9976851851851852E-2</v>
      </c>
    </row>
    <row r="1781" spans="4:7">
      <c r="D1781" s="485">
        <v>44631</v>
      </c>
      <c r="E1781" s="467" t="s">
        <v>1878</v>
      </c>
      <c r="F1781" s="488" t="s">
        <v>21</v>
      </c>
      <c r="G1781" s="487">
        <v>6.6840277777777776E-2</v>
      </c>
    </row>
    <row r="1782" spans="4:7">
      <c r="D1782" s="485">
        <v>44631</v>
      </c>
      <c r="E1782" s="467" t="s">
        <v>199</v>
      </c>
      <c r="F1782" s="488" t="s">
        <v>2851</v>
      </c>
      <c r="G1782" s="487">
        <v>9.2777777777777778E-2</v>
      </c>
    </row>
    <row r="1783" spans="4:7">
      <c r="D1783" s="485">
        <v>44631</v>
      </c>
      <c r="E1783" s="467" t="s">
        <v>1995</v>
      </c>
      <c r="F1783" s="488" t="s">
        <v>671</v>
      </c>
      <c r="G1783" s="487">
        <v>4.2222222222222223E-2</v>
      </c>
    </row>
    <row r="1784" spans="4:7">
      <c r="D1784" s="485">
        <v>44632</v>
      </c>
      <c r="E1784" s="467" t="s">
        <v>2814</v>
      </c>
      <c r="F1784" s="486">
        <v>0</v>
      </c>
      <c r="G1784" s="487">
        <v>7.0162037037037037E-2</v>
      </c>
    </row>
    <row r="1785" spans="4:7">
      <c r="D1785" s="485">
        <v>44634</v>
      </c>
      <c r="E1785" s="467" t="s">
        <v>2753</v>
      </c>
      <c r="F1785" s="486">
        <v>3</v>
      </c>
      <c r="G1785" s="487">
        <v>2.4641203703703703E-2</v>
      </c>
    </row>
    <row r="1786" spans="4:7">
      <c r="D1786" s="485">
        <v>44634</v>
      </c>
      <c r="E1786" s="467" t="s">
        <v>109</v>
      </c>
      <c r="F1786" s="488" t="s">
        <v>2860</v>
      </c>
      <c r="G1786" s="487">
        <v>3.6226851851851854E-3</v>
      </c>
    </row>
    <row r="1787" spans="4:7">
      <c r="D1787" s="485">
        <v>44637</v>
      </c>
      <c r="E1787" s="467" t="s">
        <v>636</v>
      </c>
      <c r="F1787" s="488">
        <v>214</v>
      </c>
      <c r="G1787" s="487">
        <v>2.685185185185185E-3</v>
      </c>
    </row>
    <row r="1788" spans="4:7">
      <c r="D1788" s="485">
        <v>44638</v>
      </c>
      <c r="E1788" s="467" t="s">
        <v>1617</v>
      </c>
      <c r="F1788" s="488" t="s">
        <v>2857</v>
      </c>
      <c r="G1788" s="487">
        <v>7.1921296296296303E-2</v>
      </c>
    </row>
    <row r="1789" spans="4:7">
      <c r="D1789" s="485">
        <v>44638</v>
      </c>
      <c r="E1789" s="467" t="s">
        <v>1662</v>
      </c>
      <c r="F1789" s="486">
        <v>11</v>
      </c>
      <c r="G1789" s="487">
        <v>3.0300925925925926E-2</v>
      </c>
    </row>
    <row r="1790" spans="4:7">
      <c r="D1790" s="485">
        <v>44638</v>
      </c>
      <c r="E1790" s="467" t="s">
        <v>1662</v>
      </c>
      <c r="F1790" s="486">
        <v>147</v>
      </c>
      <c r="G1790" s="487">
        <v>2.3587962962962963E-2</v>
      </c>
    </row>
    <row r="1791" spans="4:7">
      <c r="D1791" s="485">
        <v>44638</v>
      </c>
      <c r="E1791" s="467" t="s">
        <v>1385</v>
      </c>
      <c r="F1791" s="486">
        <v>215</v>
      </c>
      <c r="G1791" s="487">
        <v>1.5787037037037037E-2</v>
      </c>
    </row>
    <row r="1792" spans="4:7">
      <c r="D1792" s="485">
        <v>44638</v>
      </c>
      <c r="E1792" s="467" t="s">
        <v>3639</v>
      </c>
      <c r="F1792" s="486">
        <v>23</v>
      </c>
      <c r="G1792" s="487">
        <v>5.8252314814814819E-2</v>
      </c>
    </row>
    <row r="1793" spans="4:7">
      <c r="D1793" s="485">
        <v>44639</v>
      </c>
      <c r="E1793" s="467" t="s">
        <v>1617</v>
      </c>
      <c r="F1793" s="488" t="s">
        <v>2855</v>
      </c>
      <c r="G1793" s="487">
        <v>6.5752314814814819E-2</v>
      </c>
    </row>
    <row r="1794" spans="4:7">
      <c r="D1794" s="485">
        <v>44639</v>
      </c>
      <c r="E1794" s="467" t="s">
        <v>2815</v>
      </c>
      <c r="F1794" s="488">
        <v>0</v>
      </c>
      <c r="G1794" s="487">
        <v>8.3101851851851857E-2</v>
      </c>
    </row>
    <row r="1795" spans="4:7">
      <c r="D1795" s="485">
        <v>44640</v>
      </c>
      <c r="E1795" s="467" t="s">
        <v>1617</v>
      </c>
      <c r="F1795" s="486">
        <v>42</v>
      </c>
      <c r="G1795" s="487">
        <v>6.475694444444445E-2</v>
      </c>
    </row>
    <row r="1796" spans="4:7">
      <c r="D1796" s="485">
        <v>44641</v>
      </c>
      <c r="E1796" s="467" t="s">
        <v>109</v>
      </c>
      <c r="F1796" s="486">
        <v>102</v>
      </c>
      <c r="G1796" s="487">
        <v>7.3935185185185187E-2</v>
      </c>
    </row>
    <row r="1797" spans="4:7">
      <c r="D1797" s="485">
        <v>44644</v>
      </c>
      <c r="E1797" s="467" t="s">
        <v>1326</v>
      </c>
      <c r="F1797" s="486">
        <v>172</v>
      </c>
      <c r="G1797" s="487">
        <v>7.9502314814814817E-2</v>
      </c>
    </row>
    <row r="1798" spans="4:7">
      <c r="D1798" s="485">
        <v>44645</v>
      </c>
      <c r="E1798" s="467" t="s">
        <v>1878</v>
      </c>
      <c r="F1798" s="486">
        <v>111</v>
      </c>
      <c r="G1798" s="487">
        <v>7.9988425925925921E-2</v>
      </c>
    </row>
    <row r="1799" spans="4:7">
      <c r="D1799" s="485">
        <v>44648</v>
      </c>
      <c r="E1799" s="467" t="s">
        <v>2753</v>
      </c>
      <c r="F1799" s="486">
        <v>4</v>
      </c>
      <c r="G1799" s="487">
        <v>2.0879629629629626E-2</v>
      </c>
    </row>
    <row r="1800" spans="4:7">
      <c r="D1800" s="485">
        <v>44651</v>
      </c>
      <c r="E1800" s="467" t="s">
        <v>44</v>
      </c>
      <c r="F1800" s="486">
        <v>2</v>
      </c>
      <c r="G1800" s="487">
        <v>0.10582175925925925</v>
      </c>
    </row>
    <row r="1801" spans="4:7">
      <c r="D1801" s="485">
        <v>44651</v>
      </c>
      <c r="E1801" s="467" t="s">
        <v>109</v>
      </c>
      <c r="F1801" s="486">
        <v>53</v>
      </c>
      <c r="G1801" s="487">
        <v>9.4525462962962978E-2</v>
      </c>
    </row>
    <row r="1802" spans="4:7">
      <c r="D1802" s="489">
        <v>44652</v>
      </c>
      <c r="E1802" s="467" t="s">
        <v>1617</v>
      </c>
      <c r="F1802" s="483">
        <v>45</v>
      </c>
      <c r="G1802" s="490">
        <v>6.8298611111111115E-2</v>
      </c>
    </row>
    <row r="1803" spans="4:7">
      <c r="D1803" s="489">
        <v>44652</v>
      </c>
      <c r="E1803" s="467" t="s">
        <v>2814</v>
      </c>
      <c r="F1803" s="483">
        <v>0</v>
      </c>
      <c r="G1803" s="490">
        <v>5.4560185185185184E-2</v>
      </c>
    </row>
    <row r="1804" spans="4:7">
      <c r="D1804" s="489">
        <v>44652</v>
      </c>
      <c r="E1804" s="467" t="s">
        <v>1995</v>
      </c>
      <c r="F1804" s="495" t="s">
        <v>1966</v>
      </c>
      <c r="G1804" s="490">
        <v>4.2141203703703702E-2</v>
      </c>
    </row>
    <row r="1805" spans="4:7">
      <c r="D1805" s="489">
        <v>44654</v>
      </c>
      <c r="E1805" s="467" t="s">
        <v>1617</v>
      </c>
      <c r="F1805" s="483">
        <v>113</v>
      </c>
      <c r="G1805" s="490">
        <v>5.6840277777777781E-2</v>
      </c>
    </row>
    <row r="1806" spans="4:7">
      <c r="D1806" s="489">
        <v>44654</v>
      </c>
      <c r="E1806" s="467" t="s">
        <v>1684</v>
      </c>
      <c r="F1806" s="483">
        <v>15</v>
      </c>
      <c r="G1806" s="490">
        <v>2.5358796296296296E-2</v>
      </c>
    </row>
    <row r="1807" spans="4:7">
      <c r="D1807" s="489">
        <v>44654</v>
      </c>
      <c r="E1807" s="467" t="s">
        <v>1684</v>
      </c>
      <c r="F1807" s="483">
        <v>167</v>
      </c>
      <c r="G1807" s="490">
        <v>1.951388888888889E-2</v>
      </c>
    </row>
    <row r="1808" spans="4:7">
      <c r="D1808" s="489">
        <v>44659</v>
      </c>
      <c r="E1808" s="467" t="s">
        <v>199</v>
      </c>
      <c r="F1808" s="483">
        <v>37</v>
      </c>
      <c r="G1808" s="490">
        <v>0.12231481481481482</v>
      </c>
    </row>
    <row r="1809" spans="4:7">
      <c r="D1809" s="489">
        <v>44659</v>
      </c>
      <c r="E1809" s="467" t="s">
        <v>1878</v>
      </c>
      <c r="F1809" s="483">
        <v>84</v>
      </c>
      <c r="G1809" s="490">
        <v>8.8761574074074076E-2</v>
      </c>
    </row>
    <row r="1810" spans="4:7">
      <c r="D1810" s="489">
        <v>44662</v>
      </c>
      <c r="E1810" s="467" t="s">
        <v>2753</v>
      </c>
      <c r="F1810" s="483">
        <v>5</v>
      </c>
      <c r="G1810" s="490">
        <v>3.4131944444444444E-2</v>
      </c>
    </row>
    <row r="1811" spans="4:7">
      <c r="D1811" s="489">
        <v>44664</v>
      </c>
      <c r="E1811" s="467" t="s">
        <v>636</v>
      </c>
      <c r="F1811" s="483">
        <v>215</v>
      </c>
      <c r="G1811" s="490">
        <v>2.7430555555555559E-3</v>
      </c>
    </row>
    <row r="1812" spans="4:7">
      <c r="D1812" s="489">
        <v>44666</v>
      </c>
      <c r="E1812" s="467" t="s">
        <v>1662</v>
      </c>
      <c r="F1812" s="483">
        <v>16</v>
      </c>
      <c r="G1812" s="490">
        <v>3.3969907407407407E-2</v>
      </c>
    </row>
    <row r="1813" spans="4:7">
      <c r="D1813" s="489">
        <v>44666</v>
      </c>
      <c r="E1813" s="467" t="s">
        <v>1662</v>
      </c>
      <c r="F1813" s="483">
        <v>181</v>
      </c>
      <c r="G1813" s="490">
        <v>2.4016203703703706E-2</v>
      </c>
    </row>
    <row r="1814" spans="4:7">
      <c r="D1814" s="489">
        <v>44666</v>
      </c>
      <c r="E1814" s="467" t="s">
        <v>1995</v>
      </c>
      <c r="F1814" s="483">
        <v>0</v>
      </c>
      <c r="G1814" s="490">
        <v>4.3402777777777783E-2</v>
      </c>
    </row>
    <row r="1815" spans="4:7">
      <c r="D1815" s="489">
        <v>44666</v>
      </c>
      <c r="E1815" s="467" t="s">
        <v>3639</v>
      </c>
      <c r="F1815" s="483">
        <v>24</v>
      </c>
      <c r="G1815" s="490">
        <v>6.4733796296296289E-2</v>
      </c>
    </row>
    <row r="1816" spans="4:7">
      <c r="D1816" s="489">
        <v>44667</v>
      </c>
      <c r="E1816" s="467" t="s">
        <v>2815</v>
      </c>
      <c r="F1816" s="483">
        <v>0</v>
      </c>
      <c r="G1816" s="490">
        <v>0.10489583333333334</v>
      </c>
    </row>
    <row r="1817" spans="4:7">
      <c r="D1817" s="489">
        <v>44668</v>
      </c>
      <c r="E1817" s="467" t="s">
        <v>1617</v>
      </c>
      <c r="F1817" s="483">
        <v>91</v>
      </c>
      <c r="G1817" s="490">
        <v>7.7962962962962956E-2</v>
      </c>
    </row>
    <row r="1818" spans="4:7">
      <c r="D1818" s="489">
        <v>44670</v>
      </c>
      <c r="E1818" s="467" t="s">
        <v>109</v>
      </c>
      <c r="F1818" s="483">
        <v>168</v>
      </c>
      <c r="G1818" s="490">
        <v>8.7037037037037038E-2</v>
      </c>
    </row>
    <row r="1819" spans="4:7">
      <c r="D1819" s="489">
        <v>44672</v>
      </c>
      <c r="E1819" s="467" t="s">
        <v>1326</v>
      </c>
      <c r="F1819" s="483">
        <v>73</v>
      </c>
      <c r="G1819" s="490">
        <v>7.6655092592592594E-2</v>
      </c>
    </row>
    <row r="1820" spans="4:7">
      <c r="D1820" s="489">
        <v>44673</v>
      </c>
      <c r="E1820" s="467" t="s">
        <v>1878</v>
      </c>
      <c r="F1820" s="483">
        <v>47</v>
      </c>
      <c r="G1820" s="490">
        <v>7.8136574074074081E-2</v>
      </c>
    </row>
    <row r="1821" spans="4:7">
      <c r="D1821" s="489">
        <v>44676</v>
      </c>
      <c r="E1821" s="467" t="s">
        <v>2753</v>
      </c>
      <c r="F1821" s="483">
        <v>6</v>
      </c>
      <c r="G1821" s="490">
        <v>2.4525462962962968E-2</v>
      </c>
    </row>
    <row r="1822" spans="4:7">
      <c r="D1822" s="489">
        <v>44680</v>
      </c>
      <c r="E1822" s="467" t="s">
        <v>199</v>
      </c>
      <c r="F1822" s="483">
        <v>103</v>
      </c>
      <c r="G1822" s="490">
        <v>0.21341435185185187</v>
      </c>
    </row>
    <row r="1823" spans="4:7">
      <c r="D1823" s="489">
        <v>44680</v>
      </c>
      <c r="E1823" s="467" t="s">
        <v>1995</v>
      </c>
      <c r="F1823" s="495" t="s">
        <v>1991</v>
      </c>
      <c r="G1823" s="490">
        <v>4.9317129629629634E-2</v>
      </c>
    </row>
    <row r="1824" spans="4:7">
      <c r="D1824" s="489">
        <v>44681</v>
      </c>
      <c r="E1824" s="467" t="s">
        <v>44</v>
      </c>
      <c r="F1824" s="483">
        <v>136</v>
      </c>
      <c r="G1824" s="490">
        <v>9.3738425925925919E-2</v>
      </c>
    </row>
    <row r="1825" spans="4:7">
      <c r="D1825" s="489">
        <v>44681</v>
      </c>
      <c r="E1825" s="467" t="s">
        <v>1617</v>
      </c>
      <c r="F1825" s="495" t="s">
        <v>3100</v>
      </c>
      <c r="G1825" s="490">
        <v>4.9884259259259265E-3</v>
      </c>
    </row>
    <row r="1826" spans="4:7">
      <c r="D1826" s="489">
        <v>44682</v>
      </c>
      <c r="E1826" s="467" t="s">
        <v>1617</v>
      </c>
      <c r="F1826" s="483">
        <v>92</v>
      </c>
      <c r="G1826" s="490">
        <v>9.5023148148148148E-2</v>
      </c>
    </row>
    <row r="1827" spans="4:7">
      <c r="D1827" s="489">
        <v>44684</v>
      </c>
      <c r="E1827" s="467" t="s">
        <v>1684</v>
      </c>
      <c r="F1827" s="483">
        <v>16</v>
      </c>
      <c r="G1827" s="490">
        <v>2.6655092592592591E-2</v>
      </c>
    </row>
    <row r="1828" spans="4:7">
      <c r="D1828" s="489">
        <v>44684</v>
      </c>
      <c r="E1828" s="467" t="s">
        <v>1684</v>
      </c>
      <c r="F1828" s="483">
        <v>181</v>
      </c>
      <c r="G1828" s="490">
        <v>1.9502314814814816E-2</v>
      </c>
    </row>
    <row r="1829" spans="4:7">
      <c r="D1829" s="489">
        <v>44685</v>
      </c>
      <c r="E1829" s="467" t="s">
        <v>2948</v>
      </c>
      <c r="F1829" s="483">
        <v>14</v>
      </c>
      <c r="G1829" s="490">
        <v>0.12387731481481483</v>
      </c>
    </row>
    <row r="1830" spans="4:7">
      <c r="D1830" s="489">
        <v>44687</v>
      </c>
      <c r="E1830" s="467" t="s">
        <v>1878</v>
      </c>
      <c r="F1830" s="483">
        <v>207</v>
      </c>
      <c r="G1830" s="490">
        <v>6.1793981481481484E-2</v>
      </c>
    </row>
    <row r="1831" spans="4:7">
      <c r="D1831" s="489">
        <v>44687</v>
      </c>
      <c r="E1831" s="467" t="s">
        <v>1995</v>
      </c>
      <c r="F1831" s="495" t="s">
        <v>675</v>
      </c>
      <c r="G1831" s="490">
        <v>4.4097222222222225E-2</v>
      </c>
    </row>
    <row r="1832" spans="4:7">
      <c r="D1832" s="489">
        <v>44690</v>
      </c>
      <c r="E1832" s="467" t="s">
        <v>2753</v>
      </c>
      <c r="F1832" s="483">
        <v>7</v>
      </c>
      <c r="G1832" s="490">
        <v>3.0185185185185186E-2</v>
      </c>
    </row>
    <row r="1833" spans="4:7">
      <c r="D1833" s="489">
        <v>44693</v>
      </c>
      <c r="E1833" s="467" t="s">
        <v>3036</v>
      </c>
      <c r="F1833" s="483">
        <v>0</v>
      </c>
      <c r="G1833" s="490">
        <v>3.3125000000000002E-2</v>
      </c>
    </row>
    <row r="1834" spans="4:7">
      <c r="D1834" s="489">
        <v>44694</v>
      </c>
      <c r="E1834" s="467" t="s">
        <v>199</v>
      </c>
      <c r="F1834" s="483">
        <v>125</v>
      </c>
      <c r="G1834" s="490">
        <v>0.1637962962962963</v>
      </c>
    </row>
    <row r="1835" spans="4:7">
      <c r="D1835" s="489">
        <v>44694</v>
      </c>
      <c r="E1835" s="467" t="s">
        <v>1995</v>
      </c>
      <c r="F1835" s="495" t="s">
        <v>1956</v>
      </c>
      <c r="G1835" s="490">
        <v>4.4374999999999998E-2</v>
      </c>
    </row>
    <row r="1836" spans="4:7">
      <c r="D1836" s="489">
        <v>44695</v>
      </c>
      <c r="E1836" s="467" t="s">
        <v>2815</v>
      </c>
      <c r="F1836" s="483">
        <v>0</v>
      </c>
      <c r="G1836" s="490">
        <v>9.4375000000000001E-2</v>
      </c>
    </row>
    <row r="1837" spans="4:7">
      <c r="D1837" s="489">
        <v>44696</v>
      </c>
      <c r="E1837" s="467" t="s">
        <v>1617</v>
      </c>
      <c r="F1837" s="483">
        <v>11</v>
      </c>
      <c r="G1837" s="490">
        <v>8.2789351851851864E-2</v>
      </c>
    </row>
    <row r="1838" spans="4:7">
      <c r="D1838" s="489">
        <v>44696</v>
      </c>
      <c r="E1838" s="467" t="s">
        <v>1617</v>
      </c>
      <c r="F1838" s="495" t="s">
        <v>2930</v>
      </c>
      <c r="G1838" s="490">
        <v>3.3622685185185179E-2</v>
      </c>
    </row>
    <row r="1839" spans="4:7">
      <c r="D1839" s="489">
        <v>44700</v>
      </c>
      <c r="E1839" s="467" t="s">
        <v>2814</v>
      </c>
      <c r="F1839" s="483">
        <v>0</v>
      </c>
      <c r="G1839" s="490">
        <v>4.5254629629629624E-2</v>
      </c>
    </row>
    <row r="1840" spans="4:7">
      <c r="D1840" s="489">
        <v>44701</v>
      </c>
      <c r="E1840" s="467" t="s">
        <v>199</v>
      </c>
      <c r="F1840" s="483">
        <v>125</v>
      </c>
      <c r="G1840" s="490">
        <v>8.7870370370370376E-2</v>
      </c>
    </row>
    <row r="1841" spans="4:7">
      <c r="D1841" s="489">
        <v>44701</v>
      </c>
      <c r="E1841" s="467" t="s">
        <v>1878</v>
      </c>
      <c r="F1841" s="483">
        <v>42</v>
      </c>
      <c r="G1841" s="490">
        <v>6.834490740740741E-2</v>
      </c>
    </row>
    <row r="1842" spans="4:7">
      <c r="D1842" s="489">
        <v>44701</v>
      </c>
      <c r="E1842" s="467" t="s">
        <v>1385</v>
      </c>
      <c r="F1842" s="483">
        <v>216</v>
      </c>
      <c r="G1842" s="490">
        <v>1.8298611111111113E-2</v>
      </c>
    </row>
    <row r="1843" spans="4:7">
      <c r="D1843" s="489">
        <v>44701</v>
      </c>
      <c r="E1843" s="467" t="s">
        <v>1995</v>
      </c>
      <c r="F1843" s="495" t="s">
        <v>693</v>
      </c>
      <c r="G1843" s="490">
        <v>4.1342592592592591E-2</v>
      </c>
    </row>
    <row r="1844" spans="4:7">
      <c r="D1844" s="489">
        <v>44701</v>
      </c>
      <c r="E1844" s="467" t="s">
        <v>3639</v>
      </c>
      <c r="F1844" s="495">
        <v>25</v>
      </c>
      <c r="G1844" s="490">
        <v>5.935185185185185E-2</v>
      </c>
    </row>
    <row r="1845" spans="4:7">
      <c r="D1845" s="489">
        <v>44703</v>
      </c>
      <c r="E1845" s="467" t="s">
        <v>1686</v>
      </c>
      <c r="F1845" s="483">
        <v>0</v>
      </c>
      <c r="G1845" s="490">
        <v>5.7222222222222223E-2</v>
      </c>
    </row>
    <row r="1846" spans="4:7">
      <c r="D1846" s="489">
        <v>44704</v>
      </c>
      <c r="E1846" s="467" t="s">
        <v>2753</v>
      </c>
      <c r="F1846" s="483">
        <v>8</v>
      </c>
      <c r="G1846" s="490">
        <v>2.9594907407407407E-2</v>
      </c>
    </row>
    <row r="1847" spans="4:7">
      <c r="D1847" s="489">
        <v>44705</v>
      </c>
      <c r="E1847" s="467" t="s">
        <v>114</v>
      </c>
      <c r="F1847" s="483">
        <v>144</v>
      </c>
      <c r="G1847" s="490">
        <v>7.5266203703703696E-2</v>
      </c>
    </row>
    <row r="1848" spans="4:7">
      <c r="D1848" s="489">
        <v>44708</v>
      </c>
      <c r="E1848" s="467" t="s">
        <v>199</v>
      </c>
      <c r="F1848" s="483">
        <v>125</v>
      </c>
      <c r="G1848" s="490">
        <v>0.10055555555555555</v>
      </c>
    </row>
    <row r="1849" spans="4:7">
      <c r="D1849" s="489">
        <v>44708</v>
      </c>
      <c r="E1849" s="467" t="s">
        <v>1662</v>
      </c>
      <c r="F1849" s="483">
        <v>3</v>
      </c>
      <c r="G1849" s="490">
        <v>2.5983796296296297E-2</v>
      </c>
    </row>
    <row r="1850" spans="4:7">
      <c r="D1850" s="489">
        <v>44708</v>
      </c>
      <c r="E1850" s="467" t="s">
        <v>1662</v>
      </c>
      <c r="F1850" s="483">
        <v>142</v>
      </c>
      <c r="G1850" s="490">
        <v>2.3495370370370371E-2</v>
      </c>
    </row>
    <row r="1851" spans="4:7">
      <c r="D1851" s="489">
        <v>44709</v>
      </c>
      <c r="E1851" s="467" t="s">
        <v>1617</v>
      </c>
      <c r="F1851" s="495" t="s">
        <v>3101</v>
      </c>
      <c r="G1851" s="490">
        <v>2.0127314814814817E-2</v>
      </c>
    </row>
    <row r="1852" spans="4:7">
      <c r="D1852" s="489">
        <v>44710</v>
      </c>
      <c r="E1852" s="467" t="s">
        <v>1326</v>
      </c>
      <c r="F1852" s="483">
        <v>171</v>
      </c>
      <c r="G1852" s="490">
        <v>7.6504629629629631E-2</v>
      </c>
    </row>
    <row r="1853" spans="4:7">
      <c r="D1853" s="489">
        <v>44710</v>
      </c>
      <c r="E1853" s="467" t="s">
        <v>1617</v>
      </c>
      <c r="F1853" s="483">
        <v>214</v>
      </c>
      <c r="G1853" s="490">
        <v>9.5844907407407406E-2</v>
      </c>
    </row>
    <row r="1854" spans="4:7">
      <c r="D1854" s="489">
        <v>44712</v>
      </c>
      <c r="E1854" s="467" t="s">
        <v>44</v>
      </c>
      <c r="F1854" s="483">
        <v>51</v>
      </c>
      <c r="G1854" s="490">
        <v>9.2893518518518514E-2</v>
      </c>
    </row>
    <row r="1855" spans="4:7">
      <c r="D1855" s="489">
        <v>44712</v>
      </c>
      <c r="E1855" s="467" t="s">
        <v>109</v>
      </c>
      <c r="F1855" s="495" t="s">
        <v>2924</v>
      </c>
      <c r="G1855" s="490">
        <v>7.5324074074074085E-2</v>
      </c>
    </row>
    <row r="1856" spans="4:7">
      <c r="D1856" s="485">
        <v>44715</v>
      </c>
      <c r="E1856" s="467" t="s">
        <v>1684</v>
      </c>
      <c r="F1856" s="483">
        <v>17</v>
      </c>
      <c r="G1856" s="487">
        <v>2.1828703703703701E-2</v>
      </c>
    </row>
    <row r="1857" spans="4:7">
      <c r="D1857" s="485">
        <v>44715</v>
      </c>
      <c r="E1857" s="467" t="s">
        <v>1684</v>
      </c>
      <c r="F1857" s="550">
        <v>177</v>
      </c>
      <c r="G1857" s="487">
        <v>2.3541666666666666E-2</v>
      </c>
    </row>
    <row r="1858" spans="4:7">
      <c r="D1858" s="485">
        <v>44715</v>
      </c>
      <c r="E1858" s="467" t="s">
        <v>1878</v>
      </c>
      <c r="F1858" s="486">
        <v>16</v>
      </c>
      <c r="G1858" s="487">
        <v>5.7222222222222223E-2</v>
      </c>
    </row>
    <row r="1859" spans="4:7">
      <c r="D1859" s="485">
        <v>44717.750601851854</v>
      </c>
      <c r="E1859" s="467" t="s">
        <v>1995</v>
      </c>
      <c r="F1859" s="486">
        <v>0</v>
      </c>
      <c r="G1859" s="487">
        <v>3.9398148148148147E-2</v>
      </c>
    </row>
    <row r="1860" spans="4:7">
      <c r="D1860" s="489">
        <v>44718</v>
      </c>
      <c r="E1860" s="467" t="s">
        <v>2970</v>
      </c>
      <c r="F1860" s="483">
        <v>0</v>
      </c>
      <c r="G1860" s="490">
        <v>2.0335648148148148E-2</v>
      </c>
    </row>
    <row r="1861" spans="4:7">
      <c r="D1861" s="485">
        <v>44718.000925925924</v>
      </c>
      <c r="E1861" s="467" t="s">
        <v>2753</v>
      </c>
      <c r="F1861" s="486">
        <v>9</v>
      </c>
      <c r="G1861" s="487">
        <v>3.2951388888888891E-2</v>
      </c>
    </row>
    <row r="1862" spans="4:7">
      <c r="D1862" s="485">
        <v>44721</v>
      </c>
      <c r="E1862" s="467" t="s">
        <v>109</v>
      </c>
      <c r="F1862" s="486">
        <v>214</v>
      </c>
      <c r="G1862" s="487">
        <v>0.11141203703703705</v>
      </c>
    </row>
    <row r="1863" spans="4:7">
      <c r="D1863" s="485">
        <v>44722.702835648146</v>
      </c>
      <c r="E1863" s="467" t="s">
        <v>1995</v>
      </c>
      <c r="F1863" s="488" t="s">
        <v>726</v>
      </c>
      <c r="G1863" s="487">
        <v>4.0567129629629627E-2</v>
      </c>
    </row>
    <row r="1864" spans="4:7">
      <c r="D1864" s="489">
        <v>44723</v>
      </c>
      <c r="E1864" s="467" t="s">
        <v>2815</v>
      </c>
      <c r="F1864" s="483">
        <v>0</v>
      </c>
      <c r="G1864" s="490">
        <v>0.10504629629629629</v>
      </c>
    </row>
    <row r="1865" spans="4:7">
      <c r="D1865" s="485">
        <v>44724</v>
      </c>
      <c r="E1865" s="467" t="s">
        <v>1617</v>
      </c>
      <c r="F1865" s="486">
        <v>67</v>
      </c>
      <c r="G1865" s="487">
        <v>8.3564814814814814E-2</v>
      </c>
    </row>
    <row r="1866" spans="4:7">
      <c r="D1866" s="485">
        <v>44729.613564814812</v>
      </c>
      <c r="E1866" s="467" t="s">
        <v>1995</v>
      </c>
      <c r="F1866" s="488" t="s">
        <v>1968</v>
      </c>
      <c r="G1866" s="487">
        <v>3.8657407407407404E-2</v>
      </c>
    </row>
    <row r="1867" spans="4:7">
      <c r="D1867" s="485">
        <v>44729</v>
      </c>
      <c r="E1867" s="467" t="s">
        <v>3639</v>
      </c>
      <c r="F1867" s="488">
        <v>26</v>
      </c>
      <c r="G1867" s="487">
        <v>6.6226851851851856E-2</v>
      </c>
    </row>
    <row r="1868" spans="4:7">
      <c r="D1868" s="489">
        <v>44732</v>
      </c>
      <c r="E1868" s="467" t="s">
        <v>2814</v>
      </c>
      <c r="F1868" s="483">
        <v>0</v>
      </c>
      <c r="G1868" s="490">
        <v>4.3981481481481484E-3</v>
      </c>
    </row>
    <row r="1869" spans="4:7">
      <c r="D1869" s="485">
        <v>44732.000856481478</v>
      </c>
      <c r="E1869" s="467" t="s">
        <v>2753</v>
      </c>
      <c r="F1869" s="486">
        <v>10</v>
      </c>
      <c r="G1869" s="487">
        <v>2.7800925925925923E-2</v>
      </c>
    </row>
    <row r="1870" spans="4:7">
      <c r="D1870" s="485">
        <v>44736</v>
      </c>
      <c r="E1870" s="467" t="s">
        <v>199</v>
      </c>
      <c r="F1870" s="486">
        <v>16</v>
      </c>
      <c r="G1870" s="487">
        <v>0.11033564814814815</v>
      </c>
    </row>
    <row r="1871" spans="4:7">
      <c r="D1871" s="485">
        <v>44736</v>
      </c>
      <c r="E1871" s="467" t="s">
        <v>1326</v>
      </c>
      <c r="F1871" s="486">
        <v>81</v>
      </c>
      <c r="G1871" s="487">
        <v>8.2476851851851843E-2</v>
      </c>
    </row>
    <row r="1872" spans="4:7">
      <c r="D1872" s="485">
        <v>44736.004062499997</v>
      </c>
      <c r="E1872" s="467" t="s">
        <v>1995</v>
      </c>
      <c r="F1872" s="488" t="s">
        <v>1954</v>
      </c>
      <c r="G1872" s="487">
        <v>3.982638888888889E-2</v>
      </c>
    </row>
    <row r="1873" spans="4:7">
      <c r="D1873" s="485">
        <v>44737</v>
      </c>
      <c r="E1873" s="467" t="s">
        <v>1878</v>
      </c>
      <c r="F1873" s="488" t="s">
        <v>1372</v>
      </c>
      <c r="G1873" s="487">
        <v>0.1461226851851852</v>
      </c>
    </row>
    <row r="1874" spans="4:7">
      <c r="D1874" s="485">
        <v>44738</v>
      </c>
      <c r="E1874" s="467" t="s">
        <v>1617</v>
      </c>
      <c r="F1874" s="486">
        <v>28</v>
      </c>
      <c r="G1874" s="487">
        <v>6.5787037037037033E-2</v>
      </c>
    </row>
    <row r="1875" spans="4:7">
      <c r="D1875" s="485">
        <v>44739</v>
      </c>
      <c r="E1875" s="467" t="s">
        <v>109</v>
      </c>
      <c r="F1875" s="486">
        <v>61</v>
      </c>
      <c r="G1875" s="487">
        <v>0.10363425925925925</v>
      </c>
    </row>
    <row r="1876" spans="4:7">
      <c r="D1876" s="485">
        <v>44742.770833333336</v>
      </c>
      <c r="E1876" s="467" t="s">
        <v>44</v>
      </c>
      <c r="F1876" s="486">
        <v>104</v>
      </c>
      <c r="G1876" s="487">
        <v>0.10979166666666666</v>
      </c>
    </row>
    <row r="1877" spans="4:7">
      <c r="D1877" s="485">
        <v>44743.000486111108</v>
      </c>
      <c r="E1877" s="467" t="s">
        <v>1995</v>
      </c>
      <c r="F1877" s="488" t="s">
        <v>722</v>
      </c>
      <c r="G1877" s="487">
        <v>4.311342592592593E-2</v>
      </c>
    </row>
    <row r="1878" spans="4:7">
      <c r="D1878" s="485">
        <v>44745</v>
      </c>
      <c r="E1878" s="467" t="s">
        <v>1684</v>
      </c>
      <c r="F1878" s="486">
        <v>18</v>
      </c>
      <c r="G1878" s="487">
        <v>2.1759259259259259E-2</v>
      </c>
    </row>
    <row r="1879" spans="4:7">
      <c r="D1879" s="485">
        <v>44745</v>
      </c>
      <c r="E1879" s="467" t="s">
        <v>1684</v>
      </c>
      <c r="F1879" s="550">
        <v>185</v>
      </c>
      <c r="G1879" s="487">
        <v>2.3796296296296298E-2</v>
      </c>
    </row>
    <row r="1880" spans="4:7">
      <c r="D1880" s="485">
        <v>44746.000983796293</v>
      </c>
      <c r="E1880" s="467" t="s">
        <v>2753</v>
      </c>
      <c r="F1880" s="486">
        <v>11</v>
      </c>
      <c r="G1880" s="487">
        <v>3.0497685185185183E-2</v>
      </c>
    </row>
    <row r="1881" spans="4:7">
      <c r="D1881" s="489">
        <v>44750</v>
      </c>
      <c r="E1881" s="467" t="s">
        <v>1385</v>
      </c>
      <c r="F1881" s="483">
        <v>217</v>
      </c>
      <c r="G1881" s="490">
        <v>1.695601851851852E-2</v>
      </c>
    </row>
    <row r="1882" spans="4:7">
      <c r="D1882" s="485">
        <v>44750.00372685185</v>
      </c>
      <c r="E1882" s="467" t="s">
        <v>1995</v>
      </c>
      <c r="F1882" s="488" t="s">
        <v>1958</v>
      </c>
      <c r="G1882" s="487">
        <v>4.238425925925926E-2</v>
      </c>
    </row>
    <row r="1883" spans="4:7">
      <c r="D1883" s="485">
        <v>44751</v>
      </c>
      <c r="E1883" s="467" t="s">
        <v>636</v>
      </c>
      <c r="F1883" s="486">
        <v>216</v>
      </c>
      <c r="G1883" s="487">
        <v>3.2407407407407406E-3</v>
      </c>
    </row>
    <row r="1884" spans="4:7">
      <c r="D1884" s="489">
        <v>44751</v>
      </c>
      <c r="E1884" s="467" t="s">
        <v>2815</v>
      </c>
      <c r="F1884" s="483">
        <v>0</v>
      </c>
      <c r="G1884" s="490">
        <v>8.8206018518518517E-2</v>
      </c>
    </row>
    <row r="1885" spans="4:7">
      <c r="D1885" s="485">
        <v>44752</v>
      </c>
      <c r="E1885" s="467" t="s">
        <v>1617</v>
      </c>
      <c r="F1885" s="486">
        <v>61</v>
      </c>
      <c r="G1885" s="487">
        <v>8.413194444444444E-2</v>
      </c>
    </row>
    <row r="1886" spans="4:7">
      <c r="D1886" s="485">
        <v>44753</v>
      </c>
      <c r="E1886" s="467" t="s">
        <v>109</v>
      </c>
      <c r="F1886" s="486">
        <v>147</v>
      </c>
      <c r="G1886" s="487">
        <v>0.11370370370370371</v>
      </c>
    </row>
    <row r="1887" spans="4:7">
      <c r="D1887" s="485">
        <v>44757.698101851849</v>
      </c>
      <c r="E1887" s="467" t="s">
        <v>1995</v>
      </c>
      <c r="F1887" s="488" t="s">
        <v>706</v>
      </c>
      <c r="G1887" s="487">
        <v>4.1215277777777774E-2</v>
      </c>
    </row>
    <row r="1888" spans="4:7">
      <c r="D1888" s="485">
        <v>44757</v>
      </c>
      <c r="E1888" s="467" t="s">
        <v>3639</v>
      </c>
      <c r="F1888" s="488">
        <v>27</v>
      </c>
      <c r="G1888" s="487">
        <v>6.4976851851851855E-2</v>
      </c>
    </row>
    <row r="1889" spans="4:7">
      <c r="D1889" s="485">
        <v>44760.001030092593</v>
      </c>
      <c r="E1889" s="467" t="s">
        <v>2753</v>
      </c>
      <c r="F1889" s="486">
        <v>12</v>
      </c>
      <c r="G1889" s="487">
        <v>2.4872685185185189E-2</v>
      </c>
    </row>
    <row r="1890" spans="4:7">
      <c r="D1890" s="485">
        <v>44764</v>
      </c>
      <c r="E1890" s="467" t="s">
        <v>1662</v>
      </c>
      <c r="F1890" s="486">
        <v>1</v>
      </c>
      <c r="G1890" s="487">
        <v>2.7754629629629629E-2</v>
      </c>
    </row>
    <row r="1891" spans="4:7">
      <c r="D1891" s="485">
        <v>44764</v>
      </c>
      <c r="E1891" s="467" t="s">
        <v>1662</v>
      </c>
      <c r="F1891" s="550">
        <v>216</v>
      </c>
      <c r="G1891" s="487">
        <v>2.8715277777777781E-2</v>
      </c>
    </row>
    <row r="1892" spans="4:7">
      <c r="D1892" s="485">
        <v>44766</v>
      </c>
      <c r="E1892" s="467" t="s">
        <v>1617</v>
      </c>
      <c r="F1892" s="486">
        <v>211</v>
      </c>
      <c r="G1892" s="487">
        <v>0.1019212962962963</v>
      </c>
    </row>
    <row r="1893" spans="4:7">
      <c r="D1893" s="489">
        <v>44766</v>
      </c>
      <c r="E1893" s="467" t="s">
        <v>2814</v>
      </c>
      <c r="F1893" s="483">
        <v>0</v>
      </c>
      <c r="G1893" s="490">
        <v>6.4363425925925921E-2</v>
      </c>
    </row>
    <row r="1894" spans="4:7">
      <c r="D1894" s="485">
        <v>44767</v>
      </c>
      <c r="E1894" s="467" t="s">
        <v>109</v>
      </c>
      <c r="F1894" s="488" t="s">
        <v>369</v>
      </c>
      <c r="G1894" s="487">
        <v>0.12409722222222223</v>
      </c>
    </row>
    <row r="1895" spans="4:7">
      <c r="D1895" s="485">
        <v>44768</v>
      </c>
      <c r="E1895" s="467" t="s">
        <v>199</v>
      </c>
      <c r="F1895" s="488" t="s">
        <v>145</v>
      </c>
      <c r="G1895" s="487">
        <v>5.9444444444444446E-2</v>
      </c>
    </row>
    <row r="1896" spans="4:7">
      <c r="D1896" s="485">
        <v>44768</v>
      </c>
      <c r="E1896" s="467" t="s">
        <v>1326</v>
      </c>
      <c r="F1896" s="486">
        <v>154</v>
      </c>
      <c r="G1896" s="487">
        <v>8.7210648148148148E-2</v>
      </c>
    </row>
    <row r="1897" spans="4:7">
      <c r="D1897" s="489">
        <v>44770</v>
      </c>
      <c r="E1897" s="467" t="s">
        <v>3036</v>
      </c>
      <c r="F1897" s="483">
        <v>0</v>
      </c>
      <c r="G1897" s="490">
        <v>3.6770833333333336E-2</v>
      </c>
    </row>
    <row r="1898" spans="4:7">
      <c r="D1898" s="485">
        <v>44771</v>
      </c>
      <c r="E1898" s="467" t="s">
        <v>199</v>
      </c>
      <c r="F1898" s="486">
        <v>90</v>
      </c>
      <c r="G1898" s="487">
        <v>0.15939814814814815</v>
      </c>
    </row>
    <row r="1899" spans="4:7">
      <c r="D1899" s="485">
        <v>44771</v>
      </c>
      <c r="E1899" s="467" t="s">
        <v>3639</v>
      </c>
      <c r="F1899" s="486">
        <v>0</v>
      </c>
      <c r="G1899" s="487">
        <v>6.1817129629629632E-2</v>
      </c>
    </row>
    <row r="1900" spans="4:7">
      <c r="D1900" s="485">
        <v>44773.003472222219</v>
      </c>
      <c r="E1900" s="467" t="s">
        <v>44</v>
      </c>
      <c r="F1900" s="486">
        <v>216</v>
      </c>
      <c r="G1900" s="487">
        <v>7.4745370370370365E-2</v>
      </c>
    </row>
    <row r="1901" spans="4:7">
      <c r="D1901" s="485">
        <v>44774.366122685184</v>
      </c>
      <c r="E1901" s="467" t="s">
        <v>2753</v>
      </c>
      <c r="F1901" s="486">
        <v>0</v>
      </c>
      <c r="G1901" s="487">
        <v>7.5347222222222213E-3</v>
      </c>
    </row>
    <row r="1902" spans="4:7">
      <c r="D1902" s="485">
        <v>44776</v>
      </c>
      <c r="E1902" s="467" t="s">
        <v>1684</v>
      </c>
      <c r="F1902" s="486">
        <v>19</v>
      </c>
      <c r="G1902" s="487">
        <v>2.5115740740740741E-2</v>
      </c>
    </row>
    <row r="1903" spans="4:7">
      <c r="D1903" s="485">
        <v>44776</v>
      </c>
      <c r="E1903" s="467" t="s">
        <v>1684</v>
      </c>
      <c r="F1903" s="550">
        <v>165</v>
      </c>
      <c r="G1903" s="487">
        <v>2.0682870370370372E-2</v>
      </c>
    </row>
    <row r="1904" spans="4:7">
      <c r="D1904" s="489">
        <v>44776</v>
      </c>
      <c r="E1904" s="467" t="s">
        <v>2806</v>
      </c>
      <c r="F1904" s="483">
        <v>0</v>
      </c>
      <c r="G1904" s="490">
        <v>4.6666666666666669E-2</v>
      </c>
    </row>
    <row r="1905" spans="4:7">
      <c r="D1905" s="489">
        <v>44779</v>
      </c>
      <c r="E1905" s="467" t="s">
        <v>2815</v>
      </c>
      <c r="F1905" s="483">
        <v>0</v>
      </c>
      <c r="G1905" s="490">
        <v>9.1307870370370373E-2</v>
      </c>
    </row>
    <row r="1906" spans="4:7">
      <c r="D1906" s="485">
        <v>44779.752476851849</v>
      </c>
      <c r="E1906" s="467" t="s">
        <v>1995</v>
      </c>
      <c r="F1906" s="488" t="s">
        <v>676</v>
      </c>
      <c r="G1906" s="487">
        <v>4.3217592592592592E-2</v>
      </c>
    </row>
    <row r="1907" spans="4:7">
      <c r="D1907" s="485">
        <v>44780</v>
      </c>
      <c r="E1907" s="467" t="s">
        <v>1617</v>
      </c>
      <c r="F1907" s="486">
        <v>107</v>
      </c>
      <c r="G1907" s="487">
        <v>5.5868055555555553E-2</v>
      </c>
    </row>
    <row r="1908" spans="4:7">
      <c r="D1908" s="485">
        <v>44782</v>
      </c>
      <c r="E1908" s="467" t="s">
        <v>636</v>
      </c>
      <c r="F1908" s="486">
        <v>217</v>
      </c>
      <c r="G1908" s="487">
        <v>3.8194444444444443E-3</v>
      </c>
    </row>
    <row r="1909" spans="4:7">
      <c r="D1909" s="485">
        <v>44784</v>
      </c>
      <c r="E1909" s="467" t="s">
        <v>572</v>
      </c>
      <c r="F1909" s="486">
        <v>209</v>
      </c>
      <c r="G1909" s="487">
        <v>4.2986111111111114E-2</v>
      </c>
    </row>
    <row r="1910" spans="4:7">
      <c r="D1910" s="485">
        <v>44785.004004629627</v>
      </c>
      <c r="E1910" s="467" t="s">
        <v>1995</v>
      </c>
      <c r="F1910" s="488" t="s">
        <v>1974</v>
      </c>
      <c r="G1910" s="487">
        <v>3.8715277777777779E-2</v>
      </c>
    </row>
    <row r="1911" spans="4:7">
      <c r="D1911" s="485">
        <v>44792</v>
      </c>
      <c r="E1911" s="467" t="s">
        <v>1662</v>
      </c>
      <c r="F1911" s="483">
        <v>75</v>
      </c>
      <c r="G1911" s="487">
        <v>3.4722222222222224E-2</v>
      </c>
    </row>
    <row r="1912" spans="4:7">
      <c r="D1912" s="485">
        <v>44792</v>
      </c>
      <c r="E1912" s="467" t="s">
        <v>1662</v>
      </c>
      <c r="F1912" s="550">
        <v>128</v>
      </c>
      <c r="G1912" s="487">
        <v>2.6030092592592594E-2</v>
      </c>
    </row>
    <row r="1913" spans="4:7">
      <c r="D1913" s="485">
        <v>44792</v>
      </c>
      <c r="E1913" s="467" t="s">
        <v>1878</v>
      </c>
      <c r="F1913" s="486">
        <v>78</v>
      </c>
      <c r="G1913" s="487">
        <v>9.121527777777777E-2</v>
      </c>
    </row>
    <row r="1914" spans="4:7">
      <c r="D1914" s="485">
        <v>44792</v>
      </c>
      <c r="E1914" s="467" t="s">
        <v>3639</v>
      </c>
      <c r="F1914" s="486">
        <v>28</v>
      </c>
      <c r="G1914" s="487">
        <v>6.5358796296296304E-2</v>
      </c>
    </row>
    <row r="1915" spans="4:7">
      <c r="D1915" s="485">
        <v>44793</v>
      </c>
      <c r="E1915" s="467" t="s">
        <v>3730</v>
      </c>
      <c r="F1915" s="486">
        <v>0</v>
      </c>
      <c r="G1915" s="487">
        <v>5.8692129629629629E-2</v>
      </c>
    </row>
    <row r="1916" spans="4:7">
      <c r="D1916" s="485">
        <v>44794</v>
      </c>
      <c r="E1916" s="467" t="s">
        <v>1617</v>
      </c>
      <c r="F1916" s="486">
        <v>192</v>
      </c>
      <c r="G1916" s="487">
        <v>5.28587962962963E-2</v>
      </c>
    </row>
    <row r="1917" spans="4:7">
      <c r="D1917" s="485">
        <v>44797</v>
      </c>
      <c r="E1917" s="467" t="s">
        <v>1326</v>
      </c>
      <c r="F1917" s="486">
        <v>0</v>
      </c>
      <c r="G1917" s="487">
        <v>4.9016203703703708E-2</v>
      </c>
    </row>
    <row r="1918" spans="4:7">
      <c r="D1918" s="485">
        <v>44799.000173611108</v>
      </c>
      <c r="E1918" s="467" t="s">
        <v>1995</v>
      </c>
      <c r="F1918" s="488" t="s">
        <v>1989</v>
      </c>
      <c r="G1918" s="487">
        <v>4.3750000000000004E-2</v>
      </c>
    </row>
    <row r="1919" spans="4:7">
      <c r="D1919" s="485">
        <v>44804</v>
      </c>
      <c r="E1919" s="467" t="s">
        <v>109</v>
      </c>
      <c r="F1919" s="488" t="s">
        <v>2992</v>
      </c>
      <c r="G1919" s="487">
        <v>4.1736111111111113E-2</v>
      </c>
    </row>
    <row r="1920" spans="4:7">
      <c r="D1920" s="485">
        <v>44804</v>
      </c>
      <c r="E1920" s="467" t="s">
        <v>1326</v>
      </c>
      <c r="F1920" s="486">
        <v>16</v>
      </c>
      <c r="G1920" s="487">
        <v>7.9247685185185185E-2</v>
      </c>
    </row>
    <row r="1921" spans="4:7">
      <c r="D1921" s="489">
        <v>44804</v>
      </c>
      <c r="E1921" s="467" t="s">
        <v>2806</v>
      </c>
      <c r="F1921" s="483">
        <v>0</v>
      </c>
      <c r="G1921" s="490">
        <v>4.9328703703703701E-2</v>
      </c>
    </row>
    <row r="1922" spans="4:7">
      <c r="D1922" s="485">
        <v>44804.333333333336</v>
      </c>
      <c r="E1922" s="467" t="s">
        <v>44</v>
      </c>
      <c r="F1922" s="486">
        <v>91</v>
      </c>
      <c r="G1922" s="487">
        <v>9.3055555555555558E-2</v>
      </c>
    </row>
    <row r="1923" spans="4:7">
      <c r="D1923" s="485">
        <v>44806</v>
      </c>
      <c r="E1923" s="467" t="s">
        <v>1878</v>
      </c>
      <c r="F1923" s="486">
        <v>25</v>
      </c>
      <c r="G1923" s="487">
        <v>9.0081018518518519E-2</v>
      </c>
    </row>
    <row r="1924" spans="4:7">
      <c r="D1924" s="485">
        <v>44806.391944444447</v>
      </c>
      <c r="E1924" s="467" t="s">
        <v>1995</v>
      </c>
      <c r="F1924" s="488" t="s">
        <v>658</v>
      </c>
      <c r="G1924" s="487">
        <v>3.9155092592592596E-2</v>
      </c>
    </row>
    <row r="1925" spans="4:7">
      <c r="D1925" s="485">
        <v>44807</v>
      </c>
      <c r="E1925" s="467" t="s">
        <v>1684</v>
      </c>
      <c r="F1925" s="486">
        <v>20</v>
      </c>
      <c r="G1925" s="487">
        <v>2.6574074074074073E-2</v>
      </c>
    </row>
    <row r="1926" spans="4:7">
      <c r="D1926" s="485">
        <v>44807</v>
      </c>
      <c r="E1926" s="467" t="s">
        <v>1684</v>
      </c>
      <c r="F1926" s="550">
        <v>169</v>
      </c>
      <c r="G1926" s="487">
        <v>1.6898148148148148E-2</v>
      </c>
    </row>
    <row r="1927" spans="4:7">
      <c r="D1927" s="489">
        <v>44807</v>
      </c>
      <c r="E1927" s="467" t="s">
        <v>2815</v>
      </c>
      <c r="F1927" s="483">
        <v>0</v>
      </c>
      <c r="G1927" s="490">
        <v>7.8530092592592596E-2</v>
      </c>
    </row>
    <row r="1928" spans="4:7">
      <c r="D1928" s="485">
        <v>44808</v>
      </c>
      <c r="E1928" s="467" t="s">
        <v>1617</v>
      </c>
      <c r="F1928" s="486">
        <v>167</v>
      </c>
      <c r="G1928" s="487">
        <v>7.2141203703703707E-2</v>
      </c>
    </row>
    <row r="1929" spans="4:7">
      <c r="D1929" s="485">
        <v>44810</v>
      </c>
      <c r="E1929" s="467" t="s">
        <v>3730</v>
      </c>
      <c r="F1929" s="486">
        <v>0</v>
      </c>
      <c r="G1929" s="487">
        <v>5.7337962962962959E-2</v>
      </c>
    </row>
    <row r="1930" spans="4:7">
      <c r="D1930" s="489">
        <v>44813</v>
      </c>
      <c r="E1930" s="467" t="s">
        <v>1385</v>
      </c>
      <c r="F1930" s="483">
        <v>218</v>
      </c>
      <c r="G1930" s="490">
        <v>2.1921296296296296E-2</v>
      </c>
    </row>
    <row r="1931" spans="4:7">
      <c r="D1931" s="485">
        <v>44813.000543981485</v>
      </c>
      <c r="E1931" s="467" t="s">
        <v>1995</v>
      </c>
      <c r="F1931" s="488" t="s">
        <v>2084</v>
      </c>
      <c r="G1931" s="487">
        <v>4.476851851851852E-2</v>
      </c>
    </row>
    <row r="1932" spans="4:7">
      <c r="D1932" s="485">
        <v>44816</v>
      </c>
      <c r="E1932" s="467" t="s">
        <v>3981</v>
      </c>
      <c r="F1932" s="488">
        <v>0</v>
      </c>
      <c r="G1932" s="487">
        <v>4.7453703703703704E-4</v>
      </c>
    </row>
    <row r="1933" spans="4:7">
      <c r="D1933" s="485">
        <v>44817</v>
      </c>
      <c r="E1933" s="467" t="s">
        <v>109</v>
      </c>
      <c r="F1933" s="486">
        <v>57</v>
      </c>
      <c r="G1933" s="487">
        <v>0.1038425925925926</v>
      </c>
    </row>
    <row r="1934" spans="4:7">
      <c r="D1934" s="489">
        <v>44819</v>
      </c>
      <c r="E1934" s="467" t="s">
        <v>3036</v>
      </c>
      <c r="F1934" s="483">
        <v>0</v>
      </c>
      <c r="G1934" s="490">
        <v>5.1736111111111115E-2</v>
      </c>
    </row>
    <row r="1935" spans="4:7">
      <c r="D1935" s="489">
        <v>44819</v>
      </c>
      <c r="E1935" s="467" t="s">
        <v>3981</v>
      </c>
      <c r="F1935" s="483">
        <v>1</v>
      </c>
      <c r="G1935" s="490">
        <v>4.2083333333333334E-2</v>
      </c>
    </row>
    <row r="1936" spans="4:7">
      <c r="D1936" s="485">
        <v>44820</v>
      </c>
      <c r="E1936" s="467" t="s">
        <v>199</v>
      </c>
      <c r="F1936" s="486">
        <v>12</v>
      </c>
      <c r="G1936" s="487">
        <v>0.1386111111111111</v>
      </c>
    </row>
    <row r="1937" spans="4:7">
      <c r="D1937" s="485">
        <v>44820</v>
      </c>
      <c r="E1937" s="467" t="s">
        <v>1878</v>
      </c>
      <c r="F1937" s="488" t="s">
        <v>22</v>
      </c>
      <c r="G1937" s="487">
        <v>7.318287037037037E-2</v>
      </c>
    </row>
    <row r="1938" spans="4:7">
      <c r="D1938" s="485">
        <v>44820</v>
      </c>
      <c r="E1938" s="467" t="s">
        <v>3639</v>
      </c>
      <c r="F1938" s="488">
        <v>29</v>
      </c>
      <c r="G1938" s="487">
        <v>3.892361111111111E-2</v>
      </c>
    </row>
    <row r="1939" spans="4:7">
      <c r="D1939" s="485">
        <v>44822</v>
      </c>
      <c r="E1939" s="467" t="s">
        <v>572</v>
      </c>
      <c r="F1939" s="486">
        <v>100</v>
      </c>
      <c r="G1939" s="487">
        <v>6.5439814814814812E-2</v>
      </c>
    </row>
    <row r="1940" spans="4:7">
      <c r="D1940" s="485">
        <v>44822</v>
      </c>
      <c r="E1940" s="467" t="s">
        <v>1617</v>
      </c>
      <c r="F1940" s="486">
        <v>110</v>
      </c>
      <c r="G1940" s="487">
        <v>7.6597222222222219E-2</v>
      </c>
    </row>
    <row r="1941" spans="4:7">
      <c r="D1941" s="485">
        <v>44826</v>
      </c>
      <c r="E1941" s="467" t="s">
        <v>3981</v>
      </c>
      <c r="F1941" s="486">
        <v>2</v>
      </c>
      <c r="G1941" s="487">
        <v>4.0451388888888891E-2</v>
      </c>
    </row>
    <row r="1942" spans="4:7">
      <c r="D1942" s="485">
        <v>44827</v>
      </c>
      <c r="E1942" s="467" t="s">
        <v>1662</v>
      </c>
      <c r="F1942" s="486">
        <v>77</v>
      </c>
      <c r="G1942" s="487">
        <v>2.4236111111111111E-2</v>
      </c>
    </row>
    <row r="1943" spans="4:7">
      <c r="D1943" s="485">
        <v>44827</v>
      </c>
      <c r="E1943" s="467" t="s">
        <v>1662</v>
      </c>
      <c r="F1943" s="550">
        <v>202</v>
      </c>
      <c r="G1943" s="487">
        <v>3.3773148148148149E-2</v>
      </c>
    </row>
    <row r="1944" spans="4:7">
      <c r="D1944" s="485">
        <v>44827.926018518519</v>
      </c>
      <c r="E1944" s="467" t="s">
        <v>1995</v>
      </c>
      <c r="F1944" s="488" t="s">
        <v>696</v>
      </c>
      <c r="G1944" s="487">
        <v>4.0752314814814811E-2</v>
      </c>
    </row>
    <row r="1945" spans="4:7">
      <c r="D1945" s="485">
        <v>44829</v>
      </c>
      <c r="E1945" s="467" t="s">
        <v>1686</v>
      </c>
      <c r="F1945" s="486">
        <v>32</v>
      </c>
      <c r="G1945" s="487">
        <v>5.0358796296296297E-2</v>
      </c>
    </row>
    <row r="1946" spans="4:7">
      <c r="D1946" s="485">
        <v>44830.001122685186</v>
      </c>
      <c r="E1946" s="467" t="s">
        <v>2753</v>
      </c>
      <c r="F1946" s="486">
        <v>13</v>
      </c>
      <c r="G1946" s="487">
        <v>3.5925925925925924E-2</v>
      </c>
    </row>
    <row r="1947" spans="4:7">
      <c r="D1947" s="485">
        <v>44832</v>
      </c>
      <c r="E1947" s="467" t="s">
        <v>3730</v>
      </c>
      <c r="F1947" s="486">
        <v>0</v>
      </c>
      <c r="G1947" s="487">
        <v>3.6331018518518519E-2</v>
      </c>
    </row>
    <row r="1948" spans="4:7">
      <c r="D1948" s="485">
        <v>44833</v>
      </c>
      <c r="E1948" s="467" t="s">
        <v>3981</v>
      </c>
      <c r="F1948" s="486">
        <v>3</v>
      </c>
      <c r="G1948" s="487">
        <v>4.1597222222222223E-2</v>
      </c>
    </row>
    <row r="1949" spans="4:7">
      <c r="D1949" s="485">
        <v>44834</v>
      </c>
      <c r="E1949" s="467" t="s">
        <v>1878</v>
      </c>
      <c r="F1949" s="486">
        <v>94</v>
      </c>
      <c r="G1949" s="487">
        <v>8.9131944444444444E-2</v>
      </c>
    </row>
    <row r="1950" spans="4:7">
      <c r="D1950" s="485">
        <v>44834.75</v>
      </c>
      <c r="E1950" s="467" t="s">
        <v>44</v>
      </c>
      <c r="F1950" s="486">
        <v>30</v>
      </c>
      <c r="G1950" s="487">
        <v>0.10826388888888888</v>
      </c>
    </row>
    <row r="1951" spans="4:7">
      <c r="D1951" s="489">
        <v>44835</v>
      </c>
      <c r="E1951" s="467" t="s">
        <v>2815</v>
      </c>
      <c r="F1951" s="483">
        <v>0</v>
      </c>
      <c r="G1951" s="490">
        <v>6.2094907407407411E-2</v>
      </c>
    </row>
    <row r="1952" spans="4:7">
      <c r="D1952" s="485">
        <v>44836</v>
      </c>
      <c r="E1952" s="467" t="s">
        <v>1617</v>
      </c>
      <c r="F1952" s="486">
        <v>12</v>
      </c>
      <c r="G1952" s="487">
        <v>6.9490740740740742E-2</v>
      </c>
    </row>
    <row r="1953" spans="4:7">
      <c r="D1953" s="485">
        <v>44837</v>
      </c>
      <c r="E1953" s="467" t="s">
        <v>1684</v>
      </c>
      <c r="F1953" s="486">
        <v>21</v>
      </c>
      <c r="G1953" s="487">
        <v>2.3472222222222217E-2</v>
      </c>
    </row>
    <row r="1954" spans="4:7">
      <c r="D1954" s="485">
        <v>44837</v>
      </c>
      <c r="E1954" s="467" t="s">
        <v>1684</v>
      </c>
      <c r="F1954" s="486">
        <v>161</v>
      </c>
      <c r="G1954" s="487">
        <v>2.1666666666666667E-2</v>
      </c>
    </row>
    <row r="1955" spans="4:7">
      <c r="D1955" s="485">
        <v>44838</v>
      </c>
      <c r="E1955" s="467" t="s">
        <v>3981</v>
      </c>
      <c r="F1955" s="486">
        <v>0</v>
      </c>
      <c r="G1955" s="487">
        <v>4.8136574074074075E-2</v>
      </c>
    </row>
    <row r="1956" spans="4:7">
      <c r="D1956" s="485">
        <v>44838</v>
      </c>
      <c r="E1956" s="467" t="s">
        <v>109</v>
      </c>
      <c r="F1956" s="486">
        <v>156</v>
      </c>
      <c r="G1956" s="487">
        <v>0.10824074074074075</v>
      </c>
    </row>
    <row r="1957" spans="4:7">
      <c r="D1957" s="485">
        <v>44840</v>
      </c>
      <c r="E1957" s="467" t="s">
        <v>3981</v>
      </c>
      <c r="F1957" s="486">
        <v>4</v>
      </c>
      <c r="G1957" s="487">
        <v>3.5069444444444445E-2</v>
      </c>
    </row>
    <row r="1958" spans="4:7">
      <c r="D1958" s="485">
        <v>44841.000254629631</v>
      </c>
      <c r="E1958" s="467" t="s">
        <v>1995</v>
      </c>
      <c r="F1958" s="488" t="s">
        <v>716</v>
      </c>
      <c r="G1958" s="487">
        <v>4.6203703703703698E-2</v>
      </c>
    </row>
    <row r="1959" spans="4:7">
      <c r="D1959" s="485">
        <v>44843</v>
      </c>
      <c r="E1959" s="467" t="s">
        <v>3887</v>
      </c>
      <c r="F1959" s="483">
        <v>87</v>
      </c>
      <c r="G1959" s="490">
        <v>4.0509259259259259E-2</v>
      </c>
    </row>
    <row r="1960" spans="4:7">
      <c r="D1960" s="485">
        <v>44844.000798611109</v>
      </c>
      <c r="E1960" s="467" t="s">
        <v>2753</v>
      </c>
      <c r="F1960" s="486">
        <v>14</v>
      </c>
      <c r="G1960" s="487">
        <v>3.471064814814815E-2</v>
      </c>
    </row>
    <row r="1961" spans="4:7">
      <c r="D1961" s="485">
        <v>44846</v>
      </c>
      <c r="E1961" s="467" t="s">
        <v>2806</v>
      </c>
      <c r="F1961" s="486">
        <v>0</v>
      </c>
      <c r="G1961" s="487">
        <v>5.2592592592592587E-2</v>
      </c>
    </row>
    <row r="1962" spans="4:7">
      <c r="D1962" s="485">
        <v>44847</v>
      </c>
      <c r="E1962" s="467" t="s">
        <v>636</v>
      </c>
      <c r="F1962" s="486">
        <v>218</v>
      </c>
      <c r="G1962" s="487">
        <v>2.4652777777777776E-3</v>
      </c>
    </row>
    <row r="1963" spans="4:7">
      <c r="D1963" s="485">
        <v>44847</v>
      </c>
      <c r="E1963" s="467" t="s">
        <v>3730</v>
      </c>
      <c r="F1963" s="486">
        <v>0</v>
      </c>
      <c r="G1963" s="487">
        <v>3.2881944444444443E-2</v>
      </c>
    </row>
    <row r="1964" spans="4:7">
      <c r="D1964" s="485">
        <v>44847</v>
      </c>
      <c r="E1964" s="467" t="s">
        <v>3981</v>
      </c>
      <c r="F1964" s="486">
        <v>5</v>
      </c>
      <c r="G1964" s="487">
        <v>3.982638888888889E-2</v>
      </c>
    </row>
    <row r="1965" spans="4:7">
      <c r="D1965" s="485">
        <v>44848</v>
      </c>
      <c r="E1965" s="467" t="s">
        <v>1878</v>
      </c>
      <c r="F1965" s="486">
        <v>70</v>
      </c>
      <c r="G1965" s="487">
        <v>9.420138888888889E-2</v>
      </c>
    </row>
    <row r="1966" spans="4:7">
      <c r="D1966" s="485">
        <v>44848.001388888886</v>
      </c>
      <c r="E1966" s="467" t="s">
        <v>199</v>
      </c>
      <c r="F1966" s="486">
        <v>13</v>
      </c>
      <c r="G1966" s="487">
        <v>0.18269675925925924</v>
      </c>
    </row>
    <row r="1967" spans="4:7">
      <c r="D1967" s="489">
        <v>44849</v>
      </c>
      <c r="E1967" s="467" t="s">
        <v>2814</v>
      </c>
      <c r="F1967" s="483">
        <v>0</v>
      </c>
      <c r="G1967" s="490">
        <v>1.8240740740740741E-2</v>
      </c>
    </row>
    <row r="1968" spans="4:7">
      <c r="D1968" s="485">
        <v>44850</v>
      </c>
      <c r="E1968" s="467" t="s">
        <v>1617</v>
      </c>
      <c r="F1968" s="486">
        <v>127</v>
      </c>
      <c r="G1968" s="487">
        <v>9.5902777777777781E-2</v>
      </c>
    </row>
    <row r="1969" spans="4:7">
      <c r="D1969" s="485">
        <v>44850.888425925928</v>
      </c>
      <c r="E1969" s="467" t="s">
        <v>1995</v>
      </c>
      <c r="F1969" s="488" t="s">
        <v>698</v>
      </c>
      <c r="G1969" s="487">
        <v>4.05787037037037E-2</v>
      </c>
    </row>
    <row r="1970" spans="4:7">
      <c r="D1970" s="485">
        <v>44851</v>
      </c>
      <c r="E1970" s="467" t="s">
        <v>3981</v>
      </c>
      <c r="F1970" s="488">
        <v>0</v>
      </c>
      <c r="G1970" s="487">
        <v>7.0601851851851847E-4</v>
      </c>
    </row>
    <row r="1971" spans="4:7">
      <c r="D1971" s="485">
        <v>44854</v>
      </c>
      <c r="E1971" s="467" t="s">
        <v>3981</v>
      </c>
      <c r="F1971" s="488">
        <v>6</v>
      </c>
      <c r="G1971" s="487">
        <v>3.2384259259259258E-2</v>
      </c>
    </row>
    <row r="1972" spans="4:7">
      <c r="D1972" s="485">
        <v>44855</v>
      </c>
      <c r="E1972" s="467" t="s">
        <v>1662</v>
      </c>
      <c r="F1972" s="486">
        <v>35</v>
      </c>
      <c r="G1972" s="487">
        <v>3.9282407407407412E-2</v>
      </c>
    </row>
    <row r="1973" spans="4:7">
      <c r="D1973" s="485">
        <v>44855</v>
      </c>
      <c r="E1973" s="467" t="s">
        <v>1662</v>
      </c>
      <c r="F1973" s="550">
        <v>126</v>
      </c>
      <c r="G1973" s="487">
        <v>3.5636574074074077E-2</v>
      </c>
    </row>
    <row r="1974" spans="4:7">
      <c r="D1974" s="485">
        <v>44855</v>
      </c>
      <c r="E1974" s="467" t="s">
        <v>3639</v>
      </c>
      <c r="F1974" s="550">
        <v>30</v>
      </c>
      <c r="G1974" s="487">
        <v>5.4756944444444448E-2</v>
      </c>
    </row>
    <row r="1975" spans="4:7">
      <c r="D1975" s="485">
        <v>44857.531585648147</v>
      </c>
      <c r="E1975" s="467" t="s">
        <v>1995</v>
      </c>
      <c r="F1975" s="488" t="s">
        <v>1979</v>
      </c>
      <c r="G1975" s="487">
        <v>3.78587962962963E-2</v>
      </c>
    </row>
    <row r="1976" spans="4:7">
      <c r="D1976" s="485">
        <v>44858.001168981478</v>
      </c>
      <c r="E1976" s="467" t="s">
        <v>2753</v>
      </c>
      <c r="F1976" s="486">
        <v>15</v>
      </c>
      <c r="G1976" s="487">
        <v>3.3437500000000002E-2</v>
      </c>
    </row>
    <row r="1977" spans="4:7">
      <c r="D1977" s="485">
        <v>44860</v>
      </c>
      <c r="E1977" s="467" t="s">
        <v>1617</v>
      </c>
      <c r="F1977" s="488" t="s">
        <v>3086</v>
      </c>
      <c r="G1977" s="487">
        <v>4.4953703703703697E-2</v>
      </c>
    </row>
    <row r="1978" spans="4:7">
      <c r="D1978" s="485">
        <v>44860</v>
      </c>
      <c r="E1978" s="467" t="s">
        <v>2806</v>
      </c>
      <c r="F1978" s="488">
        <v>0</v>
      </c>
      <c r="G1978" s="487">
        <v>3.0949074074074077E-2</v>
      </c>
    </row>
    <row r="1979" spans="4:7">
      <c r="D1979" s="485">
        <v>44861</v>
      </c>
      <c r="E1979" s="467" t="s">
        <v>3981</v>
      </c>
      <c r="F1979" s="488">
        <v>7</v>
      </c>
      <c r="G1979" s="487">
        <v>3.3657407407407407E-2</v>
      </c>
    </row>
    <row r="1980" spans="4:7">
      <c r="D1980" s="485">
        <v>44862</v>
      </c>
      <c r="E1980" s="467" t="s">
        <v>1878</v>
      </c>
      <c r="F1980" s="486">
        <v>90</v>
      </c>
      <c r="G1980" s="487">
        <v>0.13760416666666667</v>
      </c>
    </row>
    <row r="1981" spans="4:7">
      <c r="D1981" s="485">
        <v>44864</v>
      </c>
      <c r="E1981" s="467" t="s">
        <v>1617</v>
      </c>
      <c r="F1981" s="486">
        <v>209</v>
      </c>
      <c r="G1981" s="487">
        <v>6.1458333333333337E-2</v>
      </c>
    </row>
    <row r="1982" spans="4:7">
      <c r="D1982" s="485">
        <v>44864.91165509259</v>
      </c>
      <c r="E1982" s="467" t="s">
        <v>1995</v>
      </c>
      <c r="F1982" s="488" t="s">
        <v>1965</v>
      </c>
      <c r="G1982" s="487">
        <v>3.9097222222222221E-2</v>
      </c>
    </row>
    <row r="1983" spans="4:7">
      <c r="D1983" s="485">
        <v>44865.181944444441</v>
      </c>
      <c r="E1983" s="467" t="s">
        <v>44</v>
      </c>
      <c r="F1983" s="486">
        <v>79</v>
      </c>
      <c r="G1983" s="487">
        <v>0.10706018518518519</v>
      </c>
    </row>
    <row r="1984" spans="4:7">
      <c r="D1984" s="485">
        <v>44865.361342592594</v>
      </c>
      <c r="E1984" s="467" t="s">
        <v>199</v>
      </c>
      <c r="F1984" s="488" t="s">
        <v>3098</v>
      </c>
      <c r="G1984" s="487">
        <v>0.25120370370370371</v>
      </c>
    </row>
    <row r="1985" spans="4:7">
      <c r="D1985" s="485">
        <v>44866</v>
      </c>
      <c r="E1985" s="467" t="s">
        <v>1617</v>
      </c>
      <c r="F1985" s="488" t="s">
        <v>3103</v>
      </c>
      <c r="G1985" s="487">
        <v>4.1851851851851855E-2</v>
      </c>
    </row>
    <row r="1986" spans="4:7">
      <c r="D1986" s="485">
        <v>44867</v>
      </c>
      <c r="E1986" s="467" t="s">
        <v>109</v>
      </c>
      <c r="F1986" s="488" t="s">
        <v>157</v>
      </c>
      <c r="G1986" s="487">
        <v>8.2395833333333335E-2</v>
      </c>
    </row>
    <row r="1987" spans="4:7">
      <c r="D1987" s="489">
        <v>44867</v>
      </c>
      <c r="E1987" s="467" t="s">
        <v>1385</v>
      </c>
      <c r="F1987" s="495" t="s">
        <v>3096</v>
      </c>
      <c r="G1987" s="490">
        <v>1.238425925925926E-2</v>
      </c>
    </row>
    <row r="1988" spans="4:7">
      <c r="D1988" s="485">
        <v>44868</v>
      </c>
      <c r="E1988" s="467" t="s">
        <v>1684</v>
      </c>
      <c r="F1988" s="486">
        <v>22</v>
      </c>
      <c r="G1988" s="487">
        <v>2.1388888888888888E-2</v>
      </c>
    </row>
    <row r="1989" spans="4:7">
      <c r="D1989" s="485">
        <v>44868</v>
      </c>
      <c r="E1989" s="467" t="s">
        <v>1684</v>
      </c>
      <c r="F1989" s="486">
        <v>139</v>
      </c>
      <c r="G1989" s="487">
        <v>2.3483796296296298E-2</v>
      </c>
    </row>
    <row r="1990" spans="4:7">
      <c r="D1990" s="485">
        <v>44868</v>
      </c>
      <c r="E1990" s="467" t="s">
        <v>3981</v>
      </c>
      <c r="F1990" s="486">
        <v>8</v>
      </c>
      <c r="G1990" s="487">
        <v>4.6238425925925926E-2</v>
      </c>
    </row>
    <row r="1991" spans="4:7">
      <c r="D1991" s="485">
        <v>44869</v>
      </c>
      <c r="E1991" s="467" t="s">
        <v>3730</v>
      </c>
      <c r="F1991" s="486">
        <v>0</v>
      </c>
      <c r="G1991" s="487">
        <v>2.5624999999999998E-2</v>
      </c>
    </row>
    <row r="1992" spans="4:7">
      <c r="D1992" s="485">
        <v>44871</v>
      </c>
      <c r="E1992" s="467" t="s">
        <v>3887</v>
      </c>
      <c r="F1992" s="488">
        <v>90</v>
      </c>
      <c r="G1992" s="487">
        <v>4.3437499999999997E-2</v>
      </c>
    </row>
    <row r="1993" spans="4:7">
      <c r="D1993" s="485">
        <v>44871.657349537039</v>
      </c>
      <c r="E1993" s="467" t="s">
        <v>1995</v>
      </c>
      <c r="F1993" s="488" t="s">
        <v>666</v>
      </c>
      <c r="G1993" s="487">
        <v>3.9050925925925926E-2</v>
      </c>
    </row>
    <row r="1994" spans="4:7">
      <c r="D1994" s="485">
        <v>44872.000763888886</v>
      </c>
      <c r="E1994" s="467" t="s">
        <v>2753</v>
      </c>
      <c r="F1994" s="486">
        <v>16</v>
      </c>
      <c r="G1994" s="487">
        <v>4.2187499999999996E-2</v>
      </c>
    </row>
    <row r="1995" spans="4:7">
      <c r="D1995" s="485">
        <v>44874</v>
      </c>
      <c r="E1995" s="467" t="s">
        <v>109</v>
      </c>
      <c r="F1995" s="486">
        <v>72</v>
      </c>
      <c r="G1995" s="487">
        <v>8.9872685185185194E-2</v>
      </c>
    </row>
    <row r="1996" spans="4:7">
      <c r="D1996" s="485">
        <v>44875</v>
      </c>
      <c r="E1996" s="467" t="s">
        <v>3981</v>
      </c>
      <c r="F1996" s="486">
        <v>9</v>
      </c>
      <c r="G1996" s="487">
        <v>4.6030092592592588E-2</v>
      </c>
    </row>
    <row r="1997" spans="4:7">
      <c r="D1997" s="485">
        <v>44876</v>
      </c>
      <c r="E1997" s="467" t="s">
        <v>199</v>
      </c>
      <c r="F1997" s="486">
        <v>30</v>
      </c>
      <c r="G1997" s="487">
        <v>0.15024305555555556</v>
      </c>
    </row>
    <row r="1998" spans="4:7">
      <c r="D1998" s="485">
        <v>44876</v>
      </c>
      <c r="E1998" s="467" t="s">
        <v>1878</v>
      </c>
      <c r="F1998" s="486">
        <v>203</v>
      </c>
      <c r="G1998" s="487">
        <v>0.12946759259259258</v>
      </c>
    </row>
    <row r="1999" spans="4:7">
      <c r="D1999" s="489">
        <v>44876</v>
      </c>
      <c r="E1999" s="467" t="s">
        <v>1385</v>
      </c>
      <c r="F1999" s="483">
        <v>219</v>
      </c>
      <c r="G1999" s="490">
        <v>1.7916666666666668E-2</v>
      </c>
    </row>
    <row r="2000" spans="4:7">
      <c r="D2000" s="485">
        <v>44878</v>
      </c>
      <c r="E2000" s="467" t="s">
        <v>1617</v>
      </c>
      <c r="F2000" s="486">
        <v>84</v>
      </c>
      <c r="G2000" s="487">
        <v>8.5729166666666676E-2</v>
      </c>
    </row>
    <row r="2001" spans="4:7">
      <c r="D2001" s="485">
        <v>44878</v>
      </c>
      <c r="E2001" s="467" t="s">
        <v>3730</v>
      </c>
      <c r="F2001" s="486">
        <v>0</v>
      </c>
      <c r="G2001" s="487">
        <v>3.4699074074074077E-2</v>
      </c>
    </row>
    <row r="2002" spans="4:7">
      <c r="D2002" s="485">
        <v>44879</v>
      </c>
      <c r="E2002" s="467" t="s">
        <v>636</v>
      </c>
      <c r="F2002" s="488" t="s">
        <v>3134</v>
      </c>
      <c r="G2002" s="487">
        <v>2.8240740740740739E-3</v>
      </c>
    </row>
    <row r="2003" spans="4:7">
      <c r="D2003" s="485">
        <v>44879</v>
      </c>
      <c r="E2003" s="467" t="s">
        <v>1326</v>
      </c>
      <c r="F2003" s="486">
        <v>147</v>
      </c>
      <c r="G2003" s="487">
        <v>7.3321759259259267E-2</v>
      </c>
    </row>
    <row r="2004" spans="4:7">
      <c r="D2004" s="485">
        <v>44882</v>
      </c>
      <c r="E2004" s="467" t="s">
        <v>3981</v>
      </c>
      <c r="F2004" s="486">
        <v>10</v>
      </c>
      <c r="G2004" s="487">
        <v>4.6307870370370374E-2</v>
      </c>
    </row>
    <row r="2005" spans="4:7">
      <c r="D2005" s="485">
        <v>44883</v>
      </c>
      <c r="E2005" s="467" t="s">
        <v>1662</v>
      </c>
      <c r="F2005" s="486">
        <v>86</v>
      </c>
      <c r="G2005" s="487">
        <v>4.2766203703703702E-2</v>
      </c>
    </row>
    <row r="2006" spans="4:7">
      <c r="D2006" s="485">
        <v>44883</v>
      </c>
      <c r="E2006" s="467" t="s">
        <v>3639</v>
      </c>
      <c r="F2006" s="486">
        <v>31</v>
      </c>
      <c r="G2006" s="487">
        <v>7.0127314814814809E-2</v>
      </c>
    </row>
    <row r="2007" spans="4:7">
      <c r="D2007" s="485">
        <v>44883</v>
      </c>
      <c r="E2007" s="467" t="s">
        <v>3730</v>
      </c>
      <c r="F2007" s="486">
        <v>0</v>
      </c>
      <c r="G2007" s="487">
        <v>2.1435185185185186E-2</v>
      </c>
    </row>
    <row r="2008" spans="4:7">
      <c r="D2008" s="485">
        <v>44884</v>
      </c>
      <c r="E2008" s="467" t="s">
        <v>109</v>
      </c>
      <c r="F2008" s="486">
        <v>101</v>
      </c>
      <c r="G2008" s="487">
        <v>9.2488425925925932E-2</v>
      </c>
    </row>
    <row r="2009" spans="4:7">
      <c r="D2009" s="485">
        <v>44885</v>
      </c>
      <c r="E2009" s="467" t="s">
        <v>1686</v>
      </c>
      <c r="F2009" s="486">
        <v>81</v>
      </c>
      <c r="G2009" s="487">
        <v>5.4340277777777779E-2</v>
      </c>
    </row>
    <row r="2010" spans="4:7">
      <c r="D2010" s="485">
        <v>44886.00072916667</v>
      </c>
      <c r="E2010" s="467" t="s">
        <v>2753</v>
      </c>
      <c r="F2010" s="486">
        <v>17</v>
      </c>
      <c r="G2010" s="487">
        <v>2.56712962962963E-2</v>
      </c>
    </row>
    <row r="2011" spans="4:7">
      <c r="D2011" s="485">
        <v>44889</v>
      </c>
      <c r="E2011" s="467" t="s">
        <v>3981</v>
      </c>
      <c r="F2011" s="486">
        <v>11</v>
      </c>
      <c r="G2011" s="487">
        <v>4.5497685185185183E-2</v>
      </c>
    </row>
    <row r="2012" spans="4:7">
      <c r="D2012" s="485">
        <v>44890</v>
      </c>
      <c r="E2012" s="467" t="s">
        <v>1662</v>
      </c>
      <c r="F2012" s="486">
        <v>89</v>
      </c>
      <c r="G2012" s="487">
        <v>3.5474537037037041E-2</v>
      </c>
    </row>
    <row r="2013" spans="4:7">
      <c r="D2013" s="485">
        <v>44890</v>
      </c>
      <c r="E2013" s="467" t="s">
        <v>1878</v>
      </c>
      <c r="F2013" s="486">
        <v>76</v>
      </c>
      <c r="G2013" s="487">
        <v>0.12019675925925927</v>
      </c>
    </row>
    <row r="2014" spans="4:7">
      <c r="D2014" s="485">
        <v>44891.865046296298</v>
      </c>
      <c r="E2014" s="467" t="s">
        <v>1995</v>
      </c>
      <c r="F2014" s="488" t="s">
        <v>664</v>
      </c>
      <c r="G2014" s="487">
        <v>4.6157407407407404E-2</v>
      </c>
    </row>
    <row r="2015" spans="4:7">
      <c r="D2015" s="485">
        <v>44892</v>
      </c>
      <c r="E2015" s="467" t="s">
        <v>1617</v>
      </c>
      <c r="F2015" s="486">
        <v>33</v>
      </c>
      <c r="G2015" s="487">
        <v>4.9999999999999996E-2</v>
      </c>
    </row>
    <row r="2016" spans="4:7">
      <c r="D2016" s="485">
        <v>44896</v>
      </c>
      <c r="E2016" s="467" t="s">
        <v>109</v>
      </c>
      <c r="F2016" s="488" t="s">
        <v>3195</v>
      </c>
      <c r="G2016" s="487">
        <v>7.0740740740740743E-2</v>
      </c>
    </row>
    <row r="2017" spans="4:7">
      <c r="D2017" s="485">
        <v>44896</v>
      </c>
      <c r="E2017" s="467" t="s">
        <v>199</v>
      </c>
      <c r="F2017" s="488" t="s">
        <v>3418</v>
      </c>
      <c r="G2017" s="487">
        <v>3.5983796296296298E-2</v>
      </c>
    </row>
    <row r="2018" spans="4:7">
      <c r="D2018" s="485">
        <v>44896</v>
      </c>
      <c r="E2018" s="467" t="s">
        <v>1878</v>
      </c>
      <c r="F2018" s="488" t="s">
        <v>3419</v>
      </c>
      <c r="G2018" s="487">
        <v>7.4421296296296293E-3</v>
      </c>
    </row>
    <row r="2019" spans="4:7">
      <c r="D2019" s="485">
        <v>44896</v>
      </c>
      <c r="E2019" s="467" t="s">
        <v>1995</v>
      </c>
      <c r="F2019" s="488" t="s">
        <v>3420</v>
      </c>
      <c r="G2019" s="487">
        <v>7.7083333333333335E-3</v>
      </c>
    </row>
    <row r="2020" spans="4:7">
      <c r="D2020" s="485">
        <v>44896</v>
      </c>
      <c r="E2020" s="467" t="s">
        <v>1385</v>
      </c>
      <c r="F2020" s="488" t="s">
        <v>3134</v>
      </c>
      <c r="G2020" s="487">
        <v>1.8981481481481481E-2</v>
      </c>
    </row>
    <row r="2021" spans="4:7">
      <c r="D2021" s="485">
        <v>44896</v>
      </c>
      <c r="E2021" s="467" t="s">
        <v>3730</v>
      </c>
      <c r="F2021" s="488">
        <v>0</v>
      </c>
      <c r="G2021" s="487">
        <v>6.3090277777777773E-2</v>
      </c>
    </row>
    <row r="2022" spans="4:7">
      <c r="D2022" s="485">
        <v>44896</v>
      </c>
      <c r="E2022" s="467" t="s">
        <v>3981</v>
      </c>
      <c r="F2022" s="488">
        <v>12</v>
      </c>
      <c r="G2022" s="487">
        <v>4.8182870370370369E-2</v>
      </c>
    </row>
    <row r="2023" spans="4:7">
      <c r="D2023" s="485">
        <v>44897</v>
      </c>
      <c r="E2023" s="467" t="s">
        <v>109</v>
      </c>
      <c r="F2023" s="488" t="s">
        <v>3237</v>
      </c>
      <c r="G2023" s="487">
        <v>4.2928240740740746E-2</v>
      </c>
    </row>
    <row r="2024" spans="4:7">
      <c r="D2024" s="485">
        <v>44897</v>
      </c>
      <c r="E2024" s="467" t="s">
        <v>199</v>
      </c>
      <c r="F2024" s="488" t="s">
        <v>3421</v>
      </c>
      <c r="G2024" s="487">
        <v>8.4837962962962966E-3</v>
      </c>
    </row>
    <row r="2025" spans="4:7">
      <c r="D2025" s="485">
        <v>44897</v>
      </c>
      <c r="E2025" s="467" t="s">
        <v>1878</v>
      </c>
      <c r="F2025" s="488" t="s">
        <v>3422</v>
      </c>
      <c r="G2025" s="487">
        <v>2.4305555555555556E-3</v>
      </c>
    </row>
    <row r="2026" spans="4:7">
      <c r="D2026" s="485">
        <v>44897</v>
      </c>
      <c r="E2026" s="467" t="s">
        <v>1995</v>
      </c>
      <c r="F2026" s="488" t="s">
        <v>3423</v>
      </c>
      <c r="G2026" s="487">
        <v>6.5856481481481469E-3</v>
      </c>
    </row>
    <row r="2027" spans="4:7">
      <c r="D2027" s="485">
        <v>44897</v>
      </c>
      <c r="E2027" s="467" t="s">
        <v>572</v>
      </c>
      <c r="F2027" s="486">
        <v>183</v>
      </c>
      <c r="G2027" s="487">
        <v>4.5509259259259256E-2</v>
      </c>
    </row>
    <row r="2028" spans="4:7">
      <c r="D2028" s="485">
        <v>44898</v>
      </c>
      <c r="E2028" s="467" t="s">
        <v>109</v>
      </c>
      <c r="F2028" s="488" t="s">
        <v>19</v>
      </c>
      <c r="G2028" s="487">
        <v>5.1203703703703703E-2</v>
      </c>
    </row>
    <row r="2029" spans="4:7">
      <c r="D2029" s="485">
        <v>44898</v>
      </c>
      <c r="E2029" s="467" t="s">
        <v>199</v>
      </c>
      <c r="F2029" s="488" t="s">
        <v>3424</v>
      </c>
      <c r="G2029" s="487">
        <v>1.6585648148148148E-2</v>
      </c>
    </row>
    <row r="2030" spans="4:7">
      <c r="D2030" s="485">
        <v>44898</v>
      </c>
      <c r="E2030" s="467" t="s">
        <v>1878</v>
      </c>
      <c r="F2030" s="488" t="s">
        <v>3425</v>
      </c>
      <c r="G2030" s="487">
        <v>1.3773148148148147E-3</v>
      </c>
    </row>
    <row r="2031" spans="4:7">
      <c r="D2031" s="485">
        <v>44898</v>
      </c>
      <c r="E2031" s="467" t="s">
        <v>1995</v>
      </c>
      <c r="F2031" s="488" t="s">
        <v>3426</v>
      </c>
      <c r="G2031" s="487">
        <v>7.083333333333333E-3</v>
      </c>
    </row>
    <row r="2032" spans="4:7">
      <c r="D2032" s="485">
        <v>44898</v>
      </c>
      <c r="E2032" s="467" t="s">
        <v>1684</v>
      </c>
      <c r="F2032" s="486">
        <v>23</v>
      </c>
      <c r="G2032" s="487">
        <v>2.146990740740741E-2</v>
      </c>
    </row>
    <row r="2033" spans="4:7">
      <c r="D2033" s="485">
        <v>44898</v>
      </c>
      <c r="E2033" s="467" t="s">
        <v>1684</v>
      </c>
      <c r="F2033" s="550">
        <v>127</v>
      </c>
      <c r="G2033" s="487">
        <v>2.3703703703703703E-2</v>
      </c>
    </row>
    <row r="2034" spans="4:7">
      <c r="D2034" s="485">
        <v>44899</v>
      </c>
      <c r="E2034" s="467" t="s">
        <v>109</v>
      </c>
      <c r="F2034" s="486">
        <v>0</v>
      </c>
      <c r="G2034" s="487">
        <v>3.9270833333333331E-2</v>
      </c>
    </row>
    <row r="2035" spans="4:7">
      <c r="D2035" s="485">
        <v>44899</v>
      </c>
      <c r="E2035" s="467" t="s">
        <v>199</v>
      </c>
      <c r="F2035" s="488" t="s">
        <v>3427</v>
      </c>
      <c r="G2035" s="487">
        <v>1.224537037037037E-2</v>
      </c>
    </row>
    <row r="2036" spans="4:7">
      <c r="D2036" s="485">
        <v>44899</v>
      </c>
      <c r="E2036" s="467" t="s">
        <v>1878</v>
      </c>
      <c r="F2036" s="488" t="s">
        <v>3428</v>
      </c>
      <c r="G2036" s="487">
        <v>1.8171296296296297E-3</v>
      </c>
    </row>
    <row r="2037" spans="4:7">
      <c r="D2037" s="485">
        <v>44899</v>
      </c>
      <c r="E2037" s="467" t="s">
        <v>1995</v>
      </c>
      <c r="F2037" s="488" t="s">
        <v>3429</v>
      </c>
      <c r="G2037" s="487">
        <v>7.3958333333333341E-3</v>
      </c>
    </row>
    <row r="2038" spans="4:7">
      <c r="D2038" s="485">
        <v>44899</v>
      </c>
      <c r="E2038" s="467" t="s">
        <v>1617</v>
      </c>
      <c r="F2038" s="488" t="s">
        <v>3322</v>
      </c>
      <c r="G2038" s="487">
        <v>5.5648148148148148E-2</v>
      </c>
    </row>
    <row r="2039" spans="4:7">
      <c r="D2039" s="485">
        <v>44900</v>
      </c>
      <c r="E2039" s="467" t="s">
        <v>109</v>
      </c>
      <c r="F2039" s="488" t="s">
        <v>3274</v>
      </c>
      <c r="G2039" s="487">
        <v>4.3275462962962967E-2</v>
      </c>
    </row>
    <row r="2040" spans="4:7">
      <c r="D2040" s="485">
        <v>44900</v>
      </c>
      <c r="E2040" s="467" t="s">
        <v>199</v>
      </c>
      <c r="F2040" s="488" t="s">
        <v>3430</v>
      </c>
      <c r="G2040" s="487">
        <v>1.1388888888888888E-2</v>
      </c>
    </row>
    <row r="2041" spans="4:7">
      <c r="D2041" s="485">
        <v>44900</v>
      </c>
      <c r="E2041" s="467" t="s">
        <v>1878</v>
      </c>
      <c r="F2041" s="488" t="s">
        <v>3431</v>
      </c>
      <c r="G2041" s="487">
        <v>1.4004629629629629E-3</v>
      </c>
    </row>
    <row r="2042" spans="4:7">
      <c r="D2042" s="485">
        <v>44900</v>
      </c>
      <c r="E2042" s="467" t="s">
        <v>1995</v>
      </c>
      <c r="F2042" s="488" t="s">
        <v>3432</v>
      </c>
      <c r="G2042" s="487">
        <v>8.819444444444444E-3</v>
      </c>
    </row>
    <row r="2043" spans="4:7">
      <c r="D2043" s="485">
        <v>44900.413587962961</v>
      </c>
      <c r="E2043" s="467" t="s">
        <v>2753</v>
      </c>
      <c r="F2043" s="486">
        <v>18</v>
      </c>
      <c r="G2043" s="487">
        <v>3.7314814814814815E-2</v>
      </c>
    </row>
    <row r="2044" spans="4:7">
      <c r="D2044" s="485">
        <v>44901</v>
      </c>
      <c r="E2044" s="467" t="s">
        <v>109</v>
      </c>
      <c r="F2044" s="488" t="s">
        <v>3281</v>
      </c>
      <c r="G2044" s="487">
        <v>7.0995370370370361E-2</v>
      </c>
    </row>
    <row r="2045" spans="4:7">
      <c r="D2045" s="485">
        <v>44901</v>
      </c>
      <c r="E2045" s="467" t="s">
        <v>199</v>
      </c>
      <c r="F2045" s="488" t="s">
        <v>3433</v>
      </c>
      <c r="G2045" s="487">
        <v>4.2662037037037033E-2</v>
      </c>
    </row>
    <row r="2046" spans="4:7">
      <c r="D2046" s="485">
        <v>44901</v>
      </c>
      <c r="E2046" s="467" t="s">
        <v>1878</v>
      </c>
      <c r="F2046" s="488" t="s">
        <v>3434</v>
      </c>
      <c r="G2046" s="487">
        <v>3.4027777777777784E-3</v>
      </c>
    </row>
    <row r="2047" spans="4:7">
      <c r="D2047" s="485">
        <v>44901</v>
      </c>
      <c r="E2047" s="467" t="s">
        <v>1995</v>
      </c>
      <c r="F2047" s="488" t="s">
        <v>3435</v>
      </c>
      <c r="G2047" s="487">
        <v>5.4745370370370373E-3</v>
      </c>
    </row>
    <row r="2048" spans="4:7">
      <c r="D2048" s="485">
        <v>44901</v>
      </c>
      <c r="E2048" s="467" t="s">
        <v>1617</v>
      </c>
      <c r="F2048" s="488" t="s">
        <v>3323</v>
      </c>
      <c r="G2048" s="487">
        <v>7.4282407407407408E-2</v>
      </c>
    </row>
    <row r="2049" spans="4:7">
      <c r="D2049" s="485">
        <v>44902</v>
      </c>
      <c r="E2049" s="467" t="s">
        <v>109</v>
      </c>
      <c r="F2049" s="486">
        <v>0</v>
      </c>
      <c r="G2049" s="487">
        <v>2.045138888888889E-2</v>
      </c>
    </row>
    <row r="2050" spans="4:7">
      <c r="D2050" s="485">
        <v>44902</v>
      </c>
      <c r="E2050" s="467" t="s">
        <v>199</v>
      </c>
      <c r="F2050" s="488" t="s">
        <v>3436</v>
      </c>
      <c r="G2050" s="487">
        <v>2.7280092592592592E-2</v>
      </c>
    </row>
    <row r="2051" spans="4:7">
      <c r="D2051" s="485">
        <v>44902</v>
      </c>
      <c r="E2051" s="467" t="s">
        <v>1878</v>
      </c>
      <c r="F2051" s="488" t="s">
        <v>3437</v>
      </c>
      <c r="G2051" s="487">
        <v>1.3773148148148147E-3</v>
      </c>
    </row>
    <row r="2052" spans="4:7">
      <c r="D2052" s="485">
        <v>44902</v>
      </c>
      <c r="E2052" s="467" t="s">
        <v>1995</v>
      </c>
      <c r="F2052" s="488" t="s">
        <v>3438</v>
      </c>
      <c r="G2052" s="487">
        <v>8.3449074074074085E-3</v>
      </c>
    </row>
    <row r="2053" spans="4:7">
      <c r="D2053" s="485">
        <v>44902.75</v>
      </c>
      <c r="E2053" s="467" t="s">
        <v>44</v>
      </c>
      <c r="F2053" s="486">
        <v>0</v>
      </c>
      <c r="G2053" s="487">
        <v>7.0069444444444448E-2</v>
      </c>
    </row>
    <row r="2054" spans="4:7">
      <c r="D2054" s="485">
        <v>44903</v>
      </c>
      <c r="E2054" s="467" t="s">
        <v>109</v>
      </c>
      <c r="F2054" s="486">
        <v>0</v>
      </c>
      <c r="G2054" s="487">
        <v>2.988425925925926E-2</v>
      </c>
    </row>
    <row r="2055" spans="4:7">
      <c r="D2055" s="485">
        <v>44903</v>
      </c>
      <c r="E2055" s="467" t="s">
        <v>199</v>
      </c>
      <c r="F2055" s="488" t="s">
        <v>3439</v>
      </c>
      <c r="G2055" s="487">
        <v>5.9143518518518521E-3</v>
      </c>
    </row>
    <row r="2056" spans="4:7">
      <c r="D2056" s="485">
        <v>44903</v>
      </c>
      <c r="E2056" s="467" t="s">
        <v>1878</v>
      </c>
      <c r="F2056" s="488" t="s">
        <v>3440</v>
      </c>
      <c r="G2056" s="487">
        <v>1.7245370370370372E-3</v>
      </c>
    </row>
    <row r="2057" spans="4:7">
      <c r="D2057" s="485">
        <v>44903</v>
      </c>
      <c r="E2057" s="467" t="s">
        <v>1995</v>
      </c>
      <c r="F2057" s="488" t="s">
        <v>3441</v>
      </c>
      <c r="G2057" s="487">
        <v>8.2638888888888883E-3</v>
      </c>
    </row>
    <row r="2058" spans="4:7">
      <c r="D2058" s="485">
        <v>44903</v>
      </c>
      <c r="E2058" s="467" t="s">
        <v>3730</v>
      </c>
      <c r="F2058" s="488">
        <v>0</v>
      </c>
      <c r="G2058" s="487">
        <v>4.9699074074074069E-2</v>
      </c>
    </row>
    <row r="2059" spans="4:7">
      <c r="D2059" s="485">
        <v>44904</v>
      </c>
      <c r="E2059" s="467" t="s">
        <v>109</v>
      </c>
      <c r="F2059" s="486">
        <v>0</v>
      </c>
      <c r="G2059" s="487">
        <v>6.7488425925925924E-2</v>
      </c>
    </row>
    <row r="2060" spans="4:7">
      <c r="D2060" s="485">
        <v>44904</v>
      </c>
      <c r="E2060" s="467" t="s">
        <v>199</v>
      </c>
      <c r="F2060" s="488" t="s">
        <v>3442</v>
      </c>
      <c r="G2060" s="487">
        <v>1.2280092592592592E-2</v>
      </c>
    </row>
    <row r="2061" spans="4:7">
      <c r="D2061" s="485">
        <v>44904.000173611108</v>
      </c>
      <c r="E2061" s="467" t="s">
        <v>1878</v>
      </c>
      <c r="F2061" s="488" t="s">
        <v>3443</v>
      </c>
      <c r="G2061" s="487">
        <v>2.1874999999999998E-3</v>
      </c>
    </row>
    <row r="2062" spans="4:7">
      <c r="D2062" s="485">
        <v>44904.083333333336</v>
      </c>
      <c r="E2062" s="467" t="s">
        <v>1878</v>
      </c>
      <c r="F2062" s="486">
        <v>210</v>
      </c>
      <c r="G2062" s="487">
        <v>7.2627314814814811E-2</v>
      </c>
    </row>
    <row r="2063" spans="4:7">
      <c r="D2063" s="485">
        <v>44904</v>
      </c>
      <c r="E2063" s="467" t="s">
        <v>1995</v>
      </c>
      <c r="F2063" s="488" t="s">
        <v>3444</v>
      </c>
      <c r="G2063" s="487">
        <v>6.122685185185185E-3</v>
      </c>
    </row>
    <row r="2064" spans="4:7">
      <c r="D2064" s="485">
        <v>44905</v>
      </c>
      <c r="E2064" s="467" t="s">
        <v>109</v>
      </c>
      <c r="F2064" s="486">
        <v>197</v>
      </c>
      <c r="G2064" s="487">
        <v>9.2581018518518521E-2</v>
      </c>
    </row>
    <row r="2065" spans="4:7">
      <c r="D2065" s="485">
        <v>44905</v>
      </c>
      <c r="E2065" s="467" t="s">
        <v>199</v>
      </c>
      <c r="F2065" s="488" t="s">
        <v>3114</v>
      </c>
      <c r="G2065" s="487">
        <v>1.0069444444444445E-2</v>
      </c>
    </row>
    <row r="2066" spans="4:7">
      <c r="D2066" s="485">
        <v>44905</v>
      </c>
      <c r="E2066" s="467" t="s">
        <v>1878</v>
      </c>
      <c r="F2066" s="488" t="s">
        <v>3143</v>
      </c>
      <c r="G2066" s="487">
        <v>2.5578703703703705E-3</v>
      </c>
    </row>
    <row r="2067" spans="4:7">
      <c r="D2067" s="485">
        <v>44905</v>
      </c>
      <c r="E2067" s="467" t="s">
        <v>1995</v>
      </c>
      <c r="F2067" s="488" t="s">
        <v>3197</v>
      </c>
      <c r="G2067" s="487">
        <v>7.0717592592592594E-3</v>
      </c>
    </row>
    <row r="2068" spans="4:7">
      <c r="D2068" s="485">
        <v>44906</v>
      </c>
      <c r="E2068" s="467" t="s">
        <v>109</v>
      </c>
      <c r="F2068" s="486">
        <v>0</v>
      </c>
      <c r="G2068" s="487">
        <v>2.9861111111111113E-2</v>
      </c>
    </row>
    <row r="2069" spans="4:7">
      <c r="D2069" s="485">
        <v>44906</v>
      </c>
      <c r="E2069" s="467" t="s">
        <v>199</v>
      </c>
      <c r="F2069" s="488" t="s">
        <v>3115</v>
      </c>
      <c r="G2069" s="487">
        <v>7.0254629629629634E-3</v>
      </c>
    </row>
    <row r="2070" spans="4:7">
      <c r="D2070" s="485">
        <v>44906</v>
      </c>
      <c r="E2070" s="467" t="s">
        <v>1878</v>
      </c>
      <c r="F2070" s="488" t="s">
        <v>3144</v>
      </c>
      <c r="G2070" s="487">
        <v>2.2685185185185182E-3</v>
      </c>
    </row>
    <row r="2071" spans="4:7">
      <c r="D2071" s="485">
        <v>44906</v>
      </c>
      <c r="E2071" s="467" t="s">
        <v>1995</v>
      </c>
      <c r="F2071" s="488" t="s">
        <v>3198</v>
      </c>
      <c r="G2071" s="487">
        <v>6.4699074074074069E-3</v>
      </c>
    </row>
    <row r="2072" spans="4:7">
      <c r="D2072" s="485">
        <v>44906</v>
      </c>
      <c r="E2072" s="467" t="s">
        <v>1617</v>
      </c>
      <c r="F2072" s="486">
        <v>133</v>
      </c>
      <c r="G2072" s="487">
        <v>3.8726851851851853E-2</v>
      </c>
    </row>
    <row r="2073" spans="4:7">
      <c r="D2073" s="485">
        <v>44907</v>
      </c>
      <c r="E2073" s="467" t="s">
        <v>109</v>
      </c>
      <c r="F2073" s="488" t="s">
        <v>3330</v>
      </c>
      <c r="G2073" s="487">
        <v>6.4236111111111105E-2</v>
      </c>
    </row>
    <row r="2074" spans="4:7">
      <c r="D2074" s="485">
        <v>44907</v>
      </c>
      <c r="E2074" s="467" t="s">
        <v>199</v>
      </c>
      <c r="F2074" s="488" t="s">
        <v>3116</v>
      </c>
      <c r="G2074" s="487">
        <v>1.7164351851851851E-2</v>
      </c>
    </row>
    <row r="2075" spans="4:7">
      <c r="D2075" s="485">
        <v>44907</v>
      </c>
      <c r="E2075" s="467" t="s">
        <v>1878</v>
      </c>
      <c r="F2075" s="488" t="s">
        <v>3145</v>
      </c>
      <c r="G2075" s="487">
        <v>2.627314814814815E-3</v>
      </c>
    </row>
    <row r="2076" spans="4:7">
      <c r="D2076" s="485">
        <v>44907</v>
      </c>
      <c r="E2076" s="467" t="s">
        <v>1995</v>
      </c>
      <c r="F2076" s="488" t="s">
        <v>3199</v>
      </c>
      <c r="G2076" s="487">
        <v>6.851851851851852E-3</v>
      </c>
    </row>
    <row r="2077" spans="4:7">
      <c r="D2077" s="485">
        <v>44908</v>
      </c>
      <c r="E2077" s="467" t="s">
        <v>109</v>
      </c>
      <c r="F2077" s="486">
        <v>0</v>
      </c>
      <c r="G2077" s="487">
        <v>3.9027777777777779E-2</v>
      </c>
    </row>
    <row r="2078" spans="4:7">
      <c r="D2078" s="485">
        <v>44908</v>
      </c>
      <c r="E2078" s="467" t="s">
        <v>199</v>
      </c>
      <c r="F2078" s="488" t="s">
        <v>3117</v>
      </c>
      <c r="G2078" s="487">
        <v>1.8819444444444448E-2</v>
      </c>
    </row>
    <row r="2079" spans="4:7">
      <c r="D2079" s="485">
        <v>44908</v>
      </c>
      <c r="E2079" s="467" t="s">
        <v>1878</v>
      </c>
      <c r="F2079" s="488" t="s">
        <v>3146</v>
      </c>
      <c r="G2079" s="487">
        <v>2.0949074074074073E-3</v>
      </c>
    </row>
    <row r="2080" spans="4:7">
      <c r="D2080" s="485">
        <v>44908</v>
      </c>
      <c r="E2080" s="467" t="s">
        <v>1995</v>
      </c>
      <c r="F2080" s="488" t="s">
        <v>3200</v>
      </c>
      <c r="G2080" s="487">
        <v>7.8819444444444432E-3</v>
      </c>
    </row>
    <row r="2081" spans="4:7">
      <c r="D2081" s="485">
        <v>44909</v>
      </c>
      <c r="E2081" s="467" t="s">
        <v>109</v>
      </c>
      <c r="F2081" s="486">
        <v>0</v>
      </c>
      <c r="G2081" s="487">
        <v>7.3993055555555562E-2</v>
      </c>
    </row>
    <row r="2082" spans="4:7">
      <c r="D2082" s="485">
        <v>44909</v>
      </c>
      <c r="E2082" s="467" t="s">
        <v>199</v>
      </c>
      <c r="F2082" s="488" t="s">
        <v>3118</v>
      </c>
      <c r="G2082" s="487">
        <v>8.4606481481481494E-3</v>
      </c>
    </row>
    <row r="2083" spans="4:7">
      <c r="D2083" s="485">
        <v>44909</v>
      </c>
      <c r="E2083" s="467" t="s">
        <v>1878</v>
      </c>
      <c r="F2083" s="488" t="s">
        <v>3147</v>
      </c>
      <c r="G2083" s="487">
        <v>1.423611111111111E-3</v>
      </c>
    </row>
    <row r="2084" spans="4:7">
      <c r="D2084" s="485">
        <v>44909</v>
      </c>
      <c r="E2084" s="467" t="s">
        <v>1995</v>
      </c>
      <c r="F2084" s="488" t="s">
        <v>3201</v>
      </c>
      <c r="G2084" s="487">
        <v>6.3657407407407404E-3</v>
      </c>
    </row>
    <row r="2085" spans="4:7">
      <c r="D2085" s="485">
        <v>44910</v>
      </c>
      <c r="E2085" s="467" t="s">
        <v>109</v>
      </c>
      <c r="F2085" s="488" t="s">
        <v>3373</v>
      </c>
      <c r="G2085" s="487">
        <v>5.9687500000000004E-2</v>
      </c>
    </row>
    <row r="2086" spans="4:7">
      <c r="D2086" s="485">
        <v>44910</v>
      </c>
      <c r="E2086" s="467" t="s">
        <v>199</v>
      </c>
      <c r="F2086" s="488" t="s">
        <v>3119</v>
      </c>
      <c r="G2086" s="487">
        <v>1.1412037037037038E-2</v>
      </c>
    </row>
    <row r="2087" spans="4:7">
      <c r="D2087" s="485">
        <v>44910</v>
      </c>
      <c r="E2087" s="467" t="s">
        <v>1878</v>
      </c>
      <c r="F2087" s="488" t="s">
        <v>3148</v>
      </c>
      <c r="G2087" s="487">
        <v>1.5046296296296294E-3</v>
      </c>
    </row>
    <row r="2088" spans="4:7">
      <c r="D2088" s="485">
        <v>44910</v>
      </c>
      <c r="E2088" s="467" t="s">
        <v>1995</v>
      </c>
      <c r="F2088" s="488" t="s">
        <v>3202</v>
      </c>
      <c r="G2088" s="487">
        <v>7.743055555555556E-3</v>
      </c>
    </row>
    <row r="2089" spans="4:7">
      <c r="D2089" s="485">
        <v>44910</v>
      </c>
      <c r="E2089" s="467" t="s">
        <v>3730</v>
      </c>
      <c r="F2089" s="488">
        <v>0</v>
      </c>
      <c r="G2089" s="487">
        <v>8.9166666666666672E-2</v>
      </c>
    </row>
    <row r="2090" spans="4:7">
      <c r="D2090" s="485">
        <v>44910</v>
      </c>
      <c r="E2090" s="467" t="s">
        <v>3981</v>
      </c>
      <c r="F2090" s="488">
        <v>13</v>
      </c>
      <c r="G2090" s="487">
        <v>4.3541666666666666E-2</v>
      </c>
    </row>
    <row r="2091" spans="4:7">
      <c r="D2091" s="485">
        <v>44911</v>
      </c>
      <c r="E2091" s="467" t="s">
        <v>109</v>
      </c>
      <c r="F2091" s="488" t="s">
        <v>3376</v>
      </c>
      <c r="G2091" s="487">
        <v>3.8657407407407404E-2</v>
      </c>
    </row>
    <row r="2092" spans="4:7">
      <c r="D2092" s="485">
        <v>44911</v>
      </c>
      <c r="E2092" s="467" t="s">
        <v>199</v>
      </c>
      <c r="F2092" s="488" t="s">
        <v>3120</v>
      </c>
      <c r="G2092" s="487">
        <v>1.1678240740740741E-2</v>
      </c>
    </row>
    <row r="2093" spans="4:7">
      <c r="D2093" s="485">
        <v>44911</v>
      </c>
      <c r="E2093" s="467" t="s">
        <v>1878</v>
      </c>
      <c r="F2093" s="488" t="s">
        <v>3149</v>
      </c>
      <c r="G2093" s="487">
        <v>1.8171296296296297E-3</v>
      </c>
    </row>
    <row r="2094" spans="4:7">
      <c r="D2094" s="485">
        <v>44911</v>
      </c>
      <c r="E2094" s="467" t="s">
        <v>1995</v>
      </c>
      <c r="F2094" s="488" t="s">
        <v>3203</v>
      </c>
      <c r="G2094" s="487">
        <v>7.3148148148148148E-3</v>
      </c>
    </row>
    <row r="2095" spans="4:7">
      <c r="D2095" s="485">
        <v>44912</v>
      </c>
      <c r="E2095" s="467" t="s">
        <v>636</v>
      </c>
      <c r="F2095" s="486">
        <v>219</v>
      </c>
      <c r="G2095" s="487">
        <v>3.4375E-3</v>
      </c>
    </row>
    <row r="2096" spans="4:7">
      <c r="D2096" s="485">
        <v>44912</v>
      </c>
      <c r="E2096" s="467" t="s">
        <v>109</v>
      </c>
      <c r="F2096" s="488" t="s">
        <v>3381</v>
      </c>
      <c r="G2096" s="487">
        <v>4.0821759259259259E-2</v>
      </c>
    </row>
    <row r="2097" spans="4:7">
      <c r="D2097" s="485">
        <v>44912</v>
      </c>
      <c r="E2097" s="467" t="s">
        <v>199</v>
      </c>
      <c r="F2097" s="488" t="s">
        <v>3121</v>
      </c>
      <c r="G2097" s="487">
        <v>8.4953703703703701E-3</v>
      </c>
    </row>
    <row r="2098" spans="4:7">
      <c r="D2098" s="485">
        <v>44912</v>
      </c>
      <c r="E2098" s="467" t="s">
        <v>1878</v>
      </c>
      <c r="F2098" s="488" t="s">
        <v>3150</v>
      </c>
      <c r="G2098" s="487">
        <v>1.736111111111111E-3</v>
      </c>
    </row>
    <row r="2099" spans="4:7">
      <c r="D2099" s="485">
        <v>44912</v>
      </c>
      <c r="E2099" s="467" t="s">
        <v>1995</v>
      </c>
      <c r="F2099" s="488" t="s">
        <v>3204</v>
      </c>
      <c r="G2099" s="487">
        <v>7.4074074074074068E-3</v>
      </c>
    </row>
    <row r="2100" spans="4:7">
      <c r="D2100" s="489">
        <v>44912</v>
      </c>
      <c r="E2100" s="467" t="s">
        <v>2815</v>
      </c>
      <c r="F2100" s="483">
        <v>0</v>
      </c>
      <c r="G2100" s="490">
        <v>8.9606481481481481E-2</v>
      </c>
    </row>
    <row r="2101" spans="4:7">
      <c r="D2101" s="485">
        <v>44913</v>
      </c>
      <c r="E2101" s="467" t="s">
        <v>109</v>
      </c>
      <c r="F2101" s="486">
        <v>0</v>
      </c>
      <c r="G2101" s="487">
        <v>3.4456018518518518E-2</v>
      </c>
    </row>
    <row r="2102" spans="4:7">
      <c r="D2102" s="485">
        <v>44913</v>
      </c>
      <c r="E2102" s="467" t="s">
        <v>199</v>
      </c>
      <c r="F2102" s="488" t="s">
        <v>3122</v>
      </c>
      <c r="G2102" s="487">
        <v>8.3217592592592596E-3</v>
      </c>
    </row>
    <row r="2103" spans="4:7">
      <c r="D2103" s="485">
        <v>44913</v>
      </c>
      <c r="E2103" s="467" t="s">
        <v>1878</v>
      </c>
      <c r="F2103" s="488" t="s">
        <v>3151</v>
      </c>
      <c r="G2103" s="487">
        <v>2.1990740740740742E-3</v>
      </c>
    </row>
    <row r="2104" spans="4:7">
      <c r="D2104" s="485">
        <v>44913</v>
      </c>
      <c r="E2104" s="467" t="s">
        <v>1995</v>
      </c>
      <c r="F2104" s="488" t="s">
        <v>3205</v>
      </c>
      <c r="G2104" s="487">
        <v>6.5393518518518517E-3</v>
      </c>
    </row>
    <row r="2105" spans="4:7">
      <c r="D2105" s="485">
        <v>44913</v>
      </c>
      <c r="E2105" s="467" t="s">
        <v>1617</v>
      </c>
      <c r="F2105" s="488" t="s">
        <v>3390</v>
      </c>
      <c r="G2105" s="487">
        <v>3.4432870370370371E-2</v>
      </c>
    </row>
    <row r="2106" spans="4:7">
      <c r="D2106" s="485">
        <v>44914</v>
      </c>
      <c r="E2106" s="467" t="s">
        <v>109</v>
      </c>
      <c r="F2106" s="486">
        <v>0</v>
      </c>
      <c r="G2106" s="487">
        <v>2.1828703703703701E-2</v>
      </c>
    </row>
    <row r="2107" spans="4:7">
      <c r="D2107" s="485">
        <v>44914</v>
      </c>
      <c r="E2107" s="467" t="s">
        <v>199</v>
      </c>
      <c r="F2107" s="488" t="s">
        <v>3123</v>
      </c>
      <c r="G2107" s="487">
        <v>9.3634259259259261E-3</v>
      </c>
    </row>
    <row r="2108" spans="4:7">
      <c r="D2108" s="485">
        <v>44914</v>
      </c>
      <c r="E2108" s="467" t="s">
        <v>1878</v>
      </c>
      <c r="F2108" s="488" t="s">
        <v>3152</v>
      </c>
      <c r="G2108" s="487">
        <v>1.7939814814814815E-3</v>
      </c>
    </row>
    <row r="2109" spans="4:7">
      <c r="D2109" s="485">
        <v>44914</v>
      </c>
      <c r="E2109" s="467" t="s">
        <v>1995</v>
      </c>
      <c r="F2109" s="488" t="s">
        <v>3206</v>
      </c>
      <c r="G2109" s="487">
        <v>6.8981481481481489E-3</v>
      </c>
    </row>
    <row r="2110" spans="4:7">
      <c r="D2110" s="485">
        <v>44914.042488425926</v>
      </c>
      <c r="E2110" s="467" t="s">
        <v>2753</v>
      </c>
      <c r="F2110" s="486">
        <v>0</v>
      </c>
      <c r="G2110" s="487">
        <v>9.6064814814814815E-3</v>
      </c>
    </row>
    <row r="2111" spans="4:7">
      <c r="D2111" s="485">
        <v>44915</v>
      </c>
      <c r="E2111" s="467" t="s">
        <v>109</v>
      </c>
      <c r="F2111" s="486">
        <v>0</v>
      </c>
      <c r="G2111" s="487">
        <v>2.0914351851851851E-2</v>
      </c>
    </row>
    <row r="2112" spans="4:7">
      <c r="D2112" s="485">
        <v>44915</v>
      </c>
      <c r="E2112" s="467" t="s">
        <v>199</v>
      </c>
      <c r="F2112" s="488" t="s">
        <v>3124</v>
      </c>
      <c r="G2112" s="487">
        <v>8.4490740740740741E-3</v>
      </c>
    </row>
    <row r="2113" spans="4:7">
      <c r="D2113" s="485">
        <v>44915</v>
      </c>
      <c r="E2113" s="467" t="s">
        <v>1878</v>
      </c>
      <c r="F2113" s="488" t="s">
        <v>3153</v>
      </c>
      <c r="G2113" s="487">
        <v>1.6782407407407406E-3</v>
      </c>
    </row>
    <row r="2114" spans="4:7">
      <c r="D2114" s="485">
        <v>44915</v>
      </c>
      <c r="E2114" s="467" t="s">
        <v>1995</v>
      </c>
      <c r="F2114" s="488" t="s">
        <v>3207</v>
      </c>
      <c r="G2114" s="487">
        <v>7.4652777777777781E-3</v>
      </c>
    </row>
    <row r="2115" spans="4:7">
      <c r="D2115" s="485">
        <v>44916</v>
      </c>
      <c r="E2115" s="467" t="s">
        <v>109</v>
      </c>
      <c r="F2115" s="488" t="s">
        <v>3398</v>
      </c>
      <c r="G2115" s="487">
        <v>2.946759259259259E-2</v>
      </c>
    </row>
    <row r="2116" spans="4:7">
      <c r="D2116" s="485">
        <v>44916</v>
      </c>
      <c r="E2116" s="467" t="s">
        <v>199</v>
      </c>
      <c r="F2116" s="488" t="s">
        <v>3125</v>
      </c>
      <c r="G2116" s="487">
        <v>1.1770833333333333E-2</v>
      </c>
    </row>
    <row r="2117" spans="4:7">
      <c r="D2117" s="485">
        <v>44916</v>
      </c>
      <c r="E2117" s="467" t="s">
        <v>1878</v>
      </c>
      <c r="F2117" s="488" t="s">
        <v>3154</v>
      </c>
      <c r="G2117" s="487">
        <v>2.1412037037037038E-3</v>
      </c>
    </row>
    <row r="2118" spans="4:7">
      <c r="D2118" s="485">
        <v>44916</v>
      </c>
      <c r="E2118" s="467" t="s">
        <v>1995</v>
      </c>
      <c r="F2118" s="488" t="s">
        <v>3208</v>
      </c>
      <c r="G2118" s="487">
        <v>6.8171296296296287E-3</v>
      </c>
    </row>
    <row r="2119" spans="4:7">
      <c r="D2119" s="485">
        <v>44917</v>
      </c>
      <c r="E2119" s="467" t="s">
        <v>109</v>
      </c>
      <c r="F2119" s="486">
        <v>0</v>
      </c>
      <c r="G2119" s="487">
        <v>2.3784722222222221E-2</v>
      </c>
    </row>
    <row r="2120" spans="4:7">
      <c r="D2120" s="485">
        <v>44917</v>
      </c>
      <c r="E2120" s="467" t="s">
        <v>199</v>
      </c>
      <c r="F2120" s="488" t="s">
        <v>3113</v>
      </c>
      <c r="G2120" s="487">
        <v>2.0520833333333332E-2</v>
      </c>
    </row>
    <row r="2121" spans="4:7">
      <c r="D2121" s="485">
        <v>44917</v>
      </c>
      <c r="E2121" s="467" t="s">
        <v>1878</v>
      </c>
      <c r="F2121" s="488" t="s">
        <v>3155</v>
      </c>
      <c r="G2121" s="487">
        <v>3.1944444444444442E-3</v>
      </c>
    </row>
    <row r="2122" spans="4:7">
      <c r="D2122" s="485">
        <v>44917</v>
      </c>
      <c r="E2122" s="467" t="s">
        <v>1995</v>
      </c>
      <c r="F2122" s="488" t="s">
        <v>3209</v>
      </c>
      <c r="G2122" s="487">
        <v>6.8634259259259256E-3</v>
      </c>
    </row>
    <row r="2123" spans="4:7">
      <c r="D2123" s="485">
        <v>44918</v>
      </c>
      <c r="E2123" s="467" t="s">
        <v>109</v>
      </c>
      <c r="F2123" s="488" t="s">
        <v>2923</v>
      </c>
      <c r="G2123" s="487">
        <v>2.9120370370370366E-2</v>
      </c>
    </row>
    <row r="2124" spans="4:7">
      <c r="D2124" s="485">
        <v>44918</v>
      </c>
      <c r="E2124" s="467" t="s">
        <v>199</v>
      </c>
      <c r="F2124" s="488" t="s">
        <v>3126</v>
      </c>
      <c r="G2124" s="487">
        <v>1.9930555555555556E-2</v>
      </c>
    </row>
    <row r="2125" spans="4:7">
      <c r="D2125" s="485">
        <v>44918</v>
      </c>
      <c r="E2125" s="467" t="s">
        <v>1878</v>
      </c>
      <c r="F2125" s="488" t="s">
        <v>3156</v>
      </c>
      <c r="G2125" s="487">
        <v>2.2453703703703702E-3</v>
      </c>
    </row>
    <row r="2126" spans="4:7">
      <c r="D2126" s="485">
        <v>44918</v>
      </c>
      <c r="E2126" s="467" t="s">
        <v>1878</v>
      </c>
      <c r="F2126" s="488" t="s">
        <v>3134</v>
      </c>
      <c r="G2126" s="487">
        <v>0.12052083333333334</v>
      </c>
    </row>
    <row r="2127" spans="4:7">
      <c r="D2127" s="485">
        <v>44918</v>
      </c>
      <c r="E2127" s="467" t="s">
        <v>1995</v>
      </c>
      <c r="F2127" s="488" t="s">
        <v>3210</v>
      </c>
      <c r="G2127" s="487">
        <v>6.0185185185185177E-3</v>
      </c>
    </row>
    <row r="2128" spans="4:7">
      <c r="D2128" s="485">
        <v>44918</v>
      </c>
      <c r="E2128" s="467" t="s">
        <v>1662</v>
      </c>
      <c r="F2128" s="486">
        <v>79</v>
      </c>
      <c r="G2128" s="487">
        <v>3.7222222222222219E-2</v>
      </c>
    </row>
    <row r="2129" spans="4:7">
      <c r="D2129" s="485">
        <v>44918</v>
      </c>
      <c r="E2129" s="467" t="s">
        <v>1662</v>
      </c>
      <c r="F2129" s="550">
        <v>209</v>
      </c>
      <c r="G2129" s="487">
        <v>3.5752314814814813E-2</v>
      </c>
    </row>
    <row r="2130" spans="4:7">
      <c r="D2130" s="485">
        <v>44918</v>
      </c>
      <c r="E2130" s="467" t="s">
        <v>3694</v>
      </c>
      <c r="F2130" s="486">
        <v>0</v>
      </c>
      <c r="G2130" s="487">
        <v>2.7777777777777776E-2</v>
      </c>
    </row>
    <row r="2131" spans="4:7">
      <c r="D2131" s="485">
        <v>44918</v>
      </c>
      <c r="E2131" s="467" t="s">
        <v>3695</v>
      </c>
      <c r="F2131" s="486">
        <v>0</v>
      </c>
      <c r="G2131" s="487">
        <v>1.6805555555555556E-2</v>
      </c>
    </row>
    <row r="2132" spans="4:7">
      <c r="D2132" s="485">
        <v>44919</v>
      </c>
      <c r="E2132" s="467" t="s">
        <v>109</v>
      </c>
      <c r="F2132" s="488" t="s">
        <v>3134</v>
      </c>
      <c r="G2132" s="487">
        <v>0.11469907407407408</v>
      </c>
    </row>
    <row r="2133" spans="4:7">
      <c r="D2133" s="485">
        <v>44919</v>
      </c>
      <c r="E2133" s="467" t="s">
        <v>199</v>
      </c>
      <c r="F2133" s="488" t="s">
        <v>3127</v>
      </c>
      <c r="G2133" s="487">
        <v>3.9745370370370368E-2</v>
      </c>
    </row>
    <row r="2134" spans="4:7">
      <c r="D2134" s="485">
        <v>44919</v>
      </c>
      <c r="E2134" s="467" t="s">
        <v>1878</v>
      </c>
      <c r="F2134" s="488" t="s">
        <v>3157</v>
      </c>
      <c r="G2134" s="487">
        <v>4.409722222222222E-3</v>
      </c>
    </row>
    <row r="2135" spans="4:7">
      <c r="D2135" s="485">
        <v>44919</v>
      </c>
      <c r="E2135" s="467" t="s">
        <v>1995</v>
      </c>
      <c r="F2135" s="488" t="s">
        <v>3211</v>
      </c>
      <c r="G2135" s="487">
        <v>1.1122685185185185E-2</v>
      </c>
    </row>
    <row r="2136" spans="4:7">
      <c r="D2136" s="485">
        <v>44919</v>
      </c>
      <c r="E2136" s="467" t="s">
        <v>3730</v>
      </c>
      <c r="F2136" s="486">
        <v>0</v>
      </c>
      <c r="G2136" s="487">
        <v>2.8587962962962964E-2</v>
      </c>
    </row>
    <row r="2137" spans="4:7">
      <c r="D2137" s="485">
        <v>44920</v>
      </c>
      <c r="E2137" s="467" t="s">
        <v>1617</v>
      </c>
      <c r="F2137" s="486">
        <v>0</v>
      </c>
      <c r="G2137" s="487">
        <v>0.15745370370370371</v>
      </c>
    </row>
    <row r="2138" spans="4:7">
      <c r="D2138" s="485">
        <v>44925.000856481478</v>
      </c>
      <c r="E2138" s="467" t="s">
        <v>1995</v>
      </c>
      <c r="F2138" s="486">
        <v>0</v>
      </c>
      <c r="G2138" s="487">
        <v>3.172453703703703E-2</v>
      </c>
    </row>
    <row r="2139" spans="4:7">
      <c r="D2139" s="485">
        <v>44925.541666666664</v>
      </c>
      <c r="E2139" s="467" t="s">
        <v>1326</v>
      </c>
      <c r="F2139" s="486">
        <v>0</v>
      </c>
      <c r="G2139" s="487">
        <v>5.9837962962962961E-3</v>
      </c>
    </row>
    <row r="2140" spans="4:7">
      <c r="D2140" s="485">
        <v>44926.000081018516</v>
      </c>
      <c r="E2140" s="467" t="s">
        <v>1878</v>
      </c>
      <c r="F2140" s="486">
        <v>0</v>
      </c>
      <c r="G2140" s="487">
        <v>5.8217592592592592E-3</v>
      </c>
    </row>
    <row r="2141" spans="4:7">
      <c r="D2141" s="485">
        <v>44926.000868055555</v>
      </c>
      <c r="E2141" s="467" t="s">
        <v>1995</v>
      </c>
      <c r="F2141" s="486">
        <v>0</v>
      </c>
      <c r="G2141" s="487">
        <v>4.1944444444444444E-2</v>
      </c>
    </row>
    <row r="2142" spans="4:7">
      <c r="D2142" s="485">
        <v>44926.715277777781</v>
      </c>
      <c r="E2142" s="467" t="s">
        <v>109</v>
      </c>
      <c r="F2142" s="486">
        <v>0</v>
      </c>
      <c r="G2142" s="487">
        <v>0.1272337962962963</v>
      </c>
    </row>
    <row r="2143" spans="4:7">
      <c r="D2143" s="501" t="s">
        <v>2818</v>
      </c>
      <c r="E2143" s="467" t="s">
        <v>2818</v>
      </c>
      <c r="F2143" s="495" t="s">
        <v>2818</v>
      </c>
      <c r="G2143" s="502" t="s">
        <v>2818</v>
      </c>
    </row>
  </sheetData>
  <autoFilter ref="B43:AN273" xr:uid="{00000000-0001-0000-0100-000000000000}"/>
  <mergeCells count="39">
    <mergeCell ref="I413:J413"/>
    <mergeCell ref="I414:J414"/>
    <mergeCell ref="I415:J415"/>
    <mergeCell ref="I408:J408"/>
    <mergeCell ref="I409:J409"/>
    <mergeCell ref="I410:J410"/>
    <mergeCell ref="I411:J411"/>
    <mergeCell ref="I412:J412"/>
    <mergeCell ref="I403:J403"/>
    <mergeCell ref="I404:J404"/>
    <mergeCell ref="I405:J405"/>
    <mergeCell ref="I406:J406"/>
    <mergeCell ref="I407:J407"/>
    <mergeCell ref="I398:J398"/>
    <mergeCell ref="I399:J399"/>
    <mergeCell ref="I400:J400"/>
    <mergeCell ref="I402:J402"/>
    <mergeCell ref="I401:J401"/>
    <mergeCell ref="D394:G394"/>
    <mergeCell ref="I395:J395"/>
    <mergeCell ref="I396:J396"/>
    <mergeCell ref="I394:M394"/>
    <mergeCell ref="I397:J397"/>
    <mergeCell ref="AP42:BR42"/>
    <mergeCell ref="B371:I371"/>
    <mergeCell ref="B318:I318"/>
    <mergeCell ref="B320:C320"/>
    <mergeCell ref="B4:C5"/>
    <mergeCell ref="G4:I4"/>
    <mergeCell ref="D42:AN42"/>
    <mergeCell ref="M2:X2"/>
    <mergeCell ref="B2:I2"/>
    <mergeCell ref="B40:I40"/>
    <mergeCell ref="AP40:AW40"/>
    <mergeCell ref="AI2:AP2"/>
    <mergeCell ref="AA2:AF2"/>
    <mergeCell ref="J4:K4"/>
    <mergeCell ref="H36:J36"/>
    <mergeCell ref="H37:J37"/>
  </mergeCells>
  <phoneticPr fontId="37" type="noConversion"/>
  <conditionalFormatting sqref="B44:AN273">
    <cfRule type="expression" dxfId="26" priority="41">
      <formula>MOD(ROW(),6)=2</formula>
    </cfRule>
    <cfRule type="expression" dxfId="25" priority="42">
      <formula>MOD(ROW(),2)=0</formula>
    </cfRule>
  </conditionalFormatting>
  <conditionalFormatting sqref="E44:E273">
    <cfRule type="expression" dxfId="24" priority="22">
      <formula>G44=0</formula>
    </cfRule>
  </conditionalFormatting>
  <conditionalFormatting sqref="F44:F273">
    <cfRule type="expression" dxfId="23" priority="21">
      <formula>G44=0</formula>
    </cfRule>
  </conditionalFormatting>
  <conditionalFormatting sqref="G44:G273 J44:J273 M44:M273 P44:P273 S44:S273 V44:V273 Y44:Y273 AB44:AB273 AE44:AE273 AH44:AH273 AK44:AK273 AN44:AN273">
    <cfRule type="cellIs" dxfId="22" priority="40" operator="equal">
      <formula>0</formula>
    </cfRule>
  </conditionalFormatting>
  <conditionalFormatting sqref="H44:H273">
    <cfRule type="expression" dxfId="21" priority="20">
      <formula>J44=0</formula>
    </cfRule>
  </conditionalFormatting>
  <conditionalFormatting sqref="I44:I273">
    <cfRule type="expression" dxfId="20" priority="19">
      <formula>J44=0</formula>
    </cfRule>
  </conditionalFormatting>
  <conditionalFormatting sqref="K44:K273">
    <cfRule type="expression" dxfId="19" priority="18">
      <formula>M44=0</formula>
    </cfRule>
  </conditionalFormatting>
  <conditionalFormatting sqref="L44:L273">
    <cfRule type="expression" dxfId="18" priority="17">
      <formula>M44=0</formula>
    </cfRule>
  </conditionalFormatting>
  <conditionalFormatting sqref="N44:N273">
    <cfRule type="expression" dxfId="17" priority="16">
      <formula>P44=0</formula>
    </cfRule>
  </conditionalFormatting>
  <conditionalFormatting sqref="O44:O273">
    <cfRule type="expression" dxfId="16" priority="15">
      <formula>P44=0</formula>
    </cfRule>
  </conditionalFormatting>
  <conditionalFormatting sqref="Q44:Q273">
    <cfRule type="expression" dxfId="15" priority="14">
      <formula>S44=0</formula>
    </cfRule>
  </conditionalFormatting>
  <conditionalFormatting sqref="R44:R273">
    <cfRule type="expression" dxfId="14" priority="13">
      <formula>S44=0</formula>
    </cfRule>
  </conditionalFormatting>
  <conditionalFormatting sqref="T44:T273">
    <cfRule type="expression" dxfId="13" priority="38">
      <formula>V44=0</formula>
    </cfRule>
  </conditionalFormatting>
  <conditionalFormatting sqref="U44:U273">
    <cfRule type="expression" dxfId="12" priority="23">
      <formula>V44=0</formula>
    </cfRule>
  </conditionalFormatting>
  <conditionalFormatting sqref="W44:W273">
    <cfRule type="expression" dxfId="11" priority="12">
      <formula>Y44=0</formula>
    </cfRule>
  </conditionalFormatting>
  <conditionalFormatting sqref="X44:X273">
    <cfRule type="expression" dxfId="10" priority="11">
      <formula>Y44=0</formula>
    </cfRule>
  </conditionalFormatting>
  <conditionalFormatting sqref="Z44:Z273">
    <cfRule type="expression" dxfId="9" priority="10">
      <formula>AB44=0</formula>
    </cfRule>
  </conditionalFormatting>
  <conditionalFormatting sqref="AA44:AA273">
    <cfRule type="expression" dxfId="8" priority="9">
      <formula>AB44=0</formula>
    </cfRule>
  </conditionalFormatting>
  <conditionalFormatting sqref="AC44:AC273">
    <cfRule type="expression" dxfId="7" priority="8">
      <formula>AE44=0</formula>
    </cfRule>
  </conditionalFormatting>
  <conditionalFormatting sqref="AD44:AD273">
    <cfRule type="expression" dxfId="6" priority="7">
      <formula>AE44=0</formula>
    </cfRule>
  </conditionalFormatting>
  <conditionalFormatting sqref="AF44:AF273">
    <cfRule type="expression" dxfId="5" priority="6">
      <formula>AH44=0</formula>
    </cfRule>
  </conditionalFormatting>
  <conditionalFormatting sqref="AG44:AG273">
    <cfRule type="expression" dxfId="4" priority="5">
      <formula>AH44=0</formula>
    </cfRule>
  </conditionalFormatting>
  <conditionalFormatting sqref="AI44:AI273">
    <cfRule type="expression" dxfId="3" priority="4">
      <formula>AK44=0</formula>
    </cfRule>
  </conditionalFormatting>
  <conditionalFormatting sqref="AJ44:AJ273">
    <cfRule type="expression" dxfId="2" priority="3">
      <formula>AK44=0</formula>
    </cfRule>
  </conditionalFormatting>
  <conditionalFormatting sqref="AL44:AL273">
    <cfRule type="expression" dxfId="1" priority="2">
      <formula>AN44=0</formula>
    </cfRule>
  </conditionalFormatting>
  <conditionalFormatting sqref="AM44:AM273">
    <cfRule type="expression" dxfId="0" priority="1">
      <formula>AN44=0</formula>
    </cfRule>
  </conditionalFormatting>
  <hyperlinks>
    <hyperlink ref="C7" location="_01._FragezeichenPod_seit_2011" tooltip="springen" display="???od" xr:uid="{00000000-0004-0000-0100-000000000000}"/>
    <hyperlink ref="C9" location="_03._TalkerLounge_seit_2012" tooltip="springen" display="Talker" xr:uid="{00000000-0004-0000-0100-000001000000}"/>
    <hyperlink ref="C10" location="_04._Haschimitenfürst_seit_2013" tooltip="springen" display="Fürst" xr:uid="{00000000-0004-0000-0100-000002000000}"/>
    <hyperlink ref="C11" location="_05._WasHoerstDuSo_seit_2016" tooltip="springen" display="Hoerst" xr:uid="{00000000-0004-0000-0100-000003000000}"/>
    <hyperlink ref="C12" location="_06._Schrottcast_seit_2016" tooltip="springen" display="Schrott" xr:uid="{00000000-0004-0000-0100-000004000000}"/>
    <hyperlink ref="C14" location="_08._SSP_seit_2017" tooltip="springen" display="SSP" xr:uid="{00000000-0004-0000-0100-000005000000}"/>
    <hyperlink ref="C15" location="_09._RundA_seit_2018" tooltip="springen" display="R&amp;A" xr:uid="{00000000-0004-0000-0100-000006000000}"/>
    <hyperlink ref="C16" location="_10._DiE_2WO_seit_2018" tooltip="springen" display="DiE 2WO" xr:uid="{00000000-0004-0000-0100-000007000000}"/>
    <hyperlink ref="C17" location="_11._Die_Zentrale_seit_2019" tooltip="springen" display="Zentrale" xr:uid="{00000000-0004-0000-0100-000008000000}"/>
    <hyperlink ref="C19" location="_13._Retroabteil_seit_2019" tooltip="springen" display="Retro" xr:uid="{00000000-0004-0000-0100-000009000000}"/>
    <hyperlink ref="C18" location="_12._Gebrauchtwaren_seit_2019" tooltip="springen" display="Gebraucht" xr:uid="{00000000-0004-0000-0100-00000A000000}"/>
    <hyperlink ref="C8" location="_02._OhrCast_seit_2011" tooltip="springen" display="Ohr" xr:uid="{00000000-0004-0000-0100-00000B000000}"/>
    <hyperlink ref="C20" location="_14._Schrottplatz_seit_2020" tooltip="springen" display="Platz" xr:uid="{00000000-0004-0000-0100-00000C000000}"/>
    <hyperlink ref="C23" location="_17._Anführungszeichen_seit_2020" tooltip="springen" display="Zeichen" xr:uid="{00000000-0004-0000-0100-00000D000000}"/>
    <hyperlink ref="C24" location="_18._Fanatiker_seit_2020" tooltip="springen" display="Fan" xr:uid="{00000000-0004-0000-0100-00000E000000}"/>
    <hyperlink ref="C26" location="_20._Kirschkuchen_seit_2020" tooltip="springen" display="Kuchen" xr:uid="{688488D5-682A-474D-8E5E-D82DF746DAFD}"/>
    <hyperlink ref="C22" location="_16._Taschenlampen_seit_2020" tooltip="springen" display="Lampe" xr:uid="{DE44C471-1981-40ED-9462-9E4C06FAF4FF}"/>
    <hyperlink ref="C25" location="_19._Kaffeeklatsch_seit_2020" tooltip="springen" display="Kaffee" xr:uid="{7A62B6AF-F149-42CE-8D4D-03F5D2CC27BD}"/>
    <hyperlink ref="C27" location="_21._Verstärker_seit_2021" tooltip="springen" display="Verstärker" xr:uid="{DC7F8BCD-5AB3-48DD-84EF-E1EFD09CA2C2}"/>
    <hyperlink ref="C29" location="_23._Die_Zw3i_seit_2021" tooltip="springen" display="Die Zw3i" xr:uid="{1BB95F73-5960-4BE4-AC68-35B7D10BA041}"/>
    <hyperlink ref="C28" location="_22._Rose_seit_2021" tooltip="springen" display="Rose" xr:uid="{384626C3-E739-47A7-A575-80E763EE135A}"/>
    <hyperlink ref="E35" location="DDF_Spielzeitsumme" tooltip="springen" display="DDF_Spielzeitsumme" xr:uid="{AE451451-4563-444A-BA92-19B20FCF9931}"/>
    <hyperlink ref="C13" location="_07._KellerKanal_seit_2016" tooltip="springen" display="Keller" xr:uid="{227351A8-EDA1-44BB-967A-953B077A8863}"/>
    <hyperlink ref="C21" location="_15._Abfahrt_seit_2020" tooltip="springen" display="Abfahrt" xr:uid="{32699254-BB71-42B9-AD76-A9E44847FE24}"/>
    <hyperlink ref="C32" location="_26._beachcast_seit_2022" tooltip="springen" display="beachcast" xr:uid="{C99E3719-7BDC-4CEB-8688-A5969167736A}"/>
    <hyperlink ref="C33" location="_27._DGdB_seit_2022" tooltip="springen" display="DGdB" xr:uid="{82B8C56E-C373-4E11-86BA-AA323EB381B0}"/>
    <hyperlink ref="C31" location="_25._Doppelpunkt_seit_2022" tooltip="springen" display=":punkt" xr:uid="{14AF7C29-95CB-4709-AC83-DAEE54BB364E}"/>
    <hyperlink ref="C30" location="_24._RockyBeachWeekly_seit_2022" tooltip="springen" display="RBW" xr:uid="{F0ACA719-002D-4901-A1FE-AF932E6E7DC7}"/>
    <hyperlink ref="C34" location="_28._RBP_seit_2023" tooltip="springen" display="RBP" xr:uid="{843A2DEF-3A51-4BE6-B827-19D6A7D15965}"/>
  </hyperlinks>
  <pageMargins left="0.7" right="0.7" top="0.78740157499999996" bottom="0.78740157499999996" header="0.3" footer="0.3"/>
  <pageSetup paperSize="9" orientation="portrait"/>
  <ignoredErrors>
    <ignoredError sqref="W43 T43 Q43 N43 K43 H43 E43 D7:E7 Z43:AL43 D44:D244 D246:D251 E44:AN273 C50:C53 C55:C66 C70:C71 C73:C87 C144:C152 C154:C166 C168:C190 C192 C194:C202 C204:C218 C220:C234 C236:C242 C244:C273 C89:C131 C133:C142 I21 C44:C46 C48 I33:K33 J7:K7 J18:K25 D8:D11 J27:K28 J15:K15 J29:K29 D12:D25 J13:K13 I12 D30 J14:K14 I32:K32 J8:K11 J17:K17 D31:D34 I34:K34 D26:D29 J12:K12 I26:K26" unlockedFormula="1"/>
    <ignoredError sqref="F7:G7 E8:G11 E13:I20 J16:K16 E22:I25 H7:I11 H12 E21:H21 E32:H33 E29:F29 G29:I29 E31:K31 E30:F30 G30 H30:K30 E12:G12 E34:H34 E27:I28 G26:H26 E26:F26" unlockedFormula="1" calculatedColumn="1"/>
    <ignoredError sqref="D345 D325 J382 AD383 H381 N385 O377 AG377" formula="1"/>
    <ignoredError sqref="C49 C54 C69 C72 C153 C167 C193 C203 C219 C235 C243 C88 C132 C47 C143 C67:C68 C191" formula="1" unlockedFormula="1"/>
    <ignoredError sqref="A350" formulaRange="1"/>
  </ignoredErrors>
  <drawing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CCECFF"/>
  </sheetPr>
  <dimension ref="A1:BH335"/>
  <sheetViews>
    <sheetView showGridLines="0" showRowColHeaders="0" zoomScaleNormal="100" workbookViewId="0">
      <pane ySplit="5" topLeftCell="A6" activePane="bottomLeft" state="frozen"/>
      <selection pane="bottomLeft" activeCell="B2" sqref="B2:I2"/>
    </sheetView>
  </sheetViews>
  <sheetFormatPr baseColWidth="10" defaultRowHeight="14.5"/>
  <cols>
    <col min="1" max="3" width="4.26953125" customWidth="1"/>
    <col min="4" max="4" width="6.54296875" customWidth="1"/>
    <col min="5" max="5" width="8.1796875" customWidth="1"/>
    <col min="6" max="6" width="59.08984375" customWidth="1"/>
    <col min="7" max="8" width="6" customWidth="1"/>
    <col min="9" max="9" width="7.1796875" customWidth="1"/>
    <col min="10" max="12" width="10" customWidth="1"/>
    <col min="13" max="14" width="7.1796875" customWidth="1"/>
    <col min="16" max="16" width="10.90625" hidden="1" customWidth="1"/>
    <col min="17" max="17" width="11.81640625" hidden="1" customWidth="1"/>
    <col min="18" max="18" width="7.26953125" hidden="1" customWidth="1"/>
    <col min="19" max="19" width="2.7265625" customWidth="1"/>
    <col min="20" max="26" width="9.08984375" customWidth="1"/>
    <col min="27" max="27" width="2.81640625" customWidth="1"/>
    <col min="28" max="28" width="15" customWidth="1"/>
    <col min="29" max="30" width="7.26953125" customWidth="1"/>
    <col min="31" max="31" width="11.81640625" hidden="1" customWidth="1"/>
    <col min="32" max="32" width="7.26953125" hidden="1" customWidth="1"/>
    <col min="33" max="33" width="2.7265625" customWidth="1"/>
    <col min="34" max="40" width="9.08984375" customWidth="1"/>
    <col min="41" max="41" width="2.7265625" customWidth="1"/>
    <col min="42" max="42" width="13.81640625" customWidth="1"/>
    <col min="43" max="43" width="7.36328125" customWidth="1"/>
    <col min="44" max="44" width="13.6328125" customWidth="1"/>
    <col min="45" max="45" width="11.26953125" customWidth="1"/>
    <col min="46" max="54" width="2.6328125" customWidth="1"/>
    <col min="55" max="56" width="5.453125" customWidth="1"/>
    <col min="58" max="60" width="12.7265625" customWidth="1"/>
  </cols>
  <sheetData>
    <row r="1" spans="1:60">
      <c r="A1" s="28"/>
      <c r="B1" s="28"/>
      <c r="C1" s="28"/>
      <c r="D1" s="28"/>
      <c r="E1" s="28"/>
      <c r="F1" s="28"/>
      <c r="G1" s="28"/>
      <c r="H1" s="28"/>
      <c r="I1" s="28"/>
      <c r="J1" s="28"/>
      <c r="K1" s="28"/>
      <c r="L1" s="285"/>
      <c r="M1" s="285"/>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row>
    <row r="2" spans="1:60">
      <c r="A2" s="28"/>
      <c r="B2" s="764" t="s">
        <v>883</v>
      </c>
      <c r="C2" s="765"/>
      <c r="D2" s="765"/>
      <c r="E2" s="765"/>
      <c r="F2" s="765"/>
      <c r="G2" s="765"/>
      <c r="H2" s="765"/>
      <c r="I2" s="766"/>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row>
    <row r="3" spans="1:60" ht="14.5" customHeight="1">
      <c r="A3" s="28"/>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813" t="s">
        <v>2242</v>
      </c>
      <c r="AT3" s="814"/>
      <c r="AU3" s="814"/>
      <c r="AV3" s="814"/>
      <c r="AW3" s="814"/>
      <c r="AX3" s="814"/>
      <c r="AY3" s="814"/>
      <c r="AZ3" s="814"/>
      <c r="BA3" s="814"/>
      <c r="BB3" s="814"/>
      <c r="BC3" s="814"/>
      <c r="BD3" s="815"/>
      <c r="BE3" s="28"/>
      <c r="BF3" s="812" t="s">
        <v>2639</v>
      </c>
      <c r="BH3" s="316"/>
    </row>
    <row r="4" spans="1:60">
      <c r="A4" s="28"/>
      <c r="B4" s="802" t="s">
        <v>769</v>
      </c>
      <c r="C4" s="803"/>
      <c r="D4" s="803" t="s">
        <v>770</v>
      </c>
      <c r="E4" s="803"/>
      <c r="F4" s="135" t="s">
        <v>771</v>
      </c>
      <c r="G4" s="803" t="s">
        <v>772</v>
      </c>
      <c r="H4" s="803"/>
      <c r="I4" s="803"/>
      <c r="J4" s="803" t="s">
        <v>32</v>
      </c>
      <c r="K4" s="803"/>
      <c r="L4" s="803" t="s">
        <v>773</v>
      </c>
      <c r="M4" s="803"/>
      <c r="N4" s="804"/>
      <c r="O4" s="28"/>
      <c r="P4" s="28"/>
      <c r="R4" s="28"/>
      <c r="S4" s="28"/>
      <c r="T4" s="816" t="s">
        <v>876</v>
      </c>
      <c r="U4" s="817"/>
      <c r="V4" s="817"/>
      <c r="W4" s="817"/>
      <c r="X4" s="817"/>
      <c r="Y4" s="817"/>
      <c r="Z4" s="817"/>
      <c r="AA4" s="817"/>
      <c r="AB4" s="817"/>
      <c r="AC4" s="818"/>
      <c r="AD4" s="28"/>
      <c r="AE4" s="28"/>
      <c r="AF4" s="28"/>
      <c r="AG4" s="28"/>
      <c r="AH4" s="816" t="s">
        <v>873</v>
      </c>
      <c r="AI4" s="817"/>
      <c r="AJ4" s="817"/>
      <c r="AK4" s="817"/>
      <c r="AL4" s="817"/>
      <c r="AM4" s="817"/>
      <c r="AN4" s="817"/>
      <c r="AO4" s="817"/>
      <c r="AP4" s="817"/>
      <c r="AQ4" s="818"/>
      <c r="AR4" s="28"/>
      <c r="AS4" s="28"/>
      <c r="AT4" s="28"/>
      <c r="AU4" s="28"/>
      <c r="AV4" s="28"/>
      <c r="AW4" s="28"/>
      <c r="AX4" s="28"/>
      <c r="AY4" s="28"/>
      <c r="AZ4" s="28"/>
      <c r="BA4" s="28"/>
      <c r="BB4" s="28"/>
      <c r="BC4" s="28"/>
      <c r="BD4" s="28"/>
      <c r="BE4" s="28"/>
      <c r="BF4" s="812"/>
      <c r="BG4" s="806" t="s">
        <v>2651</v>
      </c>
      <c r="BH4" s="806"/>
    </row>
    <row r="5" spans="1:60">
      <c r="A5" s="28"/>
      <c r="B5" s="342" t="s">
        <v>774</v>
      </c>
      <c r="C5" s="343" t="s">
        <v>775</v>
      </c>
      <c r="D5" s="343" t="s">
        <v>1258</v>
      </c>
      <c r="E5" s="343" t="s">
        <v>1259</v>
      </c>
      <c r="F5" s="343" t="s">
        <v>776</v>
      </c>
      <c r="G5" s="343" t="s">
        <v>777</v>
      </c>
      <c r="H5" s="343" t="s">
        <v>778</v>
      </c>
      <c r="I5" s="343" t="s">
        <v>2204</v>
      </c>
      <c r="J5" s="343" t="s">
        <v>779</v>
      </c>
      <c r="K5" s="343" t="s">
        <v>780</v>
      </c>
      <c r="L5" s="343" t="s">
        <v>8</v>
      </c>
      <c r="M5" s="343" t="s">
        <v>781</v>
      </c>
      <c r="N5" s="344" t="s">
        <v>2203</v>
      </c>
      <c r="O5" s="45" t="s">
        <v>782</v>
      </c>
      <c r="Q5" s="28"/>
      <c r="R5" s="28"/>
      <c r="S5" s="28"/>
      <c r="T5" s="28"/>
      <c r="U5" s="28"/>
      <c r="V5" s="28"/>
      <c r="W5" s="28"/>
      <c r="X5" s="28"/>
      <c r="Y5" s="28"/>
      <c r="Z5" s="28"/>
      <c r="AA5" s="28"/>
      <c r="AB5" s="28"/>
      <c r="AC5" s="28"/>
      <c r="AD5" s="45"/>
      <c r="AE5" s="45"/>
      <c r="AF5" s="45"/>
      <c r="AG5" s="45"/>
      <c r="AH5" s="28"/>
      <c r="AI5" s="28"/>
      <c r="AJ5" s="28"/>
      <c r="AK5" s="28"/>
      <c r="AL5" s="28"/>
      <c r="AM5" s="28"/>
      <c r="AN5" s="28"/>
      <c r="AO5" s="28"/>
      <c r="AP5" s="28"/>
      <c r="AQ5" s="28"/>
      <c r="AR5" s="28"/>
      <c r="AS5" s="300" t="s">
        <v>4</v>
      </c>
      <c r="AT5" s="301" t="s">
        <v>2233</v>
      </c>
      <c r="AU5" s="298" t="s">
        <v>2234</v>
      </c>
      <c r="AV5" s="298" t="s">
        <v>2235</v>
      </c>
      <c r="AW5" s="298" t="s">
        <v>2236</v>
      </c>
      <c r="AX5" s="298" t="s">
        <v>2237</v>
      </c>
      <c r="AY5" s="298" t="s">
        <v>2238</v>
      </c>
      <c r="AZ5" s="298" t="s">
        <v>2239</v>
      </c>
      <c r="BA5" s="298" t="s">
        <v>2240</v>
      </c>
      <c r="BB5" s="299" t="s">
        <v>2241</v>
      </c>
      <c r="BC5" s="301" t="s">
        <v>2231</v>
      </c>
      <c r="BD5" s="299" t="s">
        <v>2232</v>
      </c>
      <c r="BE5" s="28"/>
      <c r="BF5" s="315" t="s">
        <v>2229</v>
      </c>
      <c r="BG5" s="552" t="e">
        <f>IF(VLOOKUP(BF5,AS6:BD333,11,FALSE)=0,"kein OF", VLOOKUP(BF5,AS6:BD333,11,FALSE))</f>
        <v>#N/A</v>
      </c>
      <c r="BH5" s="551" t="e">
        <f>IF(VLOOKUP(BF5,AS6:BD333,12,FALSE)=0,"kein OF", VLOOKUP(BF5,AS6:BD333,12,FALSE))</f>
        <v>#N/A</v>
      </c>
    </row>
    <row r="6" spans="1:60">
      <c r="A6" s="28"/>
      <c r="B6" s="345">
        <v>129</v>
      </c>
      <c r="C6" s="346">
        <v>32</v>
      </c>
      <c r="D6" s="350"/>
      <c r="E6" s="5"/>
      <c r="F6" s="346" t="s">
        <v>2897</v>
      </c>
      <c r="G6" s="347">
        <v>1</v>
      </c>
      <c r="H6" s="348">
        <v>310</v>
      </c>
      <c r="I6" s="346">
        <f ca="1">SUMPRODUCT((INDIRECT(P$11)=D6)*(INDIRECT(P$12)&gt;=H6))</f>
        <v>13</v>
      </c>
      <c r="J6" s="349">
        <v>44672</v>
      </c>
      <c r="K6" s="349">
        <v>44680</v>
      </c>
      <c r="L6" s="349"/>
      <c r="M6" s="346"/>
      <c r="N6" s="396"/>
      <c r="O6" s="45"/>
      <c r="P6" s="286" t="s">
        <v>2169</v>
      </c>
      <c r="Q6" s="278" t="s">
        <v>780</v>
      </c>
      <c r="R6" s="101" t="s">
        <v>380</v>
      </c>
      <c r="S6" s="98"/>
      <c r="T6" s="98"/>
      <c r="U6" s="98"/>
      <c r="V6" s="98"/>
      <c r="W6" s="98"/>
      <c r="X6" s="98"/>
      <c r="Y6" s="98"/>
      <c r="Z6" s="98"/>
      <c r="AA6" s="98"/>
      <c r="AB6" s="202" t="s">
        <v>2151</v>
      </c>
      <c r="AC6" s="279" t="s">
        <v>874</v>
      </c>
      <c r="AD6" s="99"/>
      <c r="AE6" s="202" t="s">
        <v>875</v>
      </c>
      <c r="AF6" s="279" t="s">
        <v>874</v>
      </c>
      <c r="AG6" s="99"/>
      <c r="AH6" s="28"/>
      <c r="AI6" s="28"/>
      <c r="AJ6" s="28"/>
      <c r="AK6" s="28"/>
      <c r="AL6" s="28"/>
      <c r="AM6" s="28"/>
      <c r="AN6" s="28"/>
      <c r="AO6" s="28"/>
      <c r="AP6" s="202" t="s">
        <v>2152</v>
      </c>
      <c r="AQ6" s="279" t="s">
        <v>874</v>
      </c>
      <c r="AR6" s="28"/>
      <c r="AS6" s="324" t="s">
        <v>3482</v>
      </c>
      <c r="AT6" s="325">
        <v>0</v>
      </c>
      <c r="AU6" s="320"/>
      <c r="AV6" s="320"/>
      <c r="AW6" s="320"/>
      <c r="AX6" s="320"/>
      <c r="AY6" s="320"/>
      <c r="AZ6" s="320"/>
      <c r="BA6" s="320"/>
      <c r="BB6" s="322"/>
      <c r="BC6" s="325">
        <v>0</v>
      </c>
      <c r="BD6" s="326">
        <v>0</v>
      </c>
      <c r="BE6" s="28"/>
    </row>
    <row r="7" spans="1:60">
      <c r="A7" s="28"/>
      <c r="B7" s="345">
        <v>128</v>
      </c>
      <c r="C7" s="350">
        <v>32</v>
      </c>
      <c r="D7" s="350">
        <v>61</v>
      </c>
      <c r="E7" s="353">
        <v>109</v>
      </c>
      <c r="F7" s="354" t="s">
        <v>2907</v>
      </c>
      <c r="G7" s="355">
        <v>0.39</v>
      </c>
      <c r="H7" s="356">
        <v>120</v>
      </c>
      <c r="I7" s="356">
        <f ca="1">SUMPRODUCT((INDIRECT(P$13)&lt;&gt;"")*(INDIRECT(P$12)&gt;=H7))</f>
        <v>12</v>
      </c>
      <c r="J7" s="357">
        <f>E7-E11</f>
        <v>8</v>
      </c>
      <c r="K7" s="358">
        <f>DATEDIF(J6,K6,"D")</f>
        <v>8</v>
      </c>
      <c r="L7" s="359">
        <v>44739</v>
      </c>
      <c r="M7" s="360">
        <f>DATEDIF(K6,L7,"D")</f>
        <v>59</v>
      </c>
      <c r="N7" s="351">
        <f ca="1">IFERROR(RANK(M7,INDIRECT(P$16),1),"")</f>
        <v>23</v>
      </c>
      <c r="O7" s="45"/>
      <c r="P7" s="287">
        <v>6</v>
      </c>
      <c r="Q7" s="240">
        <v>42821</v>
      </c>
      <c r="R7" s="238">
        <v>67</v>
      </c>
      <c r="S7" s="28"/>
      <c r="T7" s="28"/>
      <c r="U7" s="28"/>
      <c r="V7" s="28"/>
      <c r="W7" s="28"/>
      <c r="X7" s="28"/>
      <c r="Y7" s="28"/>
      <c r="Z7" s="28"/>
      <c r="AA7" s="28"/>
      <c r="AB7" s="202" t="s">
        <v>877</v>
      </c>
      <c r="AC7" s="280">
        <f>SUM((COUNTIF(R:R,{"&gt;1","&gt;100"}))*{1,-1})</f>
        <v>4</v>
      </c>
      <c r="AD7" s="100"/>
      <c r="AE7" s="202" t="s">
        <v>857</v>
      </c>
      <c r="AF7" s="280">
        <f>SUM((COUNTIF(M:M,{"&gt;1","&gt;7"}))*{1,-1})</f>
        <v>0</v>
      </c>
      <c r="AG7" s="100"/>
      <c r="AH7" s="28"/>
      <c r="AI7" s="28"/>
      <c r="AJ7" s="28"/>
      <c r="AK7" s="28"/>
      <c r="AL7" s="28"/>
      <c r="AM7" s="28"/>
      <c r="AN7" s="28"/>
      <c r="AO7" s="28"/>
      <c r="AP7" s="202" t="s">
        <v>2153</v>
      </c>
      <c r="AQ7" s="280">
        <f>SUM((COUNTIF(M:M,{"&gt;1","&gt;30,4375"}))*{1,-1})</f>
        <v>12</v>
      </c>
      <c r="AR7" s="28"/>
      <c r="AS7" s="324" t="s">
        <v>3483</v>
      </c>
      <c r="AT7" s="325">
        <v>0</v>
      </c>
      <c r="AU7" s="320"/>
      <c r="AV7" s="320"/>
      <c r="AW7" s="320"/>
      <c r="AX7" s="320"/>
      <c r="AY7" s="320"/>
      <c r="AZ7" s="320"/>
      <c r="BA7" s="320"/>
      <c r="BB7" s="322"/>
      <c r="BC7" s="325">
        <v>0</v>
      </c>
      <c r="BD7" s="326">
        <v>0</v>
      </c>
      <c r="BE7" s="28"/>
    </row>
    <row r="8" spans="1:60">
      <c r="A8" s="28"/>
      <c r="B8" s="345">
        <v>127</v>
      </c>
      <c r="C8" s="350">
        <v>32</v>
      </c>
      <c r="D8" s="350">
        <v>145</v>
      </c>
      <c r="E8" s="350"/>
      <c r="F8" s="350" t="s">
        <v>2905</v>
      </c>
      <c r="G8" s="361">
        <v>0.31</v>
      </c>
      <c r="H8" s="350">
        <v>97</v>
      </c>
      <c r="I8" s="350"/>
      <c r="J8" s="350"/>
      <c r="K8" s="350"/>
      <c r="L8" s="350"/>
      <c r="M8" s="350"/>
      <c r="N8" s="351"/>
      <c r="O8" s="45"/>
      <c r="P8" s="287">
        <v>134</v>
      </c>
      <c r="Q8" s="241">
        <v>42890</v>
      </c>
      <c r="R8" s="238">
        <v>87</v>
      </c>
      <c r="S8" s="28"/>
      <c r="T8" s="28"/>
      <c r="U8" s="28"/>
      <c r="V8" s="28"/>
      <c r="W8" s="28"/>
      <c r="X8" s="28"/>
      <c r="Y8" s="28"/>
      <c r="Z8" s="28"/>
      <c r="AA8" s="28"/>
      <c r="AB8" s="202" t="s">
        <v>878</v>
      </c>
      <c r="AC8" s="280">
        <f>SUM((COUNTIF(R:R,{"&gt;100","&gt;200"}))*{1,-1})</f>
        <v>8</v>
      </c>
      <c r="AD8" s="100"/>
      <c r="AE8" s="202" t="s">
        <v>858</v>
      </c>
      <c r="AF8" s="280">
        <f>SUM((COUNTIF(M:M,{"&gt;7","&gt;14"}))*{1,-1})</f>
        <v>0</v>
      </c>
      <c r="AG8" s="100"/>
      <c r="AH8" s="28"/>
      <c r="AI8" s="28"/>
      <c r="AJ8" s="28"/>
      <c r="AK8" s="28"/>
      <c r="AL8" s="28"/>
      <c r="AM8" s="28"/>
      <c r="AN8" s="28"/>
      <c r="AO8" s="28"/>
      <c r="AP8" s="202" t="s">
        <v>2154</v>
      </c>
      <c r="AQ8" s="280">
        <f>SUM((COUNTIF(M:M,{"&gt;30,4375","&gt;60,875"}))*{1,-1})</f>
        <v>12</v>
      </c>
      <c r="AR8" s="28"/>
      <c r="AS8" s="324" t="s">
        <v>3484</v>
      </c>
      <c r="AT8" s="319"/>
      <c r="AU8" s="320"/>
      <c r="AV8" s="320"/>
      <c r="AW8" s="320"/>
      <c r="AX8" s="320">
        <v>5</v>
      </c>
      <c r="AY8" s="320"/>
      <c r="AZ8" s="320"/>
      <c r="BA8" s="320"/>
      <c r="BB8" s="322"/>
      <c r="BC8" s="317">
        <v>54.7</v>
      </c>
      <c r="BD8" s="318">
        <v>61.9</v>
      </c>
      <c r="BE8" s="28"/>
    </row>
    <row r="9" spans="1:60">
      <c r="A9" s="28"/>
      <c r="B9" s="345">
        <v>126</v>
      </c>
      <c r="C9" s="350">
        <v>32</v>
      </c>
      <c r="D9" s="350">
        <v>179</v>
      </c>
      <c r="E9" s="350"/>
      <c r="F9" s="350" t="s">
        <v>2906</v>
      </c>
      <c r="G9" s="361">
        <v>0.3</v>
      </c>
      <c r="H9" s="350">
        <v>93</v>
      </c>
      <c r="I9" s="350"/>
      <c r="J9" s="350"/>
      <c r="K9" s="350"/>
      <c r="L9" s="350"/>
      <c r="M9" s="350"/>
      <c r="N9" s="351"/>
      <c r="O9" s="45"/>
      <c r="P9" s="179"/>
      <c r="Q9" s="241">
        <v>42906</v>
      </c>
      <c r="R9" s="238">
        <v>94</v>
      </c>
      <c r="S9" s="28"/>
      <c r="T9" s="28"/>
      <c r="U9" s="28"/>
      <c r="V9" s="28"/>
      <c r="W9" s="28"/>
      <c r="X9" s="28"/>
      <c r="Y9" s="28"/>
      <c r="Z9" s="28"/>
      <c r="AA9" s="28"/>
      <c r="AB9" s="202" t="s">
        <v>879</v>
      </c>
      <c r="AC9" s="280">
        <f>SUM((COUNTIF(R:R,{"&gt;200","&gt;300"}))*{1,-1})</f>
        <v>7</v>
      </c>
      <c r="AD9" s="100"/>
      <c r="AE9" s="202" t="s">
        <v>859</v>
      </c>
      <c r="AF9" s="280">
        <f>SUM((COUNTIF(M:M,{"&gt;14","&gt;21"}))*{1,-1})</f>
        <v>5</v>
      </c>
      <c r="AG9" s="100"/>
      <c r="AH9" s="28"/>
      <c r="AI9" s="28"/>
      <c r="AJ9" s="28"/>
      <c r="AK9" s="28"/>
      <c r="AL9" s="28"/>
      <c r="AM9" s="28"/>
      <c r="AN9" s="28"/>
      <c r="AO9" s="28"/>
      <c r="AP9" s="202" t="s">
        <v>2155</v>
      </c>
      <c r="AQ9" s="280">
        <f>SUM((COUNTIF(M:M,{"&gt;60,875","&gt;91,3125"}))*{1,-1})</f>
        <v>5</v>
      </c>
      <c r="AR9" s="28"/>
      <c r="AS9" s="324" t="s">
        <v>3485</v>
      </c>
      <c r="AT9" s="325">
        <v>0</v>
      </c>
      <c r="AU9" s="320"/>
      <c r="AV9" s="320"/>
      <c r="AW9" s="320"/>
      <c r="AX9" s="320"/>
      <c r="AY9" s="320"/>
      <c r="AZ9" s="320"/>
      <c r="BA9" s="320"/>
      <c r="BB9" s="322"/>
      <c r="BC9" s="325">
        <v>0</v>
      </c>
      <c r="BD9" s="326">
        <v>0</v>
      </c>
      <c r="BE9" s="28"/>
    </row>
    <row r="10" spans="1:60">
      <c r="A10" s="28"/>
      <c r="B10" s="345">
        <v>125</v>
      </c>
      <c r="C10" s="346">
        <v>31</v>
      </c>
      <c r="D10" s="346"/>
      <c r="E10" s="346"/>
      <c r="F10" s="346" t="s">
        <v>2663</v>
      </c>
      <c r="G10" s="347">
        <v>1</v>
      </c>
      <c r="H10" s="348">
        <v>367</v>
      </c>
      <c r="I10" s="346">
        <f ca="1">SUMPRODUCT((INDIRECT(P$11)=D10)*(INDIRECT(P$12)&gt;=H10))</f>
        <v>7</v>
      </c>
      <c r="J10" s="349">
        <v>44572</v>
      </c>
      <c r="K10" s="349">
        <v>44580</v>
      </c>
      <c r="L10" s="349"/>
      <c r="M10" s="346"/>
      <c r="N10" s="396"/>
      <c r="O10" s="28"/>
      <c r="P10" s="286" t="s">
        <v>2168</v>
      </c>
      <c r="Q10" s="241">
        <v>42926</v>
      </c>
      <c r="R10" s="238">
        <v>90</v>
      </c>
      <c r="S10" s="28"/>
      <c r="T10" s="28"/>
      <c r="U10" s="28"/>
      <c r="V10" s="28"/>
      <c r="W10" s="28"/>
      <c r="X10" s="28"/>
      <c r="Y10" s="28"/>
      <c r="Z10" s="28"/>
      <c r="AA10" s="28"/>
      <c r="AB10" s="202" t="s">
        <v>880</v>
      </c>
      <c r="AC10" s="280">
        <f>SUM((COUNTIF(R:R,{"&gt;300","&gt;400"}))*{1,-1})</f>
        <v>7</v>
      </c>
      <c r="AD10" s="100"/>
      <c r="AE10" s="202" t="s">
        <v>860</v>
      </c>
      <c r="AF10" s="280">
        <f>SUM((COUNTIF(M:M,{"&gt;21","&gt;28"}))*{1,-1})</f>
        <v>5</v>
      </c>
      <c r="AG10" s="100"/>
      <c r="AH10" s="28"/>
      <c r="AI10" s="28"/>
      <c r="AJ10" s="28"/>
      <c r="AK10" s="28"/>
      <c r="AL10" s="28"/>
      <c r="AM10" s="28"/>
      <c r="AN10" s="28"/>
      <c r="AO10" s="28"/>
      <c r="AP10" s="202" t="s">
        <v>2156</v>
      </c>
      <c r="AQ10" s="280">
        <f>SUM((COUNTIF(M:M,{"&gt;91,3125","&gt;121,75"}))*{1,-1})</f>
        <v>3</v>
      </c>
      <c r="AR10" s="28"/>
      <c r="AS10" s="324" t="s">
        <v>3486</v>
      </c>
      <c r="AT10" s="319"/>
      <c r="AU10" s="320"/>
      <c r="AV10" s="320"/>
      <c r="AW10" s="320"/>
      <c r="AX10" s="320">
        <v>5</v>
      </c>
      <c r="AY10" s="320"/>
      <c r="AZ10" s="320"/>
      <c r="BA10" s="320"/>
      <c r="BB10" s="322"/>
      <c r="BC10" s="317">
        <v>53.6</v>
      </c>
      <c r="BD10" s="318">
        <v>39.799999999999997</v>
      </c>
      <c r="BE10" s="28"/>
    </row>
    <row r="11" spans="1:60">
      <c r="A11" s="28"/>
      <c r="B11" s="345">
        <v>124</v>
      </c>
      <c r="C11" s="350">
        <v>31</v>
      </c>
      <c r="D11" s="350">
        <v>126</v>
      </c>
      <c r="E11" s="353">
        <v>101</v>
      </c>
      <c r="F11" s="354" t="s">
        <v>2664</v>
      </c>
      <c r="G11" s="355">
        <v>0.4</v>
      </c>
      <c r="H11" s="356">
        <v>146</v>
      </c>
      <c r="I11" s="356">
        <f ca="1">SUMPRODUCT((INDIRECT(P$13)&lt;&gt;"")*(INDIRECT(P$12)&gt;=H11))</f>
        <v>10</v>
      </c>
      <c r="J11" s="357">
        <f>E11-E15</f>
        <v>2</v>
      </c>
      <c r="K11" s="358">
        <f>DATEDIF(J10,K10,"D")</f>
        <v>8</v>
      </c>
      <c r="L11" s="359">
        <v>44602</v>
      </c>
      <c r="M11" s="360">
        <f>DATEDIF(K10,L11,"D")</f>
        <v>22</v>
      </c>
      <c r="N11" s="351">
        <f ca="1">IFERROR(RANK(M11,INDIRECT(P$16),1),"")</f>
        <v>6</v>
      </c>
      <c r="O11" s="28"/>
      <c r="P11" s="285" t="str">
        <f>"D"&amp;P7&amp;":D"&amp;P8</f>
        <v>D6:D134</v>
      </c>
      <c r="Q11" s="241">
        <v>42964</v>
      </c>
      <c r="R11" s="238">
        <v>130</v>
      </c>
      <c r="S11" s="28"/>
      <c r="T11" s="28"/>
      <c r="U11" s="28"/>
      <c r="V11" s="28"/>
      <c r="W11" s="28"/>
      <c r="X11" s="28"/>
      <c r="Y11" s="28"/>
      <c r="Z11" s="28"/>
      <c r="AA11" s="28"/>
      <c r="AB11" s="202" t="s">
        <v>881</v>
      </c>
      <c r="AC11" s="280">
        <f>SUM((COUNTIF(R:R,{"&gt;400","&gt;500"}))*{1,-1})</f>
        <v>5</v>
      </c>
      <c r="AD11" s="100"/>
      <c r="AE11" s="202" t="s">
        <v>861</v>
      </c>
      <c r="AF11" s="280">
        <f>SUM((COUNTIF(M:M,{"&gt;28","&gt;35"}))*{1,-1})</f>
        <v>3</v>
      </c>
      <c r="AG11" s="100"/>
      <c r="AH11" s="28"/>
      <c r="AI11" s="28"/>
      <c r="AJ11" s="28"/>
      <c r="AK11" s="28"/>
      <c r="AL11" s="28"/>
      <c r="AM11" s="28"/>
      <c r="AN11" s="28"/>
      <c r="AO11" s="28"/>
      <c r="AP11" s="202" t="s">
        <v>2157</v>
      </c>
      <c r="AQ11" s="280">
        <f>SUM((COUNTIF(M:M,{"&gt;121,75","&gt;152,1875"}))*{1,-1})</f>
        <v>1</v>
      </c>
      <c r="AR11" s="28"/>
      <c r="AS11" s="324" t="s">
        <v>3487</v>
      </c>
      <c r="AT11" s="319"/>
      <c r="AU11" s="320"/>
      <c r="AV11" s="320"/>
      <c r="AW11" s="320"/>
      <c r="AX11" s="320"/>
      <c r="AY11" s="320">
        <v>6</v>
      </c>
      <c r="AZ11" s="320"/>
      <c r="BA11" s="320"/>
      <c r="BB11" s="322">
        <v>9</v>
      </c>
      <c r="BC11" s="317">
        <v>82.9</v>
      </c>
      <c r="BD11" s="318">
        <v>33.099999999999994</v>
      </c>
      <c r="BE11" s="28"/>
    </row>
    <row r="12" spans="1:60">
      <c r="A12" s="28"/>
      <c r="B12" s="345">
        <v>123</v>
      </c>
      <c r="C12" s="350">
        <v>31</v>
      </c>
      <c r="D12" s="350">
        <v>128</v>
      </c>
      <c r="E12" s="350"/>
      <c r="F12" s="350" t="s">
        <v>2665</v>
      </c>
      <c r="G12" s="361">
        <v>0.39</v>
      </c>
      <c r="H12" s="350">
        <v>143</v>
      </c>
      <c r="I12" s="350"/>
      <c r="J12" s="350"/>
      <c r="K12" s="350"/>
      <c r="L12" s="350"/>
      <c r="M12" s="350"/>
      <c r="N12" s="351"/>
      <c r="O12" s="28"/>
      <c r="P12" s="285" t="str">
        <f>"H"&amp;P7&amp;":H"&amp;P8</f>
        <v>H6:H134</v>
      </c>
      <c r="Q12" s="241">
        <v>42981</v>
      </c>
      <c r="R12" s="238">
        <v>107</v>
      </c>
      <c r="S12" s="28"/>
      <c r="T12" s="28"/>
      <c r="U12" s="28"/>
      <c r="V12" s="28"/>
      <c r="W12" s="28"/>
      <c r="X12" s="28"/>
      <c r="Y12" s="28"/>
      <c r="Z12" s="28"/>
      <c r="AA12" s="28"/>
      <c r="AB12" s="202" t="s">
        <v>882</v>
      </c>
      <c r="AC12" s="280">
        <f>SUM((COUNTIF(R:R,{"&gt;500","&gt;600"}))*{1,-1})</f>
        <v>1</v>
      </c>
      <c r="AD12" s="100"/>
      <c r="AE12" s="202" t="s">
        <v>862</v>
      </c>
      <c r="AF12" s="280">
        <f>SUM((COUNTIF(M:M,{"&gt;35","&gt;42"}))*{1,-1})</f>
        <v>3</v>
      </c>
      <c r="AG12" s="100"/>
      <c r="AH12" s="28"/>
      <c r="AI12" s="28"/>
      <c r="AJ12" s="28"/>
      <c r="AK12" s="28"/>
      <c r="AL12" s="28"/>
      <c r="AM12" s="28"/>
      <c r="AN12" s="28"/>
      <c r="AO12" s="28"/>
      <c r="AP12" s="202" t="s">
        <v>2158</v>
      </c>
      <c r="AQ12" s="280">
        <f>SUM((COUNTIF(M:M,{"&gt;152,1875","&gt;182,625"}))*{1,-1})</f>
        <v>0</v>
      </c>
      <c r="AR12" s="28"/>
      <c r="AS12" s="324" t="s">
        <v>3488</v>
      </c>
      <c r="AT12" s="319"/>
      <c r="AU12" s="320"/>
      <c r="AV12" s="320"/>
      <c r="AW12" s="320"/>
      <c r="AX12" s="320">
        <v>5</v>
      </c>
      <c r="AY12" s="320"/>
      <c r="AZ12" s="320"/>
      <c r="BA12" s="320"/>
      <c r="BB12" s="322"/>
      <c r="BC12" s="317">
        <v>53.6</v>
      </c>
      <c r="BD12" s="318">
        <v>39.700000000000003</v>
      </c>
      <c r="BE12" s="28"/>
    </row>
    <row r="13" spans="1:60" ht="15" customHeight="1">
      <c r="A13" s="28"/>
      <c r="B13" s="345">
        <v>122</v>
      </c>
      <c r="C13" s="350">
        <v>31</v>
      </c>
      <c r="D13" s="350">
        <v>127</v>
      </c>
      <c r="E13" s="350"/>
      <c r="F13" s="350" t="s">
        <v>2666</v>
      </c>
      <c r="G13" s="361">
        <v>0.21</v>
      </c>
      <c r="H13" s="350">
        <v>78</v>
      </c>
      <c r="I13" s="350"/>
      <c r="J13" s="350"/>
      <c r="K13" s="350"/>
      <c r="L13" s="350"/>
      <c r="M13" s="350"/>
      <c r="N13" s="351"/>
      <c r="O13" s="28"/>
      <c r="P13" s="285" t="str">
        <f>"E"&amp;P7&amp;":E"&amp;P8</f>
        <v>E6:E134</v>
      </c>
      <c r="Q13" s="241">
        <v>43002</v>
      </c>
      <c r="R13" s="238">
        <v>189</v>
      </c>
      <c r="S13" s="28"/>
      <c r="T13" s="28"/>
      <c r="U13" s="28"/>
      <c r="V13" s="28"/>
      <c r="W13" s="28"/>
      <c r="X13" s="28"/>
      <c r="Y13" s="28"/>
      <c r="Z13" s="28"/>
      <c r="AA13" s="28"/>
      <c r="AB13" s="28"/>
      <c r="AC13" s="28"/>
      <c r="AD13" s="100"/>
      <c r="AE13" s="202" t="s">
        <v>863</v>
      </c>
      <c r="AF13" s="280">
        <f>SUM((COUNTIF(M:M,{"&gt;42","&gt;49"}))*{1,-1})</f>
        <v>1</v>
      </c>
      <c r="AG13" s="100"/>
      <c r="AH13" s="28"/>
      <c r="AI13" s="28"/>
      <c r="AJ13" s="28"/>
      <c r="AK13" s="28"/>
      <c r="AL13" s="28"/>
      <c r="AM13" s="28"/>
      <c r="AN13" s="28"/>
      <c r="AO13" s="28"/>
      <c r="AP13" s="28"/>
      <c r="AQ13" s="28"/>
      <c r="AR13" s="28"/>
      <c r="AS13" s="324" t="s">
        <v>3489</v>
      </c>
      <c r="AT13" s="319"/>
      <c r="AU13" s="320">
        <v>2</v>
      </c>
      <c r="AV13" s="320"/>
      <c r="AW13" s="320"/>
      <c r="AX13" s="320"/>
      <c r="AY13" s="320"/>
      <c r="AZ13" s="320"/>
      <c r="BA13" s="320"/>
      <c r="BB13" s="322"/>
      <c r="BC13" s="317">
        <v>37.6</v>
      </c>
      <c r="BD13" s="318">
        <v>80.599999999999994</v>
      </c>
      <c r="BE13" s="28"/>
    </row>
    <row r="14" spans="1:60">
      <c r="A14" s="28"/>
      <c r="B14" s="345">
        <v>121</v>
      </c>
      <c r="C14" s="346">
        <v>30</v>
      </c>
      <c r="D14" s="346"/>
      <c r="E14" s="346"/>
      <c r="F14" s="346" t="s">
        <v>1881</v>
      </c>
      <c r="G14" s="347">
        <v>1</v>
      </c>
      <c r="H14" s="348">
        <v>263</v>
      </c>
      <c r="I14" s="346">
        <f ca="1">SUMPRODUCT((INDIRECT(P$11)=D14)*(INDIRECT(P$12)&gt;=H14))</f>
        <v>14</v>
      </c>
      <c r="J14" s="349">
        <v>44423</v>
      </c>
      <c r="K14" s="349">
        <v>44431</v>
      </c>
      <c r="L14" s="350"/>
      <c r="M14" s="350"/>
      <c r="N14" s="351"/>
      <c r="O14" s="28"/>
      <c r="P14" s="28"/>
      <c r="Q14" s="241">
        <v>43030</v>
      </c>
      <c r="R14" s="238">
        <v>200</v>
      </c>
      <c r="S14" s="28"/>
      <c r="T14" s="28"/>
      <c r="U14" s="28"/>
      <c r="V14" s="28"/>
      <c r="W14" s="28"/>
      <c r="X14" s="28"/>
      <c r="Y14" s="28"/>
      <c r="Z14" s="28"/>
      <c r="AA14" s="28"/>
      <c r="AB14" s="808">
        <f>SUM(R:R)</f>
        <v>8551</v>
      </c>
      <c r="AC14" s="808"/>
      <c r="AD14" s="100"/>
      <c r="AE14" s="202" t="s">
        <v>864</v>
      </c>
      <c r="AF14" s="280">
        <f>SUM((COUNTIF(M:M,{"&gt;49","&gt;56"}))*{1,-1})</f>
        <v>4</v>
      </c>
      <c r="AG14" s="100"/>
      <c r="AH14" s="28"/>
      <c r="AI14" s="28"/>
      <c r="AJ14" s="28"/>
      <c r="AK14" s="28"/>
      <c r="AL14" s="28"/>
      <c r="AM14" s="28"/>
      <c r="AN14" s="28"/>
      <c r="AO14" s="28"/>
      <c r="AP14" s="807">
        <f>SUM(AF:AF)-1</f>
        <v>32</v>
      </c>
      <c r="AQ14" s="807"/>
      <c r="AR14" s="28"/>
      <c r="AS14" s="324" t="s">
        <v>3490</v>
      </c>
      <c r="AT14" s="319"/>
      <c r="AU14" s="320">
        <v>2</v>
      </c>
      <c r="AV14" s="320"/>
      <c r="AW14" s="320"/>
      <c r="AX14" s="320"/>
      <c r="AY14" s="320"/>
      <c r="AZ14" s="320"/>
      <c r="BA14" s="320"/>
      <c r="BB14" s="322"/>
      <c r="BC14" s="317">
        <v>37.1</v>
      </c>
      <c r="BD14" s="318">
        <v>80.7</v>
      </c>
      <c r="BE14" s="28"/>
    </row>
    <row r="15" spans="1:60">
      <c r="A15" s="28"/>
      <c r="B15" s="345">
        <v>120</v>
      </c>
      <c r="C15" s="350">
        <v>30</v>
      </c>
      <c r="D15" s="352" t="s">
        <v>741</v>
      </c>
      <c r="E15" s="353">
        <v>99</v>
      </c>
      <c r="F15" s="354" t="s">
        <v>2202</v>
      </c>
      <c r="G15" s="355">
        <v>0.4</v>
      </c>
      <c r="H15" s="356">
        <v>105</v>
      </c>
      <c r="I15" s="356">
        <f ca="1">SUMPRODUCT((INDIRECT(P$13)&lt;&gt;"")*(INDIRECT(P$12)&gt;=H15))</f>
        <v>15</v>
      </c>
      <c r="J15" s="357">
        <f>E15-E19</f>
        <v>7</v>
      </c>
      <c r="K15" s="358">
        <f>DATEDIF(J14,K14,"D")</f>
        <v>8</v>
      </c>
      <c r="L15" s="359">
        <v>44547</v>
      </c>
      <c r="M15" s="360">
        <f>DATEDIF(K14,L15,"D")</f>
        <v>116</v>
      </c>
      <c r="N15" s="351">
        <f ca="1">IFERROR(RANK(M15,INDIRECT(P$16),1),"")</f>
        <v>32</v>
      </c>
      <c r="O15" s="28"/>
      <c r="P15" s="286" t="s">
        <v>2167</v>
      </c>
      <c r="Q15" s="241">
        <v>43052</v>
      </c>
      <c r="R15" s="238">
        <v>194</v>
      </c>
      <c r="S15" s="28"/>
      <c r="T15" s="28"/>
      <c r="U15" s="28"/>
      <c r="V15" s="28"/>
      <c r="W15" s="28"/>
      <c r="X15" s="28"/>
      <c r="Y15" s="28"/>
      <c r="Z15" s="28"/>
      <c r="AA15" s="28"/>
      <c r="AB15" s="28"/>
      <c r="AC15" s="28"/>
      <c r="AD15" s="100"/>
      <c r="AE15" s="202" t="s">
        <v>865</v>
      </c>
      <c r="AF15" s="280">
        <f>SUM((COUNTIF(M:M,{"&gt;56","&gt;63"}))*{1,-1})</f>
        <v>4</v>
      </c>
      <c r="AG15" s="100"/>
      <c r="AH15" s="28"/>
      <c r="AI15" s="28"/>
      <c r="AJ15" s="28"/>
      <c r="AK15" s="28"/>
      <c r="AL15" s="28"/>
      <c r="AM15" s="28"/>
      <c r="AN15" s="28"/>
      <c r="AO15" s="28"/>
      <c r="AQ15" s="28"/>
      <c r="AR15" s="28"/>
      <c r="AS15" s="324" t="s">
        <v>3491</v>
      </c>
      <c r="AT15" s="319"/>
      <c r="AU15" s="320"/>
      <c r="AV15" s="320">
        <v>3</v>
      </c>
      <c r="AW15" s="320"/>
      <c r="AX15" s="320"/>
      <c r="AY15" s="320"/>
      <c r="AZ15" s="320"/>
      <c r="BA15" s="320"/>
      <c r="BB15" s="322"/>
      <c r="BC15" s="317">
        <v>91.2</v>
      </c>
      <c r="BD15" s="318">
        <v>70.5</v>
      </c>
      <c r="BE15" s="28"/>
    </row>
    <row r="16" spans="1:60">
      <c r="A16" s="28"/>
      <c r="B16" s="345">
        <v>119</v>
      </c>
      <c r="C16" s="350">
        <v>30</v>
      </c>
      <c r="D16" s="352" t="s">
        <v>635</v>
      </c>
      <c r="E16" s="350"/>
      <c r="F16" s="350" t="s">
        <v>1882</v>
      </c>
      <c r="G16" s="361">
        <v>0.38</v>
      </c>
      <c r="H16" s="350">
        <v>99</v>
      </c>
      <c r="I16" s="350"/>
      <c r="J16" s="350"/>
      <c r="K16" s="350"/>
      <c r="L16" s="350"/>
      <c r="M16" s="350"/>
      <c r="N16" s="351"/>
      <c r="O16" s="28"/>
      <c r="P16" s="285" t="str">
        <f>"M"&amp;P7&amp;":M"&amp;P8</f>
        <v>M6:M134</v>
      </c>
      <c r="Q16" s="241">
        <v>43116</v>
      </c>
      <c r="R16" s="238">
        <v>184</v>
      </c>
      <c r="S16" s="28"/>
      <c r="T16" s="28"/>
      <c r="U16" s="28"/>
      <c r="V16" s="28"/>
      <c r="W16" s="28"/>
      <c r="X16" s="28"/>
      <c r="Y16" s="28"/>
      <c r="Z16" s="28"/>
      <c r="AA16" s="28"/>
      <c r="AB16" s="809">
        <f>MIN(R:R)</f>
        <v>67</v>
      </c>
      <c r="AC16" s="809"/>
      <c r="AD16" s="100"/>
      <c r="AE16" s="202" t="s">
        <v>866</v>
      </c>
      <c r="AF16" s="280">
        <f>SUM((COUNTIF(M:M,{"&gt;63","&gt;70"}))*{1,-1})</f>
        <v>3</v>
      </c>
      <c r="AG16" s="100"/>
      <c r="AH16" s="28"/>
      <c r="AI16" s="28"/>
      <c r="AJ16" s="28"/>
      <c r="AK16" s="28"/>
      <c r="AL16" s="28"/>
      <c r="AM16" s="28"/>
      <c r="AN16" s="28"/>
      <c r="AO16" s="28"/>
      <c r="AP16" s="288">
        <f>MIN(M:M)</f>
        <v>16</v>
      </c>
      <c r="AQ16" s="291">
        <f>AP16/7</f>
        <v>2.2857142857142856</v>
      </c>
      <c r="AR16" s="277"/>
      <c r="AS16" s="324" t="s">
        <v>3492</v>
      </c>
      <c r="AT16" s="319"/>
      <c r="AU16" s="320"/>
      <c r="AV16" s="320"/>
      <c r="AW16" s="320"/>
      <c r="AX16" s="320"/>
      <c r="AY16" s="320">
        <v>6</v>
      </c>
      <c r="AZ16" s="320"/>
      <c r="BA16" s="320"/>
      <c r="BB16" s="322"/>
      <c r="BC16" s="317">
        <v>75.400000000000006</v>
      </c>
      <c r="BD16" s="318">
        <v>34.200000000000003</v>
      </c>
      <c r="BE16" s="28"/>
    </row>
    <row r="17" spans="1:60">
      <c r="A17" s="28"/>
      <c r="B17" s="345">
        <v>118</v>
      </c>
      <c r="C17" s="350">
        <v>30</v>
      </c>
      <c r="D17" s="352" t="s">
        <v>742</v>
      </c>
      <c r="E17" s="350"/>
      <c r="F17" s="350" t="s">
        <v>1883</v>
      </c>
      <c r="G17" s="361">
        <v>0.22</v>
      </c>
      <c r="H17" s="350">
        <v>59</v>
      </c>
      <c r="I17" s="350"/>
      <c r="J17" s="350"/>
      <c r="K17" s="350"/>
      <c r="L17" s="350"/>
      <c r="M17" s="350"/>
      <c r="N17" s="351"/>
      <c r="O17" s="28"/>
      <c r="P17" s="28"/>
      <c r="Q17" s="241">
        <v>43152</v>
      </c>
      <c r="R17" s="238">
        <v>238</v>
      </c>
      <c r="S17" s="28"/>
      <c r="T17" s="28"/>
      <c r="U17" s="28"/>
      <c r="V17" s="28"/>
      <c r="W17" s="28"/>
      <c r="X17" s="28"/>
      <c r="Y17" s="28"/>
      <c r="Z17" s="28"/>
      <c r="AA17" s="28"/>
      <c r="AB17" s="810">
        <f>AB14/AP14</f>
        <v>267.21875</v>
      </c>
      <c r="AC17" s="810"/>
      <c r="AD17" s="100"/>
      <c r="AE17" s="202" t="s">
        <v>867</v>
      </c>
      <c r="AF17" s="280">
        <f>SUM((COUNTIF(M:M,{"&gt;70","&gt;77"}))*{1,-1})</f>
        <v>1</v>
      </c>
      <c r="AG17" s="100"/>
      <c r="AH17" s="28"/>
      <c r="AI17" s="28"/>
      <c r="AJ17" s="28"/>
      <c r="AK17" s="28"/>
      <c r="AL17" s="28"/>
      <c r="AM17" s="28"/>
      <c r="AN17" s="28"/>
      <c r="AO17" s="28"/>
      <c r="AP17" s="290">
        <f>AVERAGE(M:M)</f>
        <v>49.969696969696969</v>
      </c>
      <c r="AQ17" s="291">
        <f t="shared" ref="AQ17:AQ18" si="0">AP17/7</f>
        <v>7.1385281385281383</v>
      </c>
      <c r="AR17" s="292" t="str">
        <f>"("&amp;IF(AP17&gt;=7,TRUNC(AP17/7)&amp;" Woche"&amp;IF(TRUNC(AP17/7)&gt;1,"n",""),"")&amp;IF(MOD(ROUND(AP17,2),7),IF(AP17&gt;=7," und ","")&amp;MOD(ROUND(AP17,2),7)&amp;" Tag"&amp;IF(MOD(ROUND(AP17,2),7)&gt;1,"e",""),"")&amp;")"</f>
        <v>(7 Wochen und 0,969999999999999 Tag)</v>
      </c>
      <c r="AS17" s="324" t="s">
        <v>3493</v>
      </c>
      <c r="AT17" s="319"/>
      <c r="AU17" s="320"/>
      <c r="AV17" s="320"/>
      <c r="AW17" s="320"/>
      <c r="AX17" s="320"/>
      <c r="AY17" s="320">
        <v>6</v>
      </c>
      <c r="AZ17" s="320"/>
      <c r="BA17" s="320"/>
      <c r="BB17" s="322"/>
      <c r="BC17" s="317">
        <v>75.400000000000006</v>
      </c>
      <c r="BD17" s="318">
        <v>34.200000000000003</v>
      </c>
      <c r="BE17" s="28"/>
    </row>
    <row r="18" spans="1:60">
      <c r="A18" s="28"/>
      <c r="B18" s="345">
        <v>117</v>
      </c>
      <c r="C18" s="346">
        <v>29</v>
      </c>
      <c r="D18" s="346"/>
      <c r="E18" s="346"/>
      <c r="F18" s="346" t="s">
        <v>1714</v>
      </c>
      <c r="G18" s="362">
        <v>1</v>
      </c>
      <c r="H18" s="348">
        <v>509</v>
      </c>
      <c r="I18" s="346">
        <f ca="1">SUMPRODUCT((INDIRECT(P$11)=D18)*(INDIRECT(P$12)&gt;=H18))</f>
        <v>1</v>
      </c>
      <c r="J18" s="349">
        <v>44318</v>
      </c>
      <c r="K18" s="349">
        <v>44332</v>
      </c>
      <c r="L18" s="363"/>
      <c r="M18" s="363"/>
      <c r="N18" s="364"/>
      <c r="O18" s="28"/>
      <c r="P18" s="28"/>
      <c r="Q18" s="241">
        <v>43226</v>
      </c>
      <c r="R18" s="238">
        <v>232</v>
      </c>
      <c r="S18" s="28"/>
      <c r="T18" s="28"/>
      <c r="U18" s="28"/>
      <c r="V18" s="28"/>
      <c r="W18" s="28"/>
      <c r="X18" s="28"/>
      <c r="Y18" s="28"/>
      <c r="Z18" s="28"/>
      <c r="AA18" s="28"/>
      <c r="AB18" s="811">
        <f>MAX(R:R)</f>
        <v>509</v>
      </c>
      <c r="AC18" s="811"/>
      <c r="AD18" s="100"/>
      <c r="AE18" s="202" t="s">
        <v>868</v>
      </c>
      <c r="AF18" s="280">
        <f>SUM((COUNTIF(M:M,{"&gt;77","&gt;84"}))*{1,-1})</f>
        <v>0</v>
      </c>
      <c r="AG18" s="100"/>
      <c r="AH18" s="28"/>
      <c r="AI18" s="28"/>
      <c r="AJ18" s="28"/>
      <c r="AK18" s="28"/>
      <c r="AL18" s="28"/>
      <c r="AM18" s="28"/>
      <c r="AN18" s="28"/>
      <c r="AO18" s="28"/>
      <c r="AP18" s="289">
        <f>MAX(M:M)</f>
        <v>152</v>
      </c>
      <c r="AQ18" s="291">
        <f t="shared" si="0"/>
        <v>21.714285714285715</v>
      </c>
      <c r="AR18" s="276"/>
      <c r="AS18" s="324" t="s">
        <v>3494</v>
      </c>
      <c r="AT18" s="319"/>
      <c r="AU18" s="320"/>
      <c r="AV18" s="320"/>
      <c r="AW18" s="320"/>
      <c r="AX18" s="320"/>
      <c r="AY18" s="320">
        <v>6</v>
      </c>
      <c r="AZ18" s="320"/>
      <c r="BA18" s="320"/>
      <c r="BB18" s="322"/>
      <c r="BC18" s="317">
        <v>75.400000000000006</v>
      </c>
      <c r="BD18" s="318">
        <v>34.200000000000003</v>
      </c>
      <c r="BE18" s="28"/>
    </row>
    <row r="19" spans="1:60">
      <c r="A19" s="28"/>
      <c r="B19" s="345">
        <v>116</v>
      </c>
      <c r="C19" s="350">
        <v>29</v>
      </c>
      <c r="D19" s="350">
        <v>130</v>
      </c>
      <c r="E19" s="353">
        <v>92</v>
      </c>
      <c r="F19" s="354" t="s">
        <v>2201</v>
      </c>
      <c r="G19" s="355">
        <v>0.39</v>
      </c>
      <c r="H19" s="356">
        <v>200</v>
      </c>
      <c r="I19" s="356">
        <f ca="1">SUMPRODUCT((INDIRECT(P$13)&lt;&gt;"")*(INDIRECT(P$12)&gt;=H19))</f>
        <v>3</v>
      </c>
      <c r="J19" s="357">
        <f>E19-E23</f>
        <v>8</v>
      </c>
      <c r="K19" s="358">
        <f>DATEDIF(J18,K18,"D")</f>
        <v>14</v>
      </c>
      <c r="L19" s="359">
        <v>44484</v>
      </c>
      <c r="M19" s="360">
        <f>DATEDIF(K18,L19,"D")</f>
        <v>152</v>
      </c>
      <c r="N19" s="351">
        <f ca="1">IFERROR(RANK(M19,INDIRECT(P$16),1),"")</f>
        <v>33</v>
      </c>
      <c r="O19" s="28"/>
      <c r="P19" s="28"/>
      <c r="Q19" s="241">
        <v>43244</v>
      </c>
      <c r="R19" s="238">
        <v>179</v>
      </c>
      <c r="S19" s="28"/>
      <c r="T19" s="28"/>
      <c r="U19" s="98"/>
      <c r="V19" s="98"/>
      <c r="W19" s="98"/>
      <c r="X19" s="28"/>
      <c r="Y19" s="102"/>
      <c r="Z19" s="28"/>
      <c r="AA19" s="28"/>
      <c r="AB19" s="28"/>
      <c r="AC19" s="28"/>
      <c r="AD19" s="100"/>
      <c r="AE19" s="202" t="s">
        <v>869</v>
      </c>
      <c r="AF19" s="280">
        <f>SUM((COUNTIF(M:M,{"&gt;84","&gt;91"}))*{1,-1})</f>
        <v>0</v>
      </c>
      <c r="AG19" s="100"/>
      <c r="AH19" s="28"/>
      <c r="AI19" s="28"/>
      <c r="AJ19" s="28"/>
      <c r="AK19" s="28"/>
      <c r="AL19" s="28"/>
      <c r="AM19" s="28"/>
      <c r="AN19" s="28"/>
      <c r="AO19" s="28"/>
      <c r="AP19" s="28"/>
      <c r="AQ19" s="28"/>
      <c r="AR19" s="28"/>
      <c r="AS19" s="324" t="s">
        <v>3495</v>
      </c>
      <c r="AT19" s="319"/>
      <c r="AU19" s="320"/>
      <c r="AV19" s="320"/>
      <c r="AW19" s="320"/>
      <c r="AX19" s="320"/>
      <c r="AY19" s="320">
        <v>6</v>
      </c>
      <c r="AZ19" s="320"/>
      <c r="BA19" s="320"/>
      <c r="BB19" s="322"/>
      <c r="BC19" s="317">
        <v>82.6</v>
      </c>
      <c r="BD19" s="318">
        <v>53.6</v>
      </c>
      <c r="BE19" s="28"/>
    </row>
    <row r="20" spans="1:60">
      <c r="A20" s="28"/>
      <c r="B20" s="345">
        <v>115</v>
      </c>
      <c r="C20" s="350">
        <v>29</v>
      </c>
      <c r="D20" s="350">
        <v>137</v>
      </c>
      <c r="E20" s="350"/>
      <c r="F20" s="350" t="s">
        <v>1754</v>
      </c>
      <c r="G20" s="361">
        <v>0.39</v>
      </c>
      <c r="H20" s="350">
        <v>196</v>
      </c>
      <c r="I20" s="365"/>
      <c r="J20" s="365"/>
      <c r="K20" s="365"/>
      <c r="L20" s="365"/>
      <c r="M20" s="365"/>
      <c r="N20" s="366"/>
      <c r="O20" s="28"/>
      <c r="P20" s="28"/>
      <c r="Q20" s="241">
        <v>43278</v>
      </c>
      <c r="R20" s="238">
        <v>180</v>
      </c>
      <c r="S20" s="28"/>
      <c r="T20" s="28"/>
      <c r="U20" s="98"/>
      <c r="V20" s="98"/>
      <c r="W20" s="98"/>
      <c r="X20" s="28"/>
      <c r="Y20" s="103"/>
      <c r="Z20" s="28"/>
      <c r="AA20" s="28"/>
      <c r="AB20" s="28"/>
      <c r="AC20" s="28"/>
      <c r="AD20" s="100"/>
      <c r="AE20" s="202" t="s">
        <v>870</v>
      </c>
      <c r="AF20" s="280">
        <f>SUM((COUNTIF(M:M,{"&gt;91","&gt;98"}))*{1,-1})</f>
        <v>1</v>
      </c>
      <c r="AG20" s="100"/>
      <c r="AH20" s="28"/>
      <c r="AI20" s="28"/>
      <c r="AJ20" s="28"/>
      <c r="AK20" s="28"/>
      <c r="AL20" s="28"/>
      <c r="AM20" s="28"/>
      <c r="AN20" s="28"/>
      <c r="AO20" s="28"/>
      <c r="AP20" s="28"/>
      <c r="AQ20" s="98"/>
      <c r="AR20" s="98"/>
      <c r="AS20" s="324" t="s">
        <v>3496</v>
      </c>
      <c r="AT20" s="319"/>
      <c r="AU20" s="320"/>
      <c r="AV20" s="320"/>
      <c r="AW20" s="320"/>
      <c r="AX20" s="320"/>
      <c r="AY20" s="320">
        <v>6</v>
      </c>
      <c r="AZ20" s="320"/>
      <c r="BA20" s="320"/>
      <c r="BB20" s="322"/>
      <c r="BC20" s="317">
        <v>80.8</v>
      </c>
      <c r="BD20" s="318">
        <v>53.3</v>
      </c>
      <c r="BE20" s="28"/>
    </row>
    <row r="21" spans="1:60">
      <c r="A21" s="28"/>
      <c r="B21" s="345">
        <v>114</v>
      </c>
      <c r="C21" s="350">
        <v>29</v>
      </c>
      <c r="D21" s="350">
        <v>135</v>
      </c>
      <c r="E21" s="350"/>
      <c r="F21" s="350" t="s">
        <v>1755</v>
      </c>
      <c r="G21" s="361">
        <v>0.22</v>
      </c>
      <c r="H21" s="350">
        <v>113</v>
      </c>
      <c r="I21" s="365"/>
      <c r="J21" s="365"/>
      <c r="K21" s="365"/>
      <c r="L21" s="365"/>
      <c r="M21" s="365"/>
      <c r="N21" s="366"/>
      <c r="O21" s="28"/>
      <c r="P21" s="28"/>
      <c r="Q21" s="241">
        <v>43289</v>
      </c>
      <c r="R21" s="238">
        <v>235</v>
      </c>
      <c r="S21" s="28"/>
      <c r="T21" s="28"/>
      <c r="U21" s="28"/>
      <c r="V21" s="28"/>
      <c r="W21" s="28"/>
      <c r="X21" s="28"/>
      <c r="Y21" s="28"/>
      <c r="Z21" s="28"/>
      <c r="AA21" s="28"/>
      <c r="AB21" s="28"/>
      <c r="AC21" s="28"/>
      <c r="AD21" s="100"/>
      <c r="AE21" s="202" t="s">
        <v>871</v>
      </c>
      <c r="AF21" s="280">
        <f>SUM((COUNTIF(M:M,{"&gt;98","&gt;105"}))*{1,-1})</f>
        <v>1</v>
      </c>
      <c r="AG21" s="100"/>
      <c r="AH21" s="28"/>
      <c r="AI21" s="98"/>
      <c r="AJ21" s="28"/>
      <c r="AK21" s="28"/>
      <c r="AL21" s="28"/>
      <c r="AM21" s="28"/>
      <c r="AN21" s="28"/>
      <c r="AO21" s="28"/>
      <c r="AP21" s="28"/>
      <c r="AQ21" s="28"/>
      <c r="AR21" s="28"/>
      <c r="AS21" s="324" t="s">
        <v>3497</v>
      </c>
      <c r="AT21" s="319"/>
      <c r="AU21" s="320"/>
      <c r="AV21" s="320">
        <v>3</v>
      </c>
      <c r="AW21" s="320"/>
      <c r="AX21" s="320"/>
      <c r="AY21" s="320">
        <v>6</v>
      </c>
      <c r="AZ21" s="320"/>
      <c r="BA21" s="320"/>
      <c r="BB21" s="322"/>
      <c r="BC21" s="317">
        <v>86.7</v>
      </c>
      <c r="BD21" s="318">
        <v>66.400000000000006</v>
      </c>
      <c r="BE21" s="28"/>
    </row>
    <row r="22" spans="1:60">
      <c r="A22" s="28"/>
      <c r="B22" s="345">
        <v>113</v>
      </c>
      <c r="C22" s="346">
        <v>28</v>
      </c>
      <c r="D22" s="350"/>
      <c r="E22" s="350"/>
      <c r="F22" s="346" t="s">
        <v>1586</v>
      </c>
      <c r="G22" s="362">
        <v>1</v>
      </c>
      <c r="H22" s="348">
        <v>446</v>
      </c>
      <c r="I22" s="346">
        <f ca="1">SUMPRODUCT((INDIRECT(P$11)=D22)*(INDIRECT(P$12)&gt;=H22))</f>
        <v>4</v>
      </c>
      <c r="J22" s="349">
        <v>44256</v>
      </c>
      <c r="K22" s="349">
        <v>44270</v>
      </c>
      <c r="L22" s="350"/>
      <c r="M22" s="350"/>
      <c r="N22" s="351"/>
      <c r="O22" s="28"/>
      <c r="P22" s="28"/>
      <c r="Q22" s="242">
        <v>43321</v>
      </c>
      <c r="R22" s="239">
        <v>243</v>
      </c>
      <c r="S22" s="28"/>
      <c r="T22" s="28"/>
      <c r="U22" s="28"/>
      <c r="V22" s="28"/>
      <c r="W22" s="28"/>
      <c r="X22" s="28"/>
      <c r="Y22" s="28"/>
      <c r="Z22" s="28"/>
      <c r="AA22" s="28"/>
      <c r="AB22" s="28"/>
      <c r="AC22" s="28"/>
      <c r="AD22" s="100"/>
      <c r="AE22" s="202" t="s">
        <v>872</v>
      </c>
      <c r="AF22" s="280">
        <f>SUM((COUNTIF(M:M,{"&gt;105","&gt;112"}))*{1,-1})</f>
        <v>0</v>
      </c>
      <c r="AG22" s="100"/>
      <c r="AH22" s="28"/>
      <c r="AI22" s="28"/>
      <c r="AJ22" s="28"/>
      <c r="AK22" s="28"/>
      <c r="AL22" s="28"/>
      <c r="AM22" s="28"/>
      <c r="AN22" s="28"/>
      <c r="AO22" s="28"/>
      <c r="AP22" s="28"/>
      <c r="AQ22" s="28"/>
      <c r="AR22" s="28"/>
      <c r="AS22" s="324" t="s">
        <v>3498</v>
      </c>
      <c r="AT22" s="319"/>
      <c r="AU22" s="320"/>
      <c r="AV22" s="320"/>
      <c r="AW22" s="320"/>
      <c r="AX22" s="320">
        <v>5</v>
      </c>
      <c r="AY22" s="320">
        <v>6</v>
      </c>
      <c r="AZ22" s="320"/>
      <c r="BA22" s="320"/>
      <c r="BB22" s="322"/>
      <c r="BC22" s="317">
        <v>67.099999999999994</v>
      </c>
      <c r="BD22" s="318">
        <v>62.5</v>
      </c>
      <c r="BE22" s="28"/>
    </row>
    <row r="23" spans="1:60">
      <c r="A23" s="28"/>
      <c r="B23" s="345">
        <v>112</v>
      </c>
      <c r="C23" s="350">
        <v>28</v>
      </c>
      <c r="D23" s="350">
        <v>177</v>
      </c>
      <c r="E23" s="353">
        <v>84</v>
      </c>
      <c r="F23" s="354" t="s">
        <v>2200</v>
      </c>
      <c r="G23" s="355">
        <v>0.38</v>
      </c>
      <c r="H23" s="356">
        <v>171</v>
      </c>
      <c r="I23" s="356">
        <f ca="1">SUMPRODUCT((INDIRECT(P$13)&lt;&gt;"")*(INDIRECT(P$12)&gt;=H23))</f>
        <v>9</v>
      </c>
      <c r="J23" s="357">
        <f>E23-E27</f>
        <v>6</v>
      </c>
      <c r="K23" s="358">
        <f>DATEDIF(J22,K22,"D")</f>
        <v>14</v>
      </c>
      <c r="L23" s="359">
        <v>44327</v>
      </c>
      <c r="M23" s="360">
        <f>DATEDIF(K22,L23,"D")</f>
        <v>57</v>
      </c>
      <c r="N23" s="351">
        <f ca="1">IFERROR(RANK(M23,INDIRECT(P$16),1),"")</f>
        <v>22</v>
      </c>
      <c r="O23" s="28"/>
      <c r="P23" s="28"/>
      <c r="Q23" s="242">
        <v>43404</v>
      </c>
      <c r="R23" s="239">
        <v>258</v>
      </c>
      <c r="S23" s="28"/>
      <c r="T23" s="28"/>
      <c r="U23" s="28"/>
      <c r="V23" s="28"/>
      <c r="W23" s="28"/>
      <c r="X23" s="28"/>
      <c r="Y23" s="28"/>
      <c r="Z23" s="28"/>
      <c r="AA23" s="28"/>
      <c r="AB23" s="28"/>
      <c r="AC23" s="28"/>
      <c r="AD23" s="100"/>
      <c r="AE23" s="281" t="s">
        <v>1884</v>
      </c>
      <c r="AF23" s="282">
        <f>SUM((COUNTIF(M:M,{"&gt;112","&gt;119"}))*{1,-1})</f>
        <v>1</v>
      </c>
      <c r="AG23" s="100"/>
      <c r="AH23" s="28"/>
      <c r="AI23" s="28"/>
      <c r="AJ23" s="28"/>
      <c r="AK23" s="28"/>
      <c r="AL23" s="28"/>
      <c r="AM23" s="28"/>
      <c r="AN23" s="28"/>
      <c r="AO23" s="28"/>
      <c r="AP23" s="28"/>
      <c r="AQ23" s="28"/>
      <c r="AR23" s="28"/>
      <c r="AS23" s="324" t="s">
        <v>3499</v>
      </c>
      <c r="AT23" s="319"/>
      <c r="AU23" s="320"/>
      <c r="AV23" s="320"/>
      <c r="AW23" s="320"/>
      <c r="AX23" s="320"/>
      <c r="AY23" s="320">
        <v>6</v>
      </c>
      <c r="AZ23" s="320"/>
      <c r="BA23" s="320"/>
      <c r="BB23" s="322"/>
      <c r="BC23" s="317">
        <v>58.3</v>
      </c>
      <c r="BD23" s="318">
        <v>63.3</v>
      </c>
      <c r="BE23" s="28"/>
      <c r="BF23" s="805" t="s">
        <v>2656</v>
      </c>
      <c r="BG23" s="805"/>
      <c r="BH23" s="805"/>
    </row>
    <row r="24" spans="1:60">
      <c r="A24" s="28"/>
      <c r="B24" s="345">
        <v>111</v>
      </c>
      <c r="C24" s="350">
        <v>28</v>
      </c>
      <c r="D24" s="350">
        <v>171</v>
      </c>
      <c r="E24" s="350"/>
      <c r="F24" s="350" t="s">
        <v>1587</v>
      </c>
      <c r="G24" s="361">
        <v>0.35</v>
      </c>
      <c r="H24" s="350">
        <v>157</v>
      </c>
      <c r="I24" s="350"/>
      <c r="J24" s="350"/>
      <c r="K24" s="350"/>
      <c r="L24" s="350"/>
      <c r="M24" s="350"/>
      <c r="N24" s="351"/>
      <c r="O24" s="28"/>
      <c r="P24" s="28"/>
      <c r="Q24" s="242">
        <v>43510</v>
      </c>
      <c r="R24" s="239">
        <v>361</v>
      </c>
      <c r="S24" s="28"/>
      <c r="T24" s="28"/>
      <c r="U24" s="28"/>
      <c r="V24" s="28"/>
      <c r="W24" s="28"/>
      <c r="X24" s="28"/>
      <c r="Y24" s="28"/>
      <c r="Z24" s="28"/>
      <c r="AA24" s="28"/>
      <c r="AB24" s="28"/>
      <c r="AC24" s="28"/>
      <c r="AD24" s="100"/>
      <c r="AE24" s="283" t="s">
        <v>1885</v>
      </c>
      <c r="AF24" s="284">
        <f>SUM((COUNTIF(M:M,{"&gt;119","&gt;126"}))*{1,-1})</f>
        <v>0</v>
      </c>
      <c r="AG24" s="100"/>
      <c r="AH24" s="28"/>
      <c r="AI24" s="28"/>
      <c r="AJ24" s="28"/>
      <c r="AK24" s="28"/>
      <c r="AL24" s="28"/>
      <c r="AM24" s="28"/>
      <c r="AN24" s="28"/>
      <c r="AO24" s="28"/>
      <c r="AP24" s="28"/>
      <c r="AQ24" s="28"/>
      <c r="AR24" s="28"/>
      <c r="AS24" s="324" t="s">
        <v>3500</v>
      </c>
      <c r="AT24" s="319"/>
      <c r="AU24" s="320"/>
      <c r="AV24" s="320"/>
      <c r="AW24" s="320"/>
      <c r="AX24" s="320"/>
      <c r="AY24" s="320">
        <v>6</v>
      </c>
      <c r="AZ24" s="320"/>
      <c r="BA24" s="320"/>
      <c r="BB24" s="322"/>
      <c r="BC24" s="317">
        <v>57.5</v>
      </c>
      <c r="BD24" s="318">
        <v>62.9</v>
      </c>
      <c r="BE24" s="28"/>
    </row>
    <row r="25" spans="1:60">
      <c r="A25" s="28"/>
      <c r="B25" s="345">
        <v>110</v>
      </c>
      <c r="C25" s="350">
        <v>28</v>
      </c>
      <c r="D25" s="350">
        <v>174</v>
      </c>
      <c r="E25" s="350"/>
      <c r="F25" s="350" t="s">
        <v>1588</v>
      </c>
      <c r="G25" s="361">
        <v>0.27</v>
      </c>
      <c r="H25" s="350">
        <v>118</v>
      </c>
      <c r="I25" s="350"/>
      <c r="J25" s="350"/>
      <c r="K25" s="350"/>
      <c r="L25" s="350"/>
      <c r="M25" s="350"/>
      <c r="N25" s="351"/>
      <c r="O25" s="28"/>
      <c r="P25" s="28"/>
      <c r="Q25" s="242">
        <v>43592</v>
      </c>
      <c r="R25" s="239">
        <v>478</v>
      </c>
      <c r="S25" s="28"/>
      <c r="T25" s="28"/>
      <c r="U25" s="28"/>
      <c r="V25" s="28"/>
      <c r="W25" s="28"/>
      <c r="X25" s="28"/>
      <c r="Y25" s="28"/>
      <c r="Z25" s="28"/>
      <c r="AA25" s="28"/>
      <c r="AB25" s="28"/>
      <c r="AC25" s="28"/>
      <c r="AD25" s="100"/>
      <c r="AE25" s="283" t="s">
        <v>2159</v>
      </c>
      <c r="AF25" s="284">
        <f>SUM((COUNTIF(M:M,{"&gt;126","&gt;133"}))*{1,-1})</f>
        <v>0</v>
      </c>
      <c r="AG25" s="100"/>
      <c r="AH25" s="28"/>
      <c r="AI25" s="28"/>
      <c r="AJ25" s="28"/>
      <c r="AK25" s="28"/>
      <c r="AL25" s="28"/>
      <c r="AM25" s="28"/>
      <c r="AN25" s="28"/>
      <c r="AO25" s="28"/>
      <c r="AP25" s="28"/>
      <c r="AQ25" s="28"/>
      <c r="AR25" s="28"/>
      <c r="AS25" s="324" t="s">
        <v>3501</v>
      </c>
      <c r="AT25" s="319"/>
      <c r="AU25" s="320"/>
      <c r="AV25" s="320"/>
      <c r="AW25" s="320"/>
      <c r="AX25" s="320"/>
      <c r="AY25" s="320"/>
      <c r="AZ25" s="320">
        <v>7</v>
      </c>
      <c r="BA25" s="320"/>
      <c r="BB25" s="322"/>
      <c r="BC25" s="317">
        <v>19.600000000000001</v>
      </c>
      <c r="BD25" s="318">
        <v>32.299999999999997</v>
      </c>
      <c r="BE25" s="28"/>
    </row>
    <row r="26" spans="1:60">
      <c r="A26" s="28"/>
      <c r="B26" s="345">
        <v>109</v>
      </c>
      <c r="C26" s="346">
        <v>27</v>
      </c>
      <c r="D26" s="350"/>
      <c r="E26" s="350"/>
      <c r="F26" s="367" t="s">
        <v>1568</v>
      </c>
      <c r="G26" s="362">
        <v>1</v>
      </c>
      <c r="H26" s="348">
        <v>460</v>
      </c>
      <c r="I26" s="346">
        <f ca="1">SUMPRODUCT((INDIRECT(P$11)=D26)*(INDIRECT(P$12)&gt;=H26))</f>
        <v>3</v>
      </c>
      <c r="J26" s="349">
        <v>44196</v>
      </c>
      <c r="K26" s="349">
        <v>44200</v>
      </c>
      <c r="L26" s="359"/>
      <c r="M26" s="350"/>
      <c r="N26" s="351"/>
      <c r="O26" s="28"/>
      <c r="P26" s="28"/>
      <c r="Q26" s="242">
        <v>43657</v>
      </c>
      <c r="R26" s="239">
        <v>341</v>
      </c>
      <c r="S26" s="28"/>
      <c r="T26" s="28"/>
      <c r="U26" s="28"/>
      <c r="V26" s="28"/>
      <c r="W26" s="28"/>
      <c r="X26" s="28"/>
      <c r="Y26" s="28"/>
      <c r="Z26" s="28"/>
      <c r="AA26" s="28"/>
      <c r="AB26" s="28"/>
      <c r="AC26" s="28"/>
      <c r="AD26" s="100"/>
      <c r="AE26" s="283" t="s">
        <v>2160</v>
      </c>
      <c r="AF26" s="284">
        <f>SUM((COUNTIF(M:M,{"&gt;133","&gt;140"}))*{1,-1})</f>
        <v>0</v>
      </c>
      <c r="AG26" s="100"/>
      <c r="AH26" s="28"/>
      <c r="AI26" s="28"/>
      <c r="AJ26" s="28"/>
      <c r="AK26" s="28"/>
      <c r="AL26" s="28"/>
      <c r="AM26" s="28"/>
      <c r="AN26" s="28"/>
      <c r="AO26" s="28"/>
      <c r="AP26" s="28"/>
      <c r="AQ26" s="28"/>
      <c r="AR26" s="28"/>
      <c r="AS26" s="324" t="s">
        <v>3502</v>
      </c>
      <c r="AT26" s="319"/>
      <c r="AU26" s="320">
        <v>2</v>
      </c>
      <c r="AV26" s="320"/>
      <c r="AW26" s="320"/>
      <c r="AX26" s="320"/>
      <c r="AY26" s="320"/>
      <c r="AZ26" s="320"/>
      <c r="BA26" s="320"/>
      <c r="BB26" s="322"/>
      <c r="BC26" s="317">
        <v>37</v>
      </c>
      <c r="BD26" s="318">
        <v>73</v>
      </c>
      <c r="BE26" s="28"/>
    </row>
    <row r="27" spans="1:60">
      <c r="A27" s="28"/>
      <c r="B27" s="345">
        <v>108</v>
      </c>
      <c r="C27" s="350">
        <v>27</v>
      </c>
      <c r="D27" s="350">
        <v>202</v>
      </c>
      <c r="E27" s="353">
        <v>78</v>
      </c>
      <c r="F27" s="368" t="s">
        <v>2205</v>
      </c>
      <c r="G27" s="369">
        <v>0.39</v>
      </c>
      <c r="H27" s="356">
        <v>178</v>
      </c>
      <c r="I27" s="356">
        <f ca="1">SUMPRODUCT((INDIRECT(P$13)&lt;&gt;"")*(INDIRECT(P$12)&gt;=H27))</f>
        <v>6</v>
      </c>
      <c r="J27" s="357">
        <f>E27-E31</f>
        <v>4</v>
      </c>
      <c r="K27" s="358">
        <f>DATEDIF(J26,K26,"D")</f>
        <v>4</v>
      </c>
      <c r="L27" s="359">
        <v>44221</v>
      </c>
      <c r="M27" s="360">
        <f>DATEDIF(K26,L27,"D")</f>
        <v>21</v>
      </c>
      <c r="N27" s="351">
        <f ca="1">IFERROR(RANK(M27,INDIRECT(P$16),1),"")</f>
        <v>5</v>
      </c>
      <c r="O27" s="28"/>
      <c r="P27" s="28"/>
      <c r="Q27" s="242">
        <v>43715</v>
      </c>
      <c r="R27" s="239">
        <v>314</v>
      </c>
      <c r="S27" s="28"/>
      <c r="T27" s="28"/>
      <c r="U27" s="28"/>
      <c r="V27" s="28"/>
      <c r="W27" s="28"/>
      <c r="X27" s="28"/>
      <c r="Y27" s="28"/>
      <c r="Z27" s="28"/>
      <c r="AA27" s="28"/>
      <c r="AB27" s="28"/>
      <c r="AC27" s="28"/>
      <c r="AD27" s="100"/>
      <c r="AE27" s="283" t="s">
        <v>2161</v>
      </c>
      <c r="AF27" s="284">
        <f>SUM((COUNTIF(M:M,{"&gt;140","&gt;147"}))*{1,-1})</f>
        <v>0</v>
      </c>
      <c r="AG27" s="100"/>
      <c r="AH27" s="28"/>
      <c r="AI27" s="28"/>
      <c r="AJ27" s="28"/>
      <c r="AK27" s="28"/>
      <c r="AL27" s="28"/>
      <c r="AM27" s="28"/>
      <c r="AN27" s="28"/>
      <c r="AO27" s="28"/>
      <c r="AP27" s="28"/>
      <c r="AQ27" s="28"/>
      <c r="AR27" s="28"/>
      <c r="AS27" s="324" t="s">
        <v>3503</v>
      </c>
      <c r="AT27" s="319"/>
      <c r="AU27" s="320">
        <v>2</v>
      </c>
      <c r="AV27" s="320"/>
      <c r="AW27" s="320"/>
      <c r="AX27" s="320">
        <v>5</v>
      </c>
      <c r="AY27" s="320"/>
      <c r="AZ27" s="320"/>
      <c r="BA27" s="320"/>
      <c r="BB27" s="322"/>
      <c r="BC27" s="317">
        <v>35.299999999999997</v>
      </c>
      <c r="BD27" s="318">
        <v>66.900000000000006</v>
      </c>
      <c r="BE27" s="28"/>
    </row>
    <row r="28" spans="1:60">
      <c r="A28" s="28"/>
      <c r="B28" s="345">
        <v>107</v>
      </c>
      <c r="C28" s="350">
        <v>27</v>
      </c>
      <c r="D28" s="350">
        <v>111</v>
      </c>
      <c r="E28" s="350"/>
      <c r="F28" s="370" t="s">
        <v>1570</v>
      </c>
      <c r="G28" s="384">
        <v>0.38</v>
      </c>
      <c r="H28" s="350">
        <v>174</v>
      </c>
      <c r="I28" s="346"/>
      <c r="J28" s="359"/>
      <c r="K28" s="359"/>
      <c r="L28" s="359"/>
      <c r="M28" s="350"/>
      <c r="N28" s="351"/>
      <c r="O28" s="28"/>
      <c r="P28" s="28"/>
      <c r="Q28" s="242">
        <v>43875</v>
      </c>
      <c r="R28" s="239">
        <v>413</v>
      </c>
      <c r="S28" s="28"/>
      <c r="T28" s="28"/>
      <c r="U28" s="28"/>
      <c r="V28" s="28"/>
      <c r="W28" s="28"/>
      <c r="X28" s="28"/>
      <c r="Y28" s="28"/>
      <c r="Z28" s="28"/>
      <c r="AA28" s="28"/>
      <c r="AB28" s="28"/>
      <c r="AC28" s="28"/>
      <c r="AD28" s="100"/>
      <c r="AE28" s="283" t="s">
        <v>2162</v>
      </c>
      <c r="AF28" s="284">
        <f>SUM((COUNTIF(M:M,{"&gt;147","&gt;154"}))*{1,-1})</f>
        <v>1</v>
      </c>
      <c r="AG28" s="100"/>
      <c r="AH28" s="28"/>
      <c r="AI28" s="28"/>
      <c r="AJ28" s="28"/>
      <c r="AK28" s="28"/>
      <c r="AL28" s="28"/>
      <c r="AM28" s="28"/>
      <c r="AN28" s="28"/>
      <c r="AO28" s="28"/>
      <c r="AP28" s="28"/>
      <c r="AQ28" s="28"/>
      <c r="AR28" s="28"/>
      <c r="AS28" s="324" t="s">
        <v>3504</v>
      </c>
      <c r="AT28" s="319"/>
      <c r="AU28" s="320">
        <v>2</v>
      </c>
      <c r="AV28" s="320"/>
      <c r="AW28" s="320"/>
      <c r="AX28" s="320">
        <v>5</v>
      </c>
      <c r="AY28" s="320"/>
      <c r="AZ28" s="320"/>
      <c r="BA28" s="320"/>
      <c r="BB28" s="322"/>
      <c r="BC28" s="317">
        <v>35.299999999999997</v>
      </c>
      <c r="BD28" s="318">
        <v>66.900000000000006</v>
      </c>
      <c r="BE28" s="28"/>
    </row>
    <row r="29" spans="1:60">
      <c r="A29" s="28"/>
      <c r="B29" s="345">
        <v>106</v>
      </c>
      <c r="C29" s="350">
        <v>27</v>
      </c>
      <c r="D29" s="350">
        <v>154</v>
      </c>
      <c r="E29" s="350"/>
      <c r="F29" s="370" t="s">
        <v>1571</v>
      </c>
      <c r="G29" s="384">
        <v>0.23</v>
      </c>
      <c r="H29" s="350">
        <v>108</v>
      </c>
      <c r="I29" s="346"/>
      <c r="J29" s="359"/>
      <c r="K29" s="359"/>
      <c r="L29" s="359"/>
      <c r="M29" s="350"/>
      <c r="N29" s="351"/>
      <c r="O29" s="28"/>
      <c r="P29" s="28"/>
      <c r="Q29" s="242">
        <v>43948</v>
      </c>
      <c r="R29" s="239">
        <v>444</v>
      </c>
      <c r="S29" s="28"/>
      <c r="T29" s="28"/>
      <c r="U29" s="28"/>
      <c r="V29" s="28"/>
      <c r="W29" s="28"/>
      <c r="X29" s="28"/>
      <c r="Y29" s="28"/>
      <c r="Z29" s="28"/>
      <c r="AA29" s="28"/>
      <c r="AB29" s="28"/>
      <c r="AC29" s="28"/>
      <c r="AD29" s="100"/>
      <c r="AE29" s="283" t="s">
        <v>2163</v>
      </c>
      <c r="AF29" s="284">
        <f>SUM((COUNTIF(M:M,{"&gt;154","&gt;161"}))*{1,-1})</f>
        <v>0</v>
      </c>
      <c r="AG29" s="100"/>
      <c r="AH29" s="28"/>
      <c r="AI29" s="28"/>
      <c r="AJ29" s="28"/>
      <c r="AK29" s="28"/>
      <c r="AL29" s="28"/>
      <c r="AM29" s="28"/>
      <c r="AN29" s="28"/>
      <c r="AO29" s="28"/>
      <c r="AP29" s="28"/>
      <c r="AQ29" s="28"/>
      <c r="AR29" s="28"/>
      <c r="AS29" s="324" t="s">
        <v>3505</v>
      </c>
      <c r="AT29" s="319"/>
      <c r="AU29" s="320"/>
      <c r="AV29" s="320"/>
      <c r="AW29" s="320"/>
      <c r="AX29" s="320"/>
      <c r="AY29" s="320">
        <v>6</v>
      </c>
      <c r="AZ29" s="320"/>
      <c r="BA29" s="320"/>
      <c r="BB29" s="322"/>
      <c r="BC29" s="317">
        <v>69</v>
      </c>
      <c r="BD29" s="318">
        <v>65.900000000000006</v>
      </c>
      <c r="BE29" s="28"/>
    </row>
    <row r="30" spans="1:60">
      <c r="A30" s="28"/>
      <c r="B30" s="345">
        <v>105</v>
      </c>
      <c r="C30" s="346">
        <v>26</v>
      </c>
      <c r="D30" s="346"/>
      <c r="E30" s="346"/>
      <c r="F30" s="346" t="s">
        <v>1267</v>
      </c>
      <c r="G30" s="362">
        <v>1</v>
      </c>
      <c r="H30" s="348">
        <v>248</v>
      </c>
      <c r="I30" s="346">
        <f ca="1">SUMPRODUCT((INDIRECT(P$11)=D30)*(INDIRECT(P$12)&gt;=H30))</f>
        <v>16</v>
      </c>
      <c r="J30" s="349">
        <v>44084</v>
      </c>
      <c r="K30" s="349">
        <v>44085</v>
      </c>
      <c r="L30" s="350"/>
      <c r="M30" s="350"/>
      <c r="N30" s="351"/>
      <c r="O30" s="28"/>
      <c r="P30" s="28"/>
      <c r="Q30" s="242">
        <v>43986</v>
      </c>
      <c r="R30" s="239">
        <v>352</v>
      </c>
      <c r="S30" s="28"/>
      <c r="T30" s="28"/>
      <c r="U30" s="28"/>
      <c r="V30" s="28"/>
      <c r="W30" s="28"/>
      <c r="X30" s="28"/>
      <c r="Y30" s="28"/>
      <c r="Z30" s="28"/>
      <c r="AA30" s="28"/>
      <c r="AB30" s="28"/>
      <c r="AC30" s="28"/>
      <c r="AD30" s="100"/>
      <c r="AE30" s="283" t="s">
        <v>2164</v>
      </c>
      <c r="AF30" s="284">
        <f>SUM((COUNTIF(M:M,{"&gt;161","&gt;168"}))*{1,-1})</f>
        <v>0</v>
      </c>
      <c r="AG30" s="100"/>
      <c r="AH30" s="28"/>
      <c r="AI30" s="28"/>
      <c r="AJ30" s="28"/>
      <c r="AK30" s="28"/>
      <c r="AL30" s="28"/>
      <c r="AM30" s="28"/>
      <c r="AN30" s="28"/>
      <c r="AO30" s="28"/>
      <c r="AP30" s="28"/>
      <c r="AQ30" s="28"/>
      <c r="AR30" s="28"/>
      <c r="AS30" s="324" t="s">
        <v>3506</v>
      </c>
      <c r="AT30" s="319"/>
      <c r="AU30" s="320"/>
      <c r="AV30" s="320"/>
      <c r="AW30" s="320"/>
      <c r="AX30" s="320">
        <v>5</v>
      </c>
      <c r="AY30" s="320"/>
      <c r="AZ30" s="320"/>
      <c r="BA30" s="320"/>
      <c r="BB30" s="322"/>
      <c r="BC30" s="317">
        <v>65.8</v>
      </c>
      <c r="BD30" s="318">
        <v>42.4</v>
      </c>
      <c r="BE30" s="28"/>
    </row>
    <row r="31" spans="1:60">
      <c r="A31" s="28"/>
      <c r="B31" s="345">
        <v>104</v>
      </c>
      <c r="C31" s="350">
        <v>26</v>
      </c>
      <c r="D31" s="350">
        <v>192</v>
      </c>
      <c r="E31" s="353">
        <v>74</v>
      </c>
      <c r="F31" s="354" t="s">
        <v>2199</v>
      </c>
      <c r="G31" s="369">
        <v>0.4</v>
      </c>
      <c r="H31" s="356">
        <v>99</v>
      </c>
      <c r="I31" s="356">
        <f ca="1">SUMPRODUCT((INDIRECT(P$13)&lt;&gt;"")*(INDIRECT(P$12)&gt;=H31))</f>
        <v>16</v>
      </c>
      <c r="J31" s="357">
        <f>E31-E35</f>
        <v>5</v>
      </c>
      <c r="K31" s="358">
        <f>DATEDIF(J30,K30,"D")</f>
        <v>1</v>
      </c>
      <c r="L31" s="359">
        <v>44154</v>
      </c>
      <c r="M31" s="360">
        <f>DATEDIF(K30,L31,"D")</f>
        <v>69</v>
      </c>
      <c r="N31" s="351">
        <f ca="1">IFERROR(RANK(M31,INDIRECT(P$16),1),"")</f>
        <v>28</v>
      </c>
      <c r="O31" s="28"/>
      <c r="P31" s="28"/>
      <c r="Q31" s="242">
        <v>44053</v>
      </c>
      <c r="R31" s="239">
        <v>338</v>
      </c>
      <c r="S31" s="28"/>
      <c r="T31" s="28"/>
      <c r="U31" s="28"/>
      <c r="V31" s="28"/>
      <c r="W31" s="28"/>
      <c r="X31" s="28"/>
      <c r="Y31" s="28"/>
      <c r="Z31" s="28"/>
      <c r="AA31" s="28"/>
      <c r="AB31" s="28"/>
      <c r="AC31" s="28"/>
      <c r="AD31" s="28"/>
      <c r="AE31" s="283" t="s">
        <v>2165</v>
      </c>
      <c r="AF31" s="284">
        <f>SUM((COUNTIF(M:M,{"&gt;168","&gt;175"}))*{1,-1})</f>
        <v>0</v>
      </c>
      <c r="AG31" s="28"/>
      <c r="AH31" s="28"/>
      <c r="AI31" s="28"/>
      <c r="AJ31" s="28"/>
      <c r="AK31" s="28"/>
      <c r="AL31" s="28"/>
      <c r="AM31" s="28"/>
      <c r="AN31" s="28"/>
      <c r="AO31" s="28"/>
      <c r="AP31" s="28"/>
      <c r="AQ31" s="28"/>
      <c r="AR31" s="28"/>
      <c r="AS31" s="324" t="s">
        <v>3507</v>
      </c>
      <c r="AT31" s="319"/>
      <c r="AU31" s="320"/>
      <c r="AV31" s="320"/>
      <c r="AW31" s="320">
        <v>4</v>
      </c>
      <c r="AX31" s="320">
        <v>5</v>
      </c>
      <c r="AY31" s="320"/>
      <c r="AZ31" s="320"/>
      <c r="BA31" s="320"/>
      <c r="BB31" s="322"/>
      <c r="BC31" s="317">
        <v>33.5</v>
      </c>
      <c r="BD31" s="318">
        <v>65.599999999999994</v>
      </c>
      <c r="BE31" s="28"/>
    </row>
    <row r="32" spans="1:60">
      <c r="A32" s="28"/>
      <c r="B32" s="345">
        <v>103</v>
      </c>
      <c r="C32" s="350">
        <v>26</v>
      </c>
      <c r="D32" s="350">
        <v>191</v>
      </c>
      <c r="E32" s="350"/>
      <c r="F32" s="371" t="s">
        <v>1265</v>
      </c>
      <c r="G32" s="384">
        <v>0.34</v>
      </c>
      <c r="H32" s="350">
        <v>85</v>
      </c>
      <c r="I32" s="346"/>
      <c r="J32" s="350"/>
      <c r="K32" s="350"/>
      <c r="L32" s="350"/>
      <c r="M32" s="350"/>
      <c r="N32" s="351"/>
      <c r="O32" s="28"/>
      <c r="P32" s="28"/>
      <c r="Q32" s="242">
        <v>44085</v>
      </c>
      <c r="R32" s="239">
        <v>248</v>
      </c>
      <c r="S32" s="28"/>
      <c r="T32" s="28"/>
      <c r="U32" s="28"/>
      <c r="V32" s="28"/>
      <c r="W32" s="28"/>
      <c r="X32" s="28"/>
      <c r="Y32" s="28"/>
      <c r="Z32" s="28"/>
      <c r="AA32" s="28"/>
      <c r="AB32" s="28"/>
      <c r="AC32" s="28"/>
      <c r="AD32" s="28"/>
      <c r="AE32" s="283" t="s">
        <v>2166</v>
      </c>
      <c r="AF32" s="284">
        <f>SUM((COUNTIF(M:M,{"&gt;175","&gt;182"}))*{1,-1})</f>
        <v>0</v>
      </c>
      <c r="AG32" s="28"/>
      <c r="AH32" s="28"/>
      <c r="AI32" s="28"/>
      <c r="AJ32" s="28"/>
      <c r="AK32" s="28"/>
      <c r="AL32" s="28"/>
      <c r="AM32" s="28"/>
      <c r="AN32" s="28"/>
      <c r="AO32" s="28"/>
      <c r="AP32" s="28"/>
      <c r="AQ32" s="28"/>
      <c r="AR32" s="28"/>
      <c r="AS32" s="324" t="s">
        <v>3508</v>
      </c>
      <c r="AT32" s="319">
        <v>1</v>
      </c>
      <c r="AU32" s="320"/>
      <c r="AV32" s="320"/>
      <c r="AW32" s="320"/>
      <c r="AX32" s="320"/>
      <c r="AY32" s="320"/>
      <c r="AZ32" s="320"/>
      <c r="BA32" s="320"/>
      <c r="BB32" s="322"/>
      <c r="BC32" s="317">
        <v>31.2</v>
      </c>
      <c r="BD32" s="318">
        <v>74.400000000000006</v>
      </c>
      <c r="BE32" s="28"/>
    </row>
    <row r="33" spans="1:57">
      <c r="A33" s="28"/>
      <c r="B33" s="345">
        <v>102</v>
      </c>
      <c r="C33" s="350">
        <v>26</v>
      </c>
      <c r="D33" s="350">
        <v>193</v>
      </c>
      <c r="E33" s="350"/>
      <c r="F33" s="371" t="s">
        <v>1266</v>
      </c>
      <c r="G33" s="384">
        <v>0.26</v>
      </c>
      <c r="H33" s="350">
        <v>64</v>
      </c>
      <c r="I33" s="346"/>
      <c r="J33" s="350"/>
      <c r="K33" s="350"/>
      <c r="L33" s="350"/>
      <c r="M33" s="350"/>
      <c r="N33" s="351"/>
      <c r="O33" s="28"/>
      <c r="P33" s="28"/>
      <c r="Q33" s="242">
        <v>44200</v>
      </c>
      <c r="R33" s="239">
        <v>460</v>
      </c>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324" t="s">
        <v>3509</v>
      </c>
      <c r="AT33" s="319"/>
      <c r="AU33" s="320"/>
      <c r="AV33" s="320"/>
      <c r="AW33" s="320"/>
      <c r="AX33" s="320"/>
      <c r="AY33" s="320"/>
      <c r="AZ33" s="320"/>
      <c r="BA33" s="320"/>
      <c r="BB33" s="322">
        <v>9</v>
      </c>
      <c r="BC33" s="317">
        <v>88</v>
      </c>
      <c r="BD33" s="318">
        <v>26.299999999999997</v>
      </c>
      <c r="BE33" s="28"/>
    </row>
    <row r="34" spans="1:57">
      <c r="A34" s="28"/>
      <c r="B34" s="345">
        <v>101</v>
      </c>
      <c r="C34" s="346">
        <v>25</v>
      </c>
      <c r="D34" s="346"/>
      <c r="E34" s="372"/>
      <c r="F34" s="346" t="s">
        <v>783</v>
      </c>
      <c r="G34" s="362">
        <v>1</v>
      </c>
      <c r="H34" s="348">
        <v>338</v>
      </c>
      <c r="I34" s="346">
        <f ca="1">SUMPRODUCT((INDIRECT(P$11)=D34)*(INDIRECT(P$12)&gt;=H34))</f>
        <v>11</v>
      </c>
      <c r="J34" s="349">
        <v>44052</v>
      </c>
      <c r="K34" s="349">
        <v>44053</v>
      </c>
      <c r="L34" s="346"/>
      <c r="M34" s="350"/>
      <c r="N34" s="351"/>
      <c r="O34" s="28"/>
      <c r="P34" s="28"/>
      <c r="Q34" s="242">
        <v>44270</v>
      </c>
      <c r="R34" s="239">
        <v>446</v>
      </c>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324" t="s">
        <v>3510</v>
      </c>
      <c r="AT34" s="319"/>
      <c r="AU34" s="320"/>
      <c r="AV34" s="320"/>
      <c r="AW34" s="320">
        <v>4</v>
      </c>
      <c r="AX34" s="320"/>
      <c r="AY34" s="320"/>
      <c r="AZ34" s="320"/>
      <c r="BA34" s="320"/>
      <c r="BB34" s="322"/>
      <c r="BC34" s="317">
        <v>25.8</v>
      </c>
      <c r="BD34" s="318">
        <v>50.6</v>
      </c>
      <c r="BE34" s="28"/>
    </row>
    <row r="35" spans="1:57">
      <c r="A35" s="28"/>
      <c r="B35" s="345">
        <v>100</v>
      </c>
      <c r="C35" s="350">
        <v>25</v>
      </c>
      <c r="D35" s="350">
        <v>69</v>
      </c>
      <c r="E35" s="353">
        <v>69</v>
      </c>
      <c r="F35" s="354" t="s">
        <v>2198</v>
      </c>
      <c r="G35" s="369">
        <v>0.52</v>
      </c>
      <c r="H35" s="356">
        <v>175</v>
      </c>
      <c r="I35" s="356">
        <f ca="1">SUMPRODUCT((INDIRECT(P$13)&lt;&gt;"")*(INDIRECT(P$12)&gt;=H35))</f>
        <v>7</v>
      </c>
      <c r="J35" s="357">
        <f>E35-E39</f>
        <v>2</v>
      </c>
      <c r="K35" s="358">
        <f>DATEDIF(J34,K34,"D")</f>
        <v>1</v>
      </c>
      <c r="L35" s="359">
        <v>44070</v>
      </c>
      <c r="M35" s="360">
        <f>DATEDIF(K34,L35,"D")</f>
        <v>17</v>
      </c>
      <c r="N35" s="351">
        <f ca="1">IFERROR(RANK(M35,INDIRECT(P$16),1),"")</f>
        <v>2</v>
      </c>
      <c r="O35" s="28"/>
      <c r="P35" s="28"/>
      <c r="Q35" s="242">
        <v>44332</v>
      </c>
      <c r="R35" s="239">
        <v>509</v>
      </c>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324" t="s">
        <v>3511</v>
      </c>
      <c r="AT35" s="319"/>
      <c r="AU35" s="320"/>
      <c r="AV35" s="320"/>
      <c r="AW35" s="320"/>
      <c r="AX35" s="320"/>
      <c r="AY35" s="320"/>
      <c r="AZ35" s="320"/>
      <c r="BA35" s="320"/>
      <c r="BB35" s="322">
        <v>9</v>
      </c>
      <c r="BC35" s="317">
        <v>82.9</v>
      </c>
      <c r="BD35" s="318">
        <v>28.900000000000006</v>
      </c>
      <c r="BE35" s="28"/>
    </row>
    <row r="36" spans="1:57">
      <c r="A36" s="28"/>
      <c r="B36" s="345">
        <v>99</v>
      </c>
      <c r="C36" s="350">
        <v>25</v>
      </c>
      <c r="D36" s="350">
        <v>148</v>
      </c>
      <c r="E36" s="350"/>
      <c r="F36" s="371" t="s">
        <v>784</v>
      </c>
      <c r="G36" s="384">
        <v>0.26</v>
      </c>
      <c r="H36" s="350">
        <v>88</v>
      </c>
      <c r="I36" s="346"/>
      <c r="J36" s="350"/>
      <c r="K36" s="350"/>
      <c r="L36" s="350"/>
      <c r="M36" s="350"/>
      <c r="N36" s="351"/>
      <c r="O36" s="28"/>
      <c r="P36" s="28"/>
      <c r="Q36" s="242">
        <v>44431</v>
      </c>
      <c r="R36" s="239">
        <v>263</v>
      </c>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324" t="s">
        <v>3512</v>
      </c>
      <c r="AT36" s="319"/>
      <c r="AU36" s="320">
        <v>2</v>
      </c>
      <c r="AV36" s="320"/>
      <c r="AW36" s="320"/>
      <c r="AX36" s="320"/>
      <c r="AY36" s="320"/>
      <c r="AZ36" s="320"/>
      <c r="BA36" s="320"/>
      <c r="BB36" s="322"/>
      <c r="BC36" s="317">
        <v>63.5</v>
      </c>
      <c r="BD36" s="318">
        <v>84.6</v>
      </c>
      <c r="BE36" s="28"/>
    </row>
    <row r="37" spans="1:57">
      <c r="A37" s="28"/>
      <c r="B37" s="345">
        <v>98</v>
      </c>
      <c r="C37" s="350">
        <v>25</v>
      </c>
      <c r="D37" s="350">
        <v>134</v>
      </c>
      <c r="E37" s="350"/>
      <c r="F37" s="371" t="s">
        <v>785</v>
      </c>
      <c r="G37" s="384">
        <v>0.22</v>
      </c>
      <c r="H37" s="350">
        <v>75</v>
      </c>
      <c r="I37" s="346"/>
      <c r="J37" s="350"/>
      <c r="K37" s="350"/>
      <c r="L37" s="350"/>
      <c r="M37" s="350"/>
      <c r="N37" s="351"/>
      <c r="O37" s="28"/>
      <c r="P37" s="28"/>
      <c r="Q37" s="242">
        <v>44580</v>
      </c>
      <c r="R37" s="239">
        <v>367</v>
      </c>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324" t="s">
        <v>3513</v>
      </c>
      <c r="AT37" s="319"/>
      <c r="AU37" s="320"/>
      <c r="AV37" s="320"/>
      <c r="AW37" s="320">
        <v>4</v>
      </c>
      <c r="AX37" s="320"/>
      <c r="AY37" s="320"/>
      <c r="AZ37" s="320"/>
      <c r="BA37" s="320"/>
      <c r="BB37" s="322"/>
      <c r="BC37" s="317">
        <v>28.7</v>
      </c>
      <c r="BD37" s="318">
        <v>54.6</v>
      </c>
      <c r="BE37" s="28"/>
    </row>
    <row r="38" spans="1:57">
      <c r="A38" s="28"/>
      <c r="B38" s="345">
        <v>97</v>
      </c>
      <c r="C38" s="346">
        <v>24</v>
      </c>
      <c r="D38" s="346"/>
      <c r="E38" s="346"/>
      <c r="F38" s="346" t="s">
        <v>786</v>
      </c>
      <c r="G38" s="362">
        <v>1</v>
      </c>
      <c r="H38" s="348">
        <v>352</v>
      </c>
      <c r="I38" s="346">
        <f ca="1">SUMPRODUCT((INDIRECT(P$11)=D38)*(INDIRECT(P$12)&gt;=H38))</f>
        <v>9</v>
      </c>
      <c r="J38" s="349">
        <v>43978</v>
      </c>
      <c r="K38" s="349">
        <v>43986</v>
      </c>
      <c r="L38" s="349"/>
      <c r="M38" s="350"/>
      <c r="N38" s="351"/>
      <c r="O38" s="28"/>
      <c r="P38" s="28"/>
      <c r="Q38" s="242">
        <v>44680</v>
      </c>
      <c r="R38" s="239">
        <v>310</v>
      </c>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324" t="s">
        <v>3514</v>
      </c>
      <c r="AT38" s="319"/>
      <c r="AU38" s="320"/>
      <c r="AV38" s="320"/>
      <c r="AW38" s="320"/>
      <c r="AX38" s="320"/>
      <c r="AY38" s="320"/>
      <c r="AZ38" s="320"/>
      <c r="BA38" s="320"/>
      <c r="BB38" s="322">
        <v>9</v>
      </c>
      <c r="BC38" s="317">
        <v>82.9</v>
      </c>
      <c r="BD38" s="318">
        <v>28.900000000000006</v>
      </c>
      <c r="BE38" s="28"/>
    </row>
    <row r="39" spans="1:57">
      <c r="A39" s="28"/>
      <c r="B39" s="345">
        <v>96</v>
      </c>
      <c r="C39" s="350">
        <v>24</v>
      </c>
      <c r="D39" s="350">
        <v>170</v>
      </c>
      <c r="E39" s="353">
        <v>67</v>
      </c>
      <c r="F39" s="373" t="s">
        <v>2197</v>
      </c>
      <c r="G39" s="369">
        <v>0.54</v>
      </c>
      <c r="H39" s="356">
        <v>191</v>
      </c>
      <c r="I39" s="356">
        <f ca="1">SUMPRODUCT((INDIRECT(P$13)&lt;&gt;"")*(INDIRECT(P$12)&gt;=H39))</f>
        <v>5</v>
      </c>
      <c r="J39" s="357">
        <f>E39-E43</f>
        <v>6</v>
      </c>
      <c r="K39" s="358">
        <f>DATEDIF(J38,K38,"D")</f>
        <v>8</v>
      </c>
      <c r="L39" s="359">
        <v>44046</v>
      </c>
      <c r="M39" s="360">
        <f>DATEDIF(K38,L39,"D")</f>
        <v>60</v>
      </c>
      <c r="N39" s="351">
        <f ca="1">IFERROR(RANK(M39,INDIRECT(P$16),1),"")</f>
        <v>24</v>
      </c>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324" t="s">
        <v>3515</v>
      </c>
      <c r="AT39" s="319"/>
      <c r="AU39" s="320"/>
      <c r="AV39" s="320"/>
      <c r="AW39" s="320"/>
      <c r="AX39" s="320"/>
      <c r="AY39" s="320">
        <v>6</v>
      </c>
      <c r="AZ39" s="320"/>
      <c r="BA39" s="320"/>
      <c r="BB39" s="322"/>
      <c r="BC39" s="317">
        <v>82.9</v>
      </c>
      <c r="BD39" s="318">
        <v>48.3</v>
      </c>
      <c r="BE39" s="28"/>
    </row>
    <row r="40" spans="1:57">
      <c r="A40" s="28"/>
      <c r="B40" s="345">
        <v>95</v>
      </c>
      <c r="C40" s="350">
        <v>24</v>
      </c>
      <c r="D40" s="350">
        <v>172</v>
      </c>
      <c r="E40" s="350"/>
      <c r="F40" s="370" t="s">
        <v>787</v>
      </c>
      <c r="G40" s="384">
        <v>0.32</v>
      </c>
      <c r="H40" s="350">
        <v>114</v>
      </c>
      <c r="I40" s="346"/>
      <c r="J40" s="359"/>
      <c r="K40" s="359"/>
      <c r="L40" s="359"/>
      <c r="M40" s="350"/>
      <c r="N40" s="351"/>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324" t="s">
        <v>3516</v>
      </c>
      <c r="AT40" s="319"/>
      <c r="AU40" s="320"/>
      <c r="AV40" s="320"/>
      <c r="AW40" s="320">
        <v>4</v>
      </c>
      <c r="AX40" s="320"/>
      <c r="AY40" s="320"/>
      <c r="AZ40" s="320"/>
      <c r="BA40" s="320"/>
      <c r="BB40" s="322"/>
      <c r="BC40" s="317">
        <v>21.4</v>
      </c>
      <c r="BD40" s="318">
        <v>48.5</v>
      </c>
      <c r="BE40" s="28"/>
    </row>
    <row r="41" spans="1:57">
      <c r="A41" s="28"/>
      <c r="B41" s="345">
        <v>94</v>
      </c>
      <c r="C41" s="350">
        <v>24</v>
      </c>
      <c r="D41" s="350">
        <v>171</v>
      </c>
      <c r="E41" s="350"/>
      <c r="F41" s="370" t="s">
        <v>788</v>
      </c>
      <c r="G41" s="384">
        <v>0.13</v>
      </c>
      <c r="H41" s="350">
        <v>47</v>
      </c>
      <c r="I41" s="346"/>
      <c r="J41" s="359"/>
      <c r="K41" s="359"/>
      <c r="L41" s="359"/>
      <c r="M41" s="350"/>
      <c r="N41" s="351"/>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324" t="s">
        <v>3517</v>
      </c>
      <c r="AT41" s="319"/>
      <c r="AU41" s="320">
        <v>2</v>
      </c>
      <c r="AV41" s="320"/>
      <c r="AW41" s="320"/>
      <c r="AX41" s="320"/>
      <c r="AY41" s="320"/>
      <c r="AZ41" s="320"/>
      <c r="BA41" s="320"/>
      <c r="BB41" s="322"/>
      <c r="BC41" s="317">
        <v>36.299999999999997</v>
      </c>
      <c r="BD41" s="318">
        <v>87.3</v>
      </c>
      <c r="BE41" s="28"/>
    </row>
    <row r="42" spans="1:57">
      <c r="A42" s="28"/>
      <c r="B42" s="345">
        <v>93</v>
      </c>
      <c r="C42" s="346">
        <v>23</v>
      </c>
      <c r="D42" s="346"/>
      <c r="E42" s="346"/>
      <c r="F42" s="346" t="s">
        <v>1997</v>
      </c>
      <c r="G42" s="362">
        <v>1</v>
      </c>
      <c r="H42" s="348">
        <v>444</v>
      </c>
      <c r="I42" s="346">
        <f ca="1">SUMPRODUCT((INDIRECT(P$11)=D42)*(INDIRECT(P$12)&gt;=H42))</f>
        <v>5</v>
      </c>
      <c r="J42" s="349">
        <v>43939</v>
      </c>
      <c r="K42" s="349">
        <v>43948</v>
      </c>
      <c r="L42" s="349"/>
      <c r="M42" s="350"/>
      <c r="N42" s="351"/>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324" t="s">
        <v>3518</v>
      </c>
      <c r="AT42" s="319"/>
      <c r="AU42" s="320"/>
      <c r="AV42" s="320"/>
      <c r="AW42" s="320"/>
      <c r="AX42" s="320"/>
      <c r="AY42" s="320">
        <v>6</v>
      </c>
      <c r="AZ42" s="320"/>
      <c r="BA42" s="320"/>
      <c r="BB42" s="322"/>
      <c r="BC42" s="317">
        <v>76.7</v>
      </c>
      <c r="BD42" s="318">
        <v>37.6</v>
      </c>
      <c r="BE42" s="28"/>
    </row>
    <row r="43" spans="1:57">
      <c r="A43" s="28"/>
      <c r="B43" s="345">
        <v>92</v>
      </c>
      <c r="C43" s="350">
        <v>23</v>
      </c>
      <c r="D43" s="350">
        <v>50</v>
      </c>
      <c r="E43" s="353">
        <v>61</v>
      </c>
      <c r="F43" s="373" t="s">
        <v>2196</v>
      </c>
      <c r="G43" s="369">
        <v>0.44</v>
      </c>
      <c r="H43" s="356">
        <v>195</v>
      </c>
      <c r="I43" s="356">
        <f ca="1">SUMPRODUCT((INDIRECT(P$13)&lt;&gt;"")*(INDIRECT(P$12)&gt;=H43))</f>
        <v>4</v>
      </c>
      <c r="J43" s="357">
        <f>E43-E47</f>
        <v>5</v>
      </c>
      <c r="K43" s="358">
        <f>DATEDIF(J42,K42,"D")</f>
        <v>9</v>
      </c>
      <c r="L43" s="359">
        <v>43993</v>
      </c>
      <c r="M43" s="360">
        <f>DATEDIF(K42,L43,"D")</f>
        <v>45</v>
      </c>
      <c r="N43" s="351">
        <f ca="1">IFERROR(RANK(M43,INDIRECT(P$16),1),"")</f>
        <v>17</v>
      </c>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324" t="s">
        <v>3519</v>
      </c>
      <c r="AT43" s="319"/>
      <c r="AU43" s="320"/>
      <c r="AV43" s="320"/>
      <c r="AW43" s="320"/>
      <c r="AX43" s="320"/>
      <c r="AY43" s="320">
        <v>6</v>
      </c>
      <c r="AZ43" s="320"/>
      <c r="BA43" s="320"/>
      <c r="BB43" s="322"/>
      <c r="BC43" s="317">
        <v>76.8</v>
      </c>
      <c r="BD43" s="318">
        <v>36.5</v>
      </c>
      <c r="BE43" s="28"/>
    </row>
    <row r="44" spans="1:57">
      <c r="A44" s="28"/>
      <c r="B44" s="345">
        <v>91</v>
      </c>
      <c r="C44" s="350">
        <v>23</v>
      </c>
      <c r="D44" s="350">
        <v>48</v>
      </c>
      <c r="E44" s="350"/>
      <c r="F44" s="374" t="s">
        <v>789</v>
      </c>
      <c r="G44" s="384">
        <v>0.36</v>
      </c>
      <c r="H44" s="350">
        <v>159</v>
      </c>
      <c r="I44" s="346"/>
      <c r="J44" s="359"/>
      <c r="K44" s="359"/>
      <c r="L44" s="359"/>
      <c r="M44" s="350"/>
      <c r="N44" s="351"/>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324" t="s">
        <v>3520</v>
      </c>
      <c r="AT44" s="319"/>
      <c r="AU44" s="320"/>
      <c r="AV44" s="320"/>
      <c r="AW44" s="320"/>
      <c r="AX44" s="320">
        <v>5</v>
      </c>
      <c r="AY44" s="320"/>
      <c r="AZ44" s="320"/>
      <c r="BA44" s="320"/>
      <c r="BB44" s="322"/>
      <c r="BC44" s="317">
        <v>55.9</v>
      </c>
      <c r="BD44" s="318">
        <v>58</v>
      </c>
      <c r="BE44" s="28"/>
    </row>
    <row r="45" spans="1:57">
      <c r="A45" s="28"/>
      <c r="B45" s="345">
        <v>90</v>
      </c>
      <c r="C45" s="350">
        <v>23</v>
      </c>
      <c r="D45" s="350">
        <v>53</v>
      </c>
      <c r="E45" s="350"/>
      <c r="F45" s="374" t="s">
        <v>790</v>
      </c>
      <c r="G45" s="384">
        <v>0.2</v>
      </c>
      <c r="H45" s="350">
        <v>90</v>
      </c>
      <c r="I45" s="346"/>
      <c r="J45" s="359"/>
      <c r="K45" s="359"/>
      <c r="L45" s="359"/>
      <c r="M45" s="350"/>
      <c r="N45" s="351"/>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324" t="s">
        <v>3521</v>
      </c>
      <c r="AT45" s="319"/>
      <c r="AU45" s="320"/>
      <c r="AV45" s="320"/>
      <c r="AW45" s="320"/>
      <c r="AX45" s="320">
        <v>5</v>
      </c>
      <c r="AY45" s="320"/>
      <c r="AZ45" s="320"/>
      <c r="BA45" s="320"/>
      <c r="BB45" s="322"/>
      <c r="BC45" s="317">
        <v>55.9</v>
      </c>
      <c r="BD45" s="318">
        <v>58</v>
      </c>
      <c r="BE45" s="28"/>
    </row>
    <row r="46" spans="1:57">
      <c r="A46" s="28"/>
      <c r="B46" s="345">
        <v>89</v>
      </c>
      <c r="C46" s="346">
        <v>22</v>
      </c>
      <c r="D46" s="346"/>
      <c r="E46" s="346"/>
      <c r="F46" s="346" t="s">
        <v>791</v>
      </c>
      <c r="G46" s="362">
        <v>1</v>
      </c>
      <c r="H46" s="348">
        <v>413</v>
      </c>
      <c r="I46" s="346">
        <f ca="1">SUMPRODUCT((INDIRECT(P$11)=D46)*(INDIRECT(P$12)&gt;=H46))</f>
        <v>6</v>
      </c>
      <c r="J46" s="349">
        <v>43867</v>
      </c>
      <c r="K46" s="349">
        <v>43875</v>
      </c>
      <c r="L46" s="349"/>
      <c r="M46" s="350"/>
      <c r="N46" s="351"/>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324" t="s">
        <v>3522</v>
      </c>
      <c r="AT46" s="319"/>
      <c r="AU46" s="320"/>
      <c r="AV46" s="320"/>
      <c r="AW46" s="320">
        <v>4</v>
      </c>
      <c r="AX46" s="320"/>
      <c r="AY46" s="320"/>
      <c r="AZ46" s="320"/>
      <c r="BA46" s="320"/>
      <c r="BB46" s="322"/>
      <c r="BC46" s="317">
        <v>23.1</v>
      </c>
      <c r="BD46" s="318">
        <v>37</v>
      </c>
      <c r="BE46" s="28"/>
    </row>
    <row r="47" spans="1:57">
      <c r="A47" s="28"/>
      <c r="B47" s="345">
        <v>88</v>
      </c>
      <c r="C47" s="350">
        <v>22</v>
      </c>
      <c r="D47" s="350">
        <v>201</v>
      </c>
      <c r="E47" s="353">
        <v>56</v>
      </c>
      <c r="F47" s="373" t="s">
        <v>2195</v>
      </c>
      <c r="G47" s="369">
        <v>0.57999999999999996</v>
      </c>
      <c r="H47" s="356">
        <v>238</v>
      </c>
      <c r="I47" s="356">
        <f ca="1">SUMPRODUCT((INDIRECT(P$13)&lt;&gt;"")*(INDIRECT(P$12)&gt;=H47))</f>
        <v>1</v>
      </c>
      <c r="J47" s="357">
        <f>E47-E51</f>
        <v>8</v>
      </c>
      <c r="K47" s="358">
        <f>DATEDIF(J46,K46,"D")</f>
        <v>8</v>
      </c>
      <c r="L47" s="359">
        <v>43915</v>
      </c>
      <c r="M47" s="360">
        <f>DATEDIF(K46,L47,"D")</f>
        <v>40</v>
      </c>
      <c r="N47" s="351">
        <f ca="1">IFERROR(RANK(M47,INDIRECT(P$16),1),"")</f>
        <v>16</v>
      </c>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324" t="s">
        <v>3523</v>
      </c>
      <c r="AT47" s="319"/>
      <c r="AU47" s="320"/>
      <c r="AV47" s="320"/>
      <c r="AW47" s="320"/>
      <c r="AX47" s="320"/>
      <c r="AY47" s="320">
        <v>6</v>
      </c>
      <c r="AZ47" s="320"/>
      <c r="BA47" s="320"/>
      <c r="BB47" s="322"/>
      <c r="BC47" s="317">
        <v>94.5</v>
      </c>
      <c r="BD47" s="318">
        <v>34.5</v>
      </c>
      <c r="BE47" s="28"/>
    </row>
    <row r="48" spans="1:57">
      <c r="A48" s="28"/>
      <c r="B48" s="345">
        <v>87</v>
      </c>
      <c r="C48" s="350">
        <v>22</v>
      </c>
      <c r="D48" s="350">
        <v>199</v>
      </c>
      <c r="E48" s="350"/>
      <c r="F48" s="370" t="s">
        <v>792</v>
      </c>
      <c r="G48" s="384">
        <v>0.25</v>
      </c>
      <c r="H48" s="350">
        <v>104</v>
      </c>
      <c r="I48" s="346"/>
      <c r="J48" s="359"/>
      <c r="K48" s="359"/>
      <c r="L48" s="359"/>
      <c r="M48" s="350"/>
      <c r="N48" s="351"/>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324" t="s">
        <v>3524</v>
      </c>
      <c r="AT48" s="319"/>
      <c r="AU48" s="320">
        <v>2</v>
      </c>
      <c r="AV48" s="320"/>
      <c r="AW48" s="320"/>
      <c r="AX48" s="320"/>
      <c r="AY48" s="320"/>
      <c r="AZ48" s="320"/>
      <c r="BA48" s="320"/>
      <c r="BB48" s="322"/>
      <c r="BC48" s="317">
        <v>59.8</v>
      </c>
      <c r="BD48" s="318">
        <v>68.599999999999994</v>
      </c>
      <c r="BE48" s="28"/>
    </row>
    <row r="49" spans="1:57">
      <c r="A49" s="28"/>
      <c r="B49" s="345">
        <v>86</v>
      </c>
      <c r="C49" s="350">
        <v>22</v>
      </c>
      <c r="D49" s="350">
        <v>198</v>
      </c>
      <c r="E49" s="350"/>
      <c r="F49" s="370" t="s">
        <v>793</v>
      </c>
      <c r="G49" s="384">
        <v>0.17</v>
      </c>
      <c r="H49" s="350">
        <v>71</v>
      </c>
      <c r="I49" s="346"/>
      <c r="J49" s="359"/>
      <c r="K49" s="359"/>
      <c r="L49" s="359"/>
      <c r="M49" s="350"/>
      <c r="N49" s="351"/>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324" t="s">
        <v>3525</v>
      </c>
      <c r="AT49" s="319"/>
      <c r="AU49" s="320"/>
      <c r="AV49" s="320"/>
      <c r="AW49" s="320"/>
      <c r="AX49" s="320"/>
      <c r="AY49" s="320">
        <v>6</v>
      </c>
      <c r="AZ49" s="320"/>
      <c r="BA49" s="320"/>
      <c r="BB49" s="322"/>
      <c r="BC49" s="317">
        <v>86.4</v>
      </c>
      <c r="BD49" s="318">
        <v>50.8</v>
      </c>
      <c r="BE49" s="28"/>
    </row>
    <row r="50" spans="1:57">
      <c r="A50" s="28"/>
      <c r="B50" s="345">
        <v>85</v>
      </c>
      <c r="C50" s="346">
        <v>21</v>
      </c>
      <c r="D50" s="346"/>
      <c r="E50" s="346"/>
      <c r="F50" s="346" t="s">
        <v>794</v>
      </c>
      <c r="G50" s="362">
        <v>1</v>
      </c>
      <c r="H50" s="348">
        <v>314</v>
      </c>
      <c r="I50" s="346">
        <f ca="1">SUMPRODUCT((INDIRECT(P$11)=D50)*(INDIRECT(P$12)&gt;=H50))</f>
        <v>12</v>
      </c>
      <c r="J50" s="349">
        <v>43708</v>
      </c>
      <c r="K50" s="349">
        <v>43715</v>
      </c>
      <c r="L50" s="349"/>
      <c r="M50" s="350"/>
      <c r="N50" s="351"/>
      <c r="O50" s="28"/>
      <c r="P50" s="28"/>
      <c r="AR50" s="28"/>
      <c r="AS50" s="324" t="s">
        <v>3526</v>
      </c>
      <c r="AT50" s="319"/>
      <c r="AU50" s="320"/>
      <c r="AV50" s="320"/>
      <c r="AW50" s="320">
        <v>4</v>
      </c>
      <c r="AX50" s="320"/>
      <c r="AY50" s="320"/>
      <c r="AZ50" s="320"/>
      <c r="BA50" s="320"/>
      <c r="BB50" s="322"/>
      <c r="BC50" s="317">
        <v>7.3</v>
      </c>
      <c r="BD50" s="318">
        <v>44.2</v>
      </c>
      <c r="BE50" s="28"/>
    </row>
    <row r="51" spans="1:57">
      <c r="A51" s="28"/>
      <c r="B51" s="345">
        <v>84</v>
      </c>
      <c r="C51" s="350">
        <v>21</v>
      </c>
      <c r="D51" s="350">
        <v>132</v>
      </c>
      <c r="E51" s="353">
        <v>48</v>
      </c>
      <c r="F51" s="373" t="s">
        <v>2194</v>
      </c>
      <c r="G51" s="369">
        <v>0.36</v>
      </c>
      <c r="H51" s="356">
        <v>112</v>
      </c>
      <c r="I51" s="356">
        <f ca="1">SUMPRODUCT((INDIRECT(P$13)&lt;&gt;"")*(INDIRECT(P$12)&gt;=H51))</f>
        <v>14</v>
      </c>
      <c r="J51" s="357">
        <f>E51-E55</f>
        <v>3</v>
      </c>
      <c r="K51" s="358">
        <f>DATEDIF(J50,K50,"D")</f>
        <v>7</v>
      </c>
      <c r="L51" s="359">
        <v>43767</v>
      </c>
      <c r="M51" s="360">
        <f>DATEDIF(K50,L51,"D")</f>
        <v>52</v>
      </c>
      <c r="N51" s="351">
        <f ca="1">IFERROR(RANK(M51,INDIRECT(P$16),1),"")</f>
        <v>19</v>
      </c>
      <c r="O51" s="28"/>
      <c r="P51" s="28"/>
      <c r="AR51" s="28"/>
      <c r="AS51" s="324" t="s">
        <v>3527</v>
      </c>
      <c r="AT51" s="319">
        <v>1</v>
      </c>
      <c r="AU51" s="320"/>
      <c r="AV51" s="320"/>
      <c r="AW51" s="320">
        <v>4</v>
      </c>
      <c r="AX51" s="320"/>
      <c r="AY51" s="320"/>
      <c r="AZ51" s="320"/>
      <c r="BA51" s="320"/>
      <c r="BB51" s="322"/>
      <c r="BC51" s="317">
        <v>30.6</v>
      </c>
      <c r="BD51" s="318">
        <v>66.900000000000006</v>
      </c>
      <c r="BE51" s="28"/>
    </row>
    <row r="52" spans="1:57">
      <c r="A52" s="28"/>
      <c r="B52" s="345">
        <v>83</v>
      </c>
      <c r="C52" s="350">
        <v>21</v>
      </c>
      <c r="D52" s="350">
        <v>116</v>
      </c>
      <c r="E52" s="350"/>
      <c r="F52" s="370" t="s">
        <v>795</v>
      </c>
      <c r="G52" s="384">
        <v>0.35</v>
      </c>
      <c r="H52" s="350">
        <v>109</v>
      </c>
      <c r="I52" s="346"/>
      <c r="J52" s="359"/>
      <c r="K52" s="359"/>
      <c r="L52" s="359"/>
      <c r="M52" s="350"/>
      <c r="N52" s="351"/>
      <c r="O52" s="28"/>
      <c r="P52" s="28"/>
      <c r="AR52" s="28"/>
      <c r="AS52" s="324" t="s">
        <v>3528</v>
      </c>
      <c r="AT52" s="319"/>
      <c r="AU52" s="320"/>
      <c r="AV52" s="320"/>
      <c r="AW52" s="320">
        <v>4</v>
      </c>
      <c r="AX52" s="320"/>
      <c r="AY52" s="320"/>
      <c r="AZ52" s="320"/>
      <c r="BA52" s="320"/>
      <c r="BB52" s="322"/>
      <c r="BC52" s="317">
        <v>7.5</v>
      </c>
      <c r="BD52" s="318">
        <v>64.599999999999994</v>
      </c>
      <c r="BE52" s="28"/>
    </row>
    <row r="53" spans="1:57">
      <c r="A53" s="28"/>
      <c r="B53" s="345">
        <v>82</v>
      </c>
      <c r="C53" s="350">
        <v>21</v>
      </c>
      <c r="D53" s="350">
        <v>104</v>
      </c>
      <c r="E53" s="350"/>
      <c r="F53" s="370" t="s">
        <v>796</v>
      </c>
      <c r="G53" s="384">
        <v>0.28999999999999998</v>
      </c>
      <c r="H53" s="350">
        <v>93</v>
      </c>
      <c r="I53" s="346"/>
      <c r="J53" s="359"/>
      <c r="K53" s="359"/>
      <c r="L53" s="359"/>
      <c r="M53" s="350"/>
      <c r="N53" s="351"/>
      <c r="O53" s="28"/>
      <c r="P53" s="28"/>
      <c r="AR53" s="28"/>
      <c r="AS53" s="324" t="s">
        <v>3529</v>
      </c>
      <c r="AT53" s="319"/>
      <c r="AU53" s="320"/>
      <c r="AV53" s="320"/>
      <c r="AW53" s="320"/>
      <c r="AX53" s="320"/>
      <c r="AY53" s="320"/>
      <c r="AZ53" s="320">
        <v>7</v>
      </c>
      <c r="BA53" s="320"/>
      <c r="BB53" s="322"/>
      <c r="BC53" s="317">
        <v>2.4</v>
      </c>
      <c r="BD53" s="318">
        <v>22.700000000000003</v>
      </c>
      <c r="BE53" s="28"/>
    </row>
    <row r="54" spans="1:57">
      <c r="A54" s="28"/>
      <c r="B54" s="345">
        <v>81</v>
      </c>
      <c r="C54" s="346">
        <v>20</v>
      </c>
      <c r="D54" s="346"/>
      <c r="E54" s="346"/>
      <c r="F54" s="346" t="s">
        <v>797</v>
      </c>
      <c r="G54" s="362">
        <v>1</v>
      </c>
      <c r="H54" s="348">
        <v>341</v>
      </c>
      <c r="I54" s="346">
        <f ca="1">SUMPRODUCT((INDIRECT(P$11)=D54)*(INDIRECT(P$12)&gt;=H54))</f>
        <v>10</v>
      </c>
      <c r="J54" s="349">
        <v>43650</v>
      </c>
      <c r="K54" s="349">
        <v>43657</v>
      </c>
      <c r="L54" s="349"/>
      <c r="M54" s="350"/>
      <c r="N54" s="351"/>
      <c r="O54" s="28"/>
      <c r="P54" s="28"/>
      <c r="AR54" s="28"/>
      <c r="AS54" s="324" t="s">
        <v>3530</v>
      </c>
      <c r="AT54" s="319"/>
      <c r="AU54" s="320"/>
      <c r="AV54" s="320"/>
      <c r="AW54" s="320"/>
      <c r="AX54" s="320"/>
      <c r="AY54" s="320"/>
      <c r="AZ54" s="320">
        <v>7</v>
      </c>
      <c r="BA54" s="320"/>
      <c r="BB54" s="322"/>
      <c r="BC54" s="317">
        <v>2.4</v>
      </c>
      <c r="BD54" s="318">
        <v>22.700000000000003</v>
      </c>
      <c r="BE54" s="28"/>
    </row>
    <row r="55" spans="1:57">
      <c r="A55" s="28"/>
      <c r="B55" s="345">
        <v>80</v>
      </c>
      <c r="C55" s="350">
        <v>20</v>
      </c>
      <c r="D55" s="350">
        <v>32</v>
      </c>
      <c r="E55" s="353">
        <v>45</v>
      </c>
      <c r="F55" s="373" t="s">
        <v>2193</v>
      </c>
      <c r="G55" s="369">
        <v>0.4</v>
      </c>
      <c r="H55" s="356">
        <v>137</v>
      </c>
      <c r="I55" s="356">
        <f ca="1">SUMPRODUCT((INDIRECT(P$13)&lt;&gt;"")*(INDIRECT(P$12)&gt;=H55))</f>
        <v>11</v>
      </c>
      <c r="J55" s="357">
        <f>E55-E59</f>
        <v>1</v>
      </c>
      <c r="K55" s="358">
        <f>DATEDIF(J54,K54,"D")</f>
        <v>7</v>
      </c>
      <c r="L55" s="359">
        <v>43711</v>
      </c>
      <c r="M55" s="360">
        <f>DATEDIF(K54,L55,"D")</f>
        <v>54</v>
      </c>
      <c r="N55" s="351">
        <f ca="1">IFERROR(RANK(M55,INDIRECT(P$16),1),"")</f>
        <v>20</v>
      </c>
      <c r="O55" s="28"/>
      <c r="P55" s="28"/>
      <c r="AR55" s="28"/>
      <c r="AS55" s="324" t="s">
        <v>3531</v>
      </c>
      <c r="AT55" s="319"/>
      <c r="AU55" s="320">
        <v>2</v>
      </c>
      <c r="AV55" s="320"/>
      <c r="AW55" s="320"/>
      <c r="AX55" s="320"/>
      <c r="AY55" s="320"/>
      <c r="AZ55" s="320"/>
      <c r="BA55" s="320"/>
      <c r="BB55" s="322"/>
      <c r="BC55" s="317">
        <v>53.8</v>
      </c>
      <c r="BD55" s="318">
        <v>86</v>
      </c>
      <c r="BE55" s="28"/>
    </row>
    <row r="56" spans="1:57">
      <c r="A56" s="28"/>
      <c r="B56" s="345">
        <v>79</v>
      </c>
      <c r="C56" s="350">
        <v>20</v>
      </c>
      <c r="D56" s="350">
        <v>33</v>
      </c>
      <c r="E56" s="350"/>
      <c r="F56" s="370" t="s">
        <v>798</v>
      </c>
      <c r="G56" s="384">
        <v>0.37</v>
      </c>
      <c r="H56" s="350">
        <v>125</v>
      </c>
      <c r="I56" s="346"/>
      <c r="J56" s="359"/>
      <c r="K56" s="359"/>
      <c r="L56" s="359"/>
      <c r="M56" s="350"/>
      <c r="N56" s="351"/>
      <c r="O56" s="28"/>
      <c r="P56" s="28"/>
      <c r="AR56" s="28"/>
      <c r="AS56" s="324" t="s">
        <v>3532</v>
      </c>
      <c r="AT56" s="319"/>
      <c r="AU56" s="320"/>
      <c r="AV56" s="320"/>
      <c r="AW56" s="320">
        <v>4</v>
      </c>
      <c r="AX56" s="320"/>
      <c r="AY56" s="320"/>
      <c r="AZ56" s="320"/>
      <c r="BA56" s="320"/>
      <c r="BB56" s="322"/>
      <c r="BC56" s="317">
        <v>26.9</v>
      </c>
      <c r="BD56" s="318">
        <v>43</v>
      </c>
      <c r="BE56" s="28"/>
    </row>
    <row r="57" spans="1:57">
      <c r="A57" s="28"/>
      <c r="B57" s="345">
        <v>78</v>
      </c>
      <c r="C57" s="350">
        <v>20</v>
      </c>
      <c r="D57" s="350">
        <v>31</v>
      </c>
      <c r="E57" s="350"/>
      <c r="F57" s="370" t="s">
        <v>799</v>
      </c>
      <c r="G57" s="384">
        <v>0.23</v>
      </c>
      <c r="H57" s="350">
        <v>79</v>
      </c>
      <c r="I57" s="346"/>
      <c r="J57" s="359"/>
      <c r="K57" s="359"/>
      <c r="L57" s="359"/>
      <c r="M57" s="350"/>
      <c r="N57" s="351"/>
      <c r="O57" s="28"/>
      <c r="P57" s="28"/>
      <c r="AR57" s="28"/>
      <c r="AS57" s="324" t="s">
        <v>3533</v>
      </c>
      <c r="AT57" s="319">
        <v>1</v>
      </c>
      <c r="AU57" s="320"/>
      <c r="AV57" s="320"/>
      <c r="AW57" s="320"/>
      <c r="AX57" s="320"/>
      <c r="AY57" s="320"/>
      <c r="AZ57" s="320"/>
      <c r="BA57" s="320"/>
      <c r="BB57" s="322"/>
      <c r="BC57" s="317">
        <v>29.6</v>
      </c>
      <c r="BD57" s="318">
        <v>67.7</v>
      </c>
      <c r="BE57" s="28"/>
    </row>
    <row r="58" spans="1:57">
      <c r="A58" s="28"/>
      <c r="B58" s="345">
        <v>77</v>
      </c>
      <c r="C58" s="346">
        <v>19</v>
      </c>
      <c r="D58" s="346"/>
      <c r="E58" s="346"/>
      <c r="F58" s="346" t="s">
        <v>800</v>
      </c>
      <c r="G58" s="362">
        <v>1</v>
      </c>
      <c r="H58" s="348">
        <v>478</v>
      </c>
      <c r="I58" s="346">
        <f ca="1">SUMPRODUCT((INDIRECT(P$11)=D58)*(INDIRECT(P$12)&gt;=H58))</f>
        <v>2</v>
      </c>
      <c r="J58" s="349">
        <v>43585</v>
      </c>
      <c r="K58" s="349">
        <v>43592</v>
      </c>
      <c r="L58" s="349"/>
      <c r="M58" s="350"/>
      <c r="N58" s="351"/>
      <c r="O58" s="28"/>
      <c r="P58" s="28"/>
      <c r="AR58" s="28"/>
      <c r="AS58" s="324" t="s">
        <v>3534</v>
      </c>
      <c r="AT58" s="319"/>
      <c r="AU58" s="320"/>
      <c r="AV58" s="320"/>
      <c r="AW58" s="320"/>
      <c r="AX58" s="320"/>
      <c r="AY58" s="320">
        <v>6</v>
      </c>
      <c r="AZ58" s="320"/>
      <c r="BA58" s="320"/>
      <c r="BB58" s="322"/>
      <c r="BC58" s="317">
        <v>89.7</v>
      </c>
      <c r="BD58" s="318">
        <v>41.5</v>
      </c>
      <c r="BE58" s="28"/>
    </row>
    <row r="59" spans="1:57">
      <c r="A59" s="28"/>
      <c r="B59" s="345">
        <v>76</v>
      </c>
      <c r="C59" s="350">
        <v>19</v>
      </c>
      <c r="D59" s="350">
        <v>129</v>
      </c>
      <c r="E59" s="353">
        <v>44</v>
      </c>
      <c r="F59" s="373" t="s">
        <v>2192</v>
      </c>
      <c r="G59" s="369">
        <v>0.36</v>
      </c>
      <c r="H59" s="356">
        <v>171</v>
      </c>
      <c r="I59" s="356">
        <f ca="1">SUMPRODUCT((INDIRECT(P$13)&lt;&gt;"")*(INDIRECT(P$12)&gt;=H59))</f>
        <v>9</v>
      </c>
      <c r="J59" s="357">
        <f>E59-E63</f>
        <v>6</v>
      </c>
      <c r="K59" s="358">
        <f>DATEDIF(J58,K58,"D")</f>
        <v>7</v>
      </c>
      <c r="L59" s="359">
        <v>43693</v>
      </c>
      <c r="M59" s="360">
        <f>DATEDIF(K58,L59,"D")</f>
        <v>101</v>
      </c>
      <c r="N59" s="351">
        <f ca="1">IFERROR(RANK(M59,INDIRECT(P$16),1),"")</f>
        <v>31</v>
      </c>
      <c r="O59" s="28"/>
      <c r="P59" s="28"/>
      <c r="AR59" s="28"/>
      <c r="AS59" s="324" t="s">
        <v>3535</v>
      </c>
      <c r="AT59" s="319"/>
      <c r="AU59" s="320"/>
      <c r="AV59" s="320"/>
      <c r="AW59" s="320"/>
      <c r="AX59" s="320">
        <v>5</v>
      </c>
      <c r="AY59" s="320"/>
      <c r="AZ59" s="320"/>
      <c r="BA59" s="320"/>
      <c r="BB59" s="322"/>
      <c r="BC59" s="317">
        <v>43.3</v>
      </c>
      <c r="BD59" s="318">
        <v>38.9</v>
      </c>
      <c r="BE59" s="28"/>
    </row>
    <row r="60" spans="1:57">
      <c r="A60" s="28"/>
      <c r="B60" s="345">
        <v>75</v>
      </c>
      <c r="C60" s="350">
        <v>19</v>
      </c>
      <c r="D60" s="352" t="s">
        <v>16</v>
      </c>
      <c r="E60" s="352"/>
      <c r="F60" s="370" t="s">
        <v>801</v>
      </c>
      <c r="G60" s="384">
        <v>0.35</v>
      </c>
      <c r="H60" s="350">
        <v>168</v>
      </c>
      <c r="I60" s="346"/>
      <c r="J60" s="359"/>
      <c r="K60" s="359"/>
      <c r="L60" s="359"/>
      <c r="M60" s="350"/>
      <c r="N60" s="351"/>
      <c r="O60" s="28"/>
      <c r="P60" s="28"/>
      <c r="AR60" s="28"/>
      <c r="AS60" s="324" t="s">
        <v>3536</v>
      </c>
      <c r="AT60" s="319"/>
      <c r="AU60" s="320"/>
      <c r="AV60" s="320"/>
      <c r="AW60" s="320"/>
      <c r="AX60" s="320"/>
      <c r="AY60" s="320"/>
      <c r="AZ60" s="320"/>
      <c r="BA60" s="320"/>
      <c r="BB60" s="322">
        <v>9</v>
      </c>
      <c r="BC60" s="317">
        <v>93.9</v>
      </c>
      <c r="BD60" s="318">
        <v>27</v>
      </c>
      <c r="BE60" s="28"/>
    </row>
    <row r="61" spans="1:57">
      <c r="A61" s="28"/>
      <c r="B61" s="345">
        <v>74</v>
      </c>
      <c r="C61" s="350">
        <v>19</v>
      </c>
      <c r="D61" s="350">
        <v>188</v>
      </c>
      <c r="E61" s="350"/>
      <c r="F61" s="370" t="s">
        <v>802</v>
      </c>
      <c r="G61" s="384">
        <v>0.28999999999999998</v>
      </c>
      <c r="H61" s="350">
        <v>139</v>
      </c>
      <c r="I61" s="346"/>
      <c r="J61" s="359"/>
      <c r="K61" s="359"/>
      <c r="L61" s="359"/>
      <c r="M61" s="350"/>
      <c r="N61" s="351"/>
      <c r="O61" s="28"/>
      <c r="P61" s="28"/>
      <c r="AR61" s="28"/>
      <c r="AS61" s="324" t="s">
        <v>3537</v>
      </c>
      <c r="AT61" s="319"/>
      <c r="AU61" s="320"/>
      <c r="AV61" s="320"/>
      <c r="AW61" s="320"/>
      <c r="AX61" s="320"/>
      <c r="AY61" s="320"/>
      <c r="AZ61" s="320"/>
      <c r="BA61" s="320"/>
      <c r="BB61" s="322">
        <v>9</v>
      </c>
      <c r="BC61" s="317">
        <v>71.7</v>
      </c>
      <c r="BD61" s="318">
        <v>30.299999999999997</v>
      </c>
      <c r="BE61" s="28"/>
    </row>
    <row r="62" spans="1:57">
      <c r="A62" s="28"/>
      <c r="B62" s="345">
        <v>73</v>
      </c>
      <c r="C62" s="346">
        <v>18</v>
      </c>
      <c r="D62" s="346"/>
      <c r="E62" s="346"/>
      <c r="F62" s="346" t="s">
        <v>803</v>
      </c>
      <c r="G62" s="362">
        <v>1</v>
      </c>
      <c r="H62" s="348">
        <v>361</v>
      </c>
      <c r="I62" s="346">
        <f ca="1">SUMPRODUCT((INDIRECT(P$11)=D62)*(INDIRECT(P$12)&gt;=H62))</f>
        <v>8</v>
      </c>
      <c r="J62" s="349">
        <v>43502</v>
      </c>
      <c r="K62" s="349">
        <v>43510</v>
      </c>
      <c r="L62" s="349"/>
      <c r="M62" s="350"/>
      <c r="N62" s="351"/>
      <c r="O62" s="28"/>
      <c r="P62" s="28"/>
      <c r="AR62" s="28"/>
      <c r="AS62" s="324" t="s">
        <v>3538</v>
      </c>
      <c r="AT62" s="319"/>
      <c r="AU62" s="320"/>
      <c r="AV62" s="320"/>
      <c r="AW62" s="320"/>
      <c r="AX62" s="320"/>
      <c r="AY62" s="320"/>
      <c r="AZ62" s="320"/>
      <c r="BA62" s="320"/>
      <c r="BB62" s="322">
        <v>9</v>
      </c>
      <c r="BC62" s="317">
        <v>71.7</v>
      </c>
      <c r="BD62" s="318">
        <v>30.299999999999997</v>
      </c>
      <c r="BE62" s="28"/>
    </row>
    <row r="63" spans="1:57">
      <c r="A63" s="28"/>
      <c r="B63" s="345">
        <v>72</v>
      </c>
      <c r="C63" s="350">
        <v>18</v>
      </c>
      <c r="D63" s="350">
        <v>86</v>
      </c>
      <c r="E63" s="353">
        <v>38</v>
      </c>
      <c r="F63" s="373" t="s">
        <v>2191</v>
      </c>
      <c r="G63" s="369">
        <v>0.57999999999999996</v>
      </c>
      <c r="H63" s="356">
        <v>209</v>
      </c>
      <c r="I63" s="356">
        <f ca="1">SUMPRODUCT((INDIRECT(P$13)&lt;&gt;"")*(INDIRECT(P$12)&gt;=H63))</f>
        <v>2</v>
      </c>
      <c r="J63" s="357">
        <f>E63-E67</f>
        <v>3</v>
      </c>
      <c r="K63" s="358">
        <f>DATEDIF(J62,K62,"D")</f>
        <v>8</v>
      </c>
      <c r="L63" s="359">
        <v>43571</v>
      </c>
      <c r="M63" s="360">
        <f>DATEDIF(K62,L63,"D")</f>
        <v>61</v>
      </c>
      <c r="N63" s="351">
        <f ca="1">IFERROR(RANK(M63,INDIRECT(P$16),1),"")</f>
        <v>25</v>
      </c>
      <c r="O63" s="28"/>
      <c r="P63" s="28"/>
      <c r="AR63" s="28"/>
      <c r="AS63" s="324" t="s">
        <v>3539</v>
      </c>
      <c r="AT63" s="319">
        <v>1</v>
      </c>
      <c r="AU63" s="320"/>
      <c r="AV63" s="320"/>
      <c r="AW63" s="320"/>
      <c r="AX63" s="320"/>
      <c r="AY63" s="320"/>
      <c r="AZ63" s="320"/>
      <c r="BA63" s="320"/>
      <c r="BB63" s="322"/>
      <c r="BC63" s="317">
        <v>25.6</v>
      </c>
      <c r="BD63" s="318">
        <v>90.7</v>
      </c>
      <c r="BE63" s="28"/>
    </row>
    <row r="64" spans="1:57">
      <c r="A64" s="28"/>
      <c r="B64" s="345">
        <v>71</v>
      </c>
      <c r="C64" s="350">
        <v>18</v>
      </c>
      <c r="D64" s="350">
        <v>70</v>
      </c>
      <c r="E64" s="350"/>
      <c r="F64" s="370" t="s">
        <v>804</v>
      </c>
      <c r="G64" s="384">
        <v>0.24</v>
      </c>
      <c r="H64" s="350">
        <v>86</v>
      </c>
      <c r="I64" s="346"/>
      <c r="J64" s="359"/>
      <c r="K64" s="359"/>
      <c r="L64" s="359"/>
      <c r="M64" s="350"/>
      <c r="N64" s="351"/>
      <c r="O64" s="28"/>
      <c r="P64" s="28"/>
      <c r="AR64" s="28"/>
      <c r="AS64" s="324" t="s">
        <v>3540</v>
      </c>
      <c r="AT64" s="319"/>
      <c r="AU64" s="320"/>
      <c r="AV64" s="320"/>
      <c r="AW64" s="320"/>
      <c r="AX64" s="320"/>
      <c r="AY64" s="320"/>
      <c r="AZ64" s="320"/>
      <c r="BA64" s="320"/>
      <c r="BB64" s="322">
        <v>9</v>
      </c>
      <c r="BC64" s="317">
        <v>71.599999999999994</v>
      </c>
      <c r="BD64" s="318">
        <v>30.299999999999997</v>
      </c>
      <c r="BE64" s="28"/>
    </row>
    <row r="65" spans="1:57">
      <c r="A65" s="28"/>
      <c r="B65" s="345">
        <v>70</v>
      </c>
      <c r="C65" s="350">
        <v>18</v>
      </c>
      <c r="D65" s="350">
        <v>159</v>
      </c>
      <c r="E65" s="350"/>
      <c r="F65" s="370" t="s">
        <v>805</v>
      </c>
      <c r="G65" s="384">
        <v>0.18</v>
      </c>
      <c r="H65" s="350">
        <v>66</v>
      </c>
      <c r="I65" s="346"/>
      <c r="J65" s="359"/>
      <c r="K65" s="359"/>
      <c r="L65" s="359"/>
      <c r="M65" s="350"/>
      <c r="N65" s="351"/>
      <c r="O65" s="28"/>
      <c r="P65" s="28"/>
      <c r="AR65" s="28"/>
      <c r="AS65" s="324" t="s">
        <v>3541</v>
      </c>
      <c r="AT65" s="319"/>
      <c r="AU65" s="320"/>
      <c r="AV65" s="320"/>
      <c r="AW65" s="320"/>
      <c r="AX65" s="320">
        <v>5</v>
      </c>
      <c r="AY65" s="320"/>
      <c r="AZ65" s="320"/>
      <c r="BA65" s="320"/>
      <c r="BB65" s="322"/>
      <c r="BC65" s="317">
        <v>48.7</v>
      </c>
      <c r="BD65" s="318">
        <v>50.2</v>
      </c>
      <c r="BE65" s="28"/>
    </row>
    <row r="66" spans="1:57">
      <c r="A66" s="28"/>
      <c r="B66" s="345">
        <v>69</v>
      </c>
      <c r="C66" s="346">
        <v>17</v>
      </c>
      <c r="D66" s="346"/>
      <c r="E66" s="346"/>
      <c r="F66" s="346" t="s">
        <v>806</v>
      </c>
      <c r="G66" s="362">
        <v>1</v>
      </c>
      <c r="H66" s="348">
        <v>258</v>
      </c>
      <c r="I66" s="346">
        <f ca="1">SUMPRODUCT((INDIRECT(P$11)=D66)*(INDIRECT(P$12)&gt;=H66))</f>
        <v>15</v>
      </c>
      <c r="J66" s="349">
        <v>43396</v>
      </c>
      <c r="K66" s="349">
        <v>43404</v>
      </c>
      <c r="L66" s="349"/>
      <c r="M66" s="350"/>
      <c r="N66" s="351"/>
      <c r="O66" s="28"/>
      <c r="P66" s="28"/>
      <c r="AR66" s="28"/>
      <c r="AS66" s="324" t="s">
        <v>3542</v>
      </c>
      <c r="AT66" s="319"/>
      <c r="AU66" s="320"/>
      <c r="AV66" s="320"/>
      <c r="AW66" s="320"/>
      <c r="AX66" s="320"/>
      <c r="AY66" s="320">
        <v>6</v>
      </c>
      <c r="AZ66" s="320"/>
      <c r="BA66" s="320"/>
      <c r="BB66" s="322"/>
      <c r="BC66" s="317">
        <v>93.3</v>
      </c>
      <c r="BD66" s="318">
        <v>57.9</v>
      </c>
      <c r="BE66" s="28"/>
    </row>
    <row r="67" spans="1:57">
      <c r="A67" s="28"/>
      <c r="B67" s="345">
        <v>68</v>
      </c>
      <c r="C67" s="350">
        <v>17</v>
      </c>
      <c r="D67" s="350">
        <v>107</v>
      </c>
      <c r="E67" s="353">
        <v>35</v>
      </c>
      <c r="F67" s="373" t="s">
        <v>2190</v>
      </c>
      <c r="G67" s="369">
        <v>0.44</v>
      </c>
      <c r="H67" s="356">
        <v>113</v>
      </c>
      <c r="I67" s="356">
        <f ca="1">SUMPRODUCT((INDIRECT(P$13)&lt;&gt;"")*(INDIRECT(P$12)&gt;=H67))</f>
        <v>13</v>
      </c>
      <c r="J67" s="357">
        <f>E67-E71</f>
        <v>6</v>
      </c>
      <c r="K67" s="358">
        <f>DATEDIF(J66,K66,"D")</f>
        <v>8</v>
      </c>
      <c r="L67" s="359">
        <v>43502</v>
      </c>
      <c r="M67" s="360">
        <f>DATEDIF(K66,L67,"D")</f>
        <v>98</v>
      </c>
      <c r="N67" s="351">
        <f ca="1">IFERROR(RANK(M67,INDIRECT(P$16),1),"")</f>
        <v>30</v>
      </c>
      <c r="O67" s="28"/>
      <c r="P67" s="28"/>
      <c r="AR67" s="28"/>
      <c r="AS67" s="324" t="s">
        <v>3543</v>
      </c>
      <c r="AT67" s="319"/>
      <c r="AU67" s="320"/>
      <c r="AV67" s="320"/>
      <c r="AW67" s="320">
        <v>4</v>
      </c>
      <c r="AX67" s="320"/>
      <c r="AY67" s="320"/>
      <c r="AZ67" s="320"/>
      <c r="BA67" s="320"/>
      <c r="BB67" s="322"/>
      <c r="BC67" s="317">
        <v>2.9</v>
      </c>
      <c r="BD67" s="318">
        <v>42.7</v>
      </c>
      <c r="BE67" s="28"/>
    </row>
    <row r="68" spans="1:57">
      <c r="A68" s="28"/>
      <c r="B68" s="345">
        <v>67</v>
      </c>
      <c r="C68" s="350">
        <v>17</v>
      </c>
      <c r="D68" s="350">
        <v>177</v>
      </c>
      <c r="E68" s="350"/>
      <c r="F68" s="370" t="s">
        <v>807</v>
      </c>
      <c r="G68" s="384">
        <v>0.4</v>
      </c>
      <c r="H68" s="350">
        <v>104</v>
      </c>
      <c r="I68" s="346"/>
      <c r="J68" s="359"/>
      <c r="K68" s="359"/>
      <c r="L68" s="359"/>
      <c r="M68" s="350"/>
      <c r="N68" s="351"/>
      <c r="O68" s="28"/>
      <c r="P68" s="28"/>
      <c r="AR68" s="28"/>
      <c r="AS68" s="324" t="s">
        <v>3544</v>
      </c>
      <c r="AT68" s="319"/>
      <c r="AU68" s="320">
        <v>2</v>
      </c>
      <c r="AV68" s="320"/>
      <c r="AW68" s="320"/>
      <c r="AX68" s="320"/>
      <c r="AY68" s="320"/>
      <c r="AZ68" s="320"/>
      <c r="BA68" s="320"/>
      <c r="BB68" s="322"/>
      <c r="BC68" s="317">
        <v>53.1</v>
      </c>
      <c r="BD68" s="318">
        <v>95.8</v>
      </c>
      <c r="BE68" s="28"/>
    </row>
    <row r="69" spans="1:57">
      <c r="A69" s="28"/>
      <c r="B69" s="345">
        <v>66</v>
      </c>
      <c r="C69" s="350">
        <v>17</v>
      </c>
      <c r="D69" s="350">
        <v>187</v>
      </c>
      <c r="E69" s="350"/>
      <c r="F69" s="370" t="s">
        <v>808</v>
      </c>
      <c r="G69" s="384">
        <v>0.16</v>
      </c>
      <c r="H69" s="350">
        <v>41</v>
      </c>
      <c r="I69" s="346"/>
      <c r="J69" s="359"/>
      <c r="K69" s="359"/>
      <c r="L69" s="359"/>
      <c r="M69" s="350"/>
      <c r="N69" s="351"/>
      <c r="O69" s="28"/>
      <c r="P69" s="28"/>
      <c r="AR69" s="28"/>
      <c r="AS69" s="324" t="s">
        <v>3545</v>
      </c>
      <c r="AT69" s="319"/>
      <c r="AU69" s="320"/>
      <c r="AV69" s="320"/>
      <c r="AW69" s="320"/>
      <c r="AX69" s="320"/>
      <c r="AY69" s="320"/>
      <c r="AZ69" s="320"/>
      <c r="BA69" s="320"/>
      <c r="BB69" s="322">
        <v>9</v>
      </c>
      <c r="BC69" s="317">
        <v>98.7</v>
      </c>
      <c r="BD69" s="318">
        <v>8.2000000000000028</v>
      </c>
      <c r="BE69" s="28"/>
    </row>
    <row r="70" spans="1:57">
      <c r="A70" s="28"/>
      <c r="B70" s="345">
        <v>65</v>
      </c>
      <c r="C70" s="346">
        <v>16</v>
      </c>
      <c r="D70" s="346"/>
      <c r="E70" s="346"/>
      <c r="F70" s="346" t="s">
        <v>809</v>
      </c>
      <c r="G70" s="362">
        <v>1</v>
      </c>
      <c r="H70" s="348">
        <v>243</v>
      </c>
      <c r="I70" s="346">
        <f ca="1">SUMPRODUCT((INDIRECT(P$11)=D70)*(INDIRECT(P$12)&gt;=H70))</f>
        <v>17</v>
      </c>
      <c r="J70" s="349">
        <v>43314</v>
      </c>
      <c r="K70" s="349">
        <v>43321</v>
      </c>
      <c r="L70" s="349"/>
      <c r="M70" s="350"/>
      <c r="N70" s="351"/>
      <c r="O70" s="28"/>
      <c r="P70" s="28"/>
      <c r="AR70" s="28"/>
      <c r="AS70" s="324" t="s">
        <v>3546</v>
      </c>
      <c r="AT70" s="319"/>
      <c r="AU70" s="320"/>
      <c r="AV70" s="320"/>
      <c r="AW70" s="320"/>
      <c r="AX70" s="320"/>
      <c r="AY70" s="320">
        <v>6</v>
      </c>
      <c r="AZ70" s="320"/>
      <c r="BA70" s="320"/>
      <c r="BB70" s="322"/>
      <c r="BC70" s="317">
        <v>76.7</v>
      </c>
      <c r="BD70" s="318">
        <v>53.1</v>
      </c>
      <c r="BE70" s="28"/>
    </row>
    <row r="71" spans="1:57">
      <c r="A71" s="28"/>
      <c r="B71" s="345">
        <v>64</v>
      </c>
      <c r="C71" s="350">
        <v>16</v>
      </c>
      <c r="D71" s="350">
        <v>120</v>
      </c>
      <c r="E71" s="353">
        <v>29</v>
      </c>
      <c r="F71" s="373" t="s">
        <v>2189</v>
      </c>
      <c r="G71" s="369">
        <v>0.37</v>
      </c>
      <c r="H71" s="356">
        <v>90</v>
      </c>
      <c r="I71" s="356">
        <f ca="1">SUMPRODUCT((INDIRECT(P$13)&lt;&gt;"")*(INDIRECT(P$12)&gt;=H71))</f>
        <v>23</v>
      </c>
      <c r="J71" s="357">
        <v>2</v>
      </c>
      <c r="K71" s="358">
        <f>DATEDIF(J70,K70,"D")</f>
        <v>7</v>
      </c>
      <c r="L71" s="359">
        <v>43385</v>
      </c>
      <c r="M71" s="360">
        <f>DATEDIF(K70,L71,"D")</f>
        <v>64</v>
      </c>
      <c r="N71" s="351">
        <f ca="1">IFERROR(RANK(M71,INDIRECT(P$16),1),"")</f>
        <v>26</v>
      </c>
      <c r="O71" s="28"/>
      <c r="P71" s="28"/>
      <c r="AR71" s="28"/>
      <c r="AS71" s="324" t="s">
        <v>3547</v>
      </c>
      <c r="AT71" s="319"/>
      <c r="AU71" s="320"/>
      <c r="AV71" s="320"/>
      <c r="AW71" s="320">
        <v>4</v>
      </c>
      <c r="AX71" s="320"/>
      <c r="AY71" s="320"/>
      <c r="AZ71" s="320"/>
      <c r="BA71" s="320"/>
      <c r="BB71" s="322"/>
      <c r="BC71" s="317">
        <v>29.5</v>
      </c>
      <c r="BD71" s="318">
        <v>48.3</v>
      </c>
      <c r="BE71" s="28"/>
    </row>
    <row r="72" spans="1:57">
      <c r="A72" s="28"/>
      <c r="B72" s="345">
        <v>63</v>
      </c>
      <c r="C72" s="350">
        <v>16</v>
      </c>
      <c r="D72" s="350">
        <v>151</v>
      </c>
      <c r="E72" s="350"/>
      <c r="F72" s="370" t="s">
        <v>810</v>
      </c>
      <c r="G72" s="384">
        <v>0.35</v>
      </c>
      <c r="H72" s="350">
        <v>85</v>
      </c>
      <c r="I72" s="346"/>
      <c r="J72" s="359"/>
      <c r="K72" s="359"/>
      <c r="L72" s="359"/>
      <c r="M72" s="350"/>
      <c r="N72" s="351"/>
      <c r="O72" s="28"/>
      <c r="P72" s="28"/>
      <c r="AR72" s="28"/>
      <c r="AS72" s="324" t="s">
        <v>3548</v>
      </c>
      <c r="AT72" s="319"/>
      <c r="AU72" s="320"/>
      <c r="AV72" s="320"/>
      <c r="AW72" s="320">
        <v>4</v>
      </c>
      <c r="AX72" s="320"/>
      <c r="AY72" s="320"/>
      <c r="AZ72" s="320"/>
      <c r="BA72" s="320"/>
      <c r="BB72" s="322"/>
      <c r="BC72" s="317">
        <v>13.2</v>
      </c>
      <c r="BD72" s="318">
        <v>43.4</v>
      </c>
      <c r="BE72" s="28"/>
    </row>
    <row r="73" spans="1:57">
      <c r="A73" s="28"/>
      <c r="B73" s="345">
        <v>62</v>
      </c>
      <c r="C73" s="350">
        <v>16</v>
      </c>
      <c r="D73" s="350">
        <v>127</v>
      </c>
      <c r="E73" s="350"/>
      <c r="F73" s="370" t="s">
        <v>811</v>
      </c>
      <c r="G73" s="384">
        <v>0.28000000000000003</v>
      </c>
      <c r="H73" s="350">
        <v>68</v>
      </c>
      <c r="I73" s="346"/>
      <c r="J73" s="359"/>
      <c r="K73" s="359"/>
      <c r="L73" s="359"/>
      <c r="M73" s="350"/>
      <c r="N73" s="351"/>
      <c r="O73" s="28"/>
      <c r="P73" s="28"/>
      <c r="AR73" s="28"/>
      <c r="AS73" s="324" t="s">
        <v>3549</v>
      </c>
      <c r="AT73" s="319"/>
      <c r="AU73" s="320"/>
      <c r="AV73" s="320"/>
      <c r="AW73" s="320"/>
      <c r="AX73" s="320">
        <v>5</v>
      </c>
      <c r="AY73" s="320"/>
      <c r="AZ73" s="320"/>
      <c r="BA73" s="320"/>
      <c r="BB73" s="322"/>
      <c r="BC73" s="317">
        <v>60.3</v>
      </c>
      <c r="BD73" s="318">
        <v>45.6</v>
      </c>
      <c r="BE73" s="28"/>
    </row>
    <row r="74" spans="1:57">
      <c r="A74" s="28"/>
      <c r="B74" s="345">
        <v>61</v>
      </c>
      <c r="C74" s="346">
        <v>15</v>
      </c>
      <c r="D74" s="346"/>
      <c r="E74" s="346"/>
      <c r="F74" s="346" t="s">
        <v>812</v>
      </c>
      <c r="G74" s="362">
        <v>1</v>
      </c>
      <c r="H74" s="348">
        <v>235</v>
      </c>
      <c r="I74" s="346">
        <f ca="1">SUMPRODUCT((INDIRECT(P$11)=D74)*(INDIRECT(P$12)&gt;=H74))</f>
        <v>19</v>
      </c>
      <c r="J74" s="349">
        <v>43282</v>
      </c>
      <c r="K74" s="349">
        <v>43289</v>
      </c>
      <c r="L74" s="349"/>
      <c r="M74" s="350"/>
      <c r="N74" s="351"/>
      <c r="O74" s="28"/>
      <c r="P74" s="28"/>
      <c r="AR74" s="28"/>
      <c r="AS74" s="324" t="s">
        <v>3550</v>
      </c>
      <c r="AT74" s="319"/>
      <c r="AU74" s="320"/>
      <c r="AV74" s="320"/>
      <c r="AW74" s="320"/>
      <c r="AX74" s="320">
        <v>5</v>
      </c>
      <c r="AY74" s="320"/>
      <c r="AZ74" s="320"/>
      <c r="BA74" s="320"/>
      <c r="BB74" s="322"/>
      <c r="BC74" s="317">
        <v>50.4</v>
      </c>
      <c r="BD74" s="318">
        <v>38.799999999999997</v>
      </c>
      <c r="BE74" s="28"/>
    </row>
    <row r="75" spans="1:57">
      <c r="A75" s="28"/>
      <c r="B75" s="345">
        <v>60</v>
      </c>
      <c r="C75" s="350">
        <v>15</v>
      </c>
      <c r="D75" s="350">
        <v>152</v>
      </c>
      <c r="E75" s="353">
        <v>27</v>
      </c>
      <c r="F75" s="373" t="s">
        <v>2188</v>
      </c>
      <c r="G75" s="369">
        <v>0.4</v>
      </c>
      <c r="H75" s="356">
        <v>95</v>
      </c>
      <c r="I75" s="356">
        <f ca="1">SUMPRODUCT((INDIRECT(P$13)&lt;&gt;"")*(INDIRECT(P$12)&gt;=H75))</f>
        <v>20</v>
      </c>
      <c r="J75" s="357">
        <v>1</v>
      </c>
      <c r="K75" s="358">
        <f>DATEDIF(J74,K74,"D")</f>
        <v>7</v>
      </c>
      <c r="L75" s="359">
        <v>43323</v>
      </c>
      <c r="M75" s="360">
        <f>DATEDIF(K74,L75,"D")</f>
        <v>34</v>
      </c>
      <c r="N75" s="351">
        <f ca="1">IFERROR(RANK(M75,INDIRECT(P$16),1),"")</f>
        <v>13</v>
      </c>
      <c r="O75" s="28"/>
      <c r="P75" s="28"/>
      <c r="AR75" s="28"/>
      <c r="AS75" s="324" t="s">
        <v>3551</v>
      </c>
      <c r="AT75" s="319"/>
      <c r="AU75" s="320"/>
      <c r="AV75" s="320"/>
      <c r="AW75" s="320"/>
      <c r="AX75" s="320"/>
      <c r="AY75" s="320">
        <v>6</v>
      </c>
      <c r="AZ75" s="320"/>
      <c r="BA75" s="320"/>
      <c r="BB75" s="322"/>
      <c r="BC75" s="317">
        <v>76.7</v>
      </c>
      <c r="BD75" s="318">
        <v>53.2</v>
      </c>
      <c r="BE75" s="28"/>
    </row>
    <row r="76" spans="1:57">
      <c r="A76" s="28"/>
      <c r="B76" s="345">
        <v>59</v>
      </c>
      <c r="C76" s="350">
        <v>15</v>
      </c>
      <c r="D76" s="350">
        <v>138</v>
      </c>
      <c r="E76" s="350"/>
      <c r="F76" s="370" t="s">
        <v>813</v>
      </c>
      <c r="G76" s="384">
        <v>0.37</v>
      </c>
      <c r="H76" s="350">
        <v>88</v>
      </c>
      <c r="I76" s="346"/>
      <c r="J76" s="359"/>
      <c r="K76" s="359"/>
      <c r="L76" s="359"/>
      <c r="M76" s="350"/>
      <c r="N76" s="351"/>
      <c r="O76" s="28"/>
      <c r="P76" s="28"/>
      <c r="AR76" s="28"/>
      <c r="AS76" s="324" t="s">
        <v>3552</v>
      </c>
      <c r="AT76" s="319"/>
      <c r="AU76" s="320">
        <v>2</v>
      </c>
      <c r="AV76" s="320"/>
      <c r="AW76" s="320"/>
      <c r="AX76" s="320"/>
      <c r="AY76" s="320"/>
      <c r="AZ76" s="320"/>
      <c r="BA76" s="320"/>
      <c r="BB76" s="322"/>
      <c r="BC76" s="317">
        <v>52.5</v>
      </c>
      <c r="BD76" s="318">
        <v>96.9</v>
      </c>
      <c r="BE76" s="28"/>
    </row>
    <row r="77" spans="1:57">
      <c r="A77" s="28"/>
      <c r="B77" s="345">
        <v>58</v>
      </c>
      <c r="C77" s="350">
        <v>15</v>
      </c>
      <c r="D77" s="350">
        <v>168</v>
      </c>
      <c r="E77" s="350"/>
      <c r="F77" s="370" t="s">
        <v>814</v>
      </c>
      <c r="G77" s="384">
        <v>0.23</v>
      </c>
      <c r="H77" s="350">
        <v>52</v>
      </c>
      <c r="I77" s="346"/>
      <c r="J77" s="359"/>
      <c r="K77" s="359"/>
      <c r="L77" s="359"/>
      <c r="M77" s="350"/>
      <c r="N77" s="351"/>
      <c r="O77" s="28"/>
      <c r="P77" s="28"/>
      <c r="AR77" s="28"/>
      <c r="AS77" s="324" t="s">
        <v>3553</v>
      </c>
      <c r="AT77" s="319"/>
      <c r="AU77" s="320"/>
      <c r="AV77" s="320"/>
      <c r="AW77" s="320"/>
      <c r="AX77" s="320"/>
      <c r="AY77" s="320"/>
      <c r="AZ77" s="320">
        <v>7</v>
      </c>
      <c r="BA77" s="320"/>
      <c r="BB77" s="322"/>
      <c r="BC77" s="317">
        <v>5.2</v>
      </c>
      <c r="BD77" s="318">
        <v>33</v>
      </c>
      <c r="BE77" s="28"/>
    </row>
    <row r="78" spans="1:57">
      <c r="A78" s="28"/>
      <c r="B78" s="345">
        <v>57</v>
      </c>
      <c r="C78" s="346">
        <v>14</v>
      </c>
      <c r="D78" s="346"/>
      <c r="E78" s="346"/>
      <c r="F78" s="346" t="s">
        <v>815</v>
      </c>
      <c r="G78" s="362">
        <v>1</v>
      </c>
      <c r="H78" s="348">
        <v>180</v>
      </c>
      <c r="I78" s="346">
        <f ca="1">SUMPRODUCT((INDIRECT(P$11)=D78)*(INDIRECT(P$12)&gt;=H78))</f>
        <v>25</v>
      </c>
      <c r="J78" s="349">
        <v>43271</v>
      </c>
      <c r="K78" s="349">
        <v>43278</v>
      </c>
      <c r="L78" s="349"/>
      <c r="M78" s="350"/>
      <c r="N78" s="351"/>
      <c r="O78" s="28"/>
      <c r="P78" s="28"/>
      <c r="AR78" s="28"/>
      <c r="AS78" s="324" t="s">
        <v>3554</v>
      </c>
      <c r="AT78" s="319"/>
      <c r="AU78" s="320"/>
      <c r="AV78" s="320"/>
      <c r="AW78" s="320">
        <v>4</v>
      </c>
      <c r="AX78" s="320"/>
      <c r="AY78" s="320"/>
      <c r="AZ78" s="320"/>
      <c r="BA78" s="320"/>
      <c r="BB78" s="322"/>
      <c r="BC78" s="317">
        <v>29.6</v>
      </c>
      <c r="BD78" s="318">
        <v>43.4</v>
      </c>
      <c r="BE78" s="28"/>
    </row>
    <row r="79" spans="1:57">
      <c r="A79" s="28"/>
      <c r="B79" s="345">
        <v>56</v>
      </c>
      <c r="C79" s="350">
        <v>14</v>
      </c>
      <c r="D79" s="350">
        <v>63</v>
      </c>
      <c r="E79" s="353">
        <v>26</v>
      </c>
      <c r="F79" s="368" t="s">
        <v>2206</v>
      </c>
      <c r="G79" s="369">
        <v>0.4</v>
      </c>
      <c r="H79" s="356">
        <v>72</v>
      </c>
      <c r="I79" s="356">
        <f ca="1">SUMPRODUCT((INDIRECT(P$13)&lt;&gt;"")*(INDIRECT(P$12)&gt;=H79))</f>
        <v>29</v>
      </c>
      <c r="J79" s="357">
        <v>2</v>
      </c>
      <c r="K79" s="358">
        <f>DATEDIF(J78,K78,"D")</f>
        <v>7</v>
      </c>
      <c r="L79" s="359">
        <v>43307</v>
      </c>
      <c r="M79" s="360">
        <f>DATEDIF(K78,L79,"D")</f>
        <v>29</v>
      </c>
      <c r="N79" s="351">
        <f ca="1">IFERROR(RANK(M79,INDIRECT(P$16),1),"")</f>
        <v>11</v>
      </c>
      <c r="O79" s="28"/>
      <c r="P79" s="28"/>
      <c r="AR79" s="28"/>
      <c r="AS79" s="324" t="s">
        <v>3555</v>
      </c>
      <c r="AT79" s="319"/>
      <c r="AU79" s="320">
        <v>2</v>
      </c>
      <c r="AV79" s="320"/>
      <c r="AW79" s="320"/>
      <c r="AX79" s="320"/>
      <c r="AY79" s="320"/>
      <c r="AZ79" s="320"/>
      <c r="BA79" s="320"/>
      <c r="BB79" s="322"/>
      <c r="BC79" s="317">
        <v>57.3</v>
      </c>
      <c r="BD79" s="318">
        <v>80.2</v>
      </c>
      <c r="BE79" s="28"/>
    </row>
    <row r="80" spans="1:57">
      <c r="A80" s="28"/>
      <c r="B80" s="345">
        <v>55</v>
      </c>
      <c r="C80" s="350">
        <v>14</v>
      </c>
      <c r="D80" s="350">
        <v>153</v>
      </c>
      <c r="E80" s="350"/>
      <c r="F80" s="370" t="s">
        <v>816</v>
      </c>
      <c r="G80" s="384">
        <v>0.39</v>
      </c>
      <c r="H80" s="350">
        <v>71</v>
      </c>
      <c r="I80" s="346"/>
      <c r="J80" s="359"/>
      <c r="K80" s="359"/>
      <c r="L80" s="359"/>
      <c r="M80" s="350"/>
      <c r="N80" s="351"/>
      <c r="O80" s="28"/>
      <c r="P80" s="28"/>
      <c r="AR80" s="28"/>
      <c r="AS80" s="324" t="s">
        <v>3556</v>
      </c>
      <c r="AT80" s="319"/>
      <c r="AU80" s="320">
        <v>2</v>
      </c>
      <c r="AV80" s="320"/>
      <c r="AW80" s="320"/>
      <c r="AX80" s="320"/>
      <c r="AY80" s="320"/>
      <c r="AZ80" s="320"/>
      <c r="BA80" s="320"/>
      <c r="BB80" s="322"/>
      <c r="BC80" s="317">
        <v>57.3</v>
      </c>
      <c r="BD80" s="318">
        <v>80.099999999999994</v>
      </c>
      <c r="BE80" s="28"/>
    </row>
    <row r="81" spans="1:57">
      <c r="A81" s="28"/>
      <c r="B81" s="345">
        <v>54</v>
      </c>
      <c r="C81" s="350">
        <v>14</v>
      </c>
      <c r="D81" s="350">
        <v>123</v>
      </c>
      <c r="E81" s="350"/>
      <c r="F81" s="370" t="s">
        <v>1998</v>
      </c>
      <c r="G81" s="384">
        <v>0.21</v>
      </c>
      <c r="H81" s="350">
        <v>37</v>
      </c>
      <c r="I81" s="346"/>
      <c r="J81" s="359"/>
      <c r="K81" s="359"/>
      <c r="L81" s="359"/>
      <c r="M81" s="350"/>
      <c r="N81" s="351"/>
      <c r="O81" s="28"/>
      <c r="P81" s="28"/>
      <c r="AR81" s="28"/>
      <c r="AS81" s="324" t="s">
        <v>3557</v>
      </c>
      <c r="AT81" s="319">
        <v>1</v>
      </c>
      <c r="AU81" s="320"/>
      <c r="AV81" s="320"/>
      <c r="AW81" s="320"/>
      <c r="AX81" s="320"/>
      <c r="AY81" s="320"/>
      <c r="AZ81" s="320"/>
      <c r="BA81" s="320"/>
      <c r="BB81" s="322"/>
      <c r="BC81" s="317">
        <v>8.1</v>
      </c>
      <c r="BD81" s="318">
        <v>78.8</v>
      </c>
      <c r="BE81" s="28"/>
    </row>
    <row r="82" spans="1:57">
      <c r="A82" s="28"/>
      <c r="B82" s="345">
        <v>53</v>
      </c>
      <c r="C82" s="346">
        <v>13</v>
      </c>
      <c r="D82" s="346"/>
      <c r="E82" s="346"/>
      <c r="F82" s="346" t="s">
        <v>817</v>
      </c>
      <c r="G82" s="362">
        <v>1</v>
      </c>
      <c r="H82" s="348">
        <v>179</v>
      </c>
      <c r="I82" s="346">
        <f ca="1">SUMPRODUCT((INDIRECT(P$11)=D82)*(INDIRECT(P$12)&gt;=H82))</f>
        <v>26</v>
      </c>
      <c r="J82" s="349">
        <v>43237</v>
      </c>
      <c r="K82" s="349">
        <v>43244</v>
      </c>
      <c r="L82" s="349"/>
      <c r="M82" s="350"/>
      <c r="N82" s="351"/>
      <c r="O82" s="28"/>
      <c r="P82" s="28"/>
      <c r="AR82" s="28"/>
      <c r="AS82" s="324" t="s">
        <v>3558</v>
      </c>
      <c r="AT82" s="319"/>
      <c r="AU82" s="320"/>
      <c r="AV82" s="320"/>
      <c r="AW82" s="320"/>
      <c r="AX82" s="320"/>
      <c r="AY82" s="320"/>
      <c r="AZ82" s="320"/>
      <c r="BA82" s="320"/>
      <c r="BB82" s="327" t="s">
        <v>2254</v>
      </c>
      <c r="BC82" s="317">
        <v>88.6</v>
      </c>
      <c r="BD82" s="318">
        <v>18.3</v>
      </c>
      <c r="BE82" s="28"/>
    </row>
    <row r="83" spans="1:57">
      <c r="A83" s="28"/>
      <c r="B83" s="345">
        <v>52</v>
      </c>
      <c r="C83" s="350">
        <v>13</v>
      </c>
      <c r="D83" s="350">
        <v>76</v>
      </c>
      <c r="E83" s="353">
        <v>24</v>
      </c>
      <c r="F83" s="373" t="s">
        <v>2187</v>
      </c>
      <c r="G83" s="369">
        <v>0.53</v>
      </c>
      <c r="H83" s="356">
        <v>94</v>
      </c>
      <c r="I83" s="356">
        <f ca="1">SUMPRODUCT((INDIRECT(P$13)&lt;&gt;"")*(INDIRECT(P$12)&gt;=H83))</f>
        <v>21</v>
      </c>
      <c r="J83" s="357">
        <v>1</v>
      </c>
      <c r="K83" s="358">
        <f>DATEDIF(J82,K82,"D")</f>
        <v>7</v>
      </c>
      <c r="L83" s="359">
        <v>43263</v>
      </c>
      <c r="M83" s="360">
        <f>DATEDIF(K82,L83,"D")</f>
        <v>19</v>
      </c>
      <c r="N83" s="351">
        <f ca="1">IFERROR(RANK(M83,INDIRECT(P$16),1),"")</f>
        <v>3</v>
      </c>
      <c r="O83" s="28"/>
      <c r="P83" s="28"/>
      <c r="AR83" s="28"/>
      <c r="AS83" s="324" t="s">
        <v>3559</v>
      </c>
      <c r="AT83" s="319"/>
      <c r="AU83" s="320"/>
      <c r="AV83" s="320"/>
      <c r="AW83" s="320"/>
      <c r="AX83" s="320"/>
      <c r="AY83" s="320">
        <v>6</v>
      </c>
      <c r="AZ83" s="320"/>
      <c r="BA83" s="320"/>
      <c r="BB83" s="322"/>
      <c r="BC83" s="317">
        <v>75</v>
      </c>
      <c r="BD83" s="318">
        <v>61.5</v>
      </c>
      <c r="BE83" s="28"/>
    </row>
    <row r="84" spans="1:57">
      <c r="A84" s="28"/>
      <c r="B84" s="345">
        <v>51</v>
      </c>
      <c r="C84" s="350">
        <v>13</v>
      </c>
      <c r="D84" s="350">
        <v>121</v>
      </c>
      <c r="E84" s="350"/>
      <c r="F84" s="370" t="s">
        <v>818</v>
      </c>
      <c r="G84" s="384">
        <v>0.36</v>
      </c>
      <c r="H84" s="350">
        <v>64</v>
      </c>
      <c r="I84" s="346"/>
      <c r="J84" s="359"/>
      <c r="K84" s="359"/>
      <c r="L84" s="359"/>
      <c r="M84" s="350"/>
      <c r="N84" s="351"/>
      <c r="O84" s="28"/>
      <c r="P84" s="28"/>
      <c r="AR84" s="28"/>
      <c r="AS84" s="324" t="s">
        <v>3560</v>
      </c>
      <c r="AT84" s="319"/>
      <c r="AU84" s="320"/>
      <c r="AV84" s="320"/>
      <c r="AW84" s="320">
        <v>4</v>
      </c>
      <c r="AX84" s="320"/>
      <c r="AY84" s="320"/>
      <c r="AZ84" s="320">
        <v>7</v>
      </c>
      <c r="BA84" s="320"/>
      <c r="BB84" s="322"/>
      <c r="BC84" s="317">
        <v>29.6</v>
      </c>
      <c r="BD84" s="318">
        <v>34.099999999999994</v>
      </c>
      <c r="BE84" s="28"/>
    </row>
    <row r="85" spans="1:57">
      <c r="A85" s="28"/>
      <c r="B85" s="345">
        <v>50</v>
      </c>
      <c r="C85" s="350">
        <v>13</v>
      </c>
      <c r="D85" s="350">
        <v>191</v>
      </c>
      <c r="E85" s="350"/>
      <c r="F85" s="370" t="s">
        <v>819</v>
      </c>
      <c r="G85" s="384">
        <v>0.11</v>
      </c>
      <c r="H85" s="350">
        <v>21</v>
      </c>
      <c r="I85" s="346"/>
      <c r="J85" s="359"/>
      <c r="K85" s="359"/>
      <c r="L85" s="359"/>
      <c r="M85" s="350"/>
      <c r="N85" s="351"/>
      <c r="O85" s="28"/>
      <c r="P85" s="28"/>
      <c r="AR85" s="28"/>
      <c r="AS85" s="324" t="s">
        <v>3561</v>
      </c>
      <c r="AT85" s="319"/>
      <c r="AU85" s="320"/>
      <c r="AV85" s="320"/>
      <c r="AW85" s="320"/>
      <c r="AX85" s="320">
        <v>5</v>
      </c>
      <c r="AY85" s="320"/>
      <c r="AZ85" s="320"/>
      <c r="BA85" s="320"/>
      <c r="BB85" s="322"/>
      <c r="BC85" s="317">
        <v>34.6</v>
      </c>
      <c r="BD85" s="318">
        <v>57.1</v>
      </c>
      <c r="BE85" s="28"/>
    </row>
    <row r="86" spans="1:57">
      <c r="A86" s="28"/>
      <c r="B86" s="345">
        <v>49</v>
      </c>
      <c r="C86" s="346">
        <v>12</v>
      </c>
      <c r="D86" s="346"/>
      <c r="E86" s="346"/>
      <c r="F86" s="346" t="s">
        <v>820</v>
      </c>
      <c r="G86" s="362">
        <v>1</v>
      </c>
      <c r="H86" s="348">
        <v>232</v>
      </c>
      <c r="I86" s="346">
        <f ca="1">SUMPRODUCT((INDIRECT(P$11)=D86)*(INDIRECT(P$12)&gt;=H86))</f>
        <v>20</v>
      </c>
      <c r="J86" s="349">
        <v>43220</v>
      </c>
      <c r="K86" s="349">
        <v>43226</v>
      </c>
      <c r="L86" s="349"/>
      <c r="M86" s="350"/>
      <c r="N86" s="351"/>
      <c r="O86" s="28"/>
      <c r="P86" s="28"/>
      <c r="AR86" s="28"/>
      <c r="AS86" s="324" t="s">
        <v>3562</v>
      </c>
      <c r="AT86" s="325">
        <v>0</v>
      </c>
      <c r="AU86" s="320"/>
      <c r="AV86" s="320"/>
      <c r="AW86" s="320"/>
      <c r="AX86" s="320"/>
      <c r="AY86" s="320"/>
      <c r="AZ86" s="320"/>
      <c r="BA86" s="320"/>
      <c r="BB86" s="322"/>
      <c r="BC86" s="325">
        <v>0</v>
      </c>
      <c r="BD86" s="326">
        <v>0</v>
      </c>
      <c r="BE86" s="28"/>
    </row>
    <row r="87" spans="1:57">
      <c r="A87" s="28"/>
      <c r="B87" s="345">
        <v>48</v>
      </c>
      <c r="C87" s="350">
        <v>12</v>
      </c>
      <c r="D87" s="350">
        <v>167</v>
      </c>
      <c r="E87" s="353">
        <v>23</v>
      </c>
      <c r="F87" s="373" t="s">
        <v>2186</v>
      </c>
      <c r="G87" s="369">
        <v>0.38</v>
      </c>
      <c r="H87" s="356">
        <v>89</v>
      </c>
      <c r="I87" s="356">
        <f ca="1">SUMPRODUCT((INDIRECT(P$13)&lt;&gt;"")*(INDIRECT(P$12)&gt;=H87))</f>
        <v>24</v>
      </c>
      <c r="J87" s="357">
        <v>4</v>
      </c>
      <c r="K87" s="358">
        <f>DATEDIF(J86,K86,"D")</f>
        <v>6</v>
      </c>
      <c r="L87" s="359">
        <v>43250</v>
      </c>
      <c r="M87" s="360">
        <f>DATEDIF(K86,L87,"D")</f>
        <v>24</v>
      </c>
      <c r="N87" s="351">
        <f ca="1">IFERROR(RANK(M87,INDIRECT(P$16),1),"")</f>
        <v>8</v>
      </c>
      <c r="O87" s="28"/>
      <c r="P87" s="28"/>
      <c r="AR87" s="28"/>
      <c r="AS87" s="324" t="s">
        <v>3563</v>
      </c>
      <c r="AT87" s="319"/>
      <c r="AU87" s="320">
        <v>2</v>
      </c>
      <c r="AV87" s="320"/>
      <c r="AW87" s="320"/>
      <c r="AX87" s="320"/>
      <c r="AY87" s="320"/>
      <c r="AZ87" s="320"/>
      <c r="BA87" s="320"/>
      <c r="BB87" s="322"/>
      <c r="BC87" s="317">
        <v>50.4</v>
      </c>
      <c r="BD87" s="318">
        <v>92.4</v>
      </c>
      <c r="BE87" s="28"/>
    </row>
    <row r="88" spans="1:57" ht="15" customHeight="1">
      <c r="A88" s="28"/>
      <c r="B88" s="345">
        <v>47</v>
      </c>
      <c r="C88" s="350">
        <v>12</v>
      </c>
      <c r="D88" s="350">
        <v>94</v>
      </c>
      <c r="E88" s="350"/>
      <c r="F88" s="370" t="s">
        <v>821</v>
      </c>
      <c r="G88" s="384">
        <v>0.28000000000000003</v>
      </c>
      <c r="H88" s="350">
        <v>64</v>
      </c>
      <c r="I88" s="346"/>
      <c r="J88" s="359"/>
      <c r="K88" s="359"/>
      <c r="L88" s="359"/>
      <c r="M88" s="350"/>
      <c r="N88" s="351"/>
      <c r="O88" s="28"/>
      <c r="P88" s="28"/>
      <c r="AR88" s="28"/>
      <c r="AS88" s="324" t="s">
        <v>3564</v>
      </c>
      <c r="AT88" s="319">
        <v>1</v>
      </c>
      <c r="AU88" s="320"/>
      <c r="AV88" s="320"/>
      <c r="AW88" s="320"/>
      <c r="AX88" s="320"/>
      <c r="AY88" s="320"/>
      <c r="AZ88" s="320"/>
      <c r="BA88" s="320"/>
      <c r="BB88" s="322"/>
      <c r="BC88" s="317">
        <v>4.7</v>
      </c>
      <c r="BD88" s="318">
        <v>96.3</v>
      </c>
      <c r="BE88" s="28"/>
    </row>
    <row r="89" spans="1:57">
      <c r="A89" s="28"/>
      <c r="B89" s="345">
        <v>46</v>
      </c>
      <c r="C89" s="350">
        <v>12</v>
      </c>
      <c r="D89" s="350">
        <v>146</v>
      </c>
      <c r="E89" s="350"/>
      <c r="F89" s="370" t="s">
        <v>822</v>
      </c>
      <c r="G89" s="384">
        <v>0.24</v>
      </c>
      <c r="H89" s="350">
        <v>55</v>
      </c>
      <c r="I89" s="346"/>
      <c r="J89" s="359"/>
      <c r="K89" s="359"/>
      <c r="L89" s="359"/>
      <c r="M89" s="350"/>
      <c r="N89" s="351"/>
      <c r="O89" s="28"/>
      <c r="P89" s="28"/>
      <c r="AR89" s="28"/>
      <c r="AS89" s="324" t="s">
        <v>3565</v>
      </c>
      <c r="AT89" s="319"/>
      <c r="AU89" s="320"/>
      <c r="AV89" s="320"/>
      <c r="AW89" s="320">
        <v>4</v>
      </c>
      <c r="AX89" s="320"/>
      <c r="AY89" s="320"/>
      <c r="AZ89" s="320"/>
      <c r="BA89" s="320"/>
      <c r="BB89" s="322"/>
      <c r="BC89" s="317">
        <v>14.2</v>
      </c>
      <c r="BD89" s="318">
        <v>64.2</v>
      </c>
      <c r="BE89" s="28"/>
    </row>
    <row r="90" spans="1:57">
      <c r="A90" s="28"/>
      <c r="B90" s="345">
        <v>45</v>
      </c>
      <c r="C90" s="350">
        <v>12</v>
      </c>
      <c r="D90" s="350">
        <v>164</v>
      </c>
      <c r="E90" s="350"/>
      <c r="F90" s="370" t="s">
        <v>823</v>
      </c>
      <c r="G90" s="384">
        <v>0.1</v>
      </c>
      <c r="H90" s="350">
        <v>24</v>
      </c>
      <c r="I90" s="346"/>
      <c r="J90" s="359"/>
      <c r="K90" s="359"/>
      <c r="L90" s="359"/>
      <c r="M90" s="350"/>
      <c r="N90" s="351"/>
      <c r="O90" s="28"/>
      <c r="P90" s="28"/>
      <c r="AR90" s="28"/>
      <c r="AS90" s="324" t="s">
        <v>3566</v>
      </c>
      <c r="AT90" s="319"/>
      <c r="AU90" s="320"/>
      <c r="AV90" s="320"/>
      <c r="AW90" s="320"/>
      <c r="AX90" s="320"/>
      <c r="AY90" s="320"/>
      <c r="AZ90" s="320">
        <v>7</v>
      </c>
      <c r="BA90" s="320"/>
      <c r="BB90" s="322"/>
      <c r="BC90" s="317">
        <v>32.5</v>
      </c>
      <c r="BD90" s="318">
        <v>30.700000000000003</v>
      </c>
      <c r="BE90" s="28"/>
    </row>
    <row r="91" spans="1:57">
      <c r="A91" s="28"/>
      <c r="B91" s="345">
        <v>44</v>
      </c>
      <c r="C91" s="346">
        <v>11</v>
      </c>
      <c r="D91" s="346"/>
      <c r="E91" s="346"/>
      <c r="F91" s="346" t="s">
        <v>824</v>
      </c>
      <c r="G91" s="362">
        <v>1</v>
      </c>
      <c r="H91" s="348">
        <v>238</v>
      </c>
      <c r="I91" s="346">
        <f ca="1">SUMPRODUCT((INDIRECT(P$11)=D91)*(INDIRECT(P$12)&gt;=H91))</f>
        <v>18</v>
      </c>
      <c r="J91" s="349">
        <v>43145</v>
      </c>
      <c r="K91" s="349">
        <v>43152</v>
      </c>
      <c r="L91" s="349"/>
      <c r="M91" s="350"/>
      <c r="N91" s="351"/>
      <c r="O91" s="28"/>
      <c r="P91" s="28"/>
      <c r="AR91" s="28"/>
      <c r="AS91" s="324" t="s">
        <v>3567</v>
      </c>
      <c r="AT91" s="319"/>
      <c r="AU91" s="320">
        <v>2</v>
      </c>
      <c r="AV91" s="320"/>
      <c r="AW91" s="320"/>
      <c r="AX91" s="320"/>
      <c r="AY91" s="320"/>
      <c r="AZ91" s="320"/>
      <c r="BA91" s="320"/>
      <c r="BB91" s="322"/>
      <c r="BC91" s="317">
        <v>42.8</v>
      </c>
      <c r="BD91" s="318">
        <v>79.599999999999994</v>
      </c>
      <c r="BE91" s="28"/>
    </row>
    <row r="92" spans="1:57">
      <c r="A92" s="28"/>
      <c r="B92" s="345">
        <v>43</v>
      </c>
      <c r="C92" s="350">
        <v>11</v>
      </c>
      <c r="D92" s="350">
        <v>131</v>
      </c>
      <c r="E92" s="353">
        <v>21</v>
      </c>
      <c r="F92" s="373" t="s">
        <v>2185</v>
      </c>
      <c r="G92" s="369">
        <v>0.41</v>
      </c>
      <c r="H92" s="356">
        <v>97</v>
      </c>
      <c r="I92" s="356">
        <f ca="1">SUMPRODUCT((INDIRECT(P$13)&lt;&gt;"")*(INDIRECT(P$12)&gt;=H92))</f>
        <v>18</v>
      </c>
      <c r="J92" s="357">
        <v>3</v>
      </c>
      <c r="K92" s="358">
        <f>DATEDIF(J91,K91,"D")</f>
        <v>7</v>
      </c>
      <c r="L92" s="359">
        <v>43206</v>
      </c>
      <c r="M92" s="360">
        <f>DATEDIF(K91,L92,"D")</f>
        <v>54</v>
      </c>
      <c r="N92" s="351">
        <f ca="1">IFERROR(RANK(M92,INDIRECT(P$16),1),"")</f>
        <v>20</v>
      </c>
      <c r="O92" s="28"/>
      <c r="P92" s="28"/>
      <c r="AR92" s="28"/>
      <c r="AS92" s="324" t="s">
        <v>3568</v>
      </c>
      <c r="AT92" s="319"/>
      <c r="AU92" s="320"/>
      <c r="AV92" s="320"/>
      <c r="AW92" s="320">
        <v>4</v>
      </c>
      <c r="AX92" s="320"/>
      <c r="AY92" s="320"/>
      <c r="AZ92" s="320"/>
      <c r="BA92" s="320"/>
      <c r="BB92" s="322"/>
      <c r="BC92" s="317">
        <v>7</v>
      </c>
      <c r="BD92" s="318">
        <v>43.1</v>
      </c>
      <c r="BE92" s="28"/>
    </row>
    <row r="93" spans="1:57">
      <c r="A93" s="28"/>
      <c r="B93" s="345">
        <v>42</v>
      </c>
      <c r="C93" s="350">
        <v>11</v>
      </c>
      <c r="D93" s="350">
        <v>49</v>
      </c>
      <c r="E93" s="353">
        <v>19</v>
      </c>
      <c r="F93" s="373" t="s">
        <v>2184</v>
      </c>
      <c r="G93" s="369">
        <v>0.41</v>
      </c>
      <c r="H93" s="356">
        <v>97</v>
      </c>
      <c r="I93" s="356">
        <f ca="1">SUMPRODUCT((INDIRECT(P$13)&lt;&gt;"")*(INDIRECT(P$12)&gt;=H93))</f>
        <v>18</v>
      </c>
      <c r="J93" s="357">
        <v>1</v>
      </c>
      <c r="K93" s="358">
        <f>DATEDIF(J91,K91,"D")</f>
        <v>7</v>
      </c>
      <c r="L93" s="359">
        <v>43179</v>
      </c>
      <c r="M93" s="360">
        <f>DATEDIF(K91,L93,"D")</f>
        <v>27</v>
      </c>
      <c r="N93" s="351">
        <f ca="1">IFERROR(RANK(M93,INDIRECT(P$16),1),"")</f>
        <v>10</v>
      </c>
      <c r="O93" s="28"/>
      <c r="P93" s="28"/>
      <c r="AR93" s="28"/>
      <c r="AS93" s="324" t="s">
        <v>3569</v>
      </c>
      <c r="AT93" s="319"/>
      <c r="AU93" s="320"/>
      <c r="AV93" s="320"/>
      <c r="AW93" s="320"/>
      <c r="AX93" s="320"/>
      <c r="AY93" s="320">
        <v>6</v>
      </c>
      <c r="AZ93" s="320"/>
      <c r="BA93" s="320"/>
      <c r="BB93" s="322"/>
      <c r="BC93" s="317">
        <v>93.7</v>
      </c>
      <c r="BD93" s="318">
        <v>62.9</v>
      </c>
      <c r="BE93" s="28"/>
    </row>
    <row r="94" spans="1:57">
      <c r="A94" s="28"/>
      <c r="B94" s="345">
        <v>41</v>
      </c>
      <c r="C94" s="350">
        <v>11</v>
      </c>
      <c r="D94" s="350">
        <v>163</v>
      </c>
      <c r="E94" s="350"/>
      <c r="F94" s="370" t="s">
        <v>825</v>
      </c>
      <c r="G94" s="384">
        <v>0.18</v>
      </c>
      <c r="H94" s="350">
        <v>44</v>
      </c>
      <c r="I94" s="346"/>
      <c r="J94" s="359"/>
      <c r="K94" s="359"/>
      <c r="L94" s="359"/>
      <c r="M94" s="350"/>
      <c r="N94" s="351"/>
      <c r="O94" s="28"/>
      <c r="P94" s="28"/>
      <c r="AR94" s="28"/>
      <c r="AS94" s="324" t="s">
        <v>3570</v>
      </c>
      <c r="AT94" s="319"/>
      <c r="AU94" s="320"/>
      <c r="AV94" s="320"/>
      <c r="AW94" s="320">
        <v>4</v>
      </c>
      <c r="AX94" s="320"/>
      <c r="AY94" s="320"/>
      <c r="AZ94" s="320"/>
      <c r="BA94" s="320"/>
      <c r="BB94" s="322"/>
      <c r="BC94" s="317">
        <v>21.8</v>
      </c>
      <c r="BD94" s="318">
        <v>35.599999999999994</v>
      </c>
      <c r="BE94" s="28"/>
    </row>
    <row r="95" spans="1:57">
      <c r="A95" s="28"/>
      <c r="B95" s="345">
        <v>40</v>
      </c>
      <c r="C95" s="346">
        <v>10</v>
      </c>
      <c r="D95" s="346"/>
      <c r="E95" s="346"/>
      <c r="F95" s="346" t="s">
        <v>826</v>
      </c>
      <c r="G95" s="362">
        <v>1</v>
      </c>
      <c r="H95" s="348">
        <v>184</v>
      </c>
      <c r="I95" s="346">
        <f ca="1">SUMPRODUCT((INDIRECT(P$11)=D95)*(INDIRECT(P12)&gt;=H95))</f>
        <v>24</v>
      </c>
      <c r="J95" s="349">
        <v>43110</v>
      </c>
      <c r="K95" s="349">
        <v>43116</v>
      </c>
      <c r="L95" s="349"/>
      <c r="M95" s="350"/>
      <c r="N95" s="351"/>
      <c r="O95" s="28"/>
      <c r="P95" s="28"/>
      <c r="AR95" s="28"/>
      <c r="AS95" s="324" t="s">
        <v>3571</v>
      </c>
      <c r="AT95" s="319"/>
      <c r="AU95" s="320"/>
      <c r="AV95" s="320"/>
      <c r="AW95" s="320">
        <v>4</v>
      </c>
      <c r="AX95" s="320"/>
      <c r="AY95" s="320"/>
      <c r="AZ95" s="320"/>
      <c r="BA95" s="320"/>
      <c r="BB95" s="322"/>
      <c r="BC95" s="317">
        <v>21.8</v>
      </c>
      <c r="BD95" s="318">
        <v>35.599999999999994</v>
      </c>
      <c r="BE95" s="28"/>
    </row>
    <row r="96" spans="1:57">
      <c r="A96" s="28"/>
      <c r="B96" s="345">
        <v>39</v>
      </c>
      <c r="C96" s="350">
        <v>10</v>
      </c>
      <c r="D96" s="350">
        <v>47</v>
      </c>
      <c r="E96" s="353">
        <v>18</v>
      </c>
      <c r="F96" s="373" t="s">
        <v>2183</v>
      </c>
      <c r="G96" s="369">
        <v>0.52</v>
      </c>
      <c r="H96" s="356">
        <v>96</v>
      </c>
      <c r="I96" s="356">
        <f ca="1">SUMPRODUCT((INDIRECT(P$13)&lt;&gt;"")*(INDIRECT(P$12)&gt;=H96))</f>
        <v>19</v>
      </c>
      <c r="J96" s="357">
        <v>2</v>
      </c>
      <c r="K96" s="358">
        <f>DATEDIF(J95,K95,"D")</f>
        <v>6</v>
      </c>
      <c r="L96" s="359">
        <v>43167</v>
      </c>
      <c r="M96" s="360">
        <f>DATEDIF(K95,L96,"D")</f>
        <v>51</v>
      </c>
      <c r="N96" s="351">
        <f ca="1">IFERROR(RANK(M96,INDIRECT(P$16),1),"")</f>
        <v>18</v>
      </c>
      <c r="O96" s="28"/>
      <c r="P96" s="28"/>
      <c r="AR96" s="28"/>
      <c r="AS96" s="324" t="s">
        <v>3572</v>
      </c>
      <c r="AT96" s="319"/>
      <c r="AU96" s="320"/>
      <c r="AV96" s="320">
        <v>3</v>
      </c>
      <c r="AW96" s="320"/>
      <c r="AX96" s="320"/>
      <c r="AY96" s="320"/>
      <c r="AZ96" s="320"/>
      <c r="BA96" s="320"/>
      <c r="BB96" s="322"/>
      <c r="BC96" s="317">
        <v>95.1</v>
      </c>
      <c r="BD96" s="318">
        <v>69.099999999999994</v>
      </c>
      <c r="BE96" s="28"/>
    </row>
    <row r="97" spans="1:57">
      <c r="A97" s="28"/>
      <c r="B97" s="345">
        <v>38</v>
      </c>
      <c r="C97" s="350">
        <v>10</v>
      </c>
      <c r="D97" s="350">
        <v>180</v>
      </c>
      <c r="E97" s="350"/>
      <c r="F97" s="370" t="s">
        <v>827</v>
      </c>
      <c r="G97" s="384">
        <v>0.28000000000000003</v>
      </c>
      <c r="H97" s="350">
        <v>52</v>
      </c>
      <c r="I97" s="346"/>
      <c r="J97" s="359"/>
      <c r="K97" s="359"/>
      <c r="L97" s="359"/>
      <c r="M97" s="350"/>
      <c r="N97" s="351"/>
      <c r="O97" s="28"/>
      <c r="P97" s="28"/>
      <c r="AR97" s="28"/>
      <c r="AS97" s="324" t="s">
        <v>3573</v>
      </c>
      <c r="AT97" s="319"/>
      <c r="AU97" s="320"/>
      <c r="AV97" s="320"/>
      <c r="AW97" s="320">
        <v>4</v>
      </c>
      <c r="AX97" s="320"/>
      <c r="AY97" s="320"/>
      <c r="AZ97" s="320"/>
      <c r="BA97" s="320"/>
      <c r="BB97" s="322"/>
      <c r="BC97" s="317">
        <v>25.9</v>
      </c>
      <c r="BD97" s="318">
        <v>45.8</v>
      </c>
      <c r="BE97" s="28"/>
    </row>
    <row r="98" spans="1:57">
      <c r="A98" s="28"/>
      <c r="B98" s="345">
        <v>37</v>
      </c>
      <c r="C98" s="350">
        <v>10</v>
      </c>
      <c r="D98" s="350">
        <v>107</v>
      </c>
      <c r="E98" s="350"/>
      <c r="F98" s="370" t="s">
        <v>828</v>
      </c>
      <c r="G98" s="384">
        <v>0.2</v>
      </c>
      <c r="H98" s="350">
        <v>36</v>
      </c>
      <c r="I98" s="346"/>
      <c r="J98" s="359"/>
      <c r="K98" s="359"/>
      <c r="L98" s="359"/>
      <c r="M98" s="350"/>
      <c r="N98" s="351"/>
      <c r="O98" s="28"/>
      <c r="P98" s="28"/>
      <c r="AR98" s="28"/>
      <c r="AS98" s="324" t="s">
        <v>3574</v>
      </c>
      <c r="AT98" s="319"/>
      <c r="AU98" s="320"/>
      <c r="AV98" s="320"/>
      <c r="AW98" s="320"/>
      <c r="AX98" s="320"/>
      <c r="AY98" s="320"/>
      <c r="AZ98" s="320"/>
      <c r="BA98" s="320"/>
      <c r="BB98" s="322">
        <v>9</v>
      </c>
      <c r="BC98" s="317">
        <v>97.6</v>
      </c>
      <c r="BD98" s="318">
        <v>32.5</v>
      </c>
      <c r="BE98" s="28"/>
    </row>
    <row r="99" spans="1:57">
      <c r="A99" s="28"/>
      <c r="B99" s="345">
        <v>36</v>
      </c>
      <c r="C99" s="346">
        <v>9</v>
      </c>
      <c r="D99" s="346"/>
      <c r="E99" s="346"/>
      <c r="F99" s="346" t="s">
        <v>829</v>
      </c>
      <c r="G99" s="362">
        <v>1</v>
      </c>
      <c r="H99" s="348">
        <v>194</v>
      </c>
      <c r="I99" s="346">
        <f ca="1">SUMPRODUCT((INDIRECT(P$11)=D99)*(INDIRECT(P$12)&gt;=H99))</f>
        <v>22</v>
      </c>
      <c r="J99" s="349">
        <v>43045</v>
      </c>
      <c r="K99" s="349">
        <v>43052</v>
      </c>
      <c r="L99" s="349"/>
      <c r="M99" s="350"/>
      <c r="N99" s="351"/>
      <c r="O99" s="28"/>
      <c r="P99" s="28"/>
      <c r="AR99" s="28"/>
      <c r="AS99" s="324" t="s">
        <v>3575</v>
      </c>
      <c r="AT99" s="319"/>
      <c r="AU99" s="320"/>
      <c r="AV99" s="320"/>
      <c r="AW99" s="320"/>
      <c r="AX99" s="320"/>
      <c r="AY99" s="320"/>
      <c r="AZ99" s="320"/>
      <c r="BA99" s="320"/>
      <c r="BB99" s="322">
        <v>9</v>
      </c>
      <c r="BC99" s="317">
        <v>90.7</v>
      </c>
      <c r="BD99" s="318">
        <v>30.599999999999994</v>
      </c>
      <c r="BE99" s="28"/>
    </row>
    <row r="100" spans="1:57">
      <c r="A100" s="28"/>
      <c r="B100" s="345">
        <v>35</v>
      </c>
      <c r="C100" s="350">
        <v>9</v>
      </c>
      <c r="D100" s="350">
        <v>109</v>
      </c>
      <c r="E100" s="353">
        <v>16</v>
      </c>
      <c r="F100" s="373" t="s">
        <v>2182</v>
      </c>
      <c r="G100" s="369">
        <v>0.46</v>
      </c>
      <c r="H100" s="356">
        <v>90</v>
      </c>
      <c r="I100" s="356">
        <f ca="1">SUMPRODUCT((INDIRECT(P$13)&lt;&gt;"")*(INDIRECT(P$12)&gt;=H100))</f>
        <v>23</v>
      </c>
      <c r="J100" s="357">
        <v>3</v>
      </c>
      <c r="K100" s="358">
        <f>DATEDIF(J99,K99,"D")</f>
        <v>7</v>
      </c>
      <c r="L100" s="359">
        <v>43124</v>
      </c>
      <c r="M100" s="360">
        <f>DATEDIF(K99,L100,"D")</f>
        <v>72</v>
      </c>
      <c r="N100" s="351">
        <f ca="1">IFERROR(RANK(M100,INDIRECT(P$16),1),"")</f>
        <v>29</v>
      </c>
      <c r="O100" s="28"/>
      <c r="P100" s="28"/>
      <c r="AR100" s="28"/>
      <c r="AS100" s="324" t="s">
        <v>3576</v>
      </c>
      <c r="AT100" s="319"/>
      <c r="AU100" s="320"/>
      <c r="AV100" s="320">
        <v>3</v>
      </c>
      <c r="AW100" s="320"/>
      <c r="AX100" s="320"/>
      <c r="AY100" s="320"/>
      <c r="AZ100" s="320"/>
      <c r="BA100" s="320"/>
      <c r="BB100" s="322"/>
      <c r="BC100" s="317">
        <v>94.4</v>
      </c>
      <c r="BD100" s="318">
        <v>74.5</v>
      </c>
      <c r="BE100" s="28"/>
    </row>
    <row r="101" spans="1:57">
      <c r="A101" s="28"/>
      <c r="B101" s="345">
        <v>34</v>
      </c>
      <c r="C101" s="350">
        <v>9</v>
      </c>
      <c r="D101" s="350">
        <v>186</v>
      </c>
      <c r="E101" s="350"/>
      <c r="F101" s="370" t="s">
        <v>830</v>
      </c>
      <c r="G101" s="384">
        <v>0.27</v>
      </c>
      <c r="H101" s="350">
        <v>53</v>
      </c>
      <c r="I101" s="346"/>
      <c r="J101" s="359"/>
      <c r="K101" s="359"/>
      <c r="L101" s="359"/>
      <c r="M101" s="350"/>
      <c r="N101" s="351"/>
      <c r="O101" s="28"/>
      <c r="P101" s="28"/>
      <c r="AR101" s="28"/>
      <c r="AS101" s="324" t="s">
        <v>3577</v>
      </c>
      <c r="AT101" s="319">
        <v>1</v>
      </c>
      <c r="AU101" s="320"/>
      <c r="AV101" s="320"/>
      <c r="AW101" s="320"/>
      <c r="AX101" s="320"/>
      <c r="AY101" s="320"/>
      <c r="AZ101" s="320"/>
      <c r="BA101" s="320"/>
      <c r="BB101" s="322"/>
      <c r="BC101" s="317">
        <v>32.200000000000003</v>
      </c>
      <c r="BD101" s="318">
        <v>74.900000000000006</v>
      </c>
      <c r="BE101" s="28"/>
    </row>
    <row r="102" spans="1:57">
      <c r="A102" s="28"/>
      <c r="B102" s="345">
        <v>33</v>
      </c>
      <c r="C102" s="350">
        <v>9</v>
      </c>
      <c r="D102" s="350">
        <v>180</v>
      </c>
      <c r="E102" s="350"/>
      <c r="F102" s="370" t="s">
        <v>831</v>
      </c>
      <c r="G102" s="384">
        <v>0.27</v>
      </c>
      <c r="H102" s="350">
        <v>51</v>
      </c>
      <c r="I102" s="346"/>
      <c r="J102" s="359"/>
      <c r="K102" s="359"/>
      <c r="L102" s="359"/>
      <c r="M102" s="350"/>
      <c r="N102" s="351"/>
      <c r="O102" s="28"/>
      <c r="P102" s="28"/>
      <c r="AR102" s="28"/>
      <c r="AS102" s="324" t="s">
        <v>3578</v>
      </c>
      <c r="AT102" s="319"/>
      <c r="AU102" s="320"/>
      <c r="AV102" s="320"/>
      <c r="AW102" s="320"/>
      <c r="AX102" s="320"/>
      <c r="AY102" s="320">
        <v>6</v>
      </c>
      <c r="AZ102" s="320"/>
      <c r="BA102" s="320"/>
      <c r="BB102" s="322"/>
      <c r="BC102" s="317">
        <v>73.2</v>
      </c>
      <c r="BD102" s="318">
        <v>65.2</v>
      </c>
      <c r="BE102" s="28"/>
    </row>
    <row r="103" spans="1:57">
      <c r="A103" s="28"/>
      <c r="B103" s="345">
        <v>32</v>
      </c>
      <c r="C103" s="346">
        <v>8</v>
      </c>
      <c r="D103" s="346"/>
      <c r="E103" s="346"/>
      <c r="F103" s="346" t="s">
        <v>832</v>
      </c>
      <c r="G103" s="362">
        <v>1</v>
      </c>
      <c r="H103" s="348">
        <v>200</v>
      </c>
      <c r="I103" s="346">
        <f ca="1">SUMPRODUCT((INDIRECT(P$11)=D103)*(INDIRECT(P$12)&gt;=H103))</f>
        <v>21</v>
      </c>
      <c r="J103" s="349">
        <v>43020</v>
      </c>
      <c r="K103" s="349">
        <v>43030</v>
      </c>
      <c r="L103" s="349"/>
      <c r="M103" s="350"/>
      <c r="N103" s="351"/>
      <c r="O103" s="28"/>
      <c r="P103" s="28"/>
      <c r="AR103" s="28"/>
      <c r="AS103" s="324" t="s">
        <v>3579</v>
      </c>
      <c r="AT103" s="319"/>
      <c r="AU103" s="320"/>
      <c r="AV103" s="320"/>
      <c r="AW103" s="320"/>
      <c r="AX103" s="320"/>
      <c r="AY103" s="320"/>
      <c r="AZ103" s="320">
        <v>7</v>
      </c>
      <c r="BA103" s="320"/>
      <c r="BB103" s="322"/>
      <c r="BC103" s="317">
        <v>31.8</v>
      </c>
      <c r="BD103" s="318">
        <v>28.299999999999997</v>
      </c>
      <c r="BE103" s="28"/>
    </row>
    <row r="104" spans="1:57">
      <c r="A104" s="28"/>
      <c r="B104" s="345">
        <v>31</v>
      </c>
      <c r="C104" s="350">
        <v>8</v>
      </c>
      <c r="D104" s="350">
        <v>106</v>
      </c>
      <c r="E104" s="353">
        <v>13</v>
      </c>
      <c r="F104" s="373" t="s">
        <v>2181</v>
      </c>
      <c r="G104" s="369">
        <v>0.42</v>
      </c>
      <c r="H104" s="356">
        <v>83</v>
      </c>
      <c r="I104" s="356">
        <f ca="1">SUMPRODUCT((INDIRECT(P$13)&lt;&gt;"")*(INDIRECT(P$12)&gt;=H104))</f>
        <v>25</v>
      </c>
      <c r="J104" s="357">
        <v>2</v>
      </c>
      <c r="K104" s="358">
        <f>DATEDIF(J103,K103,"D")</f>
        <v>10</v>
      </c>
      <c r="L104" s="359">
        <v>43066</v>
      </c>
      <c r="M104" s="360">
        <f>DATEDIF(K103,L104,"D")</f>
        <v>36</v>
      </c>
      <c r="N104" s="351">
        <f ca="1">IFERROR(RANK(M104,INDIRECT(P$16),1),"")</f>
        <v>14</v>
      </c>
      <c r="O104" s="28"/>
      <c r="P104" s="28"/>
      <c r="AR104" s="28"/>
      <c r="AS104" s="324" t="s">
        <v>3580</v>
      </c>
      <c r="AT104" s="319"/>
      <c r="AU104" s="320"/>
      <c r="AV104" s="320"/>
      <c r="AW104" s="320"/>
      <c r="AX104" s="320"/>
      <c r="AY104" s="320">
        <v>6</v>
      </c>
      <c r="AZ104" s="320"/>
      <c r="BA104" s="320"/>
      <c r="BB104" s="322"/>
      <c r="BC104" s="317">
        <v>91.2</v>
      </c>
      <c r="BD104" s="318">
        <v>40.9</v>
      </c>
      <c r="BE104" s="28"/>
    </row>
    <row r="105" spans="1:57">
      <c r="A105" s="28"/>
      <c r="B105" s="345">
        <v>30</v>
      </c>
      <c r="C105" s="350">
        <v>8</v>
      </c>
      <c r="D105" s="350">
        <v>74</v>
      </c>
      <c r="E105" s="350"/>
      <c r="F105" s="370" t="s">
        <v>833</v>
      </c>
      <c r="G105" s="384">
        <v>0.36</v>
      </c>
      <c r="H105" s="350">
        <v>72</v>
      </c>
      <c r="I105" s="346"/>
      <c r="J105" s="359"/>
      <c r="K105" s="359"/>
      <c r="L105" s="359"/>
      <c r="M105" s="350"/>
      <c r="N105" s="351"/>
      <c r="O105" s="28"/>
      <c r="P105" s="28"/>
      <c r="AR105" s="28"/>
      <c r="AS105" s="324" t="s">
        <v>3581</v>
      </c>
      <c r="AT105" s="319"/>
      <c r="AU105" s="320"/>
      <c r="AV105" s="320">
        <v>3</v>
      </c>
      <c r="AW105" s="320"/>
      <c r="AX105" s="320"/>
      <c r="AY105" s="320"/>
      <c r="AZ105" s="320"/>
      <c r="BA105" s="320"/>
      <c r="BB105" s="322"/>
      <c r="BC105" s="317">
        <v>98</v>
      </c>
      <c r="BD105" s="318">
        <v>78.099999999999994</v>
      </c>
      <c r="BE105" s="28"/>
    </row>
    <row r="106" spans="1:57">
      <c r="A106" s="28"/>
      <c r="B106" s="345">
        <v>29</v>
      </c>
      <c r="C106" s="350">
        <v>8</v>
      </c>
      <c r="D106" s="350">
        <v>117</v>
      </c>
      <c r="E106" s="350"/>
      <c r="F106" s="370" t="s">
        <v>834</v>
      </c>
      <c r="G106" s="384">
        <v>0.22</v>
      </c>
      <c r="H106" s="350">
        <v>45</v>
      </c>
      <c r="I106" s="346"/>
      <c r="J106" s="359"/>
      <c r="K106" s="359"/>
      <c r="L106" s="359"/>
      <c r="M106" s="350"/>
      <c r="N106" s="351"/>
      <c r="O106" s="28"/>
      <c r="P106" s="28"/>
      <c r="AR106" s="28"/>
      <c r="AS106" s="324" t="s">
        <v>3582</v>
      </c>
      <c r="AT106" s="319"/>
      <c r="AU106" s="320"/>
      <c r="AV106" s="320"/>
      <c r="AW106" s="320"/>
      <c r="AX106" s="320"/>
      <c r="AY106" s="320"/>
      <c r="AZ106" s="320">
        <v>7</v>
      </c>
      <c r="BA106" s="320"/>
      <c r="BB106" s="322"/>
      <c r="BC106" s="317">
        <v>6</v>
      </c>
      <c r="BD106" s="318">
        <v>28.200000000000003</v>
      </c>
      <c r="BE106" s="28"/>
    </row>
    <row r="107" spans="1:57">
      <c r="A107" s="28"/>
      <c r="B107" s="345">
        <v>28</v>
      </c>
      <c r="C107" s="346">
        <v>7</v>
      </c>
      <c r="D107" s="346"/>
      <c r="E107" s="346"/>
      <c r="F107" s="346" t="s">
        <v>835</v>
      </c>
      <c r="G107" s="362">
        <v>1</v>
      </c>
      <c r="H107" s="348">
        <v>189</v>
      </c>
      <c r="I107" s="346">
        <f ca="1">SUMPRODUCT((INDIRECT(P$11)=D107)*(INDIRECT(P$12)&gt;=H107))</f>
        <v>23</v>
      </c>
      <c r="J107" s="349">
        <v>42990</v>
      </c>
      <c r="K107" s="349">
        <v>43002</v>
      </c>
      <c r="L107" s="349"/>
      <c r="M107" s="350"/>
      <c r="N107" s="351"/>
      <c r="O107" s="28"/>
      <c r="P107" s="28"/>
      <c r="AR107" s="28"/>
      <c r="AS107" s="324" t="s">
        <v>3583</v>
      </c>
      <c r="AT107" s="319"/>
      <c r="AU107" s="320"/>
      <c r="AV107" s="320"/>
      <c r="AW107" s="320"/>
      <c r="AX107" s="320"/>
      <c r="AY107" s="320"/>
      <c r="AZ107" s="320">
        <v>7</v>
      </c>
      <c r="BA107" s="320"/>
      <c r="BB107" s="322"/>
      <c r="BC107" s="317">
        <v>6</v>
      </c>
      <c r="BD107" s="318">
        <v>28.200000000000003</v>
      </c>
      <c r="BE107" s="28"/>
    </row>
    <row r="108" spans="1:57">
      <c r="A108" s="28"/>
      <c r="B108" s="345">
        <v>27</v>
      </c>
      <c r="C108" s="350">
        <v>7</v>
      </c>
      <c r="D108" s="350">
        <v>108</v>
      </c>
      <c r="E108" s="353">
        <v>11</v>
      </c>
      <c r="F108" s="373" t="s">
        <v>2180</v>
      </c>
      <c r="G108" s="369">
        <v>0.43</v>
      </c>
      <c r="H108" s="356">
        <v>82</v>
      </c>
      <c r="I108" s="356">
        <f ca="1">SUMPRODUCT((INDIRECT(P$13)&lt;&gt;"")*(INDIRECT(P$12)&gt;=H108))</f>
        <v>26</v>
      </c>
      <c r="J108" s="357">
        <v>1</v>
      </c>
      <c r="K108" s="358">
        <f>DATEDIF(J107,K107,"D")</f>
        <v>12</v>
      </c>
      <c r="L108" s="359">
        <v>43032</v>
      </c>
      <c r="M108" s="360">
        <f>DATEDIF(K107,L108,"D")</f>
        <v>30</v>
      </c>
      <c r="N108" s="351">
        <f ca="1">IFERROR(RANK(M108,INDIRECT(P$16),1),"")</f>
        <v>12</v>
      </c>
      <c r="O108" s="28"/>
      <c r="P108" s="28"/>
      <c r="AR108" s="28"/>
      <c r="AS108" s="324" t="s">
        <v>3584</v>
      </c>
      <c r="AT108" s="319"/>
      <c r="AU108" s="320"/>
      <c r="AV108" s="320"/>
      <c r="AW108" s="320"/>
      <c r="AX108" s="320"/>
      <c r="AY108" s="320"/>
      <c r="AZ108" s="320"/>
      <c r="BA108" s="320">
        <v>8</v>
      </c>
      <c r="BB108" s="322"/>
      <c r="BC108" s="317">
        <v>41.1</v>
      </c>
      <c r="BD108" s="318">
        <v>1.4</v>
      </c>
      <c r="BE108" s="28"/>
    </row>
    <row r="109" spans="1:57">
      <c r="A109" s="28"/>
      <c r="B109" s="345">
        <v>26</v>
      </c>
      <c r="C109" s="350">
        <v>7</v>
      </c>
      <c r="D109" s="350">
        <v>87</v>
      </c>
      <c r="E109" s="350"/>
      <c r="F109" s="370" t="s">
        <v>836</v>
      </c>
      <c r="G109" s="384">
        <v>0.43</v>
      </c>
      <c r="H109" s="350">
        <v>81</v>
      </c>
      <c r="I109" s="346"/>
      <c r="J109" s="359"/>
      <c r="K109" s="359"/>
      <c r="L109" s="359"/>
      <c r="M109" s="350"/>
      <c r="N109" s="351"/>
      <c r="O109" s="28"/>
      <c r="P109" s="28"/>
      <c r="AR109" s="28"/>
      <c r="AS109" s="324" t="s">
        <v>3585</v>
      </c>
      <c r="AT109" s="319"/>
      <c r="AU109" s="320">
        <v>2</v>
      </c>
      <c r="AV109" s="320"/>
      <c r="AW109" s="320"/>
      <c r="AX109" s="320"/>
      <c r="AY109" s="320"/>
      <c r="AZ109" s="320"/>
      <c r="BA109" s="320"/>
      <c r="BB109" s="322"/>
      <c r="BC109" s="317">
        <v>40.200000000000003</v>
      </c>
      <c r="BD109" s="318">
        <v>73.2</v>
      </c>
      <c r="BE109" s="28"/>
    </row>
    <row r="110" spans="1:57">
      <c r="A110" s="28"/>
      <c r="B110" s="345">
        <v>25</v>
      </c>
      <c r="C110" s="350">
        <v>7</v>
      </c>
      <c r="D110" s="350">
        <v>174</v>
      </c>
      <c r="E110" s="350"/>
      <c r="F110" s="370" t="s">
        <v>837</v>
      </c>
      <c r="G110" s="384">
        <v>0.14000000000000001</v>
      </c>
      <c r="H110" s="350">
        <v>26</v>
      </c>
      <c r="I110" s="346"/>
      <c r="J110" s="359"/>
      <c r="K110" s="359"/>
      <c r="L110" s="359"/>
      <c r="M110" s="350"/>
      <c r="N110" s="351"/>
      <c r="O110" s="28"/>
      <c r="P110" s="28"/>
      <c r="AR110" s="28"/>
      <c r="AS110" s="324" t="s">
        <v>3586</v>
      </c>
      <c r="AT110" s="319"/>
      <c r="AU110" s="320"/>
      <c r="AV110" s="320">
        <v>3</v>
      </c>
      <c r="AW110" s="320"/>
      <c r="AX110" s="320"/>
      <c r="AY110" s="320"/>
      <c r="AZ110" s="320"/>
      <c r="BA110" s="320"/>
      <c r="BB110" s="322"/>
      <c r="BC110" s="317">
        <v>97.7</v>
      </c>
      <c r="BD110" s="318">
        <v>77.7</v>
      </c>
      <c r="BE110" s="28"/>
    </row>
    <row r="111" spans="1:57">
      <c r="A111" s="28"/>
      <c r="B111" s="345">
        <v>24</v>
      </c>
      <c r="C111" s="346">
        <v>6</v>
      </c>
      <c r="D111" s="346"/>
      <c r="E111" s="346"/>
      <c r="F111" s="346" t="s">
        <v>838</v>
      </c>
      <c r="G111" s="362">
        <v>1</v>
      </c>
      <c r="H111" s="348">
        <v>107</v>
      </c>
      <c r="I111" s="346">
        <f ca="1">SUMPRODUCT((INDIRECT(P$11)=D111)*(INDIRECT(P$12)&gt;=H111))</f>
        <v>28</v>
      </c>
      <c r="J111" s="349">
        <v>42971</v>
      </c>
      <c r="K111" s="349">
        <v>42981</v>
      </c>
      <c r="L111" s="349"/>
      <c r="M111" s="350"/>
      <c r="N111" s="351"/>
      <c r="O111" s="28"/>
      <c r="P111" s="28"/>
      <c r="AR111" s="28"/>
      <c r="AS111" s="324" t="s">
        <v>3587</v>
      </c>
      <c r="AT111" s="319"/>
      <c r="AU111" s="320"/>
      <c r="AV111" s="320"/>
      <c r="AW111" s="320"/>
      <c r="AX111" s="320"/>
      <c r="AY111" s="320">
        <v>6</v>
      </c>
      <c r="AZ111" s="320"/>
      <c r="BA111" s="320"/>
      <c r="BB111" s="322"/>
      <c r="BC111" s="317">
        <v>91.4</v>
      </c>
      <c r="BD111" s="318">
        <v>40.700000000000003</v>
      </c>
      <c r="BE111" s="28"/>
    </row>
    <row r="112" spans="1:57">
      <c r="A112" s="28"/>
      <c r="B112" s="345">
        <v>23</v>
      </c>
      <c r="C112" s="350">
        <v>6</v>
      </c>
      <c r="D112" s="350">
        <v>92</v>
      </c>
      <c r="E112" s="353">
        <v>10</v>
      </c>
      <c r="F112" s="373" t="s">
        <v>2179</v>
      </c>
      <c r="G112" s="369">
        <v>0.72</v>
      </c>
      <c r="H112" s="356">
        <v>77</v>
      </c>
      <c r="I112" s="356">
        <f ca="1">SUMPRODUCT((INDIRECT(P$13)&lt;&gt;"")*(INDIRECT(P$12)&gt;=H112))</f>
        <v>27</v>
      </c>
      <c r="J112" s="357">
        <v>1</v>
      </c>
      <c r="K112" s="358">
        <f>DATEDIF(J111,K111,"D")</f>
        <v>10</v>
      </c>
      <c r="L112" s="359">
        <v>43005</v>
      </c>
      <c r="M112" s="360">
        <f>DATEDIF(K111,L112,"D")</f>
        <v>24</v>
      </c>
      <c r="N112" s="351">
        <f ca="1">IFERROR(RANK(M112,INDIRECT(P$16),1),"")</f>
        <v>8</v>
      </c>
      <c r="O112" s="28"/>
      <c r="P112" s="28"/>
      <c r="AR112" s="28"/>
      <c r="AS112" s="324" t="s">
        <v>3588</v>
      </c>
      <c r="AT112" s="319"/>
      <c r="AU112" s="320"/>
      <c r="AV112" s="320"/>
      <c r="AW112" s="320"/>
      <c r="AX112" s="320"/>
      <c r="AY112" s="321" t="s">
        <v>2230</v>
      </c>
      <c r="AZ112" s="320"/>
      <c r="BA112" s="320"/>
      <c r="BB112" s="322"/>
      <c r="BC112" s="317">
        <v>88.3</v>
      </c>
      <c r="BD112" s="318">
        <v>56.1</v>
      </c>
      <c r="BE112" s="28"/>
    </row>
    <row r="113" spans="1:57">
      <c r="A113" s="28"/>
      <c r="B113" s="345">
        <v>22</v>
      </c>
      <c r="C113" s="350">
        <v>6</v>
      </c>
      <c r="D113" s="350">
        <v>92</v>
      </c>
      <c r="E113" s="350"/>
      <c r="F113" s="370" t="s">
        <v>839</v>
      </c>
      <c r="G113" s="384">
        <v>0.15</v>
      </c>
      <c r="H113" s="350">
        <v>16</v>
      </c>
      <c r="I113" s="346"/>
      <c r="J113" s="359"/>
      <c r="K113" s="359"/>
      <c r="L113" s="359"/>
      <c r="M113" s="350"/>
      <c r="N113" s="351"/>
      <c r="O113" s="28"/>
      <c r="P113" s="28"/>
      <c r="AR113" s="28"/>
      <c r="AS113" s="324" t="s">
        <v>3589</v>
      </c>
      <c r="AT113" s="319"/>
      <c r="AU113" s="320"/>
      <c r="AV113" s="320"/>
      <c r="AW113" s="320">
        <v>4</v>
      </c>
      <c r="AX113" s="320"/>
      <c r="AY113" s="320"/>
      <c r="AZ113" s="320"/>
      <c r="BA113" s="320"/>
      <c r="BB113" s="322"/>
      <c r="BC113" s="317">
        <v>6</v>
      </c>
      <c r="BD113" s="318">
        <v>35.599999999999994</v>
      </c>
      <c r="BE113" s="28"/>
    </row>
    <row r="114" spans="1:57">
      <c r="A114" s="28"/>
      <c r="B114" s="345">
        <v>21</v>
      </c>
      <c r="C114" s="350">
        <v>6</v>
      </c>
      <c r="D114" s="350">
        <v>92</v>
      </c>
      <c r="E114" s="350"/>
      <c r="F114" s="370" t="s">
        <v>840</v>
      </c>
      <c r="G114" s="384">
        <v>0.13</v>
      </c>
      <c r="H114" s="350">
        <v>14</v>
      </c>
      <c r="I114" s="346"/>
      <c r="J114" s="359"/>
      <c r="K114" s="359"/>
      <c r="L114" s="359"/>
      <c r="M114" s="350"/>
      <c r="N114" s="351"/>
      <c r="O114" s="28"/>
      <c r="P114" s="28"/>
      <c r="AR114" s="28"/>
      <c r="AS114" s="324" t="s">
        <v>3590</v>
      </c>
      <c r="AT114" s="319"/>
      <c r="AU114" s="320"/>
      <c r="AV114" s="320"/>
      <c r="AW114" s="320">
        <v>4</v>
      </c>
      <c r="AX114" s="320"/>
      <c r="AY114" s="320"/>
      <c r="AZ114" s="320"/>
      <c r="BA114" s="320"/>
      <c r="BB114" s="322"/>
      <c r="BC114" s="317">
        <v>19.5</v>
      </c>
      <c r="BD114" s="318">
        <v>42.7</v>
      </c>
      <c r="BE114" s="28"/>
    </row>
    <row r="115" spans="1:57">
      <c r="A115" s="28"/>
      <c r="B115" s="345">
        <v>20</v>
      </c>
      <c r="C115" s="346">
        <v>5</v>
      </c>
      <c r="D115" s="346"/>
      <c r="E115" s="346"/>
      <c r="F115" s="346" t="s">
        <v>841</v>
      </c>
      <c r="G115" s="362">
        <v>1</v>
      </c>
      <c r="H115" s="348">
        <v>130</v>
      </c>
      <c r="I115" s="346">
        <f ca="1">SUMPRODUCT((INDIRECT(P$11)=D115)*(INDIRECT(P$12)&gt;=H115))</f>
        <v>27</v>
      </c>
      <c r="J115" s="349">
        <v>42953</v>
      </c>
      <c r="K115" s="349">
        <v>42964</v>
      </c>
      <c r="L115" s="349"/>
      <c r="M115" s="350"/>
      <c r="N115" s="351"/>
      <c r="O115" s="28"/>
      <c r="P115" s="28"/>
      <c r="AR115" s="28"/>
      <c r="AS115" s="324" t="s">
        <v>3591</v>
      </c>
      <c r="AT115" s="319"/>
      <c r="AU115" s="320"/>
      <c r="AV115" s="320"/>
      <c r="AW115" s="320">
        <v>4</v>
      </c>
      <c r="AX115" s="320"/>
      <c r="AY115" s="320"/>
      <c r="AZ115" s="320"/>
      <c r="BA115" s="320"/>
      <c r="BB115" s="322"/>
      <c r="BC115" s="317">
        <v>18.899999999999999</v>
      </c>
      <c r="BD115" s="318">
        <v>64</v>
      </c>
      <c r="BE115" s="28"/>
    </row>
    <row r="116" spans="1:57">
      <c r="A116" s="28"/>
      <c r="B116" s="345">
        <v>19</v>
      </c>
      <c r="C116" s="350">
        <v>5</v>
      </c>
      <c r="D116" s="350">
        <v>68</v>
      </c>
      <c r="E116" s="353">
        <v>9</v>
      </c>
      <c r="F116" s="373" t="s">
        <v>2178</v>
      </c>
      <c r="G116" s="369">
        <v>0.57999999999999996</v>
      </c>
      <c r="H116" s="356">
        <v>76</v>
      </c>
      <c r="I116" s="356">
        <f ca="1">SUMPRODUCT((INDIRECT(P$13)&lt;&gt;"")*(INDIRECT(P$12)&gt;=H116))</f>
        <v>28</v>
      </c>
      <c r="J116" s="357">
        <v>1</v>
      </c>
      <c r="K116" s="358">
        <f>DATEDIF(J115,K115,"D")</f>
        <v>11</v>
      </c>
      <c r="L116" s="359">
        <v>42983</v>
      </c>
      <c r="M116" s="360">
        <f>DATEDIF(K115,L116,"D")</f>
        <v>19</v>
      </c>
      <c r="N116" s="351">
        <f ca="1">IFERROR(RANK(M116,INDIRECT(P$16),1),"")</f>
        <v>3</v>
      </c>
      <c r="O116" s="28"/>
      <c r="P116" s="28"/>
      <c r="AR116" s="28"/>
      <c r="AS116" s="324" t="s">
        <v>3592</v>
      </c>
      <c r="AT116" s="319"/>
      <c r="AU116" s="320"/>
      <c r="AV116" s="320"/>
      <c r="AW116" s="320"/>
      <c r="AX116" s="320">
        <v>5</v>
      </c>
      <c r="AY116" s="320"/>
      <c r="AZ116" s="320"/>
      <c r="BA116" s="320"/>
      <c r="BB116" s="322"/>
      <c r="BC116" s="317">
        <v>55.1</v>
      </c>
      <c r="BD116" s="318">
        <v>54.3</v>
      </c>
      <c r="BE116" s="28"/>
    </row>
    <row r="117" spans="1:57">
      <c r="A117" s="28"/>
      <c r="B117" s="345">
        <v>18</v>
      </c>
      <c r="C117" s="350">
        <v>5</v>
      </c>
      <c r="D117" s="350">
        <v>124</v>
      </c>
      <c r="E117" s="350"/>
      <c r="F117" s="370" t="s">
        <v>842</v>
      </c>
      <c r="G117" s="384">
        <v>0.28000000000000003</v>
      </c>
      <c r="H117" s="350">
        <v>36</v>
      </c>
      <c r="I117" s="346"/>
      <c r="J117" s="359"/>
      <c r="K117" s="359"/>
      <c r="L117" s="359"/>
      <c r="M117" s="350"/>
      <c r="N117" s="351"/>
      <c r="O117" s="28"/>
      <c r="P117" s="28"/>
      <c r="AR117" s="28"/>
      <c r="AS117" s="324" t="s">
        <v>3593</v>
      </c>
      <c r="AT117" s="319"/>
      <c r="AU117" s="320"/>
      <c r="AV117" s="320"/>
      <c r="AW117" s="320"/>
      <c r="AX117" s="320"/>
      <c r="AY117" s="320">
        <v>6</v>
      </c>
      <c r="AZ117" s="320"/>
      <c r="BA117" s="320"/>
      <c r="BB117" s="322"/>
      <c r="BC117" s="317">
        <v>91.3</v>
      </c>
      <c r="BD117" s="318">
        <v>40.700000000000003</v>
      </c>
      <c r="BE117" s="28"/>
    </row>
    <row r="118" spans="1:57">
      <c r="A118" s="28"/>
      <c r="B118" s="345">
        <v>17</v>
      </c>
      <c r="C118" s="350">
        <v>5</v>
      </c>
      <c r="D118" s="350">
        <v>153</v>
      </c>
      <c r="E118" s="350"/>
      <c r="F118" s="370" t="s">
        <v>843</v>
      </c>
      <c r="G118" s="384">
        <v>0.14000000000000001</v>
      </c>
      <c r="H118" s="350">
        <v>18</v>
      </c>
      <c r="I118" s="346"/>
      <c r="J118" s="359"/>
      <c r="K118" s="359"/>
      <c r="L118" s="359"/>
      <c r="M118" s="350"/>
      <c r="N118" s="351"/>
      <c r="O118" s="28"/>
      <c r="P118" s="28"/>
      <c r="AR118" s="28"/>
      <c r="AS118" s="324" t="s">
        <v>3594</v>
      </c>
      <c r="AT118" s="319"/>
      <c r="AU118" s="320"/>
      <c r="AV118" s="320">
        <v>3</v>
      </c>
      <c r="AW118" s="320"/>
      <c r="AX118" s="320"/>
      <c r="AY118" s="320"/>
      <c r="AZ118" s="320"/>
      <c r="BA118" s="320"/>
      <c r="BB118" s="322"/>
      <c r="BC118" s="317">
        <v>80.400000000000006</v>
      </c>
      <c r="BD118" s="318">
        <v>98.6</v>
      </c>
      <c r="BE118" s="28"/>
    </row>
    <row r="119" spans="1:57">
      <c r="A119" s="28"/>
      <c r="B119" s="345">
        <v>16</v>
      </c>
      <c r="C119" s="346">
        <v>4</v>
      </c>
      <c r="D119" s="346"/>
      <c r="E119" s="346"/>
      <c r="F119" s="346" t="s">
        <v>844</v>
      </c>
      <c r="G119" s="362">
        <v>1</v>
      </c>
      <c r="H119" s="348">
        <v>90</v>
      </c>
      <c r="I119" s="346">
        <f ca="1">SUMPRODUCT((INDIRECT(P$11)=D119)*(INDIRECT(P$12)&gt;=H119))</f>
        <v>30</v>
      </c>
      <c r="J119" s="349">
        <v>42915</v>
      </c>
      <c r="K119" s="349">
        <v>42926</v>
      </c>
      <c r="L119" s="349"/>
      <c r="M119" s="350"/>
      <c r="N119" s="351"/>
      <c r="O119" s="28"/>
      <c r="P119" s="28"/>
      <c r="AR119" s="28"/>
      <c r="AS119" s="324" t="s">
        <v>3595</v>
      </c>
      <c r="AT119" s="319"/>
      <c r="AU119" s="320">
        <v>2</v>
      </c>
      <c r="AV119" s="320"/>
      <c r="AW119" s="320"/>
      <c r="AX119" s="320"/>
      <c r="AY119" s="320"/>
      <c r="AZ119" s="320"/>
      <c r="BA119" s="320"/>
      <c r="BB119" s="322"/>
      <c r="BC119" s="317">
        <v>42.8</v>
      </c>
      <c r="BD119" s="318">
        <v>91.7</v>
      </c>
      <c r="BE119" s="28"/>
    </row>
    <row r="120" spans="1:57">
      <c r="A120" s="28"/>
      <c r="B120" s="345">
        <v>15</v>
      </c>
      <c r="C120" s="350">
        <v>4</v>
      </c>
      <c r="D120" s="350">
        <v>8</v>
      </c>
      <c r="E120" s="353">
        <v>8</v>
      </c>
      <c r="F120" s="373" t="s">
        <v>2177</v>
      </c>
      <c r="G120" s="369">
        <v>0.42</v>
      </c>
      <c r="H120" s="356">
        <v>38</v>
      </c>
      <c r="I120" s="356">
        <f ca="1">SUMPRODUCT((INDIRECT(P$13)&lt;&gt;"")*(INDIRECT(P$12)&gt;=H120))</f>
        <v>31</v>
      </c>
      <c r="J120" s="357">
        <v>1</v>
      </c>
      <c r="K120" s="358">
        <f>DATEDIF(J119,K119,"D")</f>
        <v>11</v>
      </c>
      <c r="L120" s="359">
        <v>42964</v>
      </c>
      <c r="M120" s="360">
        <f>DATEDIF(K119,L120,"D")</f>
        <v>38</v>
      </c>
      <c r="N120" s="351">
        <f ca="1">IFERROR(RANK(M120,INDIRECT(P$16),1),"")</f>
        <v>15</v>
      </c>
      <c r="O120" s="28"/>
      <c r="P120" s="28"/>
      <c r="AR120" s="28"/>
      <c r="AS120" s="324" t="s">
        <v>3596</v>
      </c>
      <c r="AT120" s="319"/>
      <c r="AU120" s="320"/>
      <c r="AV120" s="320"/>
      <c r="AW120" s="320"/>
      <c r="AX120" s="320"/>
      <c r="AY120" s="320">
        <v>6</v>
      </c>
      <c r="AZ120" s="320"/>
      <c r="BA120" s="320"/>
      <c r="BB120" s="322"/>
      <c r="BC120" s="317">
        <v>91.3</v>
      </c>
      <c r="BD120" s="318">
        <v>40.799999999999997</v>
      </c>
      <c r="BE120" s="28"/>
    </row>
    <row r="121" spans="1:57">
      <c r="A121" s="28"/>
      <c r="B121" s="345">
        <v>14</v>
      </c>
      <c r="C121" s="350">
        <v>4</v>
      </c>
      <c r="D121" s="350">
        <v>80</v>
      </c>
      <c r="E121" s="350"/>
      <c r="F121" s="370" t="s">
        <v>845</v>
      </c>
      <c r="G121" s="384">
        <v>0.31</v>
      </c>
      <c r="H121" s="350">
        <v>28</v>
      </c>
      <c r="I121" s="346"/>
      <c r="J121" s="359"/>
      <c r="K121" s="359"/>
      <c r="L121" s="359"/>
      <c r="M121" s="350"/>
      <c r="N121" s="351"/>
      <c r="O121" s="28"/>
      <c r="P121" s="28"/>
      <c r="AR121" s="28"/>
      <c r="AS121" s="324" t="s">
        <v>3597</v>
      </c>
      <c r="AT121" s="319"/>
      <c r="AU121" s="320"/>
      <c r="AV121" s="320"/>
      <c r="AW121" s="320"/>
      <c r="AX121" s="320"/>
      <c r="AY121" s="320">
        <v>6</v>
      </c>
      <c r="AZ121" s="320"/>
      <c r="BA121" s="320"/>
      <c r="BB121" s="322"/>
      <c r="BC121" s="317">
        <v>79.5</v>
      </c>
      <c r="BD121" s="318">
        <v>50.3</v>
      </c>
      <c r="BE121" s="28"/>
    </row>
    <row r="122" spans="1:57">
      <c r="A122" s="28"/>
      <c r="B122" s="345">
        <v>13</v>
      </c>
      <c r="C122" s="350">
        <v>4</v>
      </c>
      <c r="D122" s="350">
        <v>126</v>
      </c>
      <c r="E122" s="350"/>
      <c r="F122" s="370" t="s">
        <v>846</v>
      </c>
      <c r="G122" s="384">
        <v>0.27</v>
      </c>
      <c r="H122" s="350">
        <v>24</v>
      </c>
      <c r="I122" s="346"/>
      <c r="J122" s="359"/>
      <c r="K122" s="359"/>
      <c r="L122" s="359"/>
      <c r="M122" s="350"/>
      <c r="N122" s="351"/>
      <c r="O122" s="28"/>
      <c r="P122" s="28"/>
      <c r="AR122" s="28"/>
      <c r="AS122" s="324" t="s">
        <v>3598</v>
      </c>
      <c r="AT122" s="319"/>
      <c r="AU122" s="320"/>
      <c r="AV122" s="320"/>
      <c r="AW122" s="320"/>
      <c r="AX122" s="320">
        <v>5</v>
      </c>
      <c r="AY122" s="320"/>
      <c r="AZ122" s="320"/>
      <c r="BA122" s="320"/>
      <c r="BB122" s="322"/>
      <c r="BC122" s="317">
        <v>39.200000000000003</v>
      </c>
      <c r="BD122" s="318">
        <v>43</v>
      </c>
      <c r="BE122" s="28"/>
    </row>
    <row r="123" spans="1:57">
      <c r="A123" s="28"/>
      <c r="B123" s="345">
        <v>12</v>
      </c>
      <c r="C123" s="346">
        <v>3</v>
      </c>
      <c r="D123" s="346"/>
      <c r="E123" s="346"/>
      <c r="F123" s="346" t="s">
        <v>847</v>
      </c>
      <c r="G123" s="362">
        <v>1</v>
      </c>
      <c r="H123" s="348">
        <v>94</v>
      </c>
      <c r="I123" s="346">
        <f ca="1">SUMPRODUCT((INDIRECT(P$11)=D123)*(INDIRECT(P$12)&gt;=H123))</f>
        <v>29</v>
      </c>
      <c r="J123" s="349">
        <v>42896</v>
      </c>
      <c r="K123" s="349">
        <v>42906</v>
      </c>
      <c r="L123" s="349"/>
      <c r="M123" s="350"/>
      <c r="N123" s="351"/>
      <c r="O123" s="28"/>
      <c r="P123" s="28"/>
      <c r="AR123" s="28"/>
      <c r="AS123" s="324" t="s">
        <v>3599</v>
      </c>
      <c r="AT123" s="319"/>
      <c r="AU123" s="320"/>
      <c r="AV123" s="320"/>
      <c r="AW123" s="320">
        <v>4</v>
      </c>
      <c r="AX123" s="320"/>
      <c r="AY123" s="320"/>
      <c r="AZ123" s="320"/>
      <c r="BA123" s="320"/>
      <c r="BB123" s="322"/>
      <c r="BC123" s="317">
        <v>1.8</v>
      </c>
      <c r="BD123" s="318">
        <v>55.1</v>
      </c>
      <c r="BE123" s="28"/>
    </row>
    <row r="124" spans="1:57">
      <c r="A124" s="28"/>
      <c r="B124" s="345">
        <v>11</v>
      </c>
      <c r="C124" s="350">
        <v>3</v>
      </c>
      <c r="D124" s="350">
        <v>38</v>
      </c>
      <c r="E124" s="353">
        <v>7</v>
      </c>
      <c r="F124" s="373" t="s">
        <v>2176</v>
      </c>
      <c r="G124" s="369">
        <v>0.46</v>
      </c>
      <c r="H124" s="356">
        <v>43</v>
      </c>
      <c r="I124" s="356">
        <f ca="1">SUMPRODUCT((INDIRECT(P$13)&lt;&gt;"")*(INDIRECT(P$12)&gt;=H124))</f>
        <v>30</v>
      </c>
      <c r="J124" s="357">
        <v>1</v>
      </c>
      <c r="K124" s="358">
        <f>DATEDIF(J123,K123,"D")</f>
        <v>10</v>
      </c>
      <c r="L124" s="359">
        <v>42929</v>
      </c>
      <c r="M124" s="360">
        <f>DATEDIF(K123,L124,"D")</f>
        <v>23</v>
      </c>
      <c r="N124" s="351">
        <f ca="1">IFERROR(RANK(M124,INDIRECT(P$16),1),"")</f>
        <v>7</v>
      </c>
      <c r="O124" s="28"/>
      <c r="P124" s="28"/>
      <c r="AR124" s="28"/>
      <c r="AS124" s="324" t="s">
        <v>3600</v>
      </c>
      <c r="AT124" s="319"/>
      <c r="AU124" s="320"/>
      <c r="AV124" s="320"/>
      <c r="AW124" s="320"/>
      <c r="AX124" s="320"/>
      <c r="AY124" s="320">
        <v>6</v>
      </c>
      <c r="AZ124" s="320"/>
      <c r="BA124" s="320"/>
      <c r="BB124" s="322"/>
      <c r="BC124" s="317">
        <v>85.5</v>
      </c>
      <c r="BD124" s="318">
        <v>59.6</v>
      </c>
      <c r="BE124" s="28"/>
    </row>
    <row r="125" spans="1:57">
      <c r="A125" s="28"/>
      <c r="B125" s="345">
        <v>10</v>
      </c>
      <c r="C125" s="350">
        <v>3</v>
      </c>
      <c r="D125" s="350">
        <v>180</v>
      </c>
      <c r="E125" s="350"/>
      <c r="F125" s="370" t="s">
        <v>848</v>
      </c>
      <c r="G125" s="384">
        <v>0.4</v>
      </c>
      <c r="H125" s="350">
        <v>38</v>
      </c>
      <c r="I125" s="346"/>
      <c r="J125" s="359"/>
      <c r="K125" s="359"/>
      <c r="L125" s="359"/>
      <c r="M125" s="350"/>
      <c r="N125" s="351"/>
      <c r="O125" s="28"/>
      <c r="P125" s="28"/>
      <c r="AR125" s="28"/>
      <c r="AS125" s="324" t="s">
        <v>3601</v>
      </c>
      <c r="AT125" s="319"/>
      <c r="AU125" s="320"/>
      <c r="AV125" s="320"/>
      <c r="AW125" s="320"/>
      <c r="AX125" s="320"/>
      <c r="AY125" s="320">
        <v>6</v>
      </c>
      <c r="AZ125" s="320"/>
      <c r="BA125" s="320"/>
      <c r="BB125" s="322"/>
      <c r="BC125" s="317">
        <v>85.5</v>
      </c>
      <c r="BD125" s="318">
        <v>59.6</v>
      </c>
      <c r="BE125" s="28"/>
    </row>
    <row r="126" spans="1:57">
      <c r="A126" s="28"/>
      <c r="B126" s="345">
        <v>9</v>
      </c>
      <c r="C126" s="350">
        <v>3</v>
      </c>
      <c r="D126" s="350">
        <v>113</v>
      </c>
      <c r="E126" s="350"/>
      <c r="F126" s="370" t="s">
        <v>849</v>
      </c>
      <c r="G126" s="384">
        <v>0.14000000000000001</v>
      </c>
      <c r="H126" s="350">
        <v>13</v>
      </c>
      <c r="I126" s="350"/>
      <c r="J126" s="359"/>
      <c r="K126" s="359"/>
      <c r="L126" s="359"/>
      <c r="M126" s="350"/>
      <c r="N126" s="351"/>
      <c r="O126" s="28"/>
      <c r="P126" s="28"/>
      <c r="AR126" s="28"/>
      <c r="AS126" s="324" t="s">
        <v>3602</v>
      </c>
      <c r="AT126" s="319"/>
      <c r="AU126" s="320"/>
      <c r="AV126" s="320"/>
      <c r="AW126" s="320"/>
      <c r="AX126" s="320">
        <v>5</v>
      </c>
      <c r="AY126" s="320"/>
      <c r="AZ126" s="320"/>
      <c r="BA126" s="320"/>
      <c r="BB126" s="322"/>
      <c r="BC126" s="317">
        <v>46.6</v>
      </c>
      <c r="BD126" s="318">
        <v>65.900000000000006</v>
      </c>
      <c r="BE126" s="28"/>
    </row>
    <row r="127" spans="1:57">
      <c r="A127" s="28"/>
      <c r="B127" s="345">
        <v>8</v>
      </c>
      <c r="C127" s="346">
        <v>2</v>
      </c>
      <c r="D127" s="346"/>
      <c r="E127" s="346"/>
      <c r="F127" s="346" t="s">
        <v>850</v>
      </c>
      <c r="G127" s="362">
        <v>1</v>
      </c>
      <c r="H127" s="348">
        <v>87</v>
      </c>
      <c r="I127" s="346">
        <f ca="1">SUMPRODUCT((INDIRECT(P$11)=D127)*(INDIRECT(P$12)&gt;=H127))</f>
        <v>31</v>
      </c>
      <c r="J127" s="349">
        <v>42870</v>
      </c>
      <c r="K127" s="349">
        <v>42890</v>
      </c>
      <c r="L127" s="349"/>
      <c r="M127" s="350"/>
      <c r="N127" s="351"/>
      <c r="O127" s="28"/>
      <c r="P127" s="28"/>
      <c r="AR127" s="28"/>
      <c r="AS127" s="324" t="s">
        <v>3603</v>
      </c>
      <c r="AT127" s="319"/>
      <c r="AU127" s="320"/>
      <c r="AV127" s="320"/>
      <c r="AW127" s="320">
        <v>4</v>
      </c>
      <c r="AX127" s="320"/>
      <c r="AY127" s="320"/>
      <c r="AZ127" s="320"/>
      <c r="BA127" s="320"/>
      <c r="BB127" s="322"/>
      <c r="BC127" s="317">
        <v>72</v>
      </c>
      <c r="BD127" s="318">
        <v>93.2</v>
      </c>
      <c r="BE127" s="28"/>
    </row>
    <row r="128" spans="1:57">
      <c r="A128" s="28"/>
      <c r="B128" s="345">
        <v>7</v>
      </c>
      <c r="C128" s="350">
        <v>2</v>
      </c>
      <c r="D128" s="350">
        <v>88</v>
      </c>
      <c r="E128" s="353">
        <v>6</v>
      </c>
      <c r="F128" s="373" t="s">
        <v>2175</v>
      </c>
      <c r="G128" s="369">
        <v>0.36</v>
      </c>
      <c r="H128" s="356">
        <v>31</v>
      </c>
      <c r="I128" s="356">
        <f ca="1">SUMPRODUCT((INDIRECT(P$13)&lt;&gt;"")*(INDIRECT(P$12)&gt;=H128))</f>
        <v>33</v>
      </c>
      <c r="J128" s="357">
        <v>1</v>
      </c>
      <c r="K128" s="358">
        <f>DATEDIF(J127,K127,"D")</f>
        <v>20</v>
      </c>
      <c r="L128" s="359">
        <v>42906</v>
      </c>
      <c r="M128" s="360">
        <f>DATEDIF(K127,L128,"D")</f>
        <v>16</v>
      </c>
      <c r="N128" s="351">
        <f ca="1">IFERROR(RANK(M128,INDIRECT(P$16),1),"")</f>
        <v>1</v>
      </c>
      <c r="O128" s="28"/>
      <c r="P128" s="28"/>
      <c r="AR128" s="28"/>
      <c r="AS128" s="324" t="s">
        <v>3604</v>
      </c>
      <c r="AT128" s="319"/>
      <c r="AU128" s="320"/>
      <c r="AV128" s="320"/>
      <c r="AW128" s="320"/>
      <c r="AX128" s="320">
        <v>5</v>
      </c>
      <c r="AY128" s="320"/>
      <c r="AZ128" s="320"/>
      <c r="BA128" s="320"/>
      <c r="BB128" s="322"/>
      <c r="BC128" s="317">
        <v>51.7</v>
      </c>
      <c r="BD128" s="318">
        <v>35.599999999999994</v>
      </c>
      <c r="BE128" s="28"/>
    </row>
    <row r="129" spans="1:57">
      <c r="A129" s="28"/>
      <c r="B129" s="345">
        <v>6</v>
      </c>
      <c r="C129" s="350">
        <v>2</v>
      </c>
      <c r="D129" s="350">
        <v>166</v>
      </c>
      <c r="E129" s="350"/>
      <c r="F129" s="370" t="s">
        <v>851</v>
      </c>
      <c r="G129" s="384">
        <v>0.32</v>
      </c>
      <c r="H129" s="350">
        <v>28</v>
      </c>
      <c r="I129" s="346"/>
      <c r="J129" s="359"/>
      <c r="K129" s="359"/>
      <c r="L129" s="359"/>
      <c r="M129" s="350"/>
      <c r="N129" s="351"/>
      <c r="O129" s="28"/>
      <c r="P129" s="28"/>
      <c r="AR129" s="28"/>
      <c r="AS129" s="324" t="s">
        <v>3605</v>
      </c>
      <c r="AT129" s="319"/>
      <c r="AU129" s="320">
        <v>2</v>
      </c>
      <c r="AV129" s="320">
        <v>3</v>
      </c>
      <c r="AW129" s="320"/>
      <c r="AX129" s="320"/>
      <c r="AY129" s="320"/>
      <c r="AZ129" s="320"/>
      <c r="BA129" s="320"/>
      <c r="BB129" s="322"/>
      <c r="BC129" s="317">
        <v>67.400000000000006</v>
      </c>
      <c r="BD129" s="318">
        <v>80.3</v>
      </c>
      <c r="BE129" s="28"/>
    </row>
    <row r="130" spans="1:57">
      <c r="A130" s="28"/>
      <c r="B130" s="345">
        <v>5</v>
      </c>
      <c r="C130" s="350">
        <v>2</v>
      </c>
      <c r="D130" s="350">
        <v>72</v>
      </c>
      <c r="E130" s="350"/>
      <c r="F130" s="370" t="s">
        <v>852</v>
      </c>
      <c r="G130" s="384">
        <v>0.32</v>
      </c>
      <c r="H130" s="350">
        <v>28</v>
      </c>
      <c r="I130" s="346"/>
      <c r="J130" s="359"/>
      <c r="K130" s="359"/>
      <c r="L130" s="359"/>
      <c r="M130" s="350"/>
      <c r="N130" s="351"/>
      <c r="O130" s="28"/>
      <c r="P130" s="28"/>
      <c r="AR130" s="28"/>
      <c r="AS130" s="324" t="s">
        <v>3606</v>
      </c>
      <c r="AT130" s="319"/>
      <c r="AU130" s="320"/>
      <c r="AV130" s="320"/>
      <c r="AW130" s="320"/>
      <c r="AX130" s="320"/>
      <c r="AY130" s="320">
        <v>6</v>
      </c>
      <c r="AZ130" s="320"/>
      <c r="BA130" s="320"/>
      <c r="BB130" s="322"/>
      <c r="BC130" s="317">
        <v>70.5</v>
      </c>
      <c r="BD130" s="318">
        <v>44.6</v>
      </c>
      <c r="BE130" s="28"/>
    </row>
    <row r="131" spans="1:57">
      <c r="A131" s="28"/>
      <c r="B131" s="345">
        <v>4</v>
      </c>
      <c r="C131" s="346">
        <v>1</v>
      </c>
      <c r="D131" s="346"/>
      <c r="E131" s="346"/>
      <c r="F131" s="346" t="s">
        <v>853</v>
      </c>
      <c r="G131" s="362">
        <v>1</v>
      </c>
      <c r="H131" s="348">
        <v>67</v>
      </c>
      <c r="I131" s="346">
        <f ca="1">SUMPRODUCT((INDIRECT(P$11)=D131)*(INDIRECT(P$12)&gt;=H131))</f>
        <v>32</v>
      </c>
      <c r="J131" s="349">
        <v>42801</v>
      </c>
      <c r="K131" s="375">
        <v>42821</v>
      </c>
      <c r="L131" s="349"/>
      <c r="M131" s="350"/>
      <c r="N131" s="351"/>
      <c r="O131" s="28"/>
      <c r="P131" s="28"/>
      <c r="AR131" s="28"/>
      <c r="AS131" s="324" t="s">
        <v>3607</v>
      </c>
      <c r="AT131" s="319">
        <v>1</v>
      </c>
      <c r="AU131" s="320"/>
      <c r="AV131" s="320"/>
      <c r="AW131" s="320"/>
      <c r="AX131" s="320"/>
      <c r="AY131" s="320"/>
      <c r="AZ131" s="320"/>
      <c r="BA131" s="320"/>
      <c r="BB131" s="322"/>
      <c r="BC131" s="317">
        <v>7.1</v>
      </c>
      <c r="BD131" s="318">
        <v>96.1</v>
      </c>
      <c r="BE131" s="28"/>
    </row>
    <row r="132" spans="1:57">
      <c r="A132" s="28"/>
      <c r="B132" s="345">
        <v>3</v>
      </c>
      <c r="C132" s="350">
        <v>1</v>
      </c>
      <c r="D132" s="350">
        <v>91</v>
      </c>
      <c r="E132" s="353">
        <v>5</v>
      </c>
      <c r="F132" s="373" t="s">
        <v>2174</v>
      </c>
      <c r="G132" s="369">
        <v>0.51</v>
      </c>
      <c r="H132" s="356">
        <v>34</v>
      </c>
      <c r="I132" s="356">
        <f ca="1">SUMPRODUCT((INDIRECT(P$13)&lt;&gt;"")*(INDIRECT(P$12)&gt;=H132))</f>
        <v>32</v>
      </c>
      <c r="J132" s="357">
        <v>5</v>
      </c>
      <c r="K132" s="376">
        <f>DATEDIF(J131,K131,"D")</f>
        <v>20</v>
      </c>
      <c r="L132" s="359">
        <v>42886</v>
      </c>
      <c r="M132" s="377">
        <f>DATEDIF(K131,L132,"D")</f>
        <v>65</v>
      </c>
      <c r="N132" s="351">
        <f ca="1">IFERROR(RANK(M132,INDIRECT(P$16),1),"")</f>
        <v>27</v>
      </c>
      <c r="O132" s="28"/>
      <c r="P132" s="28"/>
      <c r="AR132" s="28"/>
      <c r="AS132" s="324" t="s">
        <v>3608</v>
      </c>
      <c r="AT132" s="319"/>
      <c r="AU132" s="320"/>
      <c r="AV132" s="320"/>
      <c r="AW132" s="320"/>
      <c r="AX132" s="320">
        <v>5</v>
      </c>
      <c r="AY132" s="320"/>
      <c r="AZ132" s="320"/>
      <c r="BA132" s="320"/>
      <c r="BB132" s="322"/>
      <c r="BC132" s="317">
        <v>51.7</v>
      </c>
      <c r="BD132" s="318">
        <v>35.799999999999997</v>
      </c>
      <c r="BE132" s="28"/>
    </row>
    <row r="133" spans="1:57">
      <c r="A133" s="28"/>
      <c r="B133" s="345">
        <v>2</v>
      </c>
      <c r="C133" s="350">
        <v>1</v>
      </c>
      <c r="D133" s="350">
        <v>62</v>
      </c>
      <c r="E133" s="350"/>
      <c r="F133" s="370" t="s">
        <v>854</v>
      </c>
      <c r="G133" s="384">
        <v>0.36</v>
      </c>
      <c r="H133" s="350">
        <v>24</v>
      </c>
      <c r="I133" s="346"/>
      <c r="J133" s="359"/>
      <c r="K133" s="359"/>
      <c r="L133" s="359"/>
      <c r="M133" s="350"/>
      <c r="N133" s="351"/>
      <c r="O133" s="28"/>
      <c r="P133" s="28"/>
      <c r="AR133" s="28"/>
      <c r="AS133" s="324" t="s">
        <v>3609</v>
      </c>
      <c r="AT133" s="319"/>
      <c r="AU133" s="320"/>
      <c r="AV133" s="320"/>
      <c r="AW133" s="320"/>
      <c r="AX133" s="320">
        <v>5</v>
      </c>
      <c r="AY133" s="320">
        <v>6</v>
      </c>
      <c r="AZ133" s="320"/>
      <c r="BA133" s="320"/>
      <c r="BB133" s="322"/>
      <c r="BC133" s="317">
        <v>66.400000000000006</v>
      </c>
      <c r="BD133" s="318">
        <v>63.7</v>
      </c>
      <c r="BE133" s="28"/>
    </row>
    <row r="134" spans="1:57">
      <c r="A134" s="28"/>
      <c r="B134" s="378">
        <v>1</v>
      </c>
      <c r="C134" s="379">
        <v>1</v>
      </c>
      <c r="D134" s="379">
        <v>79</v>
      </c>
      <c r="E134" s="379"/>
      <c r="F134" s="380" t="s">
        <v>855</v>
      </c>
      <c r="G134" s="385">
        <v>0.13</v>
      </c>
      <c r="H134" s="379">
        <v>9</v>
      </c>
      <c r="I134" s="381"/>
      <c r="J134" s="382"/>
      <c r="K134" s="382"/>
      <c r="L134" s="382"/>
      <c r="M134" s="379"/>
      <c r="N134" s="383"/>
      <c r="O134" s="28"/>
      <c r="P134" s="28"/>
      <c r="AR134" s="28"/>
      <c r="AS134" s="324" t="s">
        <v>3610</v>
      </c>
      <c r="AT134" s="319"/>
      <c r="AU134" s="320"/>
      <c r="AV134" s="320"/>
      <c r="AW134" s="320"/>
      <c r="AX134" s="320"/>
      <c r="AY134" s="320">
        <v>6</v>
      </c>
      <c r="AZ134" s="320"/>
      <c r="BA134" s="320"/>
      <c r="BB134" s="322"/>
      <c r="BC134" s="317">
        <v>68.900000000000006</v>
      </c>
      <c r="BD134" s="318">
        <v>43.7</v>
      </c>
      <c r="BE134" s="28"/>
    </row>
    <row r="135" spans="1:57">
      <c r="A135" s="28"/>
      <c r="B135" s="40"/>
      <c r="C135" s="40"/>
      <c r="D135" s="40"/>
      <c r="E135" s="40"/>
      <c r="F135" s="40"/>
      <c r="G135" s="40"/>
      <c r="H135" s="40"/>
      <c r="I135" s="40"/>
      <c r="J135" s="40"/>
      <c r="K135" s="40"/>
      <c r="L135" s="40"/>
      <c r="M135" s="40"/>
      <c r="N135" s="40"/>
      <c r="O135" s="28"/>
      <c r="P135" s="28"/>
      <c r="AR135" s="28"/>
      <c r="AS135" s="324" t="s">
        <v>3611</v>
      </c>
      <c r="AT135" s="319"/>
      <c r="AU135" s="320"/>
      <c r="AV135" s="320"/>
      <c r="AW135" s="320"/>
      <c r="AX135" s="320"/>
      <c r="AY135" s="320">
        <v>6</v>
      </c>
      <c r="AZ135" s="320"/>
      <c r="BA135" s="320"/>
      <c r="BB135" s="322"/>
      <c r="BC135" s="317">
        <v>80.7</v>
      </c>
      <c r="BD135" s="318">
        <v>46.6</v>
      </c>
      <c r="BE135" s="28"/>
    </row>
    <row r="136" spans="1:57">
      <c r="A136" s="28"/>
      <c r="B136" s="28"/>
      <c r="C136" s="28"/>
      <c r="D136" s="28"/>
      <c r="E136" s="28"/>
      <c r="F136" s="28"/>
      <c r="G136" s="28"/>
      <c r="H136" s="28"/>
      <c r="I136" s="28"/>
      <c r="J136" s="28"/>
      <c r="K136" s="28"/>
      <c r="L136" s="28"/>
      <c r="M136" s="28"/>
      <c r="N136" s="28"/>
      <c r="O136" s="28"/>
      <c r="P136" s="28"/>
      <c r="AR136" s="28"/>
      <c r="AS136" s="324" t="s">
        <v>3612</v>
      </c>
      <c r="AT136" s="319"/>
      <c r="AU136" s="320"/>
      <c r="AV136" s="320"/>
      <c r="AW136" s="320"/>
      <c r="AX136" s="320"/>
      <c r="AY136" s="320">
        <v>6</v>
      </c>
      <c r="AZ136" s="320"/>
      <c r="BA136" s="320"/>
      <c r="BB136" s="322"/>
      <c r="BC136" s="317">
        <v>86.4</v>
      </c>
      <c r="BD136" s="318">
        <v>52.8</v>
      </c>
      <c r="BE136" s="28"/>
    </row>
    <row r="137" spans="1:57">
      <c r="AR137" s="28"/>
      <c r="AS137" s="324" t="s">
        <v>3613</v>
      </c>
      <c r="AT137" s="319"/>
      <c r="AU137" s="320"/>
      <c r="AV137" s="320"/>
      <c r="AW137" s="320"/>
      <c r="AX137" s="320"/>
      <c r="AY137" s="320">
        <v>6</v>
      </c>
      <c r="AZ137" s="320"/>
      <c r="BA137" s="320"/>
      <c r="BB137" s="322"/>
      <c r="BC137" s="317">
        <v>69</v>
      </c>
      <c r="BD137" s="318">
        <v>43.9</v>
      </c>
      <c r="BE137" s="28"/>
    </row>
    <row r="138" spans="1:57">
      <c r="AR138" s="28"/>
      <c r="AS138" s="324" t="s">
        <v>3614</v>
      </c>
      <c r="AT138" s="319"/>
      <c r="AU138" s="320"/>
      <c r="AV138" s="320"/>
      <c r="AW138" s="320"/>
      <c r="AX138" s="320">
        <v>5</v>
      </c>
      <c r="AY138" s="320"/>
      <c r="AZ138" s="320"/>
      <c r="BA138" s="320"/>
      <c r="BB138" s="320"/>
      <c r="BC138" s="317">
        <v>49.1</v>
      </c>
      <c r="BD138" s="318">
        <v>54</v>
      </c>
      <c r="BE138" s="28"/>
    </row>
    <row r="139" spans="1:57">
      <c r="AR139" s="28"/>
      <c r="AS139" s="324" t="s">
        <v>3615</v>
      </c>
      <c r="AT139" s="319"/>
      <c r="AU139" s="320"/>
      <c r="AV139" s="320"/>
      <c r="AW139" s="320">
        <v>4</v>
      </c>
      <c r="AX139" s="320"/>
      <c r="AY139" s="320"/>
      <c r="AZ139" s="320">
        <v>7</v>
      </c>
      <c r="BA139" s="320"/>
      <c r="BB139" s="320"/>
      <c r="BC139" s="317">
        <v>12.1</v>
      </c>
      <c r="BD139" s="318">
        <v>32.9</v>
      </c>
      <c r="BE139" s="28"/>
    </row>
    <row r="140" spans="1:57">
      <c r="AR140" s="28"/>
      <c r="AS140" s="324" t="s">
        <v>3616</v>
      </c>
      <c r="AT140" s="319"/>
      <c r="AU140" s="320"/>
      <c r="AV140" s="320"/>
      <c r="AW140" s="320"/>
      <c r="AX140" s="320"/>
      <c r="AY140" s="320"/>
      <c r="AZ140" s="320">
        <v>7</v>
      </c>
      <c r="BA140" s="320"/>
      <c r="BB140" s="320"/>
      <c r="BC140" s="317">
        <v>2.7</v>
      </c>
      <c r="BD140" s="318">
        <v>2.8</v>
      </c>
      <c r="BE140" s="28"/>
    </row>
    <row r="141" spans="1:57">
      <c r="AR141" s="28"/>
      <c r="AS141" s="324" t="s">
        <v>3617</v>
      </c>
      <c r="AT141" s="319"/>
      <c r="AU141" s="320"/>
      <c r="AV141" s="320"/>
      <c r="AW141" s="320"/>
      <c r="AX141" s="320"/>
      <c r="AY141" s="320"/>
      <c r="AZ141" s="320">
        <v>7</v>
      </c>
      <c r="BA141" s="320"/>
      <c r="BB141" s="320"/>
      <c r="BC141" s="317">
        <v>2.1</v>
      </c>
      <c r="BD141" s="318">
        <v>15.9</v>
      </c>
      <c r="BE141" s="28"/>
    </row>
    <row r="142" spans="1:57">
      <c r="AR142" s="28"/>
      <c r="AS142" s="324" t="s">
        <v>3618</v>
      </c>
      <c r="AT142" s="319"/>
      <c r="AU142" s="320"/>
      <c r="AV142" s="320"/>
      <c r="AW142" s="320">
        <v>4</v>
      </c>
      <c r="AX142" s="320"/>
      <c r="AY142" s="320"/>
      <c r="AZ142" s="320"/>
      <c r="BA142" s="320"/>
      <c r="BB142" s="320"/>
      <c r="BC142" s="317">
        <v>23</v>
      </c>
      <c r="BD142" s="318">
        <v>41.3</v>
      </c>
      <c r="BE142" s="28"/>
    </row>
    <row r="143" spans="1:57">
      <c r="AR143" s="28"/>
      <c r="AS143" s="324" t="s">
        <v>3619</v>
      </c>
      <c r="AT143" s="319"/>
      <c r="AU143" s="320"/>
      <c r="AV143" s="320"/>
      <c r="AW143" s="320"/>
      <c r="AX143" s="320"/>
      <c r="AY143" s="320"/>
      <c r="AZ143" s="320"/>
      <c r="BA143" s="320">
        <v>8</v>
      </c>
      <c r="BB143" s="320">
        <v>9</v>
      </c>
      <c r="BC143" s="317">
        <v>67.3</v>
      </c>
      <c r="BD143" s="318">
        <v>32.700000000000003</v>
      </c>
      <c r="BE143" s="28"/>
    </row>
    <row r="144" spans="1:57">
      <c r="AR144" s="28"/>
      <c r="AS144" s="324" t="s">
        <v>3620</v>
      </c>
      <c r="AT144" s="319"/>
      <c r="AU144" s="320"/>
      <c r="AV144" s="320"/>
      <c r="AW144" s="320">
        <v>4</v>
      </c>
      <c r="AX144" s="320"/>
      <c r="AY144" s="320"/>
      <c r="AZ144" s="320"/>
      <c r="BA144" s="320"/>
      <c r="BB144" s="320"/>
      <c r="BC144" s="317">
        <v>12.6</v>
      </c>
      <c r="BD144" s="318">
        <v>62.4</v>
      </c>
      <c r="BE144" s="28"/>
    </row>
    <row r="145" spans="44:57">
      <c r="AR145" s="28"/>
      <c r="AS145" s="324" t="s">
        <v>3621</v>
      </c>
      <c r="AT145" s="319"/>
      <c r="AU145" s="320">
        <v>2</v>
      </c>
      <c r="AV145" s="320"/>
      <c r="AW145" s="320"/>
      <c r="AX145" s="320"/>
      <c r="AY145" s="320"/>
      <c r="AZ145" s="320"/>
      <c r="BA145" s="320"/>
      <c r="BB145" s="320"/>
      <c r="BC145" s="317">
        <v>42.2</v>
      </c>
      <c r="BD145" s="318">
        <v>76.5</v>
      </c>
      <c r="BE145" s="28"/>
    </row>
    <row r="146" spans="44:57">
      <c r="AR146" s="28"/>
      <c r="AS146" s="324" t="s">
        <v>2618</v>
      </c>
      <c r="AT146" s="319"/>
      <c r="AU146" s="320"/>
      <c r="AV146" s="320"/>
      <c r="AW146" s="320">
        <v>4</v>
      </c>
      <c r="AX146" s="320"/>
      <c r="AY146" s="320"/>
      <c r="AZ146" s="320"/>
      <c r="BA146" s="320"/>
      <c r="BB146" s="320"/>
      <c r="BC146" s="317">
        <v>28.6</v>
      </c>
      <c r="BD146" s="318">
        <v>54.2</v>
      </c>
      <c r="BE146" s="28"/>
    </row>
    <row r="147" spans="44:57">
      <c r="AR147" s="28"/>
      <c r="AS147" s="324" t="s">
        <v>2619</v>
      </c>
      <c r="AT147" s="319"/>
      <c r="AU147" s="320"/>
      <c r="AV147" s="320"/>
      <c r="AW147" s="320"/>
      <c r="AX147" s="320"/>
      <c r="AY147" s="320"/>
      <c r="AZ147" s="320"/>
      <c r="BA147" s="320"/>
      <c r="BB147" s="320">
        <v>9</v>
      </c>
      <c r="BC147" s="317">
        <v>98.6</v>
      </c>
      <c r="BD147" s="318">
        <v>32</v>
      </c>
      <c r="BE147" s="28"/>
    </row>
    <row r="148" spans="44:57">
      <c r="AR148" s="28"/>
      <c r="AS148" s="324" t="s">
        <v>2620</v>
      </c>
      <c r="AT148" s="319"/>
      <c r="AU148" s="320"/>
      <c r="AV148" s="320"/>
      <c r="AW148" s="320"/>
      <c r="AX148" s="320">
        <v>5</v>
      </c>
      <c r="AY148" s="320"/>
      <c r="AZ148" s="320"/>
      <c r="BA148" s="320"/>
      <c r="BB148" s="320"/>
      <c r="BC148" s="317">
        <v>57.2</v>
      </c>
      <c r="BD148" s="318">
        <v>38.799999999999997</v>
      </c>
      <c r="BE148" s="28"/>
    </row>
    <row r="149" spans="44:57">
      <c r="AR149" s="28"/>
      <c r="AS149" s="324" t="s">
        <v>2647</v>
      </c>
      <c r="AT149" s="319"/>
      <c r="AU149" s="320"/>
      <c r="AV149" s="320"/>
      <c r="AW149" s="320">
        <v>4</v>
      </c>
      <c r="AX149" s="320"/>
      <c r="AY149" s="320"/>
      <c r="AZ149" s="320"/>
      <c r="BA149" s="320"/>
      <c r="BB149" s="320"/>
      <c r="BC149" s="317">
        <v>21.6</v>
      </c>
      <c r="BD149" s="318">
        <v>50</v>
      </c>
      <c r="BE149" s="28"/>
    </row>
    <row r="150" spans="44:57">
      <c r="AR150" s="28"/>
      <c r="AS150" s="324" t="s">
        <v>2621</v>
      </c>
      <c r="AT150" s="319"/>
      <c r="AU150" s="320"/>
      <c r="AV150" s="320"/>
      <c r="AW150" s="320"/>
      <c r="AX150" s="320"/>
      <c r="AY150" s="320">
        <v>6</v>
      </c>
      <c r="AZ150" s="320"/>
      <c r="BA150" s="320"/>
      <c r="BB150" s="320"/>
      <c r="BC150" s="317">
        <v>84.5</v>
      </c>
      <c r="BD150" s="318">
        <v>59.4</v>
      </c>
      <c r="BE150" s="28"/>
    </row>
    <row r="151" spans="44:57">
      <c r="AR151" s="28"/>
      <c r="AS151" s="324" t="s">
        <v>3461</v>
      </c>
      <c r="AT151" s="319"/>
      <c r="AU151" s="320"/>
      <c r="AV151" s="320"/>
      <c r="AW151" s="320"/>
      <c r="AX151" s="320"/>
      <c r="AY151" s="320">
        <v>6</v>
      </c>
      <c r="AZ151" s="320"/>
      <c r="BA151" s="320"/>
      <c r="BB151" s="320">
        <v>9</v>
      </c>
      <c r="BC151" s="317">
        <v>95.9</v>
      </c>
      <c r="BD151" s="318">
        <v>33.599999999999994</v>
      </c>
      <c r="BE151" s="28"/>
    </row>
    <row r="152" spans="44:57">
      <c r="AR152" s="28"/>
      <c r="AS152" s="324" t="s">
        <v>3462</v>
      </c>
      <c r="AT152" s="319"/>
      <c r="AU152" s="320"/>
      <c r="AV152" s="320"/>
      <c r="AW152" s="320"/>
      <c r="AX152" s="320"/>
      <c r="AY152" s="320"/>
      <c r="AZ152" s="320"/>
      <c r="BA152" s="320"/>
      <c r="BB152" s="322">
        <v>9</v>
      </c>
      <c r="BC152" s="317">
        <v>98.8</v>
      </c>
      <c r="BD152" s="318">
        <v>12.400000000000006</v>
      </c>
      <c r="BE152" s="28"/>
    </row>
    <row r="153" spans="44:57">
      <c r="AR153" s="28"/>
      <c r="AS153" s="324" t="s">
        <v>3463</v>
      </c>
      <c r="AT153" s="319"/>
      <c r="AU153" s="320"/>
      <c r="AV153" s="320"/>
      <c r="AW153" s="320"/>
      <c r="AX153" s="320"/>
      <c r="AY153" s="320">
        <v>6</v>
      </c>
      <c r="AZ153" s="320"/>
      <c r="BA153" s="320"/>
      <c r="BB153" s="322">
        <v>9</v>
      </c>
      <c r="BC153" s="317">
        <v>95.8</v>
      </c>
      <c r="BD153" s="318">
        <v>33.099999999999994</v>
      </c>
      <c r="BE153" s="28"/>
    </row>
    <row r="154" spans="44:57">
      <c r="AR154" s="28"/>
      <c r="AS154" s="324" t="s">
        <v>3479</v>
      </c>
      <c r="AT154" s="325">
        <v>0</v>
      </c>
      <c r="AU154" s="320"/>
      <c r="AV154" s="320"/>
      <c r="AW154" s="320"/>
      <c r="AX154" s="320"/>
      <c r="AY154" s="320"/>
      <c r="AZ154" s="320"/>
      <c r="BA154" s="320"/>
      <c r="BB154" s="322"/>
      <c r="BC154" s="325">
        <v>0</v>
      </c>
      <c r="BD154" s="326">
        <v>0</v>
      </c>
      <c r="BE154" s="28"/>
    </row>
    <row r="155" spans="44:57">
      <c r="AR155" s="28"/>
      <c r="AS155" s="324" t="s">
        <v>3464</v>
      </c>
      <c r="AT155" s="319"/>
      <c r="AU155" s="320"/>
      <c r="AV155" s="320"/>
      <c r="AW155" s="320"/>
      <c r="AX155" s="320"/>
      <c r="AY155" s="320"/>
      <c r="AZ155" s="320">
        <v>7</v>
      </c>
      <c r="BA155" s="320"/>
      <c r="BB155" s="322"/>
      <c r="BC155" s="317">
        <v>2.9</v>
      </c>
      <c r="BD155" s="318">
        <v>26.900000000000006</v>
      </c>
      <c r="BE155" s="28"/>
    </row>
    <row r="156" spans="44:57">
      <c r="AR156" s="28"/>
      <c r="AS156" s="324" t="s">
        <v>3465</v>
      </c>
      <c r="AT156" s="319"/>
      <c r="AU156" s="320"/>
      <c r="AV156" s="320"/>
      <c r="AW156" s="320"/>
      <c r="AX156" s="320"/>
      <c r="AY156" s="320"/>
      <c r="AZ156" s="320"/>
      <c r="BA156" s="320"/>
      <c r="BB156" s="322">
        <v>9</v>
      </c>
      <c r="BC156" s="317">
        <v>80.7</v>
      </c>
      <c r="BD156" s="318">
        <v>30.099999999999994</v>
      </c>
      <c r="BE156" s="28"/>
    </row>
    <row r="157" spans="44:57">
      <c r="AR157" s="28"/>
      <c r="AS157" s="324" t="s">
        <v>3466</v>
      </c>
      <c r="AT157" s="319"/>
      <c r="AU157" s="320">
        <v>2</v>
      </c>
      <c r="AV157" s="320"/>
      <c r="AW157" s="320"/>
      <c r="AX157" s="320"/>
      <c r="AY157" s="320"/>
      <c r="AZ157" s="320"/>
      <c r="BA157" s="320"/>
      <c r="BB157" s="322"/>
      <c r="BC157" s="317">
        <v>60.2</v>
      </c>
      <c r="BD157" s="318">
        <v>98.6</v>
      </c>
      <c r="BE157" s="28"/>
    </row>
    <row r="158" spans="44:57">
      <c r="AR158" s="28"/>
      <c r="AS158" s="324" t="s">
        <v>3467</v>
      </c>
      <c r="AT158" s="319"/>
      <c r="AU158" s="320"/>
      <c r="AV158" s="320"/>
      <c r="AW158" s="320"/>
      <c r="AX158" s="320"/>
      <c r="AY158" s="320">
        <v>6</v>
      </c>
      <c r="AZ158" s="320"/>
      <c r="BA158" s="320"/>
      <c r="BB158" s="322">
        <v>9</v>
      </c>
      <c r="BC158" s="317">
        <v>68</v>
      </c>
      <c r="BD158" s="318">
        <v>33.700000000000003</v>
      </c>
      <c r="BE158" s="28"/>
    </row>
    <row r="159" spans="44:57">
      <c r="AR159" s="28"/>
      <c r="AS159" s="324" t="s">
        <v>3480</v>
      </c>
      <c r="AT159" s="319"/>
      <c r="AU159" s="320"/>
      <c r="AV159" s="320"/>
      <c r="AW159" s="320"/>
      <c r="AX159" s="320"/>
      <c r="AY159" s="320"/>
      <c r="AZ159" s="320"/>
      <c r="BA159" s="320"/>
      <c r="BB159" s="322">
        <v>9</v>
      </c>
      <c r="BC159" s="317">
        <v>80.7</v>
      </c>
      <c r="BD159" s="318">
        <v>30.099999999999994</v>
      </c>
      <c r="BE159" s="28"/>
    </row>
    <row r="160" spans="44:57">
      <c r="AR160" s="28"/>
      <c r="AS160" s="324" t="s">
        <v>3468</v>
      </c>
      <c r="AT160" s="319"/>
      <c r="AU160" s="320"/>
      <c r="AV160" s="320"/>
      <c r="AW160" s="320"/>
      <c r="AX160" s="320">
        <v>5</v>
      </c>
      <c r="AY160" s="320"/>
      <c r="AZ160" s="320"/>
      <c r="BA160" s="320"/>
      <c r="BB160" s="322"/>
      <c r="BC160" s="317">
        <v>60.7</v>
      </c>
      <c r="BD160" s="318">
        <v>62.3</v>
      </c>
      <c r="BE160" s="28"/>
    </row>
    <row r="161" spans="44:57">
      <c r="AR161" s="28"/>
      <c r="AS161" s="324" t="s">
        <v>3469</v>
      </c>
      <c r="AT161" s="319"/>
      <c r="AU161" s="320"/>
      <c r="AV161" s="320"/>
      <c r="AW161" s="320"/>
      <c r="AX161" s="320"/>
      <c r="AY161" s="320">
        <v>6</v>
      </c>
      <c r="AZ161" s="320"/>
      <c r="BA161" s="320"/>
      <c r="BB161" s="322"/>
      <c r="BC161" s="317">
        <v>89</v>
      </c>
      <c r="BD161" s="318">
        <v>54.5</v>
      </c>
      <c r="BE161" s="28"/>
    </row>
    <row r="162" spans="44:57">
      <c r="AR162" s="28"/>
      <c r="AS162" s="324" t="s">
        <v>3470</v>
      </c>
      <c r="AT162" s="319"/>
      <c r="AU162" s="320"/>
      <c r="AV162" s="320"/>
      <c r="AW162" s="320"/>
      <c r="AX162" s="320">
        <v>5</v>
      </c>
      <c r="AY162" s="320"/>
      <c r="AZ162" s="320"/>
      <c r="BA162" s="320"/>
      <c r="BB162" s="322"/>
      <c r="BC162" s="317">
        <v>51.2</v>
      </c>
      <c r="BD162" s="318">
        <v>57.4</v>
      </c>
      <c r="BE162" s="28"/>
    </row>
    <row r="163" spans="44:57">
      <c r="AR163" s="28"/>
      <c r="AS163" s="324" t="s">
        <v>3471</v>
      </c>
      <c r="AT163" s="319"/>
      <c r="AU163" s="320">
        <v>2</v>
      </c>
      <c r="AV163" s="320"/>
      <c r="AW163" s="320"/>
      <c r="AX163" s="320"/>
      <c r="AY163" s="320"/>
      <c r="AZ163" s="320"/>
      <c r="BA163" s="320"/>
      <c r="BB163" s="322"/>
      <c r="BC163" s="317">
        <v>40.200000000000003</v>
      </c>
      <c r="BD163" s="318">
        <v>82.5</v>
      </c>
      <c r="BE163" s="28"/>
    </row>
    <row r="164" spans="44:57">
      <c r="AR164" s="28"/>
      <c r="AS164" s="324" t="s">
        <v>3472</v>
      </c>
      <c r="AT164" s="319"/>
      <c r="AU164" s="320"/>
      <c r="AV164" s="320"/>
      <c r="AW164" s="320">
        <v>4</v>
      </c>
      <c r="AX164" s="320"/>
      <c r="AY164" s="320"/>
      <c r="AZ164" s="320"/>
      <c r="BA164" s="320"/>
      <c r="BB164" s="322"/>
      <c r="BC164" s="317">
        <v>25.1</v>
      </c>
      <c r="BD164" s="318">
        <v>37.799999999999997</v>
      </c>
      <c r="BE164" s="28"/>
    </row>
    <row r="165" spans="44:57">
      <c r="AR165" s="28"/>
      <c r="AS165" s="324" t="s">
        <v>3473</v>
      </c>
      <c r="AT165" s="319"/>
      <c r="AU165" s="320">
        <v>2</v>
      </c>
      <c r="AV165" s="320"/>
      <c r="AW165" s="320"/>
      <c r="AX165" s="320"/>
      <c r="AY165" s="320"/>
      <c r="AZ165" s="320"/>
      <c r="BA165" s="320"/>
      <c r="BB165" s="322"/>
      <c r="BC165" s="317">
        <v>59.2</v>
      </c>
      <c r="BD165" s="318">
        <v>73.900000000000006</v>
      </c>
      <c r="BE165" s="28"/>
    </row>
    <row r="166" spans="44:57">
      <c r="AR166" s="28"/>
      <c r="AS166" s="324" t="s">
        <v>3474</v>
      </c>
      <c r="AT166" s="319"/>
      <c r="AU166" s="320"/>
      <c r="AV166" s="320"/>
      <c r="AW166" s="320"/>
      <c r="AX166" s="320">
        <v>5</v>
      </c>
      <c r="AY166" s="320"/>
      <c r="AZ166" s="320"/>
      <c r="BA166" s="320"/>
      <c r="BB166" s="322"/>
      <c r="BC166" s="317">
        <v>60.5</v>
      </c>
      <c r="BD166" s="318">
        <v>45.8</v>
      </c>
      <c r="BE166" s="28"/>
    </row>
    <row r="167" spans="44:57">
      <c r="AR167" s="28"/>
      <c r="AS167" s="324" t="s">
        <v>3475</v>
      </c>
      <c r="AT167" s="319"/>
      <c r="AU167" s="320">
        <v>2</v>
      </c>
      <c r="AV167" s="320"/>
      <c r="AW167" s="320"/>
      <c r="AX167" s="320"/>
      <c r="AY167" s="320"/>
      <c r="AZ167" s="320"/>
      <c r="BA167" s="320"/>
      <c r="BB167" s="322"/>
      <c r="BC167" s="317">
        <v>52.5</v>
      </c>
      <c r="BD167" s="318">
        <v>98.1</v>
      </c>
      <c r="BE167" s="28"/>
    </row>
    <row r="168" spans="44:57">
      <c r="AR168" s="28"/>
      <c r="AS168" s="324" t="s">
        <v>3476</v>
      </c>
      <c r="AT168" s="319"/>
      <c r="AU168" s="320"/>
      <c r="AV168" s="320"/>
      <c r="AW168" s="320">
        <v>4</v>
      </c>
      <c r="AX168" s="320"/>
      <c r="AY168" s="320"/>
      <c r="AZ168" s="320"/>
      <c r="BA168" s="320"/>
      <c r="BB168" s="322"/>
      <c r="BC168" s="317">
        <v>27.7</v>
      </c>
      <c r="BD168" s="318">
        <v>36.4</v>
      </c>
      <c r="BE168" s="28"/>
    </row>
    <row r="169" spans="44:57">
      <c r="AR169" s="28"/>
      <c r="AS169" s="324" t="s">
        <v>3477</v>
      </c>
      <c r="AT169" s="319"/>
      <c r="AU169" s="320"/>
      <c r="AV169" s="320">
        <v>3</v>
      </c>
      <c r="AW169" s="320"/>
      <c r="AX169" s="320"/>
      <c r="AY169" s="320"/>
      <c r="AZ169" s="320"/>
      <c r="BA169" s="320"/>
      <c r="BB169" s="322"/>
      <c r="BC169" s="317">
        <v>93.8</v>
      </c>
      <c r="BD169" s="318">
        <v>77.7</v>
      </c>
      <c r="BE169" s="28"/>
    </row>
    <row r="170" spans="44:57">
      <c r="AR170" s="28"/>
      <c r="AS170" s="324" t="s">
        <v>3478</v>
      </c>
      <c r="AT170" s="319">
        <v>1</v>
      </c>
      <c r="AU170" s="320"/>
      <c r="AV170" s="320"/>
      <c r="AW170" s="320"/>
      <c r="AX170" s="320"/>
      <c r="AY170" s="320"/>
      <c r="AZ170" s="320"/>
      <c r="BA170" s="320"/>
      <c r="BB170" s="322"/>
      <c r="BC170" s="317">
        <v>22.2</v>
      </c>
      <c r="BD170" s="318">
        <v>95.8</v>
      </c>
      <c r="BE170" s="28"/>
    </row>
    <row r="171" spans="44:57">
      <c r="AR171" s="28"/>
      <c r="AS171" s="324" t="s">
        <v>3481</v>
      </c>
      <c r="AT171" s="325">
        <v>0</v>
      </c>
      <c r="AU171" s="320"/>
      <c r="AV171" s="320"/>
      <c r="AW171" s="320"/>
      <c r="AX171" s="320"/>
      <c r="AY171" s="320"/>
      <c r="AZ171" s="320"/>
      <c r="BA171" s="320"/>
      <c r="BB171" s="322"/>
      <c r="BC171" s="325">
        <v>0</v>
      </c>
      <c r="BD171" s="326">
        <v>0</v>
      </c>
      <c r="BE171" s="28"/>
    </row>
    <row r="172" spans="44:57">
      <c r="AR172" s="28"/>
      <c r="AS172" s="324" t="s">
        <v>2270</v>
      </c>
      <c r="AT172" s="325">
        <v>0</v>
      </c>
      <c r="AU172" s="320"/>
      <c r="AV172" s="320"/>
      <c r="AW172" s="320"/>
      <c r="AX172" s="320"/>
      <c r="AY172" s="320"/>
      <c r="AZ172" s="320"/>
      <c r="BA172" s="320"/>
      <c r="BB172" s="322"/>
      <c r="BC172" s="325">
        <v>0</v>
      </c>
      <c r="BD172" s="326">
        <v>0</v>
      </c>
      <c r="BE172" s="28"/>
    </row>
    <row r="173" spans="44:57">
      <c r="AR173" s="28"/>
      <c r="AS173" s="324" t="s">
        <v>2271</v>
      </c>
      <c r="AT173" s="319"/>
      <c r="AU173" s="320">
        <v>2</v>
      </c>
      <c r="AV173" s="320"/>
      <c r="AW173" s="320"/>
      <c r="AX173" s="320"/>
      <c r="AY173" s="320"/>
      <c r="AZ173" s="320"/>
      <c r="BA173" s="320"/>
      <c r="BB173" s="322"/>
      <c r="BC173" s="317">
        <v>53.6</v>
      </c>
      <c r="BD173" s="318">
        <v>68.599999999999994</v>
      </c>
      <c r="BE173" s="28"/>
    </row>
    <row r="174" spans="44:57">
      <c r="AR174" s="28"/>
      <c r="AS174" s="324" t="s">
        <v>2272</v>
      </c>
      <c r="AT174" s="319"/>
      <c r="AU174" s="320"/>
      <c r="AV174" s="320"/>
      <c r="AW174" s="320"/>
      <c r="AX174" s="320"/>
      <c r="AY174" s="320">
        <v>6</v>
      </c>
      <c r="AZ174" s="320"/>
      <c r="BA174" s="320"/>
      <c r="BB174" s="322"/>
      <c r="BC174" s="317">
        <v>83.6</v>
      </c>
      <c r="BD174" s="318">
        <v>54.5</v>
      </c>
      <c r="BE174" s="28"/>
    </row>
    <row r="175" spans="44:57">
      <c r="AR175" s="28"/>
      <c r="AS175" s="324" t="s">
        <v>2273</v>
      </c>
      <c r="AT175" s="319">
        <v>1</v>
      </c>
      <c r="AU175" s="320"/>
      <c r="AV175" s="320"/>
      <c r="AW175" s="320"/>
      <c r="AX175" s="320"/>
      <c r="AY175" s="320"/>
      <c r="AZ175" s="320"/>
      <c r="BA175" s="320"/>
      <c r="BB175" s="322"/>
      <c r="BC175" s="317">
        <v>18.2</v>
      </c>
      <c r="BD175" s="318">
        <v>84.2</v>
      </c>
      <c r="BE175" s="28"/>
    </row>
    <row r="176" spans="44:57">
      <c r="AR176" s="28"/>
      <c r="AS176" s="324" t="s">
        <v>2274</v>
      </c>
      <c r="AT176" s="319"/>
      <c r="AU176" s="320"/>
      <c r="AV176" s="320"/>
      <c r="AW176" s="320"/>
      <c r="AX176" s="320">
        <v>5</v>
      </c>
      <c r="AY176" s="320"/>
      <c r="AZ176" s="320"/>
      <c r="BA176" s="320"/>
      <c r="BB176" s="322"/>
      <c r="BC176" s="317">
        <v>43.4</v>
      </c>
      <c r="BD176" s="318">
        <v>34.200000000000003</v>
      </c>
      <c r="BE176" s="28"/>
    </row>
    <row r="177" spans="44:57">
      <c r="AR177" s="28"/>
      <c r="AS177" s="324" t="s">
        <v>2275</v>
      </c>
      <c r="AT177" s="319"/>
      <c r="AU177" s="320"/>
      <c r="AV177" s="320"/>
      <c r="AW177" s="320"/>
      <c r="AX177" s="320"/>
      <c r="AY177" s="320"/>
      <c r="AZ177" s="320"/>
      <c r="BA177" s="320"/>
      <c r="BB177" s="322">
        <v>9</v>
      </c>
      <c r="BC177" s="317">
        <v>71.599999999999994</v>
      </c>
      <c r="BD177" s="318">
        <v>30.400000000000006</v>
      </c>
      <c r="BE177" s="28"/>
    </row>
    <row r="178" spans="44:57">
      <c r="AR178" s="28"/>
      <c r="AS178" s="324" t="s">
        <v>2276</v>
      </c>
      <c r="AT178" s="319"/>
      <c r="AU178" s="320"/>
      <c r="AV178" s="320"/>
      <c r="AW178" s="320"/>
      <c r="AX178" s="320"/>
      <c r="AY178" s="320"/>
      <c r="AZ178" s="320"/>
      <c r="BA178" s="320"/>
      <c r="BB178" s="322">
        <v>9</v>
      </c>
      <c r="BC178" s="317">
        <v>98.7</v>
      </c>
      <c r="BD178" s="318">
        <v>8.2000000000000028</v>
      </c>
      <c r="BE178" s="28"/>
    </row>
    <row r="179" spans="44:57">
      <c r="AR179" s="28"/>
      <c r="AS179" s="324" t="s">
        <v>2277</v>
      </c>
      <c r="AT179" s="325">
        <v>0</v>
      </c>
      <c r="AU179" s="320"/>
      <c r="AV179" s="320"/>
      <c r="AW179" s="320"/>
      <c r="AX179" s="320"/>
      <c r="AY179" s="320"/>
      <c r="AZ179" s="320"/>
      <c r="BA179" s="320"/>
      <c r="BB179" s="322"/>
      <c r="BC179" s="325">
        <v>0</v>
      </c>
      <c r="BD179" s="326">
        <v>0</v>
      </c>
      <c r="BE179" s="28"/>
    </row>
    <row r="180" spans="44:57">
      <c r="AR180" s="28"/>
      <c r="AS180" s="324" t="s">
        <v>2278</v>
      </c>
      <c r="AT180" s="319"/>
      <c r="AU180" s="320"/>
      <c r="AV180" s="320"/>
      <c r="AW180" s="320"/>
      <c r="AX180" s="320"/>
      <c r="AY180" s="320"/>
      <c r="AZ180" s="320"/>
      <c r="BA180" s="320"/>
      <c r="BB180" s="322">
        <v>9</v>
      </c>
      <c r="BC180" s="317">
        <v>98</v>
      </c>
      <c r="BD180" s="318">
        <v>13</v>
      </c>
      <c r="BE180" s="28"/>
    </row>
    <row r="181" spans="44:57">
      <c r="AR181" s="28"/>
      <c r="AS181" s="324" t="s">
        <v>2652</v>
      </c>
      <c r="AT181" s="319"/>
      <c r="AU181" s="320"/>
      <c r="AV181" s="320"/>
      <c r="AW181" s="320">
        <v>4</v>
      </c>
      <c r="AX181" s="320"/>
      <c r="AY181" s="320"/>
      <c r="AZ181" s="320"/>
      <c r="BA181" s="320"/>
      <c r="BB181" s="333"/>
      <c r="BC181" s="328">
        <v>20.6</v>
      </c>
      <c r="BD181" s="329">
        <v>34.799999999999997</v>
      </c>
      <c r="BE181" s="28"/>
    </row>
    <row r="182" spans="44:57">
      <c r="AR182" s="28"/>
      <c r="AS182" s="324" t="s">
        <v>2243</v>
      </c>
      <c r="AT182" s="319">
        <v>1</v>
      </c>
      <c r="AU182" s="320"/>
      <c r="AV182" s="320"/>
      <c r="AW182" s="320"/>
      <c r="AX182" s="320"/>
      <c r="AY182" s="320"/>
      <c r="AZ182" s="320"/>
      <c r="BA182" s="320"/>
      <c r="BB182" s="322"/>
      <c r="BC182" s="317">
        <v>4.5999999999999996</v>
      </c>
      <c r="BD182" s="318">
        <v>96.3</v>
      </c>
      <c r="BE182" s="28"/>
    </row>
    <row r="183" spans="44:57">
      <c r="AR183" s="28"/>
      <c r="AS183" s="324" t="s">
        <v>2244</v>
      </c>
      <c r="AT183" s="319"/>
      <c r="AU183" s="320"/>
      <c r="AV183" s="320"/>
      <c r="AW183" s="320"/>
      <c r="AX183" s="320"/>
      <c r="AY183" s="320">
        <v>6</v>
      </c>
      <c r="AZ183" s="320"/>
      <c r="BA183" s="320"/>
      <c r="BB183" s="322"/>
      <c r="BC183" s="317">
        <v>93.7</v>
      </c>
      <c r="BD183" s="318">
        <v>62.8</v>
      </c>
      <c r="BE183" s="28"/>
    </row>
    <row r="184" spans="44:57">
      <c r="AR184" s="28"/>
      <c r="AS184" s="324" t="s">
        <v>2245</v>
      </c>
      <c r="AT184" s="319">
        <v>1</v>
      </c>
      <c r="AU184" s="320"/>
      <c r="AV184" s="320"/>
      <c r="AW184" s="320"/>
      <c r="AX184" s="320"/>
      <c r="AY184" s="320"/>
      <c r="AZ184" s="320"/>
      <c r="BA184" s="320"/>
      <c r="BB184" s="322"/>
      <c r="BC184" s="317">
        <v>4.0999999999999996</v>
      </c>
      <c r="BD184" s="318">
        <v>86.4</v>
      </c>
      <c r="BE184" s="28"/>
    </row>
    <row r="185" spans="44:57">
      <c r="AR185" s="28"/>
      <c r="AS185" s="324" t="s">
        <v>2246</v>
      </c>
      <c r="AT185" s="319">
        <v>1</v>
      </c>
      <c r="AU185" s="320"/>
      <c r="AV185" s="320"/>
      <c r="AW185" s="320">
        <v>4</v>
      </c>
      <c r="AX185" s="320"/>
      <c r="AY185" s="320"/>
      <c r="AZ185" s="320"/>
      <c r="BA185" s="320"/>
      <c r="BB185" s="322"/>
      <c r="BC185" s="317">
        <v>2.5</v>
      </c>
      <c r="BD185" s="318">
        <v>66.400000000000006</v>
      </c>
      <c r="BE185" s="28"/>
    </row>
    <row r="186" spans="44:57">
      <c r="AR186" s="28"/>
      <c r="AS186" s="324" t="s">
        <v>2247</v>
      </c>
      <c r="AT186" s="319"/>
      <c r="AU186" s="320"/>
      <c r="AV186" s="320"/>
      <c r="AW186" s="320"/>
      <c r="AX186" s="320"/>
      <c r="AY186" s="320"/>
      <c r="AZ186" s="320">
        <v>7</v>
      </c>
      <c r="BA186" s="320"/>
      <c r="BB186" s="322"/>
      <c r="BC186" s="317">
        <v>3.7</v>
      </c>
      <c r="BD186" s="318">
        <v>31.700000000000003</v>
      </c>
      <c r="BE186" s="28"/>
    </row>
    <row r="187" spans="44:57">
      <c r="AR187" s="28"/>
      <c r="AS187" s="324" t="s">
        <v>2248</v>
      </c>
      <c r="AT187" s="319"/>
      <c r="AU187" s="320"/>
      <c r="AV187" s="320"/>
      <c r="AW187" s="320"/>
      <c r="AX187" s="320"/>
      <c r="AY187" s="321" t="s">
        <v>2230</v>
      </c>
      <c r="AZ187" s="320"/>
      <c r="BA187" s="320"/>
      <c r="BB187" s="322"/>
      <c r="BC187" s="317">
        <v>82.8</v>
      </c>
      <c r="BD187" s="318">
        <v>61.9</v>
      </c>
      <c r="BE187" s="28"/>
    </row>
    <row r="188" spans="44:57">
      <c r="AR188" s="28"/>
      <c r="AS188" s="324" t="s">
        <v>2249</v>
      </c>
      <c r="AT188" s="319"/>
      <c r="AU188" s="320"/>
      <c r="AV188" s="320"/>
      <c r="AW188" s="320"/>
      <c r="AX188" s="320"/>
      <c r="AY188" s="320"/>
      <c r="AZ188" s="320"/>
      <c r="BA188" s="320"/>
      <c r="BB188" s="322">
        <v>9</v>
      </c>
      <c r="BC188" s="317">
        <v>90.9</v>
      </c>
      <c r="BD188" s="318">
        <v>29.400000000000006</v>
      </c>
      <c r="BE188" s="28"/>
    </row>
    <row r="189" spans="44:57">
      <c r="AR189" s="28"/>
      <c r="AS189" s="324" t="s">
        <v>2253</v>
      </c>
      <c r="AT189" s="319"/>
      <c r="AU189" s="320">
        <v>2</v>
      </c>
      <c r="AV189" s="320"/>
      <c r="AW189" s="320"/>
      <c r="AX189" s="320">
        <v>5</v>
      </c>
      <c r="AY189" s="320"/>
      <c r="AZ189" s="320"/>
      <c r="BA189" s="320"/>
      <c r="BB189" s="322"/>
      <c r="BC189" s="317">
        <v>62.3</v>
      </c>
      <c r="BD189" s="318">
        <v>67.099999999999994</v>
      </c>
      <c r="BE189" s="28"/>
    </row>
    <row r="190" spans="44:57">
      <c r="AR190" s="28"/>
      <c r="AS190" s="324" t="s">
        <v>3448</v>
      </c>
      <c r="AT190" s="319"/>
      <c r="AU190" s="320"/>
      <c r="AV190" s="320"/>
      <c r="AW190" s="320"/>
      <c r="AX190" s="320"/>
      <c r="AY190" s="320">
        <v>6</v>
      </c>
      <c r="AZ190" s="320"/>
      <c r="BA190" s="320"/>
      <c r="BB190" s="322"/>
      <c r="BC190" s="317">
        <v>94.3</v>
      </c>
      <c r="BD190" s="318">
        <v>58</v>
      </c>
      <c r="BE190" s="28"/>
    </row>
    <row r="191" spans="44:57">
      <c r="AR191" s="28"/>
      <c r="AS191" s="324" t="s">
        <v>3449</v>
      </c>
      <c r="AT191" s="319"/>
      <c r="AU191" s="320"/>
      <c r="AV191" s="320"/>
      <c r="AW191" s="320"/>
      <c r="AX191" s="320"/>
      <c r="AY191" s="320"/>
      <c r="AZ191" s="320">
        <v>7</v>
      </c>
      <c r="BA191" s="320"/>
      <c r="BB191" s="322"/>
      <c r="BC191" s="553">
        <v>32.5</v>
      </c>
      <c r="BD191" s="554">
        <v>30.299999999999997</v>
      </c>
      <c r="BE191" s="28"/>
    </row>
    <row r="192" spans="44:57">
      <c r="AR192" s="28"/>
      <c r="AS192" s="324" t="s">
        <v>3450</v>
      </c>
      <c r="AT192" s="319"/>
      <c r="AU192" s="320"/>
      <c r="AV192" s="320"/>
      <c r="AW192" s="320">
        <v>4</v>
      </c>
      <c r="AX192" s="320"/>
      <c r="AY192" s="320"/>
      <c r="AZ192" s="320"/>
      <c r="BA192" s="320"/>
      <c r="BB192" s="322"/>
      <c r="BC192" s="553">
        <v>4.5</v>
      </c>
      <c r="BD192" s="554">
        <v>37.9</v>
      </c>
      <c r="BE192" s="28"/>
    </row>
    <row r="193" spans="44:57">
      <c r="AR193" s="28"/>
      <c r="AS193" s="324" t="s">
        <v>3451</v>
      </c>
      <c r="AT193" s="319"/>
      <c r="AU193" s="320"/>
      <c r="AV193" s="320">
        <v>3</v>
      </c>
      <c r="AW193" s="320"/>
      <c r="AX193" s="320"/>
      <c r="AY193" s="320"/>
      <c r="AZ193" s="320"/>
      <c r="BA193" s="320"/>
      <c r="BB193" s="322"/>
      <c r="BC193" s="553">
        <v>73.400000000000006</v>
      </c>
      <c r="BD193" s="554">
        <v>79.599999999999994</v>
      </c>
      <c r="BE193" s="28"/>
    </row>
    <row r="194" spans="44:57">
      <c r="AR194" s="28"/>
      <c r="AS194" s="324" t="s">
        <v>2315</v>
      </c>
      <c r="AT194" s="319"/>
      <c r="AU194" s="320"/>
      <c r="AV194" s="320"/>
      <c r="AW194" s="320">
        <v>4</v>
      </c>
      <c r="AX194" s="320"/>
      <c r="AY194" s="320"/>
      <c r="AZ194" s="320"/>
      <c r="BA194" s="320"/>
      <c r="BB194" s="322"/>
      <c r="BC194" s="317">
        <v>7.5</v>
      </c>
      <c r="BD194" s="318">
        <v>64.599999999999994</v>
      </c>
      <c r="BE194" s="28"/>
    </row>
    <row r="195" spans="44:57">
      <c r="AR195" s="28"/>
      <c r="AS195" s="88" t="s">
        <v>2316</v>
      </c>
      <c r="AT195" s="319"/>
      <c r="AU195" s="320"/>
      <c r="AV195" s="320"/>
      <c r="AW195" s="320"/>
      <c r="AX195" s="320"/>
      <c r="AY195" s="320">
        <v>6</v>
      </c>
      <c r="AZ195" s="320"/>
      <c r="BA195" s="320"/>
      <c r="BB195" s="320"/>
      <c r="BC195" s="317">
        <v>93.5</v>
      </c>
      <c r="BD195" s="318">
        <v>54.9</v>
      </c>
      <c r="BE195" s="28"/>
    </row>
    <row r="196" spans="44:57">
      <c r="AR196" s="28"/>
      <c r="AS196" s="324" t="s">
        <v>2317</v>
      </c>
      <c r="AT196" s="319"/>
      <c r="AU196" s="320"/>
      <c r="AV196" s="320"/>
      <c r="AW196" s="320"/>
      <c r="AX196" s="320"/>
      <c r="AY196" s="320"/>
      <c r="AZ196" s="320"/>
      <c r="BA196" s="320"/>
      <c r="BB196" s="327" t="s">
        <v>2254</v>
      </c>
      <c r="BC196" s="328">
        <v>88.6</v>
      </c>
      <c r="BD196" s="329">
        <v>18.3</v>
      </c>
      <c r="BE196" s="28"/>
    </row>
    <row r="197" spans="44:57">
      <c r="AR197" s="28"/>
      <c r="AS197" s="88" t="s">
        <v>2318</v>
      </c>
      <c r="AT197" s="319"/>
      <c r="AU197" s="320">
        <v>2</v>
      </c>
      <c r="AV197" s="320"/>
      <c r="AW197" s="320"/>
      <c r="AX197" s="320"/>
      <c r="AY197" s="320"/>
      <c r="AZ197" s="320"/>
      <c r="BA197" s="320"/>
      <c r="BB197" s="320"/>
      <c r="BC197" s="317">
        <v>42.8</v>
      </c>
      <c r="BD197" s="318">
        <v>93.7</v>
      </c>
      <c r="BE197" s="28"/>
    </row>
    <row r="198" spans="44:57">
      <c r="AR198" s="28"/>
      <c r="AS198" s="324" t="s">
        <v>2319</v>
      </c>
      <c r="AT198" s="319"/>
      <c r="AU198" s="320"/>
      <c r="AV198" s="320"/>
      <c r="AW198" s="320"/>
      <c r="AX198" s="320"/>
      <c r="AY198" s="321" t="s">
        <v>2230</v>
      </c>
      <c r="AZ198" s="320"/>
      <c r="BA198" s="320"/>
      <c r="BB198" s="322"/>
      <c r="BC198" s="328">
        <v>88.3</v>
      </c>
      <c r="BD198" s="329">
        <v>56.1</v>
      </c>
      <c r="BE198" s="28"/>
    </row>
    <row r="199" spans="44:57">
      <c r="AR199" s="28"/>
      <c r="AS199" s="324" t="s">
        <v>2320</v>
      </c>
      <c r="AT199" s="319"/>
      <c r="AU199" s="320"/>
      <c r="AV199" s="320">
        <v>3</v>
      </c>
      <c r="AW199" s="320"/>
      <c r="AX199" s="320"/>
      <c r="AY199" s="323"/>
      <c r="AZ199" s="320"/>
      <c r="BA199" s="320"/>
      <c r="BB199" s="322"/>
      <c r="BC199" s="328">
        <v>86.2</v>
      </c>
      <c r="BD199" s="329">
        <v>88.5</v>
      </c>
      <c r="BE199" s="28"/>
    </row>
    <row r="200" spans="44:57">
      <c r="AR200" s="28"/>
      <c r="AS200" s="324" t="s">
        <v>2653</v>
      </c>
      <c r="AT200" s="319"/>
      <c r="AU200" s="320"/>
      <c r="AV200" s="320"/>
      <c r="AW200" s="320">
        <v>4</v>
      </c>
      <c r="AX200" s="320"/>
      <c r="AY200" s="320"/>
      <c r="AZ200" s="320"/>
      <c r="BA200" s="320"/>
      <c r="BB200" s="320"/>
      <c r="BC200" s="328">
        <v>29.6</v>
      </c>
      <c r="BD200" s="329">
        <v>41.4</v>
      </c>
      <c r="BE200" s="28"/>
    </row>
    <row r="201" spans="44:57">
      <c r="AR201" s="28"/>
      <c r="AS201" s="88" t="s">
        <v>2322</v>
      </c>
      <c r="AT201" s="325">
        <v>0</v>
      </c>
      <c r="AU201" s="320"/>
      <c r="AV201" s="320"/>
      <c r="AW201" s="320"/>
      <c r="AX201" s="320"/>
      <c r="AY201" s="320"/>
      <c r="AZ201" s="320"/>
      <c r="BA201" s="320"/>
      <c r="BB201" s="322"/>
      <c r="BC201" s="325">
        <v>0</v>
      </c>
      <c r="BD201" s="326">
        <v>0</v>
      </c>
      <c r="BE201" s="28"/>
    </row>
    <row r="202" spans="44:57">
      <c r="AR202" s="28"/>
      <c r="AS202" s="324" t="s">
        <v>2325</v>
      </c>
      <c r="AT202" s="325">
        <v>0</v>
      </c>
      <c r="AU202" s="320"/>
      <c r="AV202" s="320"/>
      <c r="AW202" s="320"/>
      <c r="AX202" s="320"/>
      <c r="AY202" s="320"/>
      <c r="AZ202" s="320"/>
      <c r="BA202" s="320"/>
      <c r="BB202" s="322"/>
      <c r="BC202" s="325">
        <v>0</v>
      </c>
      <c r="BD202" s="326">
        <v>0</v>
      </c>
      <c r="BE202" s="28"/>
    </row>
    <row r="203" spans="44:57">
      <c r="AR203" s="28"/>
      <c r="AS203" s="324" t="s">
        <v>2326</v>
      </c>
      <c r="AT203" s="319"/>
      <c r="AU203" s="320"/>
      <c r="AV203" s="320"/>
      <c r="AW203" s="320"/>
      <c r="AX203" s="320"/>
      <c r="AY203" s="320"/>
      <c r="AZ203" s="320"/>
      <c r="BA203" s="320">
        <v>8</v>
      </c>
      <c r="BB203" s="322"/>
      <c r="BC203" s="317">
        <v>52.4</v>
      </c>
      <c r="BD203" s="318">
        <v>31.3</v>
      </c>
      <c r="BE203" s="28"/>
    </row>
    <row r="204" spans="44:57">
      <c r="AR204" s="28"/>
      <c r="AS204" s="324" t="s">
        <v>2327</v>
      </c>
      <c r="AT204" s="325">
        <v>0</v>
      </c>
      <c r="AU204" s="320"/>
      <c r="AV204" s="320"/>
      <c r="AW204" s="320"/>
      <c r="AX204" s="320"/>
      <c r="AY204" s="320"/>
      <c r="AZ204" s="320"/>
      <c r="BA204" s="320"/>
      <c r="BB204" s="322"/>
      <c r="BC204" s="325">
        <v>0</v>
      </c>
      <c r="BD204" s="326">
        <v>0</v>
      </c>
      <c r="BE204" s="28"/>
    </row>
    <row r="205" spans="44:57">
      <c r="AR205" s="28"/>
      <c r="AS205" s="324" t="s">
        <v>2279</v>
      </c>
      <c r="AT205" s="319"/>
      <c r="AU205" s="320"/>
      <c r="AV205" s="320"/>
      <c r="AW205" s="320">
        <v>4</v>
      </c>
      <c r="AX205" s="320">
        <v>5</v>
      </c>
      <c r="AY205" s="320"/>
      <c r="AZ205" s="320"/>
      <c r="BA205" s="320"/>
      <c r="BB205" s="322"/>
      <c r="BC205" s="328">
        <v>33.5</v>
      </c>
      <c r="BD205" s="329">
        <v>65.599999999999994</v>
      </c>
      <c r="BE205" s="28"/>
    </row>
    <row r="206" spans="44:57">
      <c r="AR206" s="28"/>
      <c r="AS206" s="324" t="s">
        <v>2280</v>
      </c>
      <c r="AT206" s="319"/>
      <c r="AU206" s="320"/>
      <c r="AV206" s="320"/>
      <c r="AW206" s="320">
        <v>4</v>
      </c>
      <c r="AX206" s="320">
        <v>5</v>
      </c>
      <c r="AY206" s="320"/>
      <c r="AZ206" s="320"/>
      <c r="BA206" s="320"/>
      <c r="BB206" s="322"/>
      <c r="BC206" s="317">
        <v>33.5</v>
      </c>
      <c r="BD206" s="318">
        <v>65.599999999999994</v>
      </c>
      <c r="BE206" s="28"/>
    </row>
    <row r="207" spans="44:57">
      <c r="AR207" s="28"/>
      <c r="AS207" s="324" t="s">
        <v>2323</v>
      </c>
      <c r="AT207" s="319">
        <v>1</v>
      </c>
      <c r="AU207" s="320"/>
      <c r="AV207" s="320"/>
      <c r="AW207" s="320"/>
      <c r="AX207" s="320"/>
      <c r="AY207" s="320"/>
      <c r="AZ207" s="320"/>
      <c r="BA207" s="320"/>
      <c r="BB207" s="320"/>
      <c r="BC207" s="317">
        <v>31.1</v>
      </c>
      <c r="BD207" s="318">
        <v>74.3</v>
      </c>
      <c r="BE207" s="28"/>
    </row>
    <row r="208" spans="44:57">
      <c r="AR208" s="28"/>
      <c r="AS208" s="324" t="s">
        <v>2324</v>
      </c>
      <c r="AT208" s="319">
        <v>1</v>
      </c>
      <c r="AU208" s="320"/>
      <c r="AV208" s="320"/>
      <c r="AW208" s="320"/>
      <c r="AX208" s="320"/>
      <c r="AY208" s="320"/>
      <c r="AZ208" s="320"/>
      <c r="BA208" s="320"/>
      <c r="BB208" s="322"/>
      <c r="BC208" s="328">
        <v>31.1</v>
      </c>
      <c r="BD208" s="329">
        <v>74.3</v>
      </c>
      <c r="BE208" s="28"/>
    </row>
    <row r="209" spans="44:57">
      <c r="AR209" s="28"/>
      <c r="AS209" s="324" t="s">
        <v>2328</v>
      </c>
      <c r="AT209" s="319"/>
      <c r="AU209" s="320"/>
      <c r="AV209" s="320">
        <v>3</v>
      </c>
      <c r="AW209" s="320"/>
      <c r="AX209" s="320"/>
      <c r="AY209" s="320">
        <v>6</v>
      </c>
      <c r="AZ209" s="320"/>
      <c r="BA209" s="320"/>
      <c r="BB209" s="322"/>
      <c r="BC209" s="330">
        <v>95.9</v>
      </c>
      <c r="BD209" s="331">
        <v>66.599999999999994</v>
      </c>
      <c r="BE209" s="28"/>
    </row>
    <row r="210" spans="44:57">
      <c r="AR210" s="28"/>
      <c r="AS210" s="324" t="s">
        <v>2329</v>
      </c>
      <c r="AT210" s="319"/>
      <c r="AU210" s="320"/>
      <c r="AV210" s="320"/>
      <c r="AW210" s="320"/>
      <c r="AX210" s="320"/>
      <c r="AY210" s="320">
        <v>6</v>
      </c>
      <c r="AZ210" s="320"/>
      <c r="BA210" s="320"/>
      <c r="BB210" s="322"/>
      <c r="BC210" s="330">
        <v>89.7</v>
      </c>
      <c r="BD210" s="331">
        <v>42.2</v>
      </c>
      <c r="BE210" s="28"/>
    </row>
    <row r="211" spans="44:57">
      <c r="AR211" s="28"/>
      <c r="AS211" s="332" t="s">
        <v>2330</v>
      </c>
      <c r="AT211" s="319"/>
      <c r="AU211" s="320">
        <v>2</v>
      </c>
      <c r="AV211" s="320"/>
      <c r="AW211" s="320"/>
      <c r="AX211" s="320"/>
      <c r="AY211" s="320"/>
      <c r="AZ211" s="320"/>
      <c r="BA211" s="320"/>
      <c r="BB211" s="322"/>
      <c r="BC211" s="330">
        <v>56.8</v>
      </c>
      <c r="BD211" s="331">
        <v>75.7</v>
      </c>
      <c r="BE211" s="28"/>
    </row>
    <row r="212" spans="44:57">
      <c r="AR212" s="28"/>
      <c r="AS212" s="332" t="s">
        <v>2331</v>
      </c>
      <c r="AT212" s="319"/>
      <c r="AU212" s="320">
        <v>2</v>
      </c>
      <c r="AV212" s="320"/>
      <c r="AW212" s="320"/>
      <c r="AX212" s="320"/>
      <c r="AY212" s="320"/>
      <c r="AZ212" s="320"/>
      <c r="BA212" s="320"/>
      <c r="BB212" s="322"/>
      <c r="BC212" s="330">
        <v>64.5</v>
      </c>
      <c r="BD212" s="331">
        <v>83.3</v>
      </c>
      <c r="BE212" s="28"/>
    </row>
    <row r="213" spans="44:57">
      <c r="AR213" s="28"/>
      <c r="AS213" s="332" t="s">
        <v>2332</v>
      </c>
      <c r="AT213" s="319"/>
      <c r="AU213" s="320"/>
      <c r="AV213" s="320"/>
      <c r="AW213" s="320"/>
      <c r="AX213" s="320"/>
      <c r="AY213" s="320">
        <v>6</v>
      </c>
      <c r="AZ213" s="320"/>
      <c r="BA213" s="320"/>
      <c r="BB213" s="322"/>
      <c r="BC213" s="330">
        <v>89.7</v>
      </c>
      <c r="BD213" s="331">
        <v>42.2</v>
      </c>
      <c r="BE213" s="28"/>
    </row>
    <row r="214" spans="44:57">
      <c r="AR214" s="28"/>
      <c r="AS214" s="332" t="s">
        <v>2333</v>
      </c>
      <c r="AT214" s="319"/>
      <c r="AU214" s="320"/>
      <c r="AV214" s="320"/>
      <c r="AW214" s="320"/>
      <c r="AX214" s="320"/>
      <c r="AY214" s="320">
        <v>6</v>
      </c>
      <c r="AZ214" s="320"/>
      <c r="BA214" s="320"/>
      <c r="BB214" s="322"/>
      <c r="BC214" s="330">
        <v>89.7</v>
      </c>
      <c r="BD214" s="331">
        <v>42.2</v>
      </c>
      <c r="BE214" s="28"/>
    </row>
    <row r="215" spans="44:57">
      <c r="AR215" s="28"/>
      <c r="AS215" s="332" t="s">
        <v>2334</v>
      </c>
      <c r="AT215" s="319"/>
      <c r="AU215" s="320"/>
      <c r="AV215" s="320"/>
      <c r="AW215" s="320"/>
      <c r="AX215" s="320"/>
      <c r="AY215" s="320">
        <v>6</v>
      </c>
      <c r="AZ215" s="320"/>
      <c r="BA215" s="320"/>
      <c r="BB215" s="322"/>
      <c r="BC215" s="330">
        <v>89.7</v>
      </c>
      <c r="BD215" s="331">
        <v>42.2</v>
      </c>
      <c r="BE215" s="28"/>
    </row>
    <row r="216" spans="44:57">
      <c r="AR216" s="28"/>
      <c r="AS216" s="332" t="s">
        <v>2335</v>
      </c>
      <c r="AT216" s="319"/>
      <c r="AU216" s="320"/>
      <c r="AV216" s="320"/>
      <c r="AW216" s="320"/>
      <c r="AX216" s="320"/>
      <c r="AY216" s="320">
        <v>6</v>
      </c>
      <c r="AZ216" s="320"/>
      <c r="BA216" s="320"/>
      <c r="BB216" s="322"/>
      <c r="BC216" s="330">
        <v>89.7</v>
      </c>
      <c r="BD216" s="331">
        <v>42.2</v>
      </c>
      <c r="BE216" s="28"/>
    </row>
    <row r="217" spans="44:57">
      <c r="AR217" s="28"/>
      <c r="AS217" s="332" t="s">
        <v>2336</v>
      </c>
      <c r="AT217" s="319"/>
      <c r="AU217" s="320"/>
      <c r="AV217" s="320"/>
      <c r="AW217" s="320"/>
      <c r="AX217" s="320">
        <v>5</v>
      </c>
      <c r="AY217" s="320"/>
      <c r="AZ217" s="320"/>
      <c r="BA217" s="320"/>
      <c r="BB217" s="322"/>
      <c r="BC217" s="330">
        <v>36.200000000000003</v>
      </c>
      <c r="BD217" s="331">
        <v>37</v>
      </c>
      <c r="BE217" s="28"/>
    </row>
    <row r="218" spans="44:57">
      <c r="AR218" s="28"/>
      <c r="AS218" s="332" t="s">
        <v>2255</v>
      </c>
      <c r="AT218" s="319">
        <v>1</v>
      </c>
      <c r="AU218" s="320"/>
      <c r="AV218" s="320"/>
      <c r="AW218" s="320"/>
      <c r="AX218" s="320"/>
      <c r="AY218" s="320"/>
      <c r="AZ218" s="320"/>
      <c r="BA218" s="320"/>
      <c r="BB218" s="322"/>
      <c r="BC218" s="328">
        <v>29.6</v>
      </c>
      <c r="BD218" s="329">
        <v>67.7</v>
      </c>
      <c r="BE218" s="28"/>
    </row>
    <row r="219" spans="44:57">
      <c r="AR219" s="28"/>
      <c r="AS219" s="324" t="s">
        <v>2256</v>
      </c>
      <c r="AT219" s="319"/>
      <c r="AU219" s="320"/>
      <c r="AV219" s="320"/>
      <c r="AW219" s="320"/>
      <c r="AX219" s="320"/>
      <c r="AY219" s="320">
        <v>6</v>
      </c>
      <c r="AZ219" s="320"/>
      <c r="BA219" s="320"/>
      <c r="BB219" s="322"/>
      <c r="BC219" s="330">
        <v>89.7</v>
      </c>
      <c r="BD219" s="331">
        <v>42.2</v>
      </c>
      <c r="BE219" s="28"/>
    </row>
    <row r="220" spans="44:57">
      <c r="AR220" s="28"/>
      <c r="AS220" s="324" t="s">
        <v>2257</v>
      </c>
      <c r="AT220" s="319"/>
      <c r="AU220" s="320"/>
      <c r="AV220" s="320"/>
      <c r="AW220" s="320"/>
      <c r="AX220" s="320"/>
      <c r="AY220" s="320">
        <v>6</v>
      </c>
      <c r="AZ220" s="320"/>
      <c r="BA220" s="320"/>
      <c r="BB220" s="322"/>
      <c r="BC220" s="330">
        <v>89.7</v>
      </c>
      <c r="BD220" s="331">
        <v>42.2</v>
      </c>
      <c r="BE220" s="28"/>
    </row>
    <row r="221" spans="44:57">
      <c r="AR221" s="28"/>
      <c r="AS221" s="332" t="s">
        <v>2258</v>
      </c>
      <c r="AT221" s="319">
        <v>1</v>
      </c>
      <c r="AU221" s="320"/>
      <c r="AV221" s="320"/>
      <c r="AW221" s="320"/>
      <c r="AX221" s="320"/>
      <c r="AY221" s="320"/>
      <c r="AZ221" s="320"/>
      <c r="BA221" s="320"/>
      <c r="BB221" s="322"/>
      <c r="BC221" s="330">
        <v>11.1</v>
      </c>
      <c r="BD221" s="331">
        <v>71.5</v>
      </c>
      <c r="BE221" s="28"/>
    </row>
    <row r="222" spans="44:57">
      <c r="AR222" s="28"/>
      <c r="AS222" s="332" t="s">
        <v>2259</v>
      </c>
      <c r="AT222" s="319">
        <v>1</v>
      </c>
      <c r="AU222" s="320"/>
      <c r="AV222" s="320"/>
      <c r="AW222" s="320"/>
      <c r="AX222" s="320"/>
      <c r="AY222" s="320"/>
      <c r="AZ222" s="320"/>
      <c r="BA222" s="320"/>
      <c r="BB222" s="322"/>
      <c r="BC222" s="330">
        <v>23.3</v>
      </c>
      <c r="BD222" s="331">
        <v>89.5</v>
      </c>
      <c r="BE222" s="28"/>
    </row>
    <row r="223" spans="44:57">
      <c r="AR223" s="28"/>
      <c r="AS223" s="332" t="s">
        <v>2260</v>
      </c>
      <c r="AT223" s="319"/>
      <c r="AU223" s="320">
        <v>2</v>
      </c>
      <c r="AV223" s="320"/>
      <c r="AW223" s="320"/>
      <c r="AX223" s="320">
        <v>5</v>
      </c>
      <c r="AY223" s="320"/>
      <c r="AZ223" s="320"/>
      <c r="BA223" s="320"/>
      <c r="BB223" s="322"/>
      <c r="BC223" s="330">
        <v>45.7</v>
      </c>
      <c r="BD223" s="331">
        <v>67.099999999999994</v>
      </c>
      <c r="BE223" s="28"/>
    </row>
    <row r="224" spans="44:57">
      <c r="AR224" s="28"/>
      <c r="AS224" s="332" t="s">
        <v>2261</v>
      </c>
      <c r="AT224" s="319"/>
      <c r="AU224" s="320"/>
      <c r="AV224" s="320"/>
      <c r="AW224" s="320"/>
      <c r="AX224" s="320">
        <v>5</v>
      </c>
      <c r="AY224" s="320"/>
      <c r="AZ224" s="320"/>
      <c r="BA224" s="320"/>
      <c r="BB224" s="322"/>
      <c r="BC224" s="330">
        <v>36.200000000000003</v>
      </c>
      <c r="BD224" s="331">
        <v>37</v>
      </c>
      <c r="BE224" s="28"/>
    </row>
    <row r="225" spans="44:57">
      <c r="AR225" s="28"/>
      <c r="AS225" s="332" t="s">
        <v>2262</v>
      </c>
      <c r="AT225" s="319"/>
      <c r="AU225" s="320"/>
      <c r="AV225" s="320"/>
      <c r="AW225" s="320"/>
      <c r="AX225" s="320">
        <v>5</v>
      </c>
      <c r="AY225" s="320"/>
      <c r="AZ225" s="320"/>
      <c r="BA225" s="320"/>
      <c r="BB225" s="322"/>
      <c r="BC225" s="330">
        <v>36.200000000000003</v>
      </c>
      <c r="BD225" s="331">
        <v>37</v>
      </c>
      <c r="BE225" s="28"/>
    </row>
    <row r="226" spans="44:57">
      <c r="AR226" s="28"/>
      <c r="AS226" s="332" t="s">
        <v>2263</v>
      </c>
      <c r="AT226" s="319"/>
      <c r="AU226" s="320">
        <v>2</v>
      </c>
      <c r="AV226" s="320"/>
      <c r="AW226" s="320"/>
      <c r="AX226" s="320"/>
      <c r="AY226" s="320"/>
      <c r="AZ226" s="320"/>
      <c r="BA226" s="320"/>
      <c r="BB226" s="322"/>
      <c r="BC226" s="330">
        <v>47</v>
      </c>
      <c r="BD226" s="331">
        <v>73</v>
      </c>
      <c r="BE226" s="28"/>
    </row>
    <row r="227" spans="44:57">
      <c r="AR227" s="28"/>
      <c r="AS227" s="332" t="s">
        <v>2264</v>
      </c>
      <c r="AT227" s="319"/>
      <c r="AU227" s="320"/>
      <c r="AV227" s="320"/>
      <c r="AW227" s="320"/>
      <c r="AX227" s="320">
        <v>5</v>
      </c>
      <c r="AY227" s="320"/>
      <c r="AZ227" s="320"/>
      <c r="BA227" s="320"/>
      <c r="BB227" s="322"/>
      <c r="BC227" s="330">
        <v>36.200000000000003</v>
      </c>
      <c r="BD227" s="331">
        <v>37</v>
      </c>
      <c r="BE227" s="28"/>
    </row>
    <row r="228" spans="44:57">
      <c r="AR228" s="28"/>
      <c r="AS228" s="332" t="s">
        <v>2265</v>
      </c>
      <c r="AT228" s="319">
        <v>1</v>
      </c>
      <c r="AU228" s="320"/>
      <c r="AV228" s="320"/>
      <c r="AW228" s="320"/>
      <c r="AX228" s="320"/>
      <c r="AY228" s="320"/>
      <c r="AZ228" s="320"/>
      <c r="BA228" s="320"/>
      <c r="BB228" s="322"/>
      <c r="BC228" s="330">
        <v>9.3000000000000007</v>
      </c>
      <c r="BD228" s="331">
        <v>83.9</v>
      </c>
      <c r="BE228" s="28"/>
    </row>
    <row r="229" spans="44:57">
      <c r="AR229" s="28"/>
      <c r="AS229" s="332" t="s">
        <v>2266</v>
      </c>
      <c r="AT229" s="319"/>
      <c r="AU229" s="320"/>
      <c r="AV229" s="320"/>
      <c r="AW229" s="320"/>
      <c r="AX229" s="320">
        <v>5</v>
      </c>
      <c r="AY229" s="320"/>
      <c r="AZ229" s="320"/>
      <c r="BA229" s="320"/>
      <c r="BB229" s="322"/>
      <c r="BC229" s="330">
        <v>36.200000000000003</v>
      </c>
      <c r="BD229" s="331">
        <v>37</v>
      </c>
      <c r="BE229" s="28"/>
    </row>
    <row r="230" spans="44:57">
      <c r="AR230" s="28"/>
      <c r="AS230" s="332" t="s">
        <v>2267</v>
      </c>
      <c r="AT230" s="319"/>
      <c r="AU230" s="320"/>
      <c r="AV230" s="320"/>
      <c r="AW230" s="320"/>
      <c r="AX230" s="320"/>
      <c r="AY230" s="320">
        <v>6</v>
      </c>
      <c r="AZ230" s="320"/>
      <c r="BA230" s="320"/>
      <c r="BB230" s="322"/>
      <c r="BC230" s="330">
        <v>89.7</v>
      </c>
      <c r="BD230" s="331">
        <v>41.5</v>
      </c>
      <c r="BE230" s="28"/>
    </row>
    <row r="231" spans="44:57">
      <c r="AR231" s="28"/>
      <c r="AS231" s="324" t="s">
        <v>2268</v>
      </c>
      <c r="AT231" s="319"/>
      <c r="AU231" s="320"/>
      <c r="AV231" s="320"/>
      <c r="AW231" s="320"/>
      <c r="AX231" s="320"/>
      <c r="AY231" s="320">
        <v>6</v>
      </c>
      <c r="AZ231" s="320"/>
      <c r="BA231" s="320"/>
      <c r="BB231" s="322"/>
      <c r="BC231" s="330">
        <v>89.7</v>
      </c>
      <c r="BD231" s="331">
        <v>42.2</v>
      </c>
      <c r="BE231" s="28"/>
    </row>
    <row r="232" spans="44:57">
      <c r="AR232" s="28"/>
      <c r="AS232" s="324" t="s">
        <v>2269</v>
      </c>
      <c r="AT232" s="319"/>
      <c r="AU232" s="320"/>
      <c r="AV232" s="320"/>
      <c r="AW232" s="320"/>
      <c r="AX232" s="320"/>
      <c r="AY232" s="320">
        <v>6</v>
      </c>
      <c r="AZ232" s="320"/>
      <c r="BA232" s="320"/>
      <c r="BB232" s="322"/>
      <c r="BC232" s="328">
        <v>89.7</v>
      </c>
      <c r="BD232" s="329">
        <v>41.5</v>
      </c>
      <c r="BE232" s="28"/>
    </row>
    <row r="233" spans="44:57">
      <c r="AR233" s="28"/>
      <c r="AS233" s="324" t="s">
        <v>2337</v>
      </c>
      <c r="AT233" s="319"/>
      <c r="AU233" s="320"/>
      <c r="AV233" s="320"/>
      <c r="AW233" s="320"/>
      <c r="AX233" s="320"/>
      <c r="AY233" s="320"/>
      <c r="AZ233" s="320"/>
      <c r="BA233" s="320"/>
      <c r="BB233" s="327" t="s">
        <v>2254</v>
      </c>
      <c r="BC233" s="328">
        <v>88.6</v>
      </c>
      <c r="BD233" s="329">
        <v>18.3</v>
      </c>
      <c r="BE233" s="28"/>
    </row>
    <row r="234" spans="44:57">
      <c r="AR234" s="28"/>
      <c r="AS234" s="324" t="s">
        <v>2338</v>
      </c>
      <c r="AT234" s="319"/>
      <c r="AU234" s="320"/>
      <c r="AV234" s="320"/>
      <c r="AW234" s="320"/>
      <c r="AX234" s="320"/>
      <c r="AY234" s="320">
        <v>6</v>
      </c>
      <c r="AZ234" s="320"/>
      <c r="BA234" s="320"/>
      <c r="BB234" s="333"/>
      <c r="BC234" s="317">
        <v>68.900000000000006</v>
      </c>
      <c r="BD234" s="318">
        <v>39</v>
      </c>
      <c r="BE234" s="28"/>
    </row>
    <row r="235" spans="44:57">
      <c r="AR235" s="28"/>
      <c r="AS235" s="324" t="s">
        <v>2339</v>
      </c>
      <c r="AT235" s="319"/>
      <c r="AU235" s="320"/>
      <c r="AV235" s="320"/>
      <c r="AW235" s="320"/>
      <c r="AX235" s="320"/>
      <c r="AY235" s="320">
        <v>6</v>
      </c>
      <c r="AZ235" s="320"/>
      <c r="BA235" s="320"/>
      <c r="BB235" s="333"/>
      <c r="BC235" s="317">
        <v>73.099999999999994</v>
      </c>
      <c r="BD235" s="318">
        <v>59.3</v>
      </c>
      <c r="BE235" s="28"/>
    </row>
    <row r="236" spans="44:57">
      <c r="AR236" s="28"/>
      <c r="AS236" s="324" t="s">
        <v>2340</v>
      </c>
      <c r="AT236" s="319"/>
      <c r="AU236" s="320"/>
      <c r="AV236" s="320"/>
      <c r="AW236" s="320">
        <v>4</v>
      </c>
      <c r="AX236" s="320"/>
      <c r="AY236" s="320"/>
      <c r="AZ236" s="320"/>
      <c r="BA236" s="320"/>
      <c r="BB236" s="333"/>
      <c r="BC236" s="317">
        <v>31.7</v>
      </c>
      <c r="BD236" s="318">
        <v>39.6</v>
      </c>
      <c r="BE236" s="28"/>
    </row>
    <row r="237" spans="44:57">
      <c r="AR237" s="28"/>
      <c r="AS237" s="324" t="s">
        <v>2341</v>
      </c>
      <c r="AT237" s="319"/>
      <c r="AU237" s="320"/>
      <c r="AV237" s="320"/>
      <c r="AW237" s="320">
        <v>4</v>
      </c>
      <c r="AX237" s="320"/>
      <c r="AY237" s="320"/>
      <c r="AZ237" s="320"/>
      <c r="BA237" s="320"/>
      <c r="BB237" s="333"/>
      <c r="BC237" s="317">
        <v>31.7</v>
      </c>
      <c r="BD237" s="318">
        <v>39.6</v>
      </c>
      <c r="BE237" s="28"/>
    </row>
    <row r="238" spans="44:57">
      <c r="AR238" s="28"/>
      <c r="AS238" s="324" t="s">
        <v>2342</v>
      </c>
      <c r="AT238" s="319"/>
      <c r="AU238" s="320"/>
      <c r="AV238" s="320"/>
      <c r="AW238" s="320">
        <v>4</v>
      </c>
      <c r="AX238" s="320"/>
      <c r="AY238" s="320"/>
      <c r="AZ238" s="320"/>
      <c r="BA238" s="320"/>
      <c r="BB238" s="333"/>
      <c r="BC238" s="317">
        <v>31.7</v>
      </c>
      <c r="BD238" s="318">
        <v>39.6</v>
      </c>
      <c r="BE238" s="28"/>
    </row>
    <row r="239" spans="44:57">
      <c r="AR239" s="28"/>
      <c r="AS239" s="324" t="s">
        <v>2343</v>
      </c>
      <c r="AT239" s="319"/>
      <c r="AU239" s="320"/>
      <c r="AV239" s="320"/>
      <c r="AW239" s="320">
        <v>4</v>
      </c>
      <c r="AX239" s="320"/>
      <c r="AY239" s="320"/>
      <c r="AZ239" s="320"/>
      <c r="BA239" s="320"/>
      <c r="BB239" s="333"/>
      <c r="BC239" s="317">
        <v>10.199999999999999</v>
      </c>
      <c r="BD239" s="318">
        <v>52.6</v>
      </c>
      <c r="BE239" s="28"/>
    </row>
    <row r="240" spans="44:57">
      <c r="AR240" s="28"/>
      <c r="AS240" s="324" t="s">
        <v>2344</v>
      </c>
      <c r="AT240" s="319"/>
      <c r="AU240" s="320"/>
      <c r="AV240" s="320">
        <v>3</v>
      </c>
      <c r="AW240" s="320"/>
      <c r="AX240" s="320"/>
      <c r="AY240" s="320"/>
      <c r="AZ240" s="320"/>
      <c r="BA240" s="320"/>
      <c r="BB240" s="333"/>
      <c r="BC240" s="317">
        <v>80.900000000000006</v>
      </c>
      <c r="BD240" s="318">
        <v>82.7</v>
      </c>
      <c r="BE240" s="28"/>
    </row>
    <row r="241" spans="44:57">
      <c r="AR241" s="28"/>
      <c r="AS241" s="324" t="s">
        <v>2281</v>
      </c>
      <c r="AT241" s="319"/>
      <c r="AU241" s="320"/>
      <c r="AV241" s="320"/>
      <c r="AW241" s="320"/>
      <c r="AX241" s="320"/>
      <c r="AY241" s="320">
        <v>6</v>
      </c>
      <c r="AZ241" s="320"/>
      <c r="BA241" s="320"/>
      <c r="BB241" s="333"/>
      <c r="BC241" s="328">
        <v>75</v>
      </c>
      <c r="BD241" s="329">
        <v>61.5</v>
      </c>
      <c r="BE241" s="28"/>
    </row>
    <row r="242" spans="44:57">
      <c r="AR242" s="28"/>
      <c r="AS242" s="324" t="s">
        <v>2282</v>
      </c>
      <c r="AT242" s="319"/>
      <c r="AU242" s="320"/>
      <c r="AV242" s="320"/>
      <c r="AW242" s="320">
        <v>4</v>
      </c>
      <c r="AX242" s="320"/>
      <c r="AY242" s="320"/>
      <c r="AZ242" s="320"/>
      <c r="BA242" s="320"/>
      <c r="BB242" s="333"/>
      <c r="BC242" s="317">
        <v>20.6</v>
      </c>
      <c r="BD242" s="318">
        <v>34.799999999999997</v>
      </c>
      <c r="BE242" s="28"/>
    </row>
    <row r="243" spans="44:57">
      <c r="AR243" s="28"/>
      <c r="AS243" s="324" t="s">
        <v>2283</v>
      </c>
      <c r="AT243" s="319"/>
      <c r="AU243" s="320"/>
      <c r="AV243" s="320"/>
      <c r="AW243" s="320"/>
      <c r="AX243" s="320"/>
      <c r="AY243" s="320">
        <v>6</v>
      </c>
      <c r="AZ243" s="320"/>
      <c r="BA243" s="320"/>
      <c r="BB243" s="333"/>
      <c r="BC243" s="317">
        <v>71.8</v>
      </c>
      <c r="BD243" s="318">
        <v>38.5</v>
      </c>
      <c r="BE243" s="28"/>
    </row>
    <row r="244" spans="44:57">
      <c r="AR244" s="28"/>
      <c r="AS244" s="324" t="s">
        <v>2284</v>
      </c>
      <c r="AT244" s="319"/>
      <c r="AU244" s="320"/>
      <c r="AV244" s="320"/>
      <c r="AW244" s="320">
        <v>4</v>
      </c>
      <c r="AX244" s="320"/>
      <c r="AY244" s="320"/>
      <c r="AZ244" s="320"/>
      <c r="BA244" s="320"/>
      <c r="BB244" s="333"/>
      <c r="BC244" s="317">
        <v>19.3</v>
      </c>
      <c r="BD244" s="318">
        <v>63.4</v>
      </c>
      <c r="BE244" s="28"/>
    </row>
    <row r="245" spans="44:57">
      <c r="AR245" s="28"/>
      <c r="AS245" s="324" t="s">
        <v>2285</v>
      </c>
      <c r="AT245" s="319">
        <v>1</v>
      </c>
      <c r="AU245" s="320">
        <v>2</v>
      </c>
      <c r="AV245" s="320"/>
      <c r="AW245" s="320"/>
      <c r="AX245" s="320"/>
      <c r="AY245" s="320"/>
      <c r="AZ245" s="320"/>
      <c r="BA245" s="320"/>
      <c r="BB245" s="333"/>
      <c r="BC245" s="317">
        <v>34.299999999999997</v>
      </c>
      <c r="BD245" s="318">
        <v>86.3</v>
      </c>
      <c r="BE245" s="28"/>
    </row>
    <row r="246" spans="44:57">
      <c r="AR246" s="28"/>
      <c r="AS246" s="324" t="s">
        <v>2286</v>
      </c>
      <c r="AT246" s="319">
        <v>1</v>
      </c>
      <c r="AU246" s="320">
        <v>2</v>
      </c>
      <c r="AV246" s="320"/>
      <c r="AW246" s="320"/>
      <c r="AX246" s="320"/>
      <c r="AY246" s="320"/>
      <c r="AZ246" s="320"/>
      <c r="BA246" s="320"/>
      <c r="BB246" s="333"/>
      <c r="BC246" s="317">
        <v>34.299999999999997</v>
      </c>
      <c r="BD246" s="318">
        <v>86.3</v>
      </c>
      <c r="BE246" s="28"/>
    </row>
    <row r="247" spans="44:57">
      <c r="AR247" s="28"/>
      <c r="AS247" s="324" t="s">
        <v>2287</v>
      </c>
      <c r="AT247" s="319"/>
      <c r="AU247" s="320"/>
      <c r="AV247" s="320"/>
      <c r="AW247" s="320"/>
      <c r="AX247" s="320"/>
      <c r="AY247" s="320">
        <v>6</v>
      </c>
      <c r="AZ247" s="320"/>
      <c r="BA247" s="320"/>
      <c r="BB247" s="333"/>
      <c r="BC247" s="317">
        <v>73.2</v>
      </c>
      <c r="BD247" s="318">
        <v>47.6</v>
      </c>
      <c r="BE247" s="28"/>
    </row>
    <row r="248" spans="44:57">
      <c r="AR248" s="28"/>
      <c r="AS248" s="324" t="s">
        <v>2321</v>
      </c>
      <c r="AT248" s="319">
        <v>1</v>
      </c>
      <c r="AU248" s="320"/>
      <c r="AV248" s="320"/>
      <c r="AW248" s="320"/>
      <c r="AX248" s="320"/>
      <c r="AY248" s="320"/>
      <c r="AZ248" s="320"/>
      <c r="BA248" s="320"/>
      <c r="BB248" s="333"/>
      <c r="BC248" s="317">
        <v>32.299999999999997</v>
      </c>
      <c r="BD248" s="318">
        <v>68.5</v>
      </c>
      <c r="BE248" s="28"/>
    </row>
    <row r="249" spans="44:57">
      <c r="AR249" s="28"/>
      <c r="AS249" s="324" t="s">
        <v>2288</v>
      </c>
      <c r="AT249" s="319"/>
      <c r="AU249" s="320"/>
      <c r="AV249" s="320"/>
      <c r="AW249" s="320"/>
      <c r="AX249" s="320">
        <v>5</v>
      </c>
      <c r="AY249" s="320"/>
      <c r="AZ249" s="320"/>
      <c r="BA249" s="320"/>
      <c r="BB249" s="333"/>
      <c r="BC249" s="317">
        <v>46.6</v>
      </c>
      <c r="BD249" s="318">
        <v>54.4</v>
      </c>
      <c r="BE249" s="28"/>
    </row>
    <row r="250" spans="44:57">
      <c r="AR250" s="28"/>
      <c r="AS250" s="324" t="s">
        <v>2289</v>
      </c>
      <c r="AT250" s="319"/>
      <c r="AU250" s="320"/>
      <c r="AV250" s="320"/>
      <c r="AW250" s="320">
        <v>4</v>
      </c>
      <c r="AX250" s="320"/>
      <c r="AY250" s="320"/>
      <c r="AZ250" s="320"/>
      <c r="BA250" s="320"/>
      <c r="BB250" s="333"/>
      <c r="BC250" s="317">
        <v>28.8</v>
      </c>
      <c r="BD250" s="318">
        <v>38.200000000000003</v>
      </c>
      <c r="BE250" s="28"/>
    </row>
    <row r="251" spans="44:57">
      <c r="AR251" s="28"/>
      <c r="AS251" s="324" t="s">
        <v>2290</v>
      </c>
      <c r="AT251" s="319"/>
      <c r="AU251" s="320"/>
      <c r="AV251" s="320">
        <v>3</v>
      </c>
      <c r="AW251" s="320"/>
      <c r="AX251" s="320"/>
      <c r="AY251" s="320"/>
      <c r="AZ251" s="320"/>
      <c r="BA251" s="320"/>
      <c r="BB251" s="333"/>
      <c r="BC251" s="317">
        <v>75.599999999999994</v>
      </c>
      <c r="BD251" s="318">
        <v>79.599999999999994</v>
      </c>
      <c r="BE251" s="28"/>
    </row>
    <row r="252" spans="44:57">
      <c r="AR252" s="28"/>
      <c r="AS252" s="324" t="s">
        <v>2291</v>
      </c>
      <c r="AT252" s="319"/>
      <c r="AU252" s="320"/>
      <c r="AV252" s="320"/>
      <c r="AW252" s="320"/>
      <c r="AX252" s="320"/>
      <c r="AY252" s="320">
        <v>6</v>
      </c>
      <c r="AZ252" s="320"/>
      <c r="BA252" s="320"/>
      <c r="BB252" s="333"/>
      <c r="BC252" s="317">
        <v>83</v>
      </c>
      <c r="BD252" s="318">
        <v>43.2</v>
      </c>
      <c r="BE252" s="28"/>
    </row>
    <row r="253" spans="44:57">
      <c r="AR253" s="28"/>
      <c r="AS253" s="324" t="s">
        <v>2292</v>
      </c>
      <c r="AT253" s="319"/>
      <c r="AU253" s="320"/>
      <c r="AV253" s="320"/>
      <c r="AW253" s="320"/>
      <c r="AX253" s="320">
        <v>5</v>
      </c>
      <c r="AY253" s="320"/>
      <c r="AZ253" s="320"/>
      <c r="BA253" s="320"/>
      <c r="BB253" s="333"/>
      <c r="BC253" s="317">
        <v>52.6</v>
      </c>
      <c r="BD253" s="318">
        <v>44.4</v>
      </c>
      <c r="BE253" s="28"/>
    </row>
    <row r="254" spans="44:57">
      <c r="AR254" s="28"/>
      <c r="AS254" s="324" t="s">
        <v>2293</v>
      </c>
      <c r="AT254" s="319"/>
      <c r="AU254" s="320"/>
      <c r="AV254" s="320"/>
      <c r="AW254" s="320">
        <v>4</v>
      </c>
      <c r="AX254" s="320"/>
      <c r="AY254" s="320">
        <v>6</v>
      </c>
      <c r="AZ254" s="320"/>
      <c r="BA254" s="320"/>
      <c r="BB254" s="333"/>
      <c r="BC254" s="317">
        <v>8.6</v>
      </c>
      <c r="BD254" s="318">
        <v>46.6</v>
      </c>
      <c r="BE254" s="28"/>
    </row>
    <row r="255" spans="44:57">
      <c r="AR255" s="28"/>
      <c r="AS255" s="324" t="s">
        <v>2294</v>
      </c>
      <c r="AT255" s="319"/>
      <c r="AU255" s="320"/>
      <c r="AV255" s="320"/>
      <c r="AW255" s="320">
        <v>4</v>
      </c>
      <c r="AX255" s="320"/>
      <c r="AY255" s="320"/>
      <c r="AZ255" s="320">
        <v>7</v>
      </c>
      <c r="BA255" s="320"/>
      <c r="BB255" s="322"/>
      <c r="BC255" s="328">
        <v>29.6</v>
      </c>
      <c r="BD255" s="329">
        <v>34.099999999999994</v>
      </c>
      <c r="BE255" s="28"/>
    </row>
    <row r="256" spans="44:57">
      <c r="AR256" s="28"/>
      <c r="AS256" s="324" t="s">
        <v>2295</v>
      </c>
      <c r="AT256" s="325">
        <v>0</v>
      </c>
      <c r="AU256" s="320"/>
      <c r="AV256" s="320"/>
      <c r="AW256" s="320"/>
      <c r="AX256" s="320"/>
      <c r="AY256" s="320"/>
      <c r="AZ256" s="320"/>
      <c r="BA256" s="320"/>
      <c r="BB256" s="322"/>
      <c r="BC256" s="325">
        <v>0</v>
      </c>
      <c r="BD256" s="326">
        <v>0</v>
      </c>
      <c r="BE256" s="28"/>
    </row>
    <row r="257" spans="44:57">
      <c r="AR257" s="28"/>
      <c r="AS257" s="324" t="s">
        <v>2345</v>
      </c>
      <c r="AT257" s="319"/>
      <c r="AU257" s="320"/>
      <c r="AV257" s="320"/>
      <c r="AW257" s="320"/>
      <c r="AX257" s="320"/>
      <c r="AY257" s="321" t="s">
        <v>2230</v>
      </c>
      <c r="AZ257" s="320"/>
      <c r="BA257" s="320"/>
      <c r="BB257" s="322"/>
      <c r="BC257" s="328">
        <v>88.3</v>
      </c>
      <c r="BD257" s="329">
        <v>56.1</v>
      </c>
      <c r="BE257" s="28"/>
    </row>
    <row r="258" spans="44:57">
      <c r="AR258" s="28"/>
      <c r="AS258" s="324" t="s">
        <v>2346</v>
      </c>
      <c r="AT258" s="319"/>
      <c r="AU258" s="320">
        <v>2</v>
      </c>
      <c r="AV258" s="320"/>
      <c r="AW258" s="320"/>
      <c r="AX258" s="320"/>
      <c r="AY258" s="323"/>
      <c r="AZ258" s="320"/>
      <c r="BA258" s="320"/>
      <c r="BB258" s="322"/>
      <c r="BC258" s="317">
        <v>46.3</v>
      </c>
      <c r="BD258" s="318">
        <v>88.1</v>
      </c>
      <c r="BE258" s="28"/>
    </row>
    <row r="259" spans="44:57">
      <c r="AR259" s="28"/>
      <c r="AS259" s="324" t="s">
        <v>2347</v>
      </c>
      <c r="AT259" s="319"/>
      <c r="AU259" s="320"/>
      <c r="AV259" s="320"/>
      <c r="AW259" s="320"/>
      <c r="AX259" s="320"/>
      <c r="AY259" s="323">
        <v>6</v>
      </c>
      <c r="AZ259" s="320"/>
      <c r="BA259" s="320"/>
      <c r="BB259" s="322"/>
      <c r="BC259" s="317">
        <v>91.1</v>
      </c>
      <c r="BD259" s="318">
        <v>57.4</v>
      </c>
      <c r="BE259" s="28"/>
    </row>
    <row r="260" spans="44:57">
      <c r="AR260" s="28"/>
      <c r="AS260" s="324" t="s">
        <v>2348</v>
      </c>
      <c r="AT260" s="319"/>
      <c r="AU260" s="320"/>
      <c r="AV260" s="320"/>
      <c r="AW260" s="320">
        <v>4</v>
      </c>
      <c r="AX260" s="320"/>
      <c r="AY260" s="323"/>
      <c r="AZ260" s="320"/>
      <c r="BA260" s="320"/>
      <c r="BB260" s="322"/>
      <c r="BC260" s="317">
        <v>22.2</v>
      </c>
      <c r="BD260" s="318">
        <v>36.200000000000003</v>
      </c>
      <c r="BE260" s="28"/>
    </row>
    <row r="261" spans="44:57">
      <c r="AR261" s="28"/>
      <c r="AS261" s="324" t="s">
        <v>2349</v>
      </c>
      <c r="AT261" s="319"/>
      <c r="AU261" s="320"/>
      <c r="AV261" s="320"/>
      <c r="AW261" s="320"/>
      <c r="AX261" s="320"/>
      <c r="AY261" s="323">
        <v>6</v>
      </c>
      <c r="AZ261" s="320"/>
      <c r="BA261" s="320"/>
      <c r="BB261" s="322"/>
      <c r="BC261" s="317">
        <v>93.8</v>
      </c>
      <c r="BD261" s="318">
        <v>54.7</v>
      </c>
      <c r="BE261" s="28"/>
    </row>
    <row r="262" spans="44:57">
      <c r="AR262" s="28"/>
      <c r="AS262" s="324" t="s">
        <v>2350</v>
      </c>
      <c r="AT262" s="319"/>
      <c r="AU262" s="320"/>
      <c r="AV262" s="320"/>
      <c r="AW262" s="320"/>
      <c r="AX262" s="320">
        <v>5</v>
      </c>
      <c r="AY262" s="323"/>
      <c r="AZ262" s="320"/>
      <c r="BA262" s="320"/>
      <c r="BB262" s="322"/>
      <c r="BC262" s="317">
        <v>36</v>
      </c>
      <c r="BD262" s="318">
        <v>48.6</v>
      </c>
      <c r="BE262" s="28"/>
    </row>
    <row r="263" spans="44:57">
      <c r="AR263" s="28"/>
      <c r="AS263" s="324" t="s">
        <v>2351</v>
      </c>
      <c r="AT263" s="319">
        <v>1</v>
      </c>
      <c r="AU263" s="320"/>
      <c r="AV263" s="320"/>
      <c r="AW263" s="320"/>
      <c r="AX263" s="320"/>
      <c r="AY263" s="323"/>
      <c r="AZ263" s="320"/>
      <c r="BA263" s="320"/>
      <c r="BB263" s="322"/>
      <c r="BC263" s="317">
        <v>12.2</v>
      </c>
      <c r="BD263" s="318">
        <v>75.7</v>
      </c>
      <c r="BE263" s="28"/>
    </row>
    <row r="264" spans="44:57">
      <c r="AR264" s="28"/>
      <c r="AS264" s="324" t="s">
        <v>2352</v>
      </c>
      <c r="AT264" s="319"/>
      <c r="AU264" s="320"/>
      <c r="AV264" s="320"/>
      <c r="AW264" s="320">
        <v>4</v>
      </c>
      <c r="AX264" s="320"/>
      <c r="AY264" s="323"/>
      <c r="AZ264" s="320"/>
      <c r="BA264" s="320"/>
      <c r="BB264" s="322"/>
      <c r="BC264" s="317">
        <v>3.2</v>
      </c>
      <c r="BD264" s="318">
        <v>39.799999999999997</v>
      </c>
      <c r="BE264" s="28"/>
    </row>
    <row r="265" spans="44:57">
      <c r="AR265" s="28"/>
      <c r="AS265" s="324" t="s">
        <v>2353</v>
      </c>
      <c r="AT265" s="319"/>
      <c r="AU265" s="320"/>
      <c r="AV265" s="320"/>
      <c r="AW265" s="320">
        <v>4</v>
      </c>
      <c r="AX265" s="320"/>
      <c r="AY265" s="323"/>
      <c r="AZ265" s="320"/>
      <c r="BA265" s="320"/>
      <c r="BB265" s="322"/>
      <c r="BC265" s="317">
        <v>3.2</v>
      </c>
      <c r="BD265" s="318">
        <v>39.799999999999997</v>
      </c>
      <c r="BE265" s="28"/>
    </row>
    <row r="266" spans="44:57">
      <c r="AR266" s="28"/>
      <c r="AS266" s="324" t="s">
        <v>2296</v>
      </c>
      <c r="AT266" s="319"/>
      <c r="AU266" s="320"/>
      <c r="AV266" s="320"/>
      <c r="AW266" s="320">
        <v>4</v>
      </c>
      <c r="AX266" s="320"/>
      <c r="AY266" s="320"/>
      <c r="AZ266" s="320"/>
      <c r="BA266" s="320"/>
      <c r="BB266" s="322"/>
      <c r="BC266" s="328">
        <v>6</v>
      </c>
      <c r="BD266" s="329">
        <v>35.599999999999994</v>
      </c>
      <c r="BE266" s="28"/>
    </row>
    <row r="267" spans="44:57">
      <c r="AR267" s="28"/>
      <c r="AS267" s="324" t="s">
        <v>2297</v>
      </c>
      <c r="AT267" s="319"/>
      <c r="AU267" s="320"/>
      <c r="AV267" s="320">
        <v>3</v>
      </c>
      <c r="AW267" s="320"/>
      <c r="AX267" s="320"/>
      <c r="AY267" s="323"/>
      <c r="AZ267" s="320"/>
      <c r="BA267" s="320"/>
      <c r="BB267" s="322"/>
      <c r="BC267" s="317">
        <v>93.2</v>
      </c>
      <c r="BD267" s="318">
        <v>68.5</v>
      </c>
      <c r="BE267" s="28"/>
    </row>
    <row r="268" spans="44:57">
      <c r="AR268" s="28"/>
      <c r="AS268" s="324" t="s">
        <v>2298</v>
      </c>
      <c r="AT268" s="319"/>
      <c r="AU268" s="320"/>
      <c r="AV268" s="320"/>
      <c r="AW268" s="320"/>
      <c r="AX268" s="320"/>
      <c r="AY268" s="323"/>
      <c r="AZ268" s="320">
        <v>7</v>
      </c>
      <c r="BA268" s="320"/>
      <c r="BB268" s="322"/>
      <c r="BC268" s="317">
        <v>3.7</v>
      </c>
      <c r="BD268" s="318">
        <v>31.799999999999997</v>
      </c>
      <c r="BE268" s="28"/>
    </row>
    <row r="269" spans="44:57">
      <c r="AR269" s="28"/>
      <c r="AS269" s="324" t="s">
        <v>2299</v>
      </c>
      <c r="AT269" s="319"/>
      <c r="AU269" s="320"/>
      <c r="AV269" s="320"/>
      <c r="AW269" s="320"/>
      <c r="AX269" s="320"/>
      <c r="AY269" s="323">
        <v>6</v>
      </c>
      <c r="AZ269" s="320"/>
      <c r="BA269" s="320"/>
      <c r="BB269" s="322"/>
      <c r="BC269" s="317">
        <v>71.5</v>
      </c>
      <c r="BD269" s="318">
        <v>47.4</v>
      </c>
      <c r="BE269" s="28"/>
    </row>
    <row r="270" spans="44:57">
      <c r="AR270" s="28"/>
      <c r="AS270" s="324" t="s">
        <v>2300</v>
      </c>
      <c r="AT270" s="319"/>
      <c r="AU270" s="320"/>
      <c r="AV270" s="320"/>
      <c r="AW270" s="320"/>
      <c r="AX270" s="320"/>
      <c r="AY270" s="323"/>
      <c r="AZ270" s="320">
        <v>7</v>
      </c>
      <c r="BA270" s="320"/>
      <c r="BB270" s="322"/>
      <c r="BC270" s="317">
        <v>25.7</v>
      </c>
      <c r="BD270" s="318">
        <v>29.900000000000006</v>
      </c>
      <c r="BE270" s="28"/>
    </row>
    <row r="271" spans="44:57">
      <c r="AR271" s="28"/>
      <c r="AS271" s="324" t="s">
        <v>2301</v>
      </c>
      <c r="AT271" s="319"/>
      <c r="AU271" s="320"/>
      <c r="AV271" s="320">
        <v>3</v>
      </c>
      <c r="AW271" s="320"/>
      <c r="AX271" s="320"/>
      <c r="AY271" s="323"/>
      <c r="AZ271" s="320"/>
      <c r="BA271" s="320"/>
      <c r="BB271" s="322"/>
      <c r="BC271" s="317">
        <v>86.2</v>
      </c>
      <c r="BD271" s="318">
        <v>88.5</v>
      </c>
      <c r="BE271" s="28"/>
    </row>
    <row r="272" spans="44:57">
      <c r="AR272" s="28"/>
      <c r="AS272" s="324" t="s">
        <v>2302</v>
      </c>
      <c r="AT272" s="319"/>
      <c r="AU272" s="320"/>
      <c r="AV272" s="320"/>
      <c r="AW272" s="320"/>
      <c r="AX272" s="320">
        <v>5</v>
      </c>
      <c r="AY272" s="323"/>
      <c r="AZ272" s="320"/>
      <c r="BA272" s="320"/>
      <c r="BB272" s="322"/>
      <c r="BC272" s="317">
        <v>41.7</v>
      </c>
      <c r="BD272" s="318">
        <v>52.1</v>
      </c>
      <c r="BE272" s="28"/>
    </row>
    <row r="273" spans="44:57">
      <c r="AR273" s="28"/>
      <c r="AS273" s="324" t="s">
        <v>2303</v>
      </c>
      <c r="AT273" s="319"/>
      <c r="AU273" s="320"/>
      <c r="AV273" s="320"/>
      <c r="AW273" s="320"/>
      <c r="AX273" s="320">
        <v>5</v>
      </c>
      <c r="AY273" s="323"/>
      <c r="AZ273" s="320"/>
      <c r="BA273" s="320"/>
      <c r="BB273" s="322"/>
      <c r="BC273" s="317">
        <v>46.9</v>
      </c>
      <c r="BD273" s="318">
        <v>59.1</v>
      </c>
      <c r="BE273" s="28"/>
    </row>
    <row r="274" spans="44:57">
      <c r="AR274" s="28"/>
      <c r="AS274" s="324" t="s">
        <v>2304</v>
      </c>
      <c r="AT274" s="319"/>
      <c r="AU274" s="320"/>
      <c r="AV274" s="320"/>
      <c r="AW274" s="320"/>
      <c r="AX274" s="320"/>
      <c r="AY274" s="323"/>
      <c r="AZ274" s="320">
        <v>7</v>
      </c>
      <c r="BA274" s="320"/>
      <c r="BB274" s="322"/>
      <c r="BC274" s="317">
        <v>25.8</v>
      </c>
      <c r="BD274" s="318">
        <v>29.799999999999997</v>
      </c>
      <c r="BE274" s="28"/>
    </row>
    <row r="275" spans="44:57">
      <c r="AR275" s="28"/>
      <c r="AS275" s="324" t="s">
        <v>2305</v>
      </c>
      <c r="AT275" s="319"/>
      <c r="AU275" s="320"/>
      <c r="AV275" s="320">
        <v>3</v>
      </c>
      <c r="AW275" s="320"/>
      <c r="AX275" s="320"/>
      <c r="AY275" s="323"/>
      <c r="AZ275" s="320"/>
      <c r="BA275" s="320"/>
      <c r="BB275" s="322"/>
      <c r="BC275" s="317">
        <v>86.2</v>
      </c>
      <c r="BD275" s="318">
        <v>88.5</v>
      </c>
      <c r="BE275" s="28"/>
    </row>
    <row r="276" spans="44:57">
      <c r="AR276" s="28"/>
      <c r="AS276" s="324" t="s">
        <v>2306</v>
      </c>
      <c r="AT276" s="319"/>
      <c r="AU276" s="320"/>
      <c r="AV276" s="320">
        <v>3</v>
      </c>
      <c r="AW276" s="320"/>
      <c r="AX276" s="320"/>
      <c r="AY276" s="323"/>
      <c r="AZ276" s="320"/>
      <c r="BA276" s="320"/>
      <c r="BB276" s="322"/>
      <c r="BC276" s="317">
        <v>97.7</v>
      </c>
      <c r="BD276" s="318">
        <v>92.6</v>
      </c>
      <c r="BE276" s="28"/>
    </row>
    <row r="277" spans="44:57">
      <c r="AR277" s="28"/>
      <c r="AS277" s="324" t="s">
        <v>2307</v>
      </c>
      <c r="AT277" s="319"/>
      <c r="AU277" s="320"/>
      <c r="AV277" s="320"/>
      <c r="AW277" s="320"/>
      <c r="AX277" s="320"/>
      <c r="AY277" s="323">
        <v>6</v>
      </c>
      <c r="AZ277" s="320"/>
      <c r="BA277" s="320"/>
      <c r="BB277" s="322"/>
      <c r="BC277" s="317">
        <v>75.599999999999994</v>
      </c>
      <c r="BD277" s="318">
        <v>44.2</v>
      </c>
      <c r="BE277" s="28"/>
    </row>
    <row r="278" spans="44:57">
      <c r="AR278" s="28"/>
      <c r="AS278" s="324" t="s">
        <v>2308</v>
      </c>
      <c r="AT278" s="319"/>
      <c r="AU278" s="320"/>
      <c r="AV278" s="320"/>
      <c r="AW278" s="320"/>
      <c r="AX278" s="320">
        <v>5</v>
      </c>
      <c r="AY278" s="323"/>
      <c r="AZ278" s="320"/>
      <c r="BA278" s="320"/>
      <c r="BB278" s="322"/>
      <c r="BC278" s="317">
        <v>35.5</v>
      </c>
      <c r="BD278" s="318">
        <v>35.400000000000006</v>
      </c>
      <c r="BE278" s="28"/>
    </row>
    <row r="279" spans="44:57">
      <c r="AR279" s="28"/>
      <c r="AS279" s="324" t="s">
        <v>2309</v>
      </c>
      <c r="AT279" s="319"/>
      <c r="AU279" s="320"/>
      <c r="AV279" s="320"/>
      <c r="AW279" s="320"/>
      <c r="AX279" s="320"/>
      <c r="AY279" s="323">
        <v>6</v>
      </c>
      <c r="AZ279" s="320"/>
      <c r="BA279" s="320"/>
      <c r="BB279" s="322"/>
      <c r="BC279" s="317">
        <v>82.2</v>
      </c>
      <c r="BD279" s="318">
        <v>58.7</v>
      </c>
      <c r="BE279" s="28"/>
    </row>
    <row r="280" spans="44:57">
      <c r="AR280" s="28"/>
      <c r="AS280" s="324" t="s">
        <v>2310</v>
      </c>
      <c r="AT280" s="319"/>
      <c r="AU280" s="320"/>
      <c r="AV280" s="320"/>
      <c r="AW280" s="320">
        <v>4</v>
      </c>
      <c r="AX280" s="320"/>
      <c r="AY280" s="320"/>
      <c r="AZ280" s="320"/>
      <c r="BA280" s="320"/>
      <c r="BB280" s="322"/>
      <c r="BC280" s="328">
        <v>19.5</v>
      </c>
      <c r="BD280" s="329">
        <v>42.7</v>
      </c>
      <c r="BE280" s="28"/>
    </row>
    <row r="281" spans="44:57">
      <c r="AR281" s="28"/>
      <c r="AS281" s="324" t="s">
        <v>2311</v>
      </c>
      <c r="AT281" s="319"/>
      <c r="AU281" s="320"/>
      <c r="AV281" s="320"/>
      <c r="AW281" s="320">
        <v>4</v>
      </c>
      <c r="AX281" s="320"/>
      <c r="AY281" s="320"/>
      <c r="AZ281" s="320"/>
      <c r="BA281" s="320"/>
      <c r="BB281" s="322"/>
      <c r="BC281" s="328">
        <v>18.899999999999999</v>
      </c>
      <c r="BD281" s="329">
        <v>64</v>
      </c>
      <c r="BE281" s="28"/>
    </row>
    <row r="282" spans="44:57">
      <c r="AR282" s="28"/>
      <c r="AS282" s="334" t="s">
        <v>2312</v>
      </c>
      <c r="AT282" s="335"/>
      <c r="AU282" s="336"/>
      <c r="AV282" s="336"/>
      <c r="AW282" s="336"/>
      <c r="AX282" s="336">
        <v>5</v>
      </c>
      <c r="AY282" s="336"/>
      <c r="AZ282" s="336"/>
      <c r="BA282" s="336"/>
      <c r="BB282" s="337"/>
      <c r="BC282" s="338">
        <v>55.1</v>
      </c>
      <c r="BD282" s="339">
        <v>54.3</v>
      </c>
      <c r="BE282" s="28"/>
    </row>
    <row r="283" spans="44:57">
      <c r="AR283" s="28"/>
      <c r="AS283" s="334" t="s">
        <v>2529</v>
      </c>
      <c r="AT283" s="319"/>
      <c r="AU283" s="320"/>
      <c r="AV283" s="320">
        <v>3</v>
      </c>
      <c r="AW283" s="320"/>
      <c r="AX283" s="320"/>
      <c r="AY283" s="320"/>
      <c r="AZ283" s="320"/>
      <c r="BA283" s="320"/>
      <c r="BB283" s="320"/>
      <c r="BC283" s="317">
        <v>95.4</v>
      </c>
      <c r="BD283" s="318">
        <v>82.4</v>
      </c>
      <c r="BE283" s="28"/>
    </row>
    <row r="284" spans="44:57">
      <c r="AR284" s="28"/>
      <c r="AS284" s="334" t="s">
        <v>2530</v>
      </c>
      <c r="AT284" s="319"/>
      <c r="AU284" s="320"/>
      <c r="AV284" s="320">
        <v>3</v>
      </c>
      <c r="AW284" s="320"/>
      <c r="AX284" s="320"/>
      <c r="AY284" s="320"/>
      <c r="AZ284" s="320"/>
      <c r="BA284" s="320"/>
      <c r="BB284" s="320"/>
      <c r="BC284" s="317">
        <v>83.5</v>
      </c>
      <c r="BD284" s="318">
        <v>97</v>
      </c>
      <c r="BE284" s="28"/>
    </row>
    <row r="285" spans="44:57">
      <c r="AR285" s="28"/>
      <c r="AS285" s="334" t="s">
        <v>2531</v>
      </c>
      <c r="AT285" s="319"/>
      <c r="AU285" s="320"/>
      <c r="AV285" s="320"/>
      <c r="AW285" s="320"/>
      <c r="AX285" s="320"/>
      <c r="AY285" s="320"/>
      <c r="AZ285" s="320">
        <v>7</v>
      </c>
      <c r="BA285" s="320"/>
      <c r="BB285" s="320"/>
      <c r="BC285" s="317">
        <v>14.9</v>
      </c>
      <c r="BD285" s="318">
        <v>31.9</v>
      </c>
      <c r="BE285" s="28"/>
    </row>
    <row r="286" spans="44:57">
      <c r="AR286" s="28"/>
      <c r="AS286" s="334" t="s">
        <v>2532</v>
      </c>
      <c r="AT286" s="319"/>
      <c r="AU286" s="320"/>
      <c r="AV286" s="320"/>
      <c r="AW286" s="320"/>
      <c r="AX286" s="320"/>
      <c r="AY286" s="320"/>
      <c r="AZ286" s="320"/>
      <c r="BA286" s="320"/>
      <c r="BB286" s="320">
        <v>9</v>
      </c>
      <c r="BC286" s="317">
        <v>96.9</v>
      </c>
      <c r="BD286" s="318">
        <v>30.9</v>
      </c>
      <c r="BE286" s="28"/>
    </row>
    <row r="287" spans="44:57">
      <c r="AR287" s="28"/>
      <c r="AS287" s="334" t="s">
        <v>2533</v>
      </c>
      <c r="AT287" s="319"/>
      <c r="AU287" s="320"/>
      <c r="AV287" s="320"/>
      <c r="AW287" s="320"/>
      <c r="AX287" s="320"/>
      <c r="AY287" s="320"/>
      <c r="AZ287" s="320"/>
      <c r="BA287" s="320"/>
      <c r="BB287" s="320">
        <v>9</v>
      </c>
      <c r="BC287" s="317">
        <v>96.9</v>
      </c>
      <c r="BD287" s="318">
        <v>30.9</v>
      </c>
      <c r="BE287" s="28"/>
    </row>
    <row r="288" spans="44:57">
      <c r="AR288" s="28"/>
      <c r="AS288" s="324" t="s">
        <v>2534</v>
      </c>
      <c r="AT288" s="335"/>
      <c r="AU288" s="336"/>
      <c r="AV288" s="336"/>
      <c r="AW288" s="336"/>
      <c r="AX288" s="336"/>
      <c r="AY288" s="336"/>
      <c r="AZ288" s="336"/>
      <c r="BA288" s="336">
        <v>8</v>
      </c>
      <c r="BB288" s="336">
        <v>9</v>
      </c>
      <c r="BC288" s="328">
        <v>67.3</v>
      </c>
      <c r="BD288" s="329">
        <v>32.700000000000003</v>
      </c>
      <c r="BE288" s="28"/>
    </row>
    <row r="289" spans="44:57">
      <c r="AR289" s="28"/>
      <c r="AS289" s="334" t="s">
        <v>2535</v>
      </c>
      <c r="AT289" s="319"/>
      <c r="AU289" s="320"/>
      <c r="AV289" s="320"/>
      <c r="AW289" s="320"/>
      <c r="AX289" s="320"/>
      <c r="AY289" s="320"/>
      <c r="AZ289" s="320"/>
      <c r="BA289" s="320">
        <v>8</v>
      </c>
      <c r="BB289" s="320">
        <v>9</v>
      </c>
      <c r="BC289" s="317">
        <v>67.3</v>
      </c>
      <c r="BD289" s="318">
        <v>32.700000000000003</v>
      </c>
      <c r="BE289" s="28"/>
    </row>
    <row r="290" spans="44:57">
      <c r="AR290" s="28"/>
      <c r="AS290" s="334" t="s">
        <v>2536</v>
      </c>
      <c r="AT290" s="319"/>
      <c r="AU290" s="320"/>
      <c r="AV290" s="320"/>
      <c r="AW290" s="320"/>
      <c r="AX290" s="320"/>
      <c r="AY290" s="320">
        <v>6</v>
      </c>
      <c r="AZ290" s="320"/>
      <c r="BA290" s="320"/>
      <c r="BB290" s="320"/>
      <c r="BC290" s="328">
        <v>94.3</v>
      </c>
      <c r="BD290" s="329">
        <v>58</v>
      </c>
      <c r="BE290" s="28"/>
    </row>
    <row r="291" spans="44:57">
      <c r="AR291" s="28"/>
      <c r="AS291" s="334" t="s">
        <v>2537</v>
      </c>
      <c r="AT291" s="319"/>
      <c r="AU291" s="320"/>
      <c r="AV291" s="320"/>
      <c r="AW291" s="320"/>
      <c r="AX291" s="320">
        <v>5</v>
      </c>
      <c r="AY291" s="320"/>
      <c r="AZ291" s="320"/>
      <c r="BA291" s="320"/>
      <c r="BB291" s="320"/>
      <c r="BC291" s="317">
        <v>23.8</v>
      </c>
      <c r="BD291" s="318">
        <v>45.2</v>
      </c>
      <c r="BE291" s="28"/>
    </row>
    <row r="292" spans="44:57">
      <c r="AR292" s="28"/>
      <c r="AS292" s="324" t="s">
        <v>2514</v>
      </c>
      <c r="AT292" s="319"/>
      <c r="AU292" s="320"/>
      <c r="AV292" s="320"/>
      <c r="AW292" s="320">
        <v>4</v>
      </c>
      <c r="AX292" s="320"/>
      <c r="AY292" s="320"/>
      <c r="AZ292" s="320"/>
      <c r="BA292" s="320"/>
      <c r="BB292" s="320"/>
      <c r="BC292" s="328">
        <v>12.6</v>
      </c>
      <c r="BD292" s="329">
        <v>62.4</v>
      </c>
      <c r="BE292" s="28"/>
    </row>
    <row r="293" spans="44:57">
      <c r="AR293" s="28"/>
      <c r="AS293" s="334" t="s">
        <v>2515</v>
      </c>
      <c r="AT293" s="319"/>
      <c r="AU293" s="320"/>
      <c r="AV293" s="320"/>
      <c r="AW293" s="320"/>
      <c r="AX293" s="320"/>
      <c r="AY293" s="320">
        <v>6</v>
      </c>
      <c r="AZ293" s="320"/>
      <c r="BA293" s="320"/>
      <c r="BB293" s="320">
        <v>9</v>
      </c>
      <c r="BC293" s="317">
        <v>82.5</v>
      </c>
      <c r="BD293" s="318">
        <v>33.799999999999997</v>
      </c>
      <c r="BE293" s="28"/>
    </row>
    <row r="294" spans="44:57">
      <c r="AR294" s="28"/>
      <c r="AS294" s="334" t="s">
        <v>2516</v>
      </c>
      <c r="AT294" s="319"/>
      <c r="AU294" s="320"/>
      <c r="AV294" s="320"/>
      <c r="AW294" s="320"/>
      <c r="AX294" s="320">
        <v>5</v>
      </c>
      <c r="AY294" s="320"/>
      <c r="AZ294" s="320"/>
      <c r="BA294" s="320"/>
      <c r="BB294" s="320"/>
      <c r="BC294" s="317">
        <v>50.3</v>
      </c>
      <c r="BD294" s="318">
        <v>60.1</v>
      </c>
      <c r="BE294" s="28"/>
    </row>
    <row r="295" spans="44:57">
      <c r="AR295" s="28"/>
      <c r="AS295" s="334" t="s">
        <v>2517</v>
      </c>
      <c r="AT295" s="319"/>
      <c r="AU295" s="320"/>
      <c r="AV295" s="320"/>
      <c r="AW295" s="320"/>
      <c r="AX295" s="320"/>
      <c r="AY295" s="320"/>
      <c r="AZ295" s="320">
        <v>7</v>
      </c>
      <c r="BA295" s="320"/>
      <c r="BB295" s="320"/>
      <c r="BC295" s="317">
        <v>22.2</v>
      </c>
      <c r="BD295" s="318">
        <v>31.8</v>
      </c>
      <c r="BE295" s="28"/>
    </row>
    <row r="296" spans="44:57">
      <c r="AR296" s="28"/>
      <c r="AS296" s="334" t="s">
        <v>2518</v>
      </c>
      <c r="AT296" s="335"/>
      <c r="AU296" s="336"/>
      <c r="AV296" s="336"/>
      <c r="AW296" s="336"/>
      <c r="AX296" s="336"/>
      <c r="AY296" s="336">
        <v>6</v>
      </c>
      <c r="AZ296" s="336"/>
      <c r="BA296" s="336"/>
      <c r="BB296" s="336"/>
      <c r="BC296" s="340">
        <v>83.8</v>
      </c>
      <c r="BD296" s="341">
        <v>44.2</v>
      </c>
      <c r="BE296" s="28"/>
    </row>
    <row r="297" spans="44:57">
      <c r="AR297" s="28"/>
      <c r="AS297" s="334" t="s">
        <v>2519</v>
      </c>
      <c r="AT297" s="319"/>
      <c r="AU297" s="320"/>
      <c r="AV297" s="320"/>
      <c r="AW297" s="320"/>
      <c r="AX297" s="320"/>
      <c r="AY297" s="320"/>
      <c r="AZ297" s="320">
        <v>7</v>
      </c>
      <c r="BA297" s="320"/>
      <c r="BB297" s="320"/>
      <c r="BC297" s="317">
        <v>2.4</v>
      </c>
      <c r="BD297" s="318">
        <v>7.8</v>
      </c>
      <c r="BE297" s="28"/>
    </row>
    <row r="298" spans="44:57">
      <c r="AR298" s="28"/>
      <c r="AS298" s="334" t="s">
        <v>2520</v>
      </c>
      <c r="AT298" s="319"/>
      <c r="AU298" s="320">
        <v>2</v>
      </c>
      <c r="AV298" s="320"/>
      <c r="AW298" s="320"/>
      <c r="AX298" s="320"/>
      <c r="AY298" s="320"/>
      <c r="AZ298" s="320"/>
      <c r="BA298" s="320"/>
      <c r="BB298" s="320"/>
      <c r="BC298" s="317">
        <v>47.8</v>
      </c>
      <c r="BD298" s="318">
        <v>91.2</v>
      </c>
      <c r="BE298" s="28"/>
    </row>
    <row r="299" spans="44:57">
      <c r="AR299" s="28"/>
      <c r="AS299" s="324" t="s">
        <v>2521</v>
      </c>
      <c r="AT299" s="319"/>
      <c r="AU299" s="320">
        <v>2</v>
      </c>
      <c r="AV299" s="320"/>
      <c r="AW299" s="320"/>
      <c r="AX299" s="320"/>
      <c r="AY299" s="320"/>
      <c r="AZ299" s="320"/>
      <c r="BA299" s="320"/>
      <c r="BB299" s="320"/>
      <c r="BC299" s="328">
        <v>42.2</v>
      </c>
      <c r="BD299" s="329">
        <v>76.5</v>
      </c>
      <c r="BE299" s="28"/>
    </row>
    <row r="300" spans="44:57">
      <c r="AR300" s="28"/>
      <c r="AS300" s="334" t="s">
        <v>2522</v>
      </c>
      <c r="AT300" s="335"/>
      <c r="AU300" s="336"/>
      <c r="AV300" s="336"/>
      <c r="AW300" s="336"/>
      <c r="AX300" s="336">
        <v>5</v>
      </c>
      <c r="AY300" s="336"/>
      <c r="AZ300" s="336"/>
      <c r="BA300" s="336"/>
      <c r="BB300" s="336"/>
      <c r="BC300" s="340">
        <v>58.6</v>
      </c>
      <c r="BD300" s="341">
        <v>42</v>
      </c>
      <c r="BE300" s="28"/>
    </row>
    <row r="301" spans="44:57">
      <c r="AR301" s="28"/>
      <c r="AS301" s="334" t="s">
        <v>2523</v>
      </c>
      <c r="AT301" s="319"/>
      <c r="AU301" s="320"/>
      <c r="AV301" s="320">
        <v>3</v>
      </c>
      <c r="AW301" s="320"/>
      <c r="AX301" s="320"/>
      <c r="AY301" s="320"/>
      <c r="AZ301" s="320"/>
      <c r="BA301" s="320"/>
      <c r="BB301" s="320"/>
      <c r="BC301" s="317">
        <v>94.8</v>
      </c>
      <c r="BD301" s="318">
        <v>70.099999999999994</v>
      </c>
      <c r="BE301" s="28"/>
    </row>
    <row r="302" spans="44:57">
      <c r="AR302" s="28"/>
      <c r="AS302" s="334" t="s">
        <v>2524</v>
      </c>
      <c r="AT302" s="319"/>
      <c r="AU302" s="320"/>
      <c r="AV302" s="320"/>
      <c r="AW302" s="320">
        <v>4</v>
      </c>
      <c r="AX302" s="320"/>
      <c r="AY302" s="320"/>
      <c r="AZ302" s="320"/>
      <c r="BA302" s="320"/>
      <c r="BB302" s="320"/>
      <c r="BC302" s="317">
        <v>29.6</v>
      </c>
      <c r="BD302" s="318">
        <v>41.4</v>
      </c>
      <c r="BE302" s="28"/>
    </row>
    <row r="303" spans="44:57">
      <c r="AR303" s="28"/>
      <c r="AS303" s="334" t="s">
        <v>2525</v>
      </c>
      <c r="AT303" s="319"/>
      <c r="AU303" s="320"/>
      <c r="AV303" s="320">
        <v>3</v>
      </c>
      <c r="AW303" s="320"/>
      <c r="AX303" s="320"/>
      <c r="AY303" s="320"/>
      <c r="AZ303" s="320"/>
      <c r="BA303" s="320"/>
      <c r="BB303" s="320"/>
      <c r="BC303" s="317">
        <v>87.6</v>
      </c>
      <c r="BD303" s="318">
        <v>96.4</v>
      </c>
      <c r="BE303" s="28"/>
    </row>
    <row r="304" spans="44:57">
      <c r="AR304" s="28"/>
      <c r="AS304" s="334" t="s">
        <v>2526</v>
      </c>
      <c r="AT304" s="319"/>
      <c r="AU304" s="320"/>
      <c r="AV304" s="320"/>
      <c r="AW304" s="320">
        <v>4</v>
      </c>
      <c r="AX304" s="320"/>
      <c r="AY304" s="320"/>
      <c r="AZ304" s="320"/>
      <c r="BA304" s="320"/>
      <c r="BB304" s="320"/>
      <c r="BC304" s="317">
        <v>15.1</v>
      </c>
      <c r="BD304" s="318">
        <v>41.4</v>
      </c>
      <c r="BE304" s="28"/>
    </row>
    <row r="305" spans="44:57">
      <c r="AR305" s="28"/>
      <c r="AS305" s="334" t="s">
        <v>2527</v>
      </c>
      <c r="AT305" s="319"/>
      <c r="AU305" s="320"/>
      <c r="AV305" s="320"/>
      <c r="AW305" s="320">
        <v>4</v>
      </c>
      <c r="AX305" s="320"/>
      <c r="AY305" s="320"/>
      <c r="AZ305" s="320"/>
      <c r="BA305" s="320"/>
      <c r="BB305" s="320"/>
      <c r="BC305" s="317">
        <v>28.6</v>
      </c>
      <c r="BD305" s="318">
        <v>54.2</v>
      </c>
      <c r="BE305" s="28"/>
    </row>
    <row r="306" spans="44:57">
      <c r="AR306" s="28"/>
      <c r="AS306" s="324" t="s">
        <v>2528</v>
      </c>
      <c r="AT306" s="319"/>
      <c r="AU306" s="320"/>
      <c r="AV306" s="320"/>
      <c r="AW306" s="320">
        <v>4</v>
      </c>
      <c r="AX306" s="320"/>
      <c r="AY306" s="320"/>
      <c r="AZ306" s="320"/>
      <c r="BA306" s="320"/>
      <c r="BB306" s="320"/>
      <c r="BC306" s="328">
        <v>28.6</v>
      </c>
      <c r="BD306" s="329">
        <v>54.2</v>
      </c>
      <c r="BE306" s="28"/>
    </row>
    <row r="307" spans="44:57">
      <c r="AR307" s="28"/>
      <c r="AS307" s="334" t="s">
        <v>2622</v>
      </c>
      <c r="AT307" s="319"/>
      <c r="AU307" s="320"/>
      <c r="AV307" s="320"/>
      <c r="AW307" s="320"/>
      <c r="AX307" s="320"/>
      <c r="AY307" s="320"/>
      <c r="AZ307" s="320"/>
      <c r="BA307" s="320"/>
      <c r="BB307" s="320">
        <v>9</v>
      </c>
      <c r="BC307" s="328">
        <v>98.6</v>
      </c>
      <c r="BD307" s="329">
        <v>32</v>
      </c>
      <c r="BE307" s="28"/>
    </row>
    <row r="308" spans="44:57">
      <c r="AR308" s="28"/>
      <c r="AS308" s="334" t="s">
        <v>2623</v>
      </c>
      <c r="AT308" s="319"/>
      <c r="AU308" s="320"/>
      <c r="AV308" s="320"/>
      <c r="AW308" s="320"/>
      <c r="AX308" s="320">
        <v>5</v>
      </c>
      <c r="AY308" s="320"/>
      <c r="AZ308" s="320"/>
      <c r="BA308" s="320"/>
      <c r="BB308" s="320"/>
      <c r="BC308" s="328">
        <v>57.2</v>
      </c>
      <c r="BD308" s="329">
        <v>38.799999999999997</v>
      </c>
      <c r="BE308" s="28"/>
    </row>
    <row r="309" spans="44:57">
      <c r="AR309" s="28"/>
      <c r="AS309" s="334" t="s">
        <v>2649</v>
      </c>
      <c r="AT309" s="319"/>
      <c r="AU309" s="320"/>
      <c r="AV309" s="320"/>
      <c r="AW309" s="320">
        <v>4</v>
      </c>
      <c r="AX309" s="320"/>
      <c r="AY309" s="320"/>
      <c r="AZ309" s="320"/>
      <c r="BA309" s="320"/>
      <c r="BB309" s="322"/>
      <c r="BC309" s="328">
        <v>21.6</v>
      </c>
      <c r="BD309" s="329">
        <v>50</v>
      </c>
      <c r="BE309" s="28"/>
    </row>
    <row r="310" spans="44:57">
      <c r="AR310" s="28"/>
      <c r="AS310" s="334" t="s">
        <v>3452</v>
      </c>
      <c r="AT310" s="319"/>
      <c r="AU310" s="320"/>
      <c r="AV310" s="320"/>
      <c r="AW310" s="320"/>
      <c r="AX310" s="320">
        <v>5</v>
      </c>
      <c r="AY310" s="320"/>
      <c r="AZ310" s="320"/>
      <c r="BA310" s="320"/>
      <c r="BB310" s="322"/>
      <c r="BC310" s="317">
        <v>52.2</v>
      </c>
      <c r="BD310" s="318">
        <v>41.7</v>
      </c>
      <c r="BE310" s="28"/>
    </row>
    <row r="311" spans="44:57">
      <c r="AR311" s="28"/>
      <c r="AS311" s="334" t="s">
        <v>3453</v>
      </c>
      <c r="AT311" s="319"/>
      <c r="AU311" s="320"/>
      <c r="AV311" s="320"/>
      <c r="AW311" s="320">
        <v>4</v>
      </c>
      <c r="AX311" s="320"/>
      <c r="AY311" s="320"/>
      <c r="AZ311" s="320"/>
      <c r="BA311" s="320"/>
      <c r="BB311" s="322"/>
      <c r="BC311" s="328">
        <v>4.5</v>
      </c>
      <c r="BD311" s="329">
        <v>37.9</v>
      </c>
      <c r="BE311" s="28"/>
    </row>
    <row r="312" spans="44:57">
      <c r="AR312" s="28"/>
      <c r="AS312" s="334" t="s">
        <v>3454</v>
      </c>
      <c r="AT312" s="319"/>
      <c r="AU312" s="320"/>
      <c r="AV312" s="320"/>
      <c r="AW312" s="320">
        <v>4</v>
      </c>
      <c r="AX312" s="320"/>
      <c r="AY312" s="320"/>
      <c r="AZ312" s="320"/>
      <c r="BA312" s="320"/>
      <c r="BB312" s="322"/>
      <c r="BC312" s="317">
        <v>29.1</v>
      </c>
      <c r="BD312" s="318">
        <v>42.4</v>
      </c>
      <c r="BE312" s="28"/>
    </row>
    <row r="313" spans="44:57">
      <c r="AR313" s="28"/>
      <c r="AS313" s="334" t="s">
        <v>3455</v>
      </c>
      <c r="AT313" s="319"/>
      <c r="AU313" s="320"/>
      <c r="AV313" s="320"/>
      <c r="AW313" s="320">
        <v>4</v>
      </c>
      <c r="AX313" s="320"/>
      <c r="AY313" s="320"/>
      <c r="AZ313" s="320"/>
      <c r="BA313" s="320"/>
      <c r="BB313" s="322"/>
      <c r="BC313" s="317">
        <v>4.5</v>
      </c>
      <c r="BD313" s="318">
        <v>37.9</v>
      </c>
      <c r="BE313" s="28"/>
    </row>
    <row r="314" spans="44:57">
      <c r="AR314" s="28"/>
      <c r="AS314" s="334" t="s">
        <v>3456</v>
      </c>
      <c r="AT314" s="319"/>
      <c r="AU314" s="320"/>
      <c r="AV314" s="320"/>
      <c r="AW314" s="320">
        <v>4</v>
      </c>
      <c r="AX314" s="320"/>
      <c r="AY314" s="320"/>
      <c r="AZ314" s="320"/>
      <c r="BA314" s="320"/>
      <c r="BB314" s="322"/>
      <c r="BC314" s="317">
        <v>19.600000000000001</v>
      </c>
      <c r="BD314" s="318">
        <v>48.6</v>
      </c>
      <c r="BE314" s="28"/>
    </row>
    <row r="315" spans="44:57">
      <c r="AR315" s="28"/>
      <c r="AS315" s="334" t="s">
        <v>3457</v>
      </c>
      <c r="AT315" s="319"/>
      <c r="AU315" s="320"/>
      <c r="AV315" s="320"/>
      <c r="AW315" s="320">
        <v>4</v>
      </c>
      <c r="AX315" s="320"/>
      <c r="AY315" s="320"/>
      <c r="AZ315" s="320"/>
      <c r="BA315" s="320"/>
      <c r="BB315" s="322"/>
      <c r="BC315" s="317">
        <v>26.8</v>
      </c>
      <c r="BD315" s="318">
        <v>52.9</v>
      </c>
      <c r="BE315" s="28"/>
    </row>
    <row r="316" spans="44:57">
      <c r="AR316" s="28"/>
      <c r="AS316" s="334" t="s">
        <v>3458</v>
      </c>
      <c r="AT316" s="319"/>
      <c r="AU316" s="320"/>
      <c r="AV316" s="320"/>
      <c r="AW316" s="320"/>
      <c r="AX316" s="320">
        <v>5</v>
      </c>
      <c r="AY316" s="320"/>
      <c r="AZ316" s="320"/>
      <c r="BA316" s="320"/>
      <c r="BB316" s="322"/>
      <c r="BC316" s="317">
        <v>50.9</v>
      </c>
      <c r="BD316" s="318">
        <v>45.7</v>
      </c>
      <c r="BE316" s="28"/>
    </row>
    <row r="317" spans="44:57">
      <c r="AR317" s="28"/>
      <c r="AS317" s="334" t="s">
        <v>3459</v>
      </c>
      <c r="AT317" s="319"/>
      <c r="AU317" s="320"/>
      <c r="AV317" s="320"/>
      <c r="AW317" s="320"/>
      <c r="AX317" s="320">
        <v>5</v>
      </c>
      <c r="AY317" s="320"/>
      <c r="AZ317" s="320"/>
      <c r="BA317" s="320"/>
      <c r="BB317" s="322"/>
      <c r="BC317" s="317">
        <v>64.900000000000006</v>
      </c>
      <c r="BD317" s="318">
        <v>45.7</v>
      </c>
      <c r="BE317" s="28"/>
    </row>
    <row r="318" spans="44:57">
      <c r="AR318" s="28"/>
      <c r="AS318" s="334" t="s">
        <v>3460</v>
      </c>
      <c r="AT318" s="319"/>
      <c r="AU318" s="320"/>
      <c r="AV318" s="320">
        <v>3</v>
      </c>
      <c r="AW318" s="320"/>
      <c r="AX318" s="320"/>
      <c r="AY318" s="320"/>
      <c r="AZ318" s="320"/>
      <c r="BA318" s="320"/>
      <c r="BB318" s="322"/>
      <c r="BC318" s="317">
        <v>93.8</v>
      </c>
      <c r="BD318" s="318">
        <v>77.7</v>
      </c>
      <c r="BE318" s="28"/>
    </row>
    <row r="319" spans="44:57">
      <c r="AR319" s="28"/>
      <c r="AS319" s="334" t="s">
        <v>3143</v>
      </c>
      <c r="AT319" s="319"/>
      <c r="AU319" s="320"/>
      <c r="AV319" s="320">
        <v>3</v>
      </c>
      <c r="AW319" s="320"/>
      <c r="AX319" s="320"/>
      <c r="AY319" s="320"/>
      <c r="AZ319" s="320"/>
      <c r="BA319" s="320"/>
      <c r="BB319" s="322"/>
      <c r="BC319" s="328">
        <v>93.8</v>
      </c>
      <c r="BD319" s="329">
        <v>77.7</v>
      </c>
      <c r="BE319" s="28"/>
    </row>
    <row r="320" spans="44:57">
      <c r="AR320" s="28"/>
      <c r="AS320" s="334" t="s">
        <v>3144</v>
      </c>
      <c r="AT320" s="319"/>
      <c r="AU320" s="320"/>
      <c r="AV320" s="320">
        <v>3</v>
      </c>
      <c r="AW320" s="320"/>
      <c r="AX320" s="320"/>
      <c r="AY320" s="320"/>
      <c r="AZ320" s="320"/>
      <c r="BA320" s="320"/>
      <c r="BB320" s="322"/>
      <c r="BC320" s="317">
        <v>94.3</v>
      </c>
      <c r="BD320" s="318">
        <v>84.5</v>
      </c>
      <c r="BE320" s="28"/>
    </row>
    <row r="321" spans="44:57">
      <c r="AR321" s="28"/>
      <c r="AS321" s="334" t="s">
        <v>3145</v>
      </c>
      <c r="AT321" s="319"/>
      <c r="AU321" s="320"/>
      <c r="AV321" s="320"/>
      <c r="AW321" s="320"/>
      <c r="AX321" s="320"/>
      <c r="AY321" s="320"/>
      <c r="AZ321" s="320"/>
      <c r="BA321" s="320"/>
      <c r="BB321" s="320">
        <v>9</v>
      </c>
      <c r="BC321" s="317">
        <v>96.9</v>
      </c>
      <c r="BD321" s="318">
        <v>27.299999999999997</v>
      </c>
      <c r="BE321" s="28"/>
    </row>
    <row r="322" spans="44:57">
      <c r="AR322" s="28"/>
      <c r="AS322" s="334" t="s">
        <v>3146</v>
      </c>
      <c r="AT322" s="319"/>
      <c r="AU322" s="320"/>
      <c r="AV322" s="320"/>
      <c r="AW322" s="320">
        <v>4</v>
      </c>
      <c r="AX322" s="320"/>
      <c r="AY322" s="320"/>
      <c r="AZ322" s="320"/>
      <c r="BA322" s="320"/>
      <c r="BB322" s="322"/>
      <c r="BC322" s="317">
        <v>10.3</v>
      </c>
      <c r="BD322" s="318">
        <v>37</v>
      </c>
      <c r="BE322" s="28"/>
    </row>
    <row r="323" spans="44:57">
      <c r="AR323" s="28"/>
      <c r="AS323" s="334" t="s">
        <v>3147</v>
      </c>
      <c r="AT323" s="319"/>
      <c r="AU323" s="320"/>
      <c r="AV323" s="320">
        <v>3</v>
      </c>
      <c r="AW323" s="320"/>
      <c r="AX323" s="320"/>
      <c r="AY323" s="320"/>
      <c r="AZ323" s="320"/>
      <c r="BA323" s="320"/>
      <c r="BB323" s="322"/>
      <c r="BC323" s="317">
        <v>80.400000000000006</v>
      </c>
      <c r="BD323" s="318">
        <v>68.599999999999994</v>
      </c>
      <c r="BE323" s="28"/>
    </row>
    <row r="324" spans="44:57">
      <c r="AR324" s="28"/>
      <c r="AS324" s="334" t="s">
        <v>3148</v>
      </c>
      <c r="AT324" s="319"/>
      <c r="AU324" s="320"/>
      <c r="AV324" s="320"/>
      <c r="AW324" s="320"/>
      <c r="AX324" s="320"/>
      <c r="AY324" s="320"/>
      <c r="AZ324" s="320"/>
      <c r="BA324" s="320">
        <v>8</v>
      </c>
      <c r="BB324" s="322"/>
      <c r="BC324" s="317">
        <v>50.6</v>
      </c>
      <c r="BD324" s="318">
        <v>29.900000000000006</v>
      </c>
      <c r="BE324" s="28"/>
    </row>
    <row r="325" spans="44:57">
      <c r="AR325" s="28"/>
      <c r="AS325" s="334" t="s">
        <v>3149</v>
      </c>
      <c r="AT325" s="319"/>
      <c r="AU325" s="320"/>
      <c r="AV325" s="320"/>
      <c r="AW325" s="320"/>
      <c r="AX325" s="320"/>
      <c r="AY325" s="320"/>
      <c r="AZ325" s="320"/>
      <c r="BA325" s="320">
        <v>8</v>
      </c>
      <c r="BB325" s="322"/>
      <c r="BC325" s="317">
        <v>50.6</v>
      </c>
      <c r="BD325" s="318">
        <v>29.900000000000006</v>
      </c>
      <c r="BE325" s="28"/>
    </row>
    <row r="326" spans="44:57">
      <c r="AR326" s="28"/>
      <c r="AS326" s="334" t="s">
        <v>3150</v>
      </c>
      <c r="AT326" s="319"/>
      <c r="AU326" s="320"/>
      <c r="AV326" s="320">
        <v>3</v>
      </c>
      <c r="AW326" s="320"/>
      <c r="AX326" s="320"/>
      <c r="AY326" s="320"/>
      <c r="AZ326" s="320"/>
      <c r="BA326" s="320"/>
      <c r="BB326" s="322"/>
      <c r="BC326" s="328">
        <v>73.400000000000006</v>
      </c>
      <c r="BD326" s="329">
        <v>79.599999999999994</v>
      </c>
      <c r="BE326" s="28"/>
    </row>
    <row r="327" spans="44:57">
      <c r="AR327" s="28"/>
      <c r="AS327" s="334" t="s">
        <v>3151</v>
      </c>
      <c r="AT327" s="319">
        <v>1</v>
      </c>
      <c r="AU327" s="320"/>
      <c r="AV327" s="320"/>
      <c r="AW327" s="320"/>
      <c r="AX327" s="320"/>
      <c r="AY327" s="320"/>
      <c r="AZ327" s="320"/>
      <c r="BA327" s="320"/>
      <c r="BB327" s="322"/>
      <c r="BC327" s="317">
        <v>20.6</v>
      </c>
      <c r="BD327" s="318">
        <v>93.9</v>
      </c>
      <c r="BE327" s="28"/>
    </row>
    <row r="328" spans="44:57">
      <c r="AR328" s="28"/>
      <c r="AS328" s="334" t="s">
        <v>3152</v>
      </c>
      <c r="AT328" s="319"/>
      <c r="AU328" s="320"/>
      <c r="AV328" s="320"/>
      <c r="AW328" s="320">
        <v>4</v>
      </c>
      <c r="AX328" s="320"/>
      <c r="AY328" s="320"/>
      <c r="AZ328" s="320"/>
      <c r="BA328" s="320"/>
      <c r="BB328" s="322"/>
      <c r="BC328" s="317">
        <v>9.9</v>
      </c>
      <c r="BD328" s="318">
        <v>43.6</v>
      </c>
      <c r="BE328" s="28"/>
    </row>
    <row r="329" spans="44:57">
      <c r="AR329" s="28"/>
      <c r="AS329" s="334" t="s">
        <v>3153</v>
      </c>
      <c r="AT329" s="319">
        <v>1</v>
      </c>
      <c r="AU329" s="320"/>
      <c r="AV329" s="320"/>
      <c r="AW329" s="320"/>
      <c r="AX329" s="320"/>
      <c r="AY329" s="320"/>
      <c r="AZ329" s="320"/>
      <c r="BA329" s="320"/>
      <c r="BB329" s="322"/>
      <c r="BC329" s="317">
        <v>31.6</v>
      </c>
      <c r="BD329" s="318">
        <v>74.2</v>
      </c>
      <c r="BE329" s="28"/>
    </row>
    <row r="330" spans="44:57">
      <c r="AR330" s="28"/>
      <c r="AS330" s="334" t="s">
        <v>3154</v>
      </c>
      <c r="AT330" s="319"/>
      <c r="AU330" s="320"/>
      <c r="AV330" s="320">
        <v>3</v>
      </c>
      <c r="AW330" s="320"/>
      <c r="AX330" s="320"/>
      <c r="AY330" s="320"/>
      <c r="AZ330" s="320"/>
      <c r="BA330" s="320"/>
      <c r="BB330" s="322"/>
      <c r="BC330" s="317">
        <v>94.3</v>
      </c>
      <c r="BD330" s="318">
        <v>84.5</v>
      </c>
      <c r="BE330" s="28"/>
    </row>
    <row r="331" spans="44:57">
      <c r="AR331" s="28"/>
      <c r="AS331" s="334" t="s">
        <v>3155</v>
      </c>
      <c r="AT331" s="319"/>
      <c r="AU331" s="320"/>
      <c r="AV331" s="320"/>
      <c r="AW331" s="320"/>
      <c r="AX331" s="320">
        <v>5</v>
      </c>
      <c r="AY331" s="320"/>
      <c r="AZ331" s="320"/>
      <c r="BA331" s="320"/>
      <c r="BB331" s="322"/>
      <c r="BC331" s="317">
        <v>64.400000000000006</v>
      </c>
      <c r="BD331" s="318">
        <v>55.8</v>
      </c>
      <c r="BE331" s="28"/>
    </row>
    <row r="332" spans="44:57">
      <c r="AR332" s="28"/>
      <c r="AS332" s="334" t="s">
        <v>3156</v>
      </c>
      <c r="AT332" s="319"/>
      <c r="AU332" s="320"/>
      <c r="AV332" s="320"/>
      <c r="AW332" s="320"/>
      <c r="AX332" s="320"/>
      <c r="AY332" s="336">
        <v>6</v>
      </c>
      <c r="AZ332" s="320"/>
      <c r="BA332" s="320"/>
      <c r="BB332" s="322"/>
      <c r="BC332" s="317">
        <v>97.6</v>
      </c>
      <c r="BD332" s="318">
        <v>51.5</v>
      </c>
      <c r="BE332" s="28"/>
    </row>
    <row r="333" spans="44:57">
      <c r="AR333" s="28"/>
      <c r="AS333" s="334" t="s">
        <v>3157</v>
      </c>
      <c r="AT333" s="335">
        <v>1</v>
      </c>
      <c r="AU333" s="336"/>
      <c r="AV333" s="336"/>
      <c r="AW333" s="336"/>
      <c r="AX333" s="336"/>
      <c r="AY333" s="336"/>
      <c r="AZ333" s="336"/>
      <c r="BA333" s="336"/>
      <c r="BB333" s="337"/>
      <c r="BC333" s="338">
        <v>22.2</v>
      </c>
      <c r="BD333" s="339">
        <v>95.8</v>
      </c>
      <c r="BE333" s="28"/>
    </row>
    <row r="334" spans="44:57">
      <c r="AR334" s="28"/>
      <c r="BE334" s="28"/>
    </row>
    <row r="335" spans="44:57">
      <c r="AR335" s="28"/>
      <c r="BE335" s="28"/>
    </row>
  </sheetData>
  <sheetProtection algorithmName="SHA-512" hashValue="83jpZReiWdFagfk0NpfhEzeLf64nIHeYfDinz5DO+1UGzllDZ5bKoRDXw8IJNFLJiONosqL6LD8rvj6n/X10Sw==" saltValue="8zFiMxI7IP0b31sIIt9DRg==" spinCount="100000" sheet="1" sort="0" autoFilter="0"/>
  <autoFilter ref="B5:N134" xr:uid="{00000000-0009-0000-0000-000002000000}"/>
  <mergeCells count="17">
    <mergeCell ref="BF23:BH23"/>
    <mergeCell ref="BG4:BH4"/>
    <mergeCell ref="AP14:AQ14"/>
    <mergeCell ref="AB14:AC14"/>
    <mergeCell ref="AB16:AC16"/>
    <mergeCell ref="AB17:AC17"/>
    <mergeCell ref="AB18:AC18"/>
    <mergeCell ref="BF3:BF4"/>
    <mergeCell ref="AS3:BD3"/>
    <mergeCell ref="AH4:AQ4"/>
    <mergeCell ref="T4:AC4"/>
    <mergeCell ref="B2:I2"/>
    <mergeCell ref="B4:C4"/>
    <mergeCell ref="D4:E4"/>
    <mergeCell ref="J4:K4"/>
    <mergeCell ref="L4:N4"/>
    <mergeCell ref="G4:I4"/>
  </mergeCells>
  <phoneticPr fontId="37" type="noConversion"/>
  <dataValidations count="1">
    <dataValidation type="list" allowBlank="1" showInputMessage="1" showErrorMessage="1" sqref="BF5" xr:uid="{A2E03410-1CFF-4CA2-9C81-FAE230B02E8E}">
      <formula1>$AS$6:$AS$333</formula1>
    </dataValidation>
  </dataValidations>
  <hyperlinks>
    <hyperlink ref="F4" r:id="rId1" xr:uid="{00000000-0004-0000-0200-000000000000}"/>
    <hyperlink ref="BF23" r:id="rId2" display="http://www.8qm.de/ddf/dl/DDF-Podcast_SSP-OF.xlsm" xr:uid="{DD5AD083-B45F-41F6-B22D-CBE78439229C}"/>
  </hyperlinks>
  <pageMargins left="0.7" right="0.7" top="0.78740157499999996" bottom="0.78740157499999996" header="0.3" footer="0.3"/>
  <pageSetup paperSize="9" orientation="portrait"/>
  <ignoredErrors>
    <ignoredError sqref="I14:N132 I11:K11 I10 M11:N11 I6:I7 J7:K7 M7:N7" unlockedFormula="1"/>
  </ignoredErrors>
  <drawing r:id="rId3"/>
  <legacyDrawing r:id="rId4"/>
  <tableParts count="1">
    <tablePart r:id="rId5"/>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41</vt:i4>
      </vt:variant>
    </vt:vector>
  </HeadingPairs>
  <TitlesOfParts>
    <vt:vector size="45" baseType="lpstr">
      <vt:lpstr>Podcasts</vt:lpstr>
      <vt:lpstr>kurz</vt:lpstr>
      <vt:lpstr>Synopsis</vt:lpstr>
      <vt:lpstr>SSP-Abstimmungen</vt:lpstr>
      <vt:lpstr>_01._FragezeichenPod_seit_2011</vt:lpstr>
      <vt:lpstr>_02._OhrCast_seit_2011</vt:lpstr>
      <vt:lpstr>_03._TalkerLounge_seit_2012</vt:lpstr>
      <vt:lpstr>_04._Haschimitenfürst_seit_2013</vt:lpstr>
      <vt:lpstr>_05._WasHoerstDuSo_seit_2016</vt:lpstr>
      <vt:lpstr>_06._Schrottcast_seit_2016</vt:lpstr>
      <vt:lpstr>_07._KellerKanal_seit_2016</vt:lpstr>
      <vt:lpstr>_08._SSP_seit_2017</vt:lpstr>
      <vt:lpstr>_09._RundA_seit_2018</vt:lpstr>
      <vt:lpstr>_10._DiE_2WO_seit_2018</vt:lpstr>
      <vt:lpstr>_11._Die_Zentrale_seit_2019</vt:lpstr>
      <vt:lpstr>_12._Gebrauchtwaren_seit_2019</vt:lpstr>
      <vt:lpstr>_13._Retroabteil_seit_2019</vt:lpstr>
      <vt:lpstr>_14._Schrottplatz_seit_2020</vt:lpstr>
      <vt:lpstr>_15._Abfahrt_seit_2020</vt:lpstr>
      <vt:lpstr>_16._Taschenlampen_seit_2020</vt:lpstr>
      <vt:lpstr>_17._Anführungszeichen_seit_2020</vt:lpstr>
      <vt:lpstr>_18._Fanatiker_seit_2020</vt:lpstr>
      <vt:lpstr>_19._Kaffeeklatsch_seit_2020</vt:lpstr>
      <vt:lpstr>_20._Kirschkuchen_seit_2020</vt:lpstr>
      <vt:lpstr>_21._Verstärker_seit_2021</vt:lpstr>
      <vt:lpstr>_22._Rose_seit_2021</vt:lpstr>
      <vt:lpstr>_23._Die_Zw3i_seit_2021</vt:lpstr>
      <vt:lpstr>_24._RockyBeachWeekly_seit_2022</vt:lpstr>
      <vt:lpstr>_25._Doppelpunkt_seit_2022</vt:lpstr>
      <vt:lpstr>_26._beachcast_seit_2022</vt:lpstr>
      <vt:lpstr>_27._DGdB_seit_2022</vt:lpstr>
      <vt:lpstr>_28._RBP_seit_2023</vt:lpstr>
      <vt:lpstr>_Kurzübersicht</vt:lpstr>
      <vt:lpstr>_Sonstige_DDF_Podcasts</vt:lpstr>
      <vt:lpstr>DDF_Podcasts</vt:lpstr>
      <vt:lpstr>DDF_Spielzeitsumme</vt:lpstr>
      <vt:lpstr>DDF_Synopsis</vt:lpstr>
      <vt:lpstr>SSP_Abstimmungen</vt:lpstr>
      <vt:lpstr>SSP_OF_Positionen</vt:lpstr>
      <vt:lpstr>Veröffentlichungsentwicklung</vt:lpstr>
      <vt:lpstr>Veröffentlichungsgeschichte</vt:lpstr>
      <vt:lpstr>Veröffentlichungslücken</vt:lpstr>
      <vt:lpstr>Veröffentlichungsmatrix</vt:lpstr>
      <vt:lpstr>Veröffentlichungsquartale</vt:lpstr>
      <vt:lpstr>Veröffentlichungszeiten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DDF-Podcasts</dc:title>
  <dc:subject>Die drei Fragezeichen Podcasts Verzeichnis</dc:subject>
  <dc:creator>DDF Kompendium</dc:creator>
  <cp:lastModifiedBy>Markus Hörl</cp:lastModifiedBy>
  <dcterms:created xsi:type="dcterms:W3CDTF">2017-09-27T08:39:56Z</dcterms:created>
  <dcterms:modified xsi:type="dcterms:W3CDTF">2024-04-23T16:53:01Z</dcterms:modified>
</cp:coreProperties>
</file>